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8945" windowHeight="4110" tabRatio="899"/>
  </bookViews>
  <sheets>
    <sheet name="Metadata" sheetId="77" r:id="rId1"/>
    <sheet name="Part 1" sheetId="1" r:id="rId2"/>
    <sheet name="Part 2" sheetId="6" r:id="rId3"/>
    <sheet name="Part 3" sheetId="41" r:id="rId4"/>
    <sheet name="Part 3 DA summary" sheetId="51" r:id="rId5"/>
    <sheet name="Part 4" sheetId="23" r:id="rId6"/>
    <sheet name="DataSheet1" sheetId="72" r:id="rId7"/>
    <sheet name="DataSheet2" sheetId="73" r:id="rId8"/>
    <sheet name="DataSheet3" sheetId="75" r:id="rId9"/>
    <sheet name="DataSheetDA" sheetId="71" r:id="rId10"/>
    <sheet name="DataSheet4" sheetId="74" r:id="rId11"/>
    <sheet name="LA List" sheetId="53" state="hidden" r:id="rId12"/>
    <sheet name="Data" sheetId="9" state="hidden" r:id="rId13"/>
  </sheets>
  <externalReferences>
    <externalReference r:id="rId14"/>
    <externalReference r:id="rId15"/>
    <externalReference r:id="rId16"/>
    <externalReference r:id="rId17"/>
    <externalReference r:id="rId18"/>
    <externalReference r:id="rId19"/>
  </externalReferences>
  <definedNames>
    <definedName name="\R">#REF!</definedName>
    <definedName name="_CTR1" localSheetId="4">'Part 3 DA summary'!#REF!</definedName>
    <definedName name="_CTR1">#REF!</definedName>
    <definedName name="_xlnm._FilterDatabase" localSheetId="12" hidden="1">Data!#REF!</definedName>
    <definedName name="_xlnm._FilterDatabase" hidden="1">#REF!</definedName>
    <definedName name="_Order1" hidden="1">255</definedName>
    <definedName name="_Order2" hidden="1">0</definedName>
    <definedName name="adj_factor">'Part 1'!#REF!</definedName>
    <definedName name="Adur">[1]DATA!#REF!</definedName>
    <definedName name="BRprint1">#REF!</definedName>
    <definedName name="BRprint2">#REF!</definedName>
    <definedName name="cccc">'[2]BR1 Form'!#REF!</definedName>
    <definedName name="CERDATA">'[3]Section A'!#REF!</definedName>
    <definedName name="CONTACT" localSheetId="4">'Part 3 DA summary'!#REF!</definedName>
    <definedName name="CONTACT">'Part 1'!$L$12:$P$14</definedName>
    <definedName name="CTRprint1" localSheetId="4">'Part 3 DA summary'!$B$1:$J$1</definedName>
    <definedName name="CTRprint1">#REF!</definedName>
    <definedName name="CTRprint2" localSheetId="4">'Part 3 DA summary'!$B$7:$J$54</definedName>
    <definedName name="CTRprint2">#REF!</definedName>
    <definedName name="datanew">[4]Data!$A$8:$CH$334</definedName>
    <definedName name="datar" localSheetId="4">#REF!</definedName>
    <definedName name="datar">Data!$A$8:$C$325</definedName>
    <definedName name="detruse" localSheetId="4">'Part 3 DA summary'!#REF!</definedName>
    <definedName name="detruse">#REF!</definedName>
    <definedName name="dtlruse">#REF!</definedName>
    <definedName name="Import_AuditData">#REF!</definedName>
    <definedName name="Import_FormData">#REF!</definedName>
    <definedName name="Import_LA_Name">'Part 1'!$L$12</definedName>
    <definedName name="Import_NotesData">#REF!</definedName>
    <definedName name="Import_ValidationData">#REF!</definedName>
    <definedName name="LAcodes">#REF!</definedName>
    <definedName name="LAlist">#REF!</definedName>
    <definedName name="LAlist2">#REF!</definedName>
    <definedName name="NNDR1">#REF!</definedName>
    <definedName name="NNDR1S">#REF!</definedName>
    <definedName name="numberhered">#REF!</definedName>
    <definedName name="Part1">#REF!</definedName>
    <definedName name="Part2">#REF!</definedName>
    <definedName name="Part3">#REF!</definedName>
    <definedName name="Part4">#REF!</definedName>
    <definedName name="_xlnm.Print_Area" localSheetId="12">Data!#REF!</definedName>
    <definedName name="_xlnm.Print_Area" localSheetId="1">'Part 1'!$A$1:$Z$170</definedName>
    <definedName name="_xlnm.Print_Area" localSheetId="2">'Part 2'!$A$1:$U$188</definedName>
    <definedName name="_xlnm.Print_Area" localSheetId="3">'Part 3'!$A$1:$R$71</definedName>
    <definedName name="_xlnm.Print_Area" localSheetId="4">'Part 3 DA summary'!$A$1:$AC$55</definedName>
    <definedName name="_xlnm.Print_Area" localSheetId="5">'Part 4'!$A$1:$O$63</definedName>
    <definedName name="_xlnm.Print_Area">'[3]Section A'!#REF!</definedName>
    <definedName name="_xlnm.Print_Titles" localSheetId="12">Data!$1:$7</definedName>
    <definedName name="_xlnm.Print_Titles" localSheetId="1">'Part 1'!$1:$6</definedName>
    <definedName name="_xlnm.Print_Titles" localSheetId="2">'Part 2'!$1:$12</definedName>
    <definedName name="_xlnm.Print_Titles" localSheetId="4">'Part 3 DA summary'!$1:$4</definedName>
    <definedName name="_xlnm.Print_Titles">#N/A</definedName>
    <definedName name="QRC4R1" localSheetId="4">'[5]BR1 Form'!#REF!</definedName>
    <definedName name="QRC4R1">'[2]BR1 Form'!#REF!</definedName>
    <definedName name="QRC4R10" localSheetId="4">'[5]BR1 Form'!#REF!</definedName>
    <definedName name="QRC4R10">'[2]BR1 Form'!#REF!</definedName>
    <definedName name="QRC4R12" localSheetId="4">'[5]BR1 Form'!#REF!</definedName>
    <definedName name="QRC4R12">'[2]BR1 Form'!#REF!</definedName>
    <definedName name="QRC4R13" localSheetId="4">'[5]BR1 Form'!#REF!</definedName>
    <definedName name="QRC4R13">'[2]BR1 Form'!#REF!</definedName>
    <definedName name="QRC4R14" localSheetId="4">'[5]BR1 Form'!#REF!</definedName>
    <definedName name="QRC4R14">'[2]BR1 Form'!#REF!</definedName>
    <definedName name="QRC4R15" localSheetId="4">'[5]BR1 Form'!#REF!</definedName>
    <definedName name="QRC4R15">'[2]BR1 Form'!#REF!</definedName>
    <definedName name="QRC4R17" localSheetId="4">'[5]BR1 Form'!#REF!</definedName>
    <definedName name="QRC4R17">'[2]BR1 Form'!#REF!</definedName>
    <definedName name="QRC4R18" localSheetId="4">'[5]BR1 Form'!#REF!</definedName>
    <definedName name="QRC4R18">'[2]BR1 Form'!#REF!</definedName>
    <definedName name="QRC4R19" localSheetId="4">'[5]BR1 Form'!#REF!</definedName>
    <definedName name="QRC4R19">'[2]BR1 Form'!#REF!</definedName>
    <definedName name="QRC4R20" localSheetId="4">'[5]BR1 Form'!#REF!</definedName>
    <definedName name="QRC4R20">'[2]BR1 Form'!#REF!</definedName>
    <definedName name="QRC4R21" localSheetId="4">'[5]BR1 Form'!#REF!</definedName>
    <definedName name="QRC4R21">'[2]BR1 Form'!#REF!</definedName>
    <definedName name="QRC4R22" localSheetId="4">'[5]BR1 Form'!#REF!</definedName>
    <definedName name="QRC4R22">'[2]BR1 Form'!#REF!</definedName>
    <definedName name="QRC4R23" localSheetId="4">'[5]BR1 Form'!#REF!</definedName>
    <definedName name="QRC4R23">'[2]BR1 Form'!#REF!</definedName>
    <definedName name="QRC4R24" localSheetId="4">'[5]BR1 Form'!#REF!</definedName>
    <definedName name="QRC4R24">'[2]BR1 Form'!#REF!</definedName>
    <definedName name="QRC4R3" localSheetId="4">'[5]BR1 Form'!#REF!</definedName>
    <definedName name="QRC4R3">'[2]BR1 Form'!#REF!</definedName>
    <definedName name="QRC4R5" localSheetId="4">'[5]BR1 Form'!#REF!</definedName>
    <definedName name="QRC4R5">'[2]BR1 Form'!#REF!</definedName>
    <definedName name="QRC4R8" localSheetId="4">'[5]BR1 Form'!#REF!</definedName>
    <definedName name="QRC4R8">'[2]BR1 Form'!#REF!</definedName>
    <definedName name="QRC4R9" localSheetId="4">'[5]BR1 Form'!#REF!</definedName>
    <definedName name="QRC4R9">'[2]BR1 Form'!#REF!</definedName>
    <definedName name="s">'[2]BR1 Form'!#REF!</definedName>
    <definedName name="Table" localSheetId="4">#REF!</definedName>
    <definedName name="Table">#REF!</definedName>
    <definedName name="table1">#REF!</definedName>
    <definedName name="Table2">#REF!</definedName>
    <definedName name="TABLE4">#REF!</definedName>
    <definedName name="TABLES">'[6]Billing Table'!$A$10:$S$416</definedName>
    <definedName name="tiersplit">#REF!</definedName>
    <definedName name="Validation">#REF!</definedName>
    <definedName name="zzz">#REF!</definedName>
  </definedNames>
  <calcPr calcId="145621"/>
</workbook>
</file>

<file path=xl/calcChain.xml><?xml version="1.0" encoding="utf-8"?>
<calcChain xmlns="http://schemas.openxmlformats.org/spreadsheetml/2006/main">
  <c r="Y325" i="74" l="1"/>
  <c r="H325" i="74"/>
  <c r="I325" i="74"/>
  <c r="J325" i="74"/>
  <c r="K325" i="74"/>
  <c r="L325" i="74"/>
  <c r="M325" i="74"/>
  <c r="N325" i="74"/>
  <c r="O325" i="74"/>
  <c r="P325" i="74"/>
  <c r="Q325" i="74"/>
  <c r="R325" i="74"/>
  <c r="S325" i="74"/>
  <c r="T325" i="74"/>
  <c r="U325" i="74"/>
  <c r="V325" i="74"/>
  <c r="W325" i="74"/>
  <c r="X325" i="74"/>
  <c r="G325" i="74"/>
  <c r="F325" i="74"/>
  <c r="G325" i="72"/>
  <c r="H325" i="72"/>
  <c r="I325" i="72"/>
  <c r="J325" i="72"/>
  <c r="K325" i="72"/>
  <c r="L325" i="72"/>
  <c r="M325" i="72"/>
  <c r="N325" i="72"/>
  <c r="O325" i="72"/>
  <c r="P325" i="72"/>
  <c r="Q325" i="72"/>
  <c r="R325" i="72"/>
  <c r="X325" i="72"/>
  <c r="Y325" i="72"/>
  <c r="Z325" i="72"/>
  <c r="AA325" i="72"/>
  <c r="AB325" i="72"/>
  <c r="AC325" i="72"/>
  <c r="AD325" i="72"/>
  <c r="AE325" i="72"/>
  <c r="AF325" i="72"/>
  <c r="AG325" i="72"/>
  <c r="AH325" i="72"/>
  <c r="AI325" i="72"/>
  <c r="AJ325" i="72"/>
  <c r="AK325" i="72"/>
  <c r="AL325" i="72"/>
  <c r="AM325" i="72"/>
  <c r="AN325" i="72"/>
  <c r="AO325" i="72"/>
  <c r="AP325" i="72"/>
  <c r="AQ325" i="72"/>
  <c r="AR325" i="72"/>
  <c r="AS325" i="72"/>
  <c r="AT325" i="72"/>
  <c r="AU325" i="72"/>
  <c r="AV325" i="72"/>
  <c r="AW325" i="72"/>
  <c r="AX325" i="72"/>
  <c r="AY325" i="72"/>
  <c r="AZ325" i="72"/>
  <c r="BA325" i="72"/>
  <c r="BB325" i="72"/>
  <c r="BC325" i="72"/>
  <c r="BD325" i="72"/>
  <c r="BE325" i="72"/>
  <c r="BF325" i="72"/>
  <c r="BG325" i="72"/>
  <c r="BH325" i="72"/>
  <c r="BI325" i="72"/>
  <c r="BO325" i="72"/>
  <c r="BP325" i="72"/>
  <c r="BQ325" i="72"/>
  <c r="BR325" i="72"/>
  <c r="BS325" i="72"/>
  <c r="BY325" i="72"/>
  <c r="BZ325" i="72"/>
  <c r="CA325" i="72"/>
  <c r="CB325" i="72"/>
  <c r="CC325" i="72"/>
  <c r="CD325" i="72"/>
  <c r="CE325" i="72"/>
  <c r="CF325" i="72"/>
  <c r="CG325" i="72"/>
  <c r="CH325" i="72"/>
  <c r="CI325" i="72"/>
  <c r="CJ325" i="72"/>
  <c r="CK325" i="72"/>
  <c r="CL325" i="72"/>
  <c r="CM325" i="72"/>
  <c r="CN325" i="72"/>
  <c r="CO325" i="72"/>
  <c r="CP325" i="72"/>
  <c r="CQ325" i="72"/>
  <c r="CR325" i="72"/>
  <c r="CS325" i="72"/>
  <c r="CT325" i="72"/>
  <c r="CU325" i="72"/>
  <c r="CV325" i="72"/>
  <c r="CW325" i="72"/>
  <c r="CX325" i="72"/>
  <c r="CY325" i="72"/>
  <c r="CZ325" i="72"/>
  <c r="DA325" i="72"/>
  <c r="DB325" i="72"/>
  <c r="DC325" i="72"/>
  <c r="DD325" i="72"/>
  <c r="DE325" i="72"/>
  <c r="DF325" i="72"/>
  <c r="DG325" i="72"/>
  <c r="DH325" i="72"/>
  <c r="DI325" i="72"/>
  <c r="DJ325" i="72"/>
  <c r="DK325" i="72"/>
  <c r="DL325" i="72"/>
  <c r="DM325" i="72"/>
  <c r="DN325" i="72"/>
  <c r="DO325" i="72"/>
  <c r="DP325" i="72"/>
  <c r="DQ325" i="72"/>
  <c r="DR325" i="72"/>
  <c r="DS325" i="72"/>
  <c r="DT325" i="72"/>
  <c r="DU325" i="72"/>
  <c r="DV325" i="72"/>
  <c r="DW325" i="72"/>
  <c r="DX325" i="72"/>
  <c r="DY325" i="72"/>
  <c r="DZ325" i="72"/>
  <c r="EA325" i="72"/>
  <c r="EB325" i="72"/>
  <c r="EC325" i="72"/>
  <c r="ED325" i="72"/>
  <c r="EE325" i="72"/>
  <c r="EF325" i="72"/>
  <c r="EG325" i="72"/>
  <c r="EH325" i="72"/>
  <c r="EI325" i="72"/>
  <c r="F325" i="72"/>
  <c r="L13" i="1" l="1"/>
  <c r="T68" i="1" l="1"/>
  <c r="Q68" i="1"/>
  <c r="S32" i="23" l="1"/>
  <c r="S53" i="23"/>
  <c r="O57" i="51" l="1"/>
  <c r="AA57" i="51"/>
  <c r="M57" i="51"/>
  <c r="G57" i="51"/>
  <c r="L12" i="1" l="1"/>
  <c r="W122" i="1"/>
  <c r="X122" i="1"/>
  <c r="C65" i="41" l="1"/>
  <c r="Q129" i="1"/>
  <c r="T129" i="1"/>
  <c r="AC90" i="1"/>
  <c r="C37" i="1"/>
  <c r="AB39" i="1"/>
  <c r="N68" i="1"/>
  <c r="N129" i="1" s="1"/>
  <c r="C7" i="6"/>
  <c r="C122" i="1"/>
  <c r="C7" i="41"/>
  <c r="C7" i="23"/>
  <c r="C57" i="1"/>
  <c r="E3" i="51"/>
  <c r="X159" i="6" l="1"/>
  <c r="AB45" i="1"/>
  <c r="AB41" i="1"/>
  <c r="B14" i="51"/>
  <c r="K14" i="51" s="1"/>
  <c r="B16" i="51"/>
  <c r="K16" i="51" s="1"/>
  <c r="B18" i="51"/>
  <c r="K18" i="51" s="1"/>
  <c r="B20" i="51"/>
  <c r="K20" i="51" s="1"/>
  <c r="B22" i="51"/>
  <c r="K22" i="51" s="1"/>
  <c r="B24" i="51"/>
  <c r="K24" i="51" s="1"/>
  <c r="B26" i="51"/>
  <c r="K26" i="51" s="1"/>
  <c r="B28" i="51"/>
  <c r="K28" i="51" s="1"/>
  <c r="B30" i="51"/>
  <c r="K30" i="51" s="1"/>
  <c r="B32" i="51"/>
  <c r="K32" i="51" s="1"/>
  <c r="B34" i="51"/>
  <c r="K34" i="51" s="1"/>
  <c r="B36" i="51"/>
  <c r="K36" i="51" s="1"/>
  <c r="B38" i="51"/>
  <c r="K38" i="51" s="1"/>
  <c r="B40" i="51"/>
  <c r="K40" i="51" s="1"/>
  <c r="B42" i="51"/>
  <c r="K42" i="51" s="1"/>
  <c r="B44" i="51"/>
  <c r="K44" i="51" s="1"/>
  <c r="B46" i="51"/>
  <c r="K46" i="51" s="1"/>
  <c r="B48" i="51"/>
  <c r="K48" i="51" s="1"/>
  <c r="B50" i="51"/>
  <c r="K50" i="51" s="1"/>
  <c r="B52" i="51"/>
  <c r="K52" i="51" s="1"/>
  <c r="B13" i="51"/>
  <c r="K13" i="51" s="1"/>
  <c r="B17" i="51"/>
  <c r="K17" i="51" s="1"/>
  <c r="B21" i="51"/>
  <c r="K21" i="51" s="1"/>
  <c r="B25" i="51"/>
  <c r="K25" i="51" s="1"/>
  <c r="B29" i="51"/>
  <c r="K29" i="51" s="1"/>
  <c r="B33" i="51"/>
  <c r="K33" i="51" s="1"/>
  <c r="B37" i="51"/>
  <c r="K37" i="51" s="1"/>
  <c r="B41" i="51"/>
  <c r="K41" i="51" s="1"/>
  <c r="B45" i="51"/>
  <c r="K45" i="51" s="1"/>
  <c r="B49" i="51"/>
  <c r="K49" i="51" s="1"/>
  <c r="B53" i="51"/>
  <c r="K53" i="51" s="1"/>
  <c r="B15" i="51"/>
  <c r="K15" i="51" s="1"/>
  <c r="B31" i="51"/>
  <c r="K31" i="51" s="1"/>
  <c r="B47" i="51"/>
  <c r="K47" i="51" s="1"/>
  <c r="B23" i="51"/>
  <c r="K23" i="51" s="1"/>
  <c r="B39" i="51"/>
  <c r="K39" i="51" s="1"/>
  <c r="C3" i="51"/>
  <c r="B19" i="51"/>
  <c r="K19" i="51" s="1"/>
  <c r="B51" i="51"/>
  <c r="K51" i="51" s="1"/>
  <c r="B27" i="51"/>
  <c r="K27" i="51" s="1"/>
  <c r="B35" i="51"/>
  <c r="K35" i="51" s="1"/>
  <c r="B43" i="51"/>
  <c r="K43" i="51" s="1"/>
  <c r="K6" i="51" l="1"/>
  <c r="W35" i="51"/>
  <c r="O35" i="51"/>
  <c r="G35" i="51"/>
  <c r="S35" i="51"/>
  <c r="I35" i="51"/>
  <c r="AA35" i="51"/>
  <c r="U35" i="51"/>
  <c r="E35" i="51"/>
  <c r="Q35" i="51"/>
  <c r="C35" i="51"/>
  <c r="Y35" i="51" s="1"/>
  <c r="M35" i="51"/>
  <c r="W27" i="51"/>
  <c r="O27" i="51"/>
  <c r="G27" i="51"/>
  <c r="S27" i="51"/>
  <c r="I27" i="51"/>
  <c r="Q27" i="51"/>
  <c r="C27" i="51"/>
  <c r="AA27" i="51"/>
  <c r="M27" i="51"/>
  <c r="E27" i="51"/>
  <c r="U27" i="51"/>
  <c r="W39" i="51"/>
  <c r="O39" i="51"/>
  <c r="G39" i="51"/>
  <c r="S39" i="51"/>
  <c r="I39" i="51"/>
  <c r="M39" i="51"/>
  <c r="AA39" i="51"/>
  <c r="U39" i="51"/>
  <c r="E39" i="51"/>
  <c r="C39" i="51"/>
  <c r="Q39" i="51"/>
  <c r="AA15" i="51"/>
  <c r="Q15" i="51"/>
  <c r="I15" i="51"/>
  <c r="W15" i="51"/>
  <c r="O15" i="51"/>
  <c r="G15" i="51"/>
  <c r="S15" i="51"/>
  <c r="C15" i="51"/>
  <c r="M15" i="51"/>
  <c r="U15" i="51"/>
  <c r="E15" i="51"/>
  <c r="W41" i="51"/>
  <c r="O41" i="51"/>
  <c r="G41" i="51"/>
  <c r="AA41" i="51"/>
  <c r="M41" i="51"/>
  <c r="C41" i="51"/>
  <c r="U41" i="51"/>
  <c r="I41" i="51"/>
  <c r="S41" i="51"/>
  <c r="E41" i="51"/>
  <c r="Q41" i="51"/>
  <c r="W25" i="51"/>
  <c r="AA25" i="51"/>
  <c r="O25" i="51"/>
  <c r="G25" i="51"/>
  <c r="U25" i="51"/>
  <c r="Q25" i="51"/>
  <c r="S25" i="51"/>
  <c r="I25" i="51"/>
  <c r="E25" i="51"/>
  <c r="C25" i="51"/>
  <c r="M25" i="51"/>
  <c r="W52" i="51"/>
  <c r="O52" i="51"/>
  <c r="G52" i="51"/>
  <c r="Q52" i="51"/>
  <c r="E52" i="51"/>
  <c r="M52" i="51"/>
  <c r="AA52" i="51"/>
  <c r="U52" i="51"/>
  <c r="I52" i="51"/>
  <c r="S52" i="51"/>
  <c r="C52" i="51"/>
  <c r="Y52" i="51" s="1"/>
  <c r="W44" i="51"/>
  <c r="O44" i="51"/>
  <c r="G44" i="51"/>
  <c r="Q44" i="51"/>
  <c r="E44" i="51"/>
  <c r="U44" i="51"/>
  <c r="I44" i="51"/>
  <c r="S44" i="51"/>
  <c r="C44" i="51"/>
  <c r="M44" i="51"/>
  <c r="AA44" i="51"/>
  <c r="W36" i="51"/>
  <c r="O36" i="51"/>
  <c r="G36" i="51"/>
  <c r="Q36" i="51"/>
  <c r="E36" i="51"/>
  <c r="M36" i="51"/>
  <c r="AA36" i="51"/>
  <c r="U36" i="51"/>
  <c r="I36" i="51"/>
  <c r="S36" i="51"/>
  <c r="C36" i="51"/>
  <c r="W28" i="51"/>
  <c r="O28" i="51"/>
  <c r="G28" i="51"/>
  <c r="Q28" i="51"/>
  <c r="E28" i="51"/>
  <c r="U28" i="51"/>
  <c r="I28" i="51"/>
  <c r="S28" i="51"/>
  <c r="C28" i="51"/>
  <c r="M28" i="51"/>
  <c r="AA28" i="51"/>
  <c r="W20" i="51"/>
  <c r="O20" i="51"/>
  <c r="G20" i="51"/>
  <c r="AA20" i="51"/>
  <c r="M20" i="51"/>
  <c r="C20" i="51"/>
  <c r="U20" i="51"/>
  <c r="E20" i="51"/>
  <c r="S20" i="51"/>
  <c r="Q20" i="51"/>
  <c r="I20" i="51"/>
  <c r="W51" i="51"/>
  <c r="O51" i="51"/>
  <c r="G51" i="51"/>
  <c r="S51" i="51"/>
  <c r="I51" i="51"/>
  <c r="AA51" i="51"/>
  <c r="U51" i="51"/>
  <c r="E51" i="51"/>
  <c r="Q51" i="51"/>
  <c r="C51" i="51"/>
  <c r="Y51" i="51" s="1"/>
  <c r="M51" i="51"/>
  <c r="W23" i="51"/>
  <c r="O23" i="51"/>
  <c r="G23" i="51"/>
  <c r="Q23" i="51"/>
  <c r="E23" i="51"/>
  <c r="AA23" i="51"/>
  <c r="M23" i="51"/>
  <c r="C23" i="51"/>
  <c r="Y23" i="51" s="1"/>
  <c r="S23" i="51"/>
  <c r="I23" i="51"/>
  <c r="U23" i="51"/>
  <c r="AA53" i="51"/>
  <c r="W53" i="51"/>
  <c r="O53" i="51"/>
  <c r="G53" i="51"/>
  <c r="U53" i="51"/>
  <c r="M53" i="51"/>
  <c r="C53" i="51"/>
  <c r="Y53" i="51" s="1"/>
  <c r="S53" i="51"/>
  <c r="E53" i="51"/>
  <c r="Q53" i="51"/>
  <c r="I53" i="51"/>
  <c r="W37" i="51"/>
  <c r="O37" i="51"/>
  <c r="G37" i="51"/>
  <c r="AA37" i="51"/>
  <c r="M37" i="51"/>
  <c r="C37" i="51"/>
  <c r="Y37" i="51" s="1"/>
  <c r="S37" i="51"/>
  <c r="E37" i="51"/>
  <c r="Q37" i="51"/>
  <c r="U37" i="51"/>
  <c r="I37" i="51"/>
  <c r="W21" i="51"/>
  <c r="O21" i="51"/>
  <c r="G21" i="51"/>
  <c r="U21" i="51"/>
  <c r="S21" i="51"/>
  <c r="I21" i="51"/>
  <c r="AA21" i="51"/>
  <c r="C21" i="51"/>
  <c r="Y21" i="51" s="1"/>
  <c r="Q21" i="51"/>
  <c r="M21" i="51"/>
  <c r="E21" i="51"/>
  <c r="W50" i="51"/>
  <c r="O50" i="51"/>
  <c r="G50" i="51"/>
  <c r="U50" i="51"/>
  <c r="S50" i="51"/>
  <c r="E50" i="51"/>
  <c r="Q50" i="51"/>
  <c r="C50" i="51"/>
  <c r="Y50" i="51" s="1"/>
  <c r="M50" i="51"/>
  <c r="AA50" i="51"/>
  <c r="I50" i="51"/>
  <c r="W42" i="51"/>
  <c r="O42" i="51"/>
  <c r="G42" i="51"/>
  <c r="U42" i="51"/>
  <c r="M42" i="51"/>
  <c r="AA42" i="51"/>
  <c r="I42" i="51"/>
  <c r="S42" i="51"/>
  <c r="E42" i="51"/>
  <c r="Q42" i="51"/>
  <c r="C42" i="51"/>
  <c r="Y42" i="51" s="1"/>
  <c r="W34" i="51"/>
  <c r="O34" i="51"/>
  <c r="G34" i="51"/>
  <c r="U34" i="51"/>
  <c r="S34" i="51"/>
  <c r="E34" i="51"/>
  <c r="Q34" i="51"/>
  <c r="C34" i="51"/>
  <c r="Y34" i="51" s="1"/>
  <c r="M34" i="51"/>
  <c r="I34" i="51"/>
  <c r="AA34" i="51"/>
  <c r="W26" i="51"/>
  <c r="O26" i="51"/>
  <c r="G26" i="51"/>
  <c r="U26" i="51"/>
  <c r="M26" i="51"/>
  <c r="S26" i="51"/>
  <c r="AA26" i="51"/>
  <c r="I26" i="51"/>
  <c r="E26" i="51"/>
  <c r="Q26" i="51"/>
  <c r="C26" i="51"/>
  <c r="Y26" i="51" s="1"/>
  <c r="W18" i="51"/>
  <c r="O18" i="51"/>
  <c r="S18" i="51"/>
  <c r="I18" i="51"/>
  <c r="Q18" i="51"/>
  <c r="G18" i="51"/>
  <c r="AA18" i="51"/>
  <c r="E18" i="51"/>
  <c r="U18" i="51"/>
  <c r="C18" i="51"/>
  <c r="Y18" i="51" s="1"/>
  <c r="M18" i="51"/>
  <c r="W31" i="51"/>
  <c r="O31" i="51"/>
  <c r="G31" i="51"/>
  <c r="S31" i="51"/>
  <c r="I31" i="51"/>
  <c r="U31" i="51"/>
  <c r="E31" i="51"/>
  <c r="Q31" i="51"/>
  <c r="C31" i="51"/>
  <c r="Y31" i="51" s="1"/>
  <c r="M31" i="51"/>
  <c r="AA31" i="51"/>
  <c r="W45" i="51"/>
  <c r="O45" i="51"/>
  <c r="G45" i="51"/>
  <c r="AA45" i="51"/>
  <c r="M45" i="51"/>
  <c r="C45" i="51"/>
  <c r="Y45" i="51" s="1"/>
  <c r="U45" i="51"/>
  <c r="I45" i="51"/>
  <c r="S45" i="51"/>
  <c r="E45" i="51"/>
  <c r="Q45" i="51"/>
  <c r="W29" i="51"/>
  <c r="O29" i="51"/>
  <c r="G29" i="51"/>
  <c r="AA29" i="51"/>
  <c r="M29" i="51"/>
  <c r="C29" i="51"/>
  <c r="Y29" i="51" s="1"/>
  <c r="U29" i="51"/>
  <c r="I29" i="51"/>
  <c r="S29" i="51"/>
  <c r="E29" i="51"/>
  <c r="Q29" i="51"/>
  <c r="S13" i="51"/>
  <c r="AA13" i="51"/>
  <c r="Q13" i="51"/>
  <c r="I13" i="51"/>
  <c r="C13" i="51"/>
  <c r="U13" i="51"/>
  <c r="E13" i="51"/>
  <c r="W13" i="51"/>
  <c r="O13" i="51"/>
  <c r="M13" i="51"/>
  <c r="G13" i="51"/>
  <c r="W46" i="51"/>
  <c r="O46" i="51"/>
  <c r="G46" i="51"/>
  <c r="U46" i="51"/>
  <c r="Q46" i="51"/>
  <c r="C46" i="51"/>
  <c r="Y46" i="51" s="1"/>
  <c r="M46" i="51"/>
  <c r="AA46" i="51"/>
  <c r="I46" i="51"/>
  <c r="E46" i="51"/>
  <c r="S46" i="51"/>
  <c r="W38" i="51"/>
  <c r="O38" i="51"/>
  <c r="G38" i="51"/>
  <c r="U38" i="51"/>
  <c r="AA38" i="51"/>
  <c r="I38" i="51"/>
  <c r="S38" i="51"/>
  <c r="E38" i="51"/>
  <c r="Q38" i="51"/>
  <c r="C38" i="51"/>
  <c r="M38" i="51"/>
  <c r="W30" i="51"/>
  <c r="O30" i="51"/>
  <c r="G30" i="51"/>
  <c r="U30" i="51"/>
  <c r="Q30" i="51"/>
  <c r="C30" i="51"/>
  <c r="AA30" i="51"/>
  <c r="M30" i="51"/>
  <c r="I30" i="51"/>
  <c r="S30" i="51"/>
  <c r="E30" i="51"/>
  <c r="W22" i="51"/>
  <c r="O22" i="51"/>
  <c r="G22" i="51"/>
  <c r="S22" i="51"/>
  <c r="I22" i="51"/>
  <c r="Q22" i="51"/>
  <c r="E22" i="51"/>
  <c r="U22" i="51"/>
  <c r="M22" i="51"/>
  <c r="AA22" i="51"/>
  <c r="C22" i="51"/>
  <c r="Y22" i="51" s="1"/>
  <c r="AA14" i="51"/>
  <c r="Q14" i="51"/>
  <c r="C14" i="51"/>
  <c r="Y14" i="51" s="1"/>
  <c r="W14" i="51"/>
  <c r="O14" i="51"/>
  <c r="I14" i="51"/>
  <c r="U14" i="51"/>
  <c r="G14" i="51"/>
  <c r="S14" i="51"/>
  <c r="E14" i="51"/>
  <c r="M14" i="51"/>
  <c r="W43" i="51"/>
  <c r="O43" i="51"/>
  <c r="G43" i="51"/>
  <c r="S43" i="51"/>
  <c r="I43" i="51"/>
  <c r="Q43" i="51"/>
  <c r="C43" i="51"/>
  <c r="Y43" i="51" s="1"/>
  <c r="M43" i="51"/>
  <c r="AA43" i="51"/>
  <c r="U43" i="51"/>
  <c r="E43" i="51"/>
  <c r="W19" i="51"/>
  <c r="O19" i="51"/>
  <c r="G19" i="51"/>
  <c r="Q19" i="51"/>
  <c r="E19" i="51"/>
  <c r="AA19" i="51"/>
  <c r="M19" i="51"/>
  <c r="C19" i="51"/>
  <c r="I19" i="51"/>
  <c r="U19" i="51"/>
  <c r="S19" i="51"/>
  <c r="W47" i="51"/>
  <c r="O47" i="51"/>
  <c r="G47" i="51"/>
  <c r="S47" i="51"/>
  <c r="I47" i="51"/>
  <c r="U47" i="51"/>
  <c r="E47" i="51"/>
  <c r="Q47" i="51"/>
  <c r="C47" i="51"/>
  <c r="Y47" i="51" s="1"/>
  <c r="M47" i="51"/>
  <c r="AA47" i="51"/>
  <c r="W49" i="51"/>
  <c r="O49" i="51"/>
  <c r="G49" i="51"/>
  <c r="AA49" i="51"/>
  <c r="M49" i="51"/>
  <c r="C49" i="51"/>
  <c r="Y49" i="51" s="1"/>
  <c r="Q49" i="51"/>
  <c r="U49" i="51"/>
  <c r="I49" i="51"/>
  <c r="S49" i="51"/>
  <c r="E49" i="51"/>
  <c r="W33" i="51"/>
  <c r="O33" i="51"/>
  <c r="G33" i="51"/>
  <c r="AA33" i="51"/>
  <c r="M33" i="51"/>
  <c r="C33" i="51"/>
  <c r="Y33" i="51" s="1"/>
  <c r="Q33" i="51"/>
  <c r="U33" i="51"/>
  <c r="I33" i="51"/>
  <c r="S33" i="51"/>
  <c r="E33" i="51"/>
  <c r="AA17" i="51"/>
  <c r="Q17" i="51"/>
  <c r="I17" i="51"/>
  <c r="W17" i="51"/>
  <c r="O17" i="51"/>
  <c r="G17" i="51"/>
  <c r="S17" i="51"/>
  <c r="C17" i="51"/>
  <c r="M17" i="51"/>
  <c r="U17" i="51"/>
  <c r="E17" i="51"/>
  <c r="W48" i="51"/>
  <c r="O48" i="51"/>
  <c r="G48" i="51"/>
  <c r="Q48" i="51"/>
  <c r="E48" i="51"/>
  <c r="AA48" i="51"/>
  <c r="U48" i="51"/>
  <c r="I48" i="51"/>
  <c r="S48" i="51"/>
  <c r="C48" i="51"/>
  <c r="M48" i="51"/>
  <c r="W40" i="51"/>
  <c r="O40" i="51"/>
  <c r="G40" i="51"/>
  <c r="Q40" i="51"/>
  <c r="E40" i="51"/>
  <c r="S40" i="51"/>
  <c r="C40" i="51"/>
  <c r="Y40" i="51" s="1"/>
  <c r="M40" i="51"/>
  <c r="AA40" i="51"/>
  <c r="U40" i="51"/>
  <c r="I40" i="51"/>
  <c r="W32" i="51"/>
  <c r="O32" i="51"/>
  <c r="G32" i="51"/>
  <c r="Q32" i="51"/>
  <c r="E32" i="51"/>
  <c r="AA32" i="51"/>
  <c r="U32" i="51"/>
  <c r="I32" i="51"/>
  <c r="S32" i="51"/>
  <c r="C32" i="51"/>
  <c r="Y32" i="51" s="1"/>
  <c r="M32" i="51"/>
  <c r="W24" i="51"/>
  <c r="O24" i="51"/>
  <c r="G24" i="51"/>
  <c r="AA24" i="51"/>
  <c r="M24" i="51"/>
  <c r="C24" i="51"/>
  <c r="Y24" i="51" s="1"/>
  <c r="S24" i="51"/>
  <c r="U24" i="51"/>
  <c r="I24" i="51"/>
  <c r="Q24" i="51"/>
  <c r="E24" i="51"/>
  <c r="AA16" i="51"/>
  <c r="Q16" i="51"/>
  <c r="I16" i="51"/>
  <c r="W16" i="51"/>
  <c r="O16" i="51"/>
  <c r="G16" i="51"/>
  <c r="U16" i="51"/>
  <c r="E16" i="51"/>
  <c r="S16" i="51"/>
  <c r="C16" i="51"/>
  <c r="M16" i="51"/>
  <c r="AB48" i="1"/>
  <c r="U6" i="51" l="1"/>
  <c r="Y17" i="51"/>
  <c r="Y15" i="51"/>
  <c r="Y16" i="51"/>
  <c r="Y20" i="51"/>
  <c r="Y41" i="51"/>
  <c r="Y19" i="51"/>
  <c r="Y25" i="51"/>
  <c r="Y44" i="51"/>
  <c r="Y36" i="51"/>
  <c r="Y27" i="51"/>
  <c r="Y48" i="51"/>
  <c r="Y38" i="51"/>
  <c r="Y39" i="51"/>
  <c r="Y28" i="51"/>
  <c r="Y30" i="51"/>
  <c r="M6" i="51"/>
  <c r="W6" i="51"/>
  <c r="E6" i="51"/>
  <c r="I6" i="51"/>
  <c r="O6" i="51"/>
  <c r="G6" i="51"/>
  <c r="Q6" i="51"/>
  <c r="W151" i="1"/>
  <c r="AB37" i="1"/>
  <c r="I57" i="51" l="1"/>
  <c r="AB35" i="1" l="1"/>
  <c r="AF13" i="51" l="1"/>
  <c r="AF14" i="51" l="1"/>
  <c r="AF15" i="51"/>
  <c r="AF17" i="51"/>
  <c r="AF16" i="51"/>
  <c r="AF33" i="51" l="1"/>
  <c r="AF27" i="51"/>
  <c r="AF28" i="51"/>
  <c r="AF39" i="51"/>
  <c r="AF45" i="51"/>
  <c r="AF37" i="51"/>
  <c r="AF48" i="51"/>
  <c r="AF43" i="51"/>
  <c r="AF41" i="51"/>
  <c r="AF20" i="51"/>
  <c r="AF40" i="51"/>
  <c r="AF51" i="51"/>
  <c r="AF22" i="51"/>
  <c r="AF52" i="51"/>
  <c r="AF30" i="51"/>
  <c r="AF53" i="51"/>
  <c r="AF25" i="51"/>
  <c r="AF38" i="51"/>
  <c r="AF47" i="51"/>
  <c r="AF44" i="51"/>
  <c r="AF29" i="51"/>
  <c r="AF49" i="51"/>
  <c r="AF19" i="51"/>
  <c r="AF46" i="51"/>
  <c r="AF26" i="51"/>
  <c r="AF35" i="51"/>
  <c r="AF36" i="51"/>
  <c r="AF42" i="51"/>
  <c r="AF23" i="51"/>
  <c r="AF50" i="51"/>
  <c r="AF32" i="51"/>
  <c r="AF34" i="51"/>
  <c r="AF21" i="51"/>
  <c r="AF18" i="51"/>
  <c r="AF31" i="51"/>
  <c r="AF24" i="51"/>
  <c r="Y13" i="51"/>
  <c r="AF54" i="51" l="1"/>
  <c r="K57" i="51"/>
  <c r="AA6" i="51"/>
  <c r="S6" i="51"/>
  <c r="Y6" i="51"/>
  <c r="S57" i="51" l="1"/>
  <c r="U57" i="51" l="1"/>
  <c r="AB43" i="1" l="1"/>
  <c r="AB47" i="1"/>
  <c r="Q57" i="51" l="1"/>
  <c r="E57" i="51"/>
  <c r="W57" i="51" l="1"/>
  <c r="AD57" i="51" s="1"/>
  <c r="L12" i="23" l="1"/>
  <c r="I21" i="23"/>
  <c r="I30" i="23"/>
  <c r="I39" i="23"/>
  <c r="I51" i="23"/>
  <c r="I15" i="23"/>
  <c r="I23" i="23"/>
  <c r="I32" i="23"/>
  <c r="R32" i="23" s="1"/>
  <c r="I42" i="23"/>
  <c r="I53" i="23"/>
  <c r="R53" i="23" s="1"/>
  <c r="G15" i="41"/>
  <c r="K20" i="41"/>
  <c r="O23" i="41"/>
  <c r="G33" i="41"/>
  <c r="K35" i="41"/>
  <c r="K43" i="41"/>
  <c r="O48" i="41"/>
  <c r="G56" i="41"/>
  <c r="G61" i="41"/>
  <c r="G69" i="41"/>
  <c r="O20" i="41"/>
  <c r="K33" i="41"/>
  <c r="O35" i="41"/>
  <c r="O56" i="41"/>
  <c r="I17" i="23"/>
  <c r="L25" i="23"/>
  <c r="L34" i="23"/>
  <c r="I45" i="23"/>
  <c r="L55" i="23"/>
  <c r="K15" i="41"/>
  <c r="G28" i="41"/>
  <c r="O43" i="41"/>
  <c r="G53" i="41"/>
  <c r="O61" i="41"/>
  <c r="K69" i="41"/>
  <c r="O15" i="41"/>
  <c r="G23" i="41"/>
  <c r="K28" i="41"/>
  <c r="O33" i="41"/>
  <c r="K37" i="41"/>
  <c r="G48" i="41"/>
  <c r="K53" i="41"/>
  <c r="G59" i="41"/>
  <c r="G65" i="41"/>
  <c r="O69" i="41"/>
  <c r="I19" i="23"/>
  <c r="I28" i="23"/>
  <c r="I37" i="23"/>
  <c r="I48" i="23"/>
  <c r="L60" i="23"/>
  <c r="G20" i="41"/>
  <c r="K23" i="41"/>
  <c r="O28" i="41"/>
  <c r="G35" i="41"/>
  <c r="K39" i="41"/>
  <c r="K48" i="41"/>
  <c r="O53" i="41"/>
  <c r="O59" i="41"/>
  <c r="O65" i="41"/>
  <c r="R60" i="23" l="1"/>
  <c r="R34" i="23"/>
  <c r="R25" i="23"/>
  <c r="R176" i="6"/>
  <c r="R55" i="23"/>
  <c r="J184" i="6" l="1"/>
  <c r="J172" i="6"/>
  <c r="T165" i="1"/>
  <c r="T161" i="1"/>
  <c r="T158" i="1"/>
  <c r="T155" i="1"/>
  <c r="T152" i="1"/>
  <c r="T149" i="1"/>
  <c r="T146" i="1"/>
  <c r="T143" i="1"/>
  <c r="T140" i="1"/>
  <c r="T138" i="1"/>
  <c r="T136" i="1"/>
  <c r="T133" i="1"/>
  <c r="T116" i="1"/>
  <c r="W112" i="1"/>
  <c r="K112" i="1"/>
  <c r="N110" i="1"/>
  <c r="Q108" i="1"/>
  <c r="T106" i="1"/>
  <c r="W104" i="1"/>
  <c r="K104" i="1"/>
  <c r="T96" i="1"/>
  <c r="N94" i="1"/>
  <c r="N92" i="1"/>
  <c r="N90" i="1"/>
  <c r="W86" i="1"/>
  <c r="W81" i="1"/>
  <c r="K81" i="1"/>
  <c r="N79" i="1"/>
  <c r="Q76" i="1"/>
  <c r="T72" i="1"/>
  <c r="K42" i="1"/>
  <c r="K32" i="1"/>
  <c r="K52" i="1"/>
  <c r="N165" i="6"/>
  <c r="J162" i="6"/>
  <c r="R156" i="6"/>
  <c r="N153" i="6"/>
  <c r="J150" i="6"/>
  <c r="N138" i="6"/>
  <c r="J129" i="6"/>
  <c r="J125" i="6"/>
  <c r="R119" i="6"/>
  <c r="N116" i="6"/>
  <c r="J113" i="6"/>
  <c r="R104" i="6"/>
  <c r="J100" i="6"/>
  <c r="N93" i="6"/>
  <c r="J90" i="6"/>
  <c r="N78" i="6"/>
  <c r="R70" i="6"/>
  <c r="N67" i="6"/>
  <c r="J64" i="6"/>
  <c r="R58" i="6"/>
  <c r="N55" i="6"/>
  <c r="J53" i="6"/>
  <c r="R42" i="6"/>
  <c r="J38" i="6"/>
  <c r="N32" i="6"/>
  <c r="J29" i="6"/>
  <c r="N22" i="6"/>
  <c r="G17" i="6"/>
  <c r="Q165" i="1"/>
  <c r="Q158" i="1"/>
  <c r="Q152" i="1"/>
  <c r="Q146" i="1"/>
  <c r="Q140" i="1"/>
  <c r="Q136" i="1"/>
  <c r="Q116" i="1"/>
  <c r="W110" i="1"/>
  <c r="N108" i="1"/>
  <c r="Q106" i="1"/>
  <c r="W98" i="1"/>
  <c r="W92" i="1"/>
  <c r="W88" i="1"/>
  <c r="T81" i="1"/>
  <c r="K79" i="1"/>
  <c r="Q72" i="1"/>
  <c r="K19" i="1"/>
  <c r="N165" i="1"/>
  <c r="N161" i="1"/>
  <c r="N158" i="1"/>
  <c r="N155" i="1"/>
  <c r="N152" i="1"/>
  <c r="N149" i="1"/>
  <c r="N146" i="1"/>
  <c r="N143" i="1"/>
  <c r="N140" i="1"/>
  <c r="N138" i="1"/>
  <c r="N136" i="1"/>
  <c r="N133" i="1"/>
  <c r="N116" i="1"/>
  <c r="Q112" i="1"/>
  <c r="T110" i="1"/>
  <c r="W108" i="1"/>
  <c r="K108" i="1"/>
  <c r="N106" i="1"/>
  <c r="Q104" i="1"/>
  <c r="N98" i="1"/>
  <c r="N96" i="1"/>
  <c r="T92" i="1"/>
  <c r="T90" i="1"/>
  <c r="Q88" i="1"/>
  <c r="W84" i="1"/>
  <c r="Q81" i="1"/>
  <c r="T79" i="1"/>
  <c r="W76" i="1"/>
  <c r="K76" i="1"/>
  <c r="N72" i="1"/>
  <c r="K47" i="1"/>
  <c r="K37" i="1"/>
  <c r="K27" i="1"/>
  <c r="R184" i="6"/>
  <c r="J176" i="6"/>
  <c r="J168" i="6"/>
  <c r="R162" i="6"/>
  <c r="N159" i="6"/>
  <c r="J156" i="6"/>
  <c r="R150" i="6"/>
  <c r="N142" i="6"/>
  <c r="N135" i="6"/>
  <c r="R125" i="6"/>
  <c r="N122" i="6"/>
  <c r="J119" i="6"/>
  <c r="R113" i="6"/>
  <c r="N110" i="6"/>
  <c r="J104" i="6"/>
  <c r="J97" i="6"/>
  <c r="R90" i="6"/>
  <c r="N82" i="6"/>
  <c r="N75" i="6"/>
  <c r="J70" i="6"/>
  <c r="R64" i="6"/>
  <c r="N61" i="6"/>
  <c r="J58" i="6"/>
  <c r="R53" i="6"/>
  <c r="N47" i="6"/>
  <c r="J42" i="6"/>
  <c r="J36" i="6"/>
  <c r="R29" i="6"/>
  <c r="N25" i="6"/>
  <c r="N20" i="6"/>
  <c r="R15" i="6"/>
  <c r="W165" i="1"/>
  <c r="W161" i="1"/>
  <c r="W158" i="1"/>
  <c r="W155" i="1"/>
  <c r="W152" i="1"/>
  <c r="W149" i="1"/>
  <c r="W146" i="1"/>
  <c r="W143" i="1"/>
  <c r="W140" i="1"/>
  <c r="W138" i="1"/>
  <c r="W136" i="1"/>
  <c r="W133" i="1"/>
  <c r="W116" i="1"/>
  <c r="K116" i="1"/>
  <c r="N112" i="1"/>
  <c r="Q110" i="1"/>
  <c r="T108" i="1"/>
  <c r="W106" i="1"/>
  <c r="K106" i="1"/>
  <c r="N104" i="1"/>
  <c r="W96" i="1"/>
  <c r="W94" i="1"/>
  <c r="Q92" i="1"/>
  <c r="Q90" i="1"/>
  <c r="N88" i="1"/>
  <c r="N84" i="1"/>
  <c r="N81" i="1"/>
  <c r="Q79" i="1"/>
  <c r="T76" i="1"/>
  <c r="W72" i="1"/>
  <c r="K72" i="1"/>
  <c r="K45" i="1"/>
  <c r="K34" i="1"/>
  <c r="K25" i="1"/>
  <c r="N184" i="6"/>
  <c r="N172" i="6"/>
  <c r="N162" i="6"/>
  <c r="J159" i="6"/>
  <c r="R153" i="6"/>
  <c r="N150" i="6"/>
  <c r="J142" i="6"/>
  <c r="J135" i="6"/>
  <c r="N125" i="6"/>
  <c r="J122" i="6"/>
  <c r="R116" i="6"/>
  <c r="N113" i="6"/>
  <c r="J110" i="6"/>
  <c r="N100" i="6"/>
  <c r="R93" i="6"/>
  <c r="N90" i="6"/>
  <c r="J82" i="6"/>
  <c r="J75" i="6"/>
  <c r="R67" i="6"/>
  <c r="N64" i="6"/>
  <c r="J61" i="6"/>
  <c r="R55" i="6"/>
  <c r="N53" i="6"/>
  <c r="J47" i="6"/>
  <c r="N38" i="6"/>
  <c r="R32" i="6"/>
  <c r="N29" i="6"/>
  <c r="J25" i="6"/>
  <c r="J20" i="6"/>
  <c r="N15" i="6"/>
  <c r="Q161" i="1"/>
  <c r="Q155" i="1"/>
  <c r="Q149" i="1"/>
  <c r="Q143" i="1"/>
  <c r="Q138" i="1"/>
  <c r="Q133" i="1"/>
  <c r="T112" i="1"/>
  <c r="K110" i="1"/>
  <c r="T104" i="1"/>
  <c r="Q96" i="1"/>
  <c r="W90" i="1"/>
  <c r="N86" i="1"/>
  <c r="W79" i="1"/>
  <c r="N76" i="1"/>
  <c r="K49" i="1"/>
  <c r="K40" i="1"/>
  <c r="K30" i="1"/>
  <c r="J15" i="6"/>
  <c r="N176" i="6"/>
  <c r="N168" i="6"/>
  <c r="J165" i="6"/>
  <c r="R159" i="6"/>
  <c r="N156" i="6"/>
  <c r="J153" i="6"/>
  <c r="R142" i="6"/>
  <c r="J138" i="6"/>
  <c r="N128" i="6"/>
  <c r="R122" i="6"/>
  <c r="N119" i="6"/>
  <c r="J116" i="6"/>
  <c r="R110" i="6"/>
  <c r="N104" i="6"/>
  <c r="N97" i="6"/>
  <c r="J93" i="6"/>
  <c r="R82" i="6"/>
  <c r="J78" i="6"/>
  <c r="N70" i="6"/>
  <c r="J67" i="6"/>
  <c r="R61" i="6"/>
  <c r="N58" i="6"/>
  <c r="J55" i="6"/>
  <c r="R47" i="6"/>
  <c r="N42" i="6"/>
  <c r="N36" i="6"/>
  <c r="J32" i="6"/>
  <c r="R25" i="6"/>
  <c r="J22" i="6"/>
  <c r="F15" i="6"/>
  <c r="W150" i="6" l="1"/>
  <c r="T151" i="1"/>
  <c r="W184" i="6"/>
  <c r="N54" i="6"/>
  <c r="AB94" i="1"/>
  <c r="W29" i="6"/>
  <c r="W125" i="6"/>
  <c r="W53" i="6"/>
  <c r="AB112" i="1"/>
  <c r="W60" i="6"/>
  <c r="W162" i="6"/>
  <c r="AB90" i="1"/>
  <c r="W55" i="6"/>
  <c r="J54" i="6"/>
  <c r="W135" i="6"/>
  <c r="W47" i="6"/>
  <c r="W67" i="6"/>
  <c r="W93" i="6"/>
  <c r="W116" i="6"/>
  <c r="W15" i="6"/>
  <c r="W61" i="6"/>
  <c r="W82" i="6"/>
  <c r="W110" i="6"/>
  <c r="R165" i="6"/>
  <c r="AB88" i="1"/>
  <c r="W36" i="6"/>
  <c r="W78" i="6"/>
  <c r="W104" i="6"/>
  <c r="W168" i="6"/>
  <c r="AB76" i="1"/>
  <c r="AB98" i="1"/>
  <c r="AB133" i="1"/>
  <c r="AB143" i="1"/>
  <c r="AB155" i="1"/>
  <c r="W159" i="6"/>
  <c r="W22" i="6"/>
  <c r="W42" i="6"/>
  <c r="W156" i="6"/>
  <c r="W176" i="6"/>
  <c r="AB136" i="1"/>
  <c r="AB146" i="1"/>
  <c r="AB158" i="1"/>
  <c r="Q151" i="1"/>
  <c r="AB104" i="1"/>
  <c r="W38" i="6"/>
  <c r="W58" i="6"/>
  <c r="W75" i="6"/>
  <c r="W153" i="6"/>
  <c r="W172" i="6"/>
  <c r="AB86" i="1"/>
  <c r="AB110" i="1"/>
  <c r="W62" i="6"/>
  <c r="W142" i="6"/>
  <c r="AB116" i="1"/>
  <c r="AB78" i="1"/>
  <c r="AB106" i="1"/>
  <c r="W138" i="6"/>
  <c r="AB138" i="1"/>
  <c r="AB149" i="1"/>
  <c r="AB161" i="1"/>
  <c r="W32" i="6"/>
  <c r="W100" i="6"/>
  <c r="W25" i="6"/>
  <c r="W20" i="6"/>
  <c r="W64" i="6"/>
  <c r="W90" i="6"/>
  <c r="W113" i="6"/>
  <c r="AB92" i="1"/>
  <c r="W122" i="6"/>
  <c r="AB84" i="1"/>
  <c r="W70" i="6"/>
  <c r="W97" i="6"/>
  <c r="W119" i="6"/>
  <c r="AB82" i="1"/>
  <c r="AB96" i="1"/>
  <c r="AB108" i="1"/>
  <c r="AB140" i="1"/>
  <c r="AB152" i="1"/>
  <c r="AB165" i="1"/>
  <c r="N151" i="1" l="1"/>
  <c r="W165" i="6"/>
</calcChain>
</file>

<file path=xl/sharedStrings.xml><?xml version="1.0" encoding="utf-8"?>
<sst xmlns="http://schemas.openxmlformats.org/spreadsheetml/2006/main" count="12743" uniqueCount="1912">
  <si>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</si>
  <si>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</si>
  <si>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</si>
  <si>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</si>
  <si>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</si>
  <si>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</si>
  <si>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</si>
  <si>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</si>
  <si>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</si>
  <si>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</si>
  <si>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</si>
  <si>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</si>
  <si>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</si>
  <si>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</si>
  <si>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</si>
  <si>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</si>
  <si>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</si>
  <si>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</si>
  <si>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</si>
  <si>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</si>
  <si>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</si>
  <si>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</si>
  <si>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</si>
  <si>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</si>
  <si>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</si>
  <si>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</si>
  <si>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</si>
  <si>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</si>
  <si>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</si>
  <si>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</si>
  <si>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</si>
  <si>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</si>
  <si>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</si>
  <si>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Errors</t>
  </si>
  <si>
    <t>TOTAL
(All BA Area)</t>
  </si>
  <si>
    <t xml:space="preserve">PART 1A: NON-DOMESTIC RATING INCOME </t>
  </si>
  <si>
    <t>COST OF COLLECTION (See Note A)</t>
  </si>
  <si>
    <t>Central
Government</t>
  </si>
  <si>
    <t>Estimated Surplus/Deficit on Collection Fund</t>
  </si>
  <si>
    <t xml:space="preserve">of which: </t>
  </si>
  <si>
    <t>GLA - functions exc police</t>
  </si>
  <si>
    <t>Retained NNDR shares</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</si>
  <si>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</si>
  <si>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</si>
  <si>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</si>
  <si>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</si>
  <si>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</si>
  <si>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</si>
  <si>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</si>
  <si>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</si>
  <si>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</si>
  <si>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</si>
  <si>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</si>
  <si>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</si>
  <si>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</si>
  <si>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</si>
  <si>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</si>
  <si>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</si>
  <si>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</si>
  <si>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</si>
  <si>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Northamptonshire</t>
  </si>
  <si>
    <t>E2833</t>
  </si>
  <si>
    <t>East Riding of Yorkshire</t>
  </si>
  <si>
    <t>E2001</t>
  </si>
  <si>
    <t xml:space="preserve">Error </t>
  </si>
  <si>
    <t>Checking</t>
  </si>
  <si>
    <t>Error</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</si>
  <si>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</si>
  <si>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</si>
  <si>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</si>
  <si>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</si>
  <si>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</si>
  <si>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</si>
  <si>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</si>
  <si>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</si>
  <si>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</si>
  <si>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</si>
  <si>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</si>
  <si>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</si>
  <si>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</si>
  <si>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</si>
  <si>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</si>
  <si>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</si>
  <si>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</si>
  <si>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</si>
  <si>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</si>
  <si>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</si>
  <si>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</si>
  <si>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</si>
  <si>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</si>
  <si>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</si>
  <si>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</si>
  <si>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</si>
  <si>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</si>
  <si>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</si>
  <si>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</si>
  <si>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</si>
  <si>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</si>
  <si>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</si>
  <si>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</si>
  <si>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</si>
  <si>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</si>
  <si>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</si>
  <si>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</si>
  <si>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</si>
  <si>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</si>
  <si>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</si>
  <si>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</si>
  <si>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</si>
  <si>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</si>
  <si>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</si>
  <si>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</si>
  <si>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</si>
  <si>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</si>
  <si>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</si>
  <si>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</si>
  <si>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</si>
  <si>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</si>
  <si>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</si>
  <si>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</si>
  <si>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</si>
  <si>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</si>
  <si>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</si>
  <si>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</si>
  <si>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</si>
  <si>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</si>
  <si>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</si>
  <si>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</si>
  <si>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</si>
  <si>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</si>
  <si>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</si>
  <si>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</si>
  <si>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</si>
  <si>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</si>
  <si>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</si>
  <si>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</si>
  <si>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</si>
  <si>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</si>
  <si>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</si>
  <si>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</si>
  <si>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</si>
  <si>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</si>
  <si>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</si>
  <si>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</si>
  <si>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</si>
  <si>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</si>
  <si>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</si>
  <si>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</si>
  <si>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</si>
  <si>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</si>
  <si>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</si>
  <si>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</si>
  <si>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</si>
  <si>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</si>
  <si>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</si>
  <si>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</si>
  <si>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</si>
  <si>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</si>
  <si>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</si>
  <si>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</si>
  <si>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</si>
  <si>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</si>
  <si>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</si>
  <si>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</si>
  <si>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</si>
  <si>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</si>
  <si>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</si>
  <si>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</si>
  <si>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</si>
  <si>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</si>
  <si>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</si>
  <si>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</si>
  <si>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</si>
  <si>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</si>
  <si>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</si>
  <si>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</si>
  <si>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</si>
  <si>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</si>
  <si>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</si>
  <si>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</si>
  <si>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</si>
  <si>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</si>
  <si>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</si>
  <si>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</si>
  <si>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</si>
  <si>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</si>
  <si>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</si>
  <si>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</si>
  <si>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</si>
  <si>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</si>
  <si>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</si>
  <si>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</si>
  <si>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</si>
  <si>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</si>
  <si>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</si>
  <si>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</si>
  <si>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</si>
  <si>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</si>
  <si>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</si>
  <si>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</si>
  <si>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</si>
  <si>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</si>
  <si>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</si>
  <si>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</si>
  <si>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</si>
  <si>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</si>
  <si>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</si>
  <si>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</si>
  <si>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</si>
  <si>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</si>
  <si>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</si>
  <si>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</si>
  <si>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</si>
  <si>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</si>
  <si>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</si>
  <si>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</si>
  <si>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</si>
  <si>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</si>
  <si>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</si>
  <si>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</si>
  <si>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</si>
  <si>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</si>
  <si>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</si>
  <si>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</si>
  <si>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</si>
  <si>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</si>
  <si>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</si>
  <si>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</si>
  <si>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</si>
  <si>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</si>
  <si>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</si>
  <si>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</si>
  <si>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</si>
  <si>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</si>
  <si>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</si>
  <si>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</si>
  <si>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</si>
  <si>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</si>
  <si>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</si>
  <si>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</si>
  <si>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</si>
  <si>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</si>
  <si>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</si>
  <si>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</si>
  <si>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</si>
  <si>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</si>
  <si>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</si>
  <si>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</si>
  <si>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</si>
  <si>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</si>
  <si>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</si>
  <si>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</si>
  <si>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</si>
  <si>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</si>
  <si>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</si>
  <si>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</si>
  <si>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</si>
  <si>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</si>
  <si>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5.  Renewable Energy</t>
  </si>
  <si>
    <t xml:space="preserve">OPENING BALANCE </t>
  </si>
  <si>
    <t>PART 1B: PAYMENTS</t>
  </si>
  <si>
    <t>PART 2: NET RATES PAYABLE</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</si>
  <si>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</si>
  <si>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</si>
  <si>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</si>
  <si>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</si>
  <si>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</si>
  <si>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</si>
  <si>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</si>
  <si>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</si>
  <si>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</si>
  <si>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</si>
  <si>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</si>
  <si>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</si>
  <si>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</si>
  <si>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</si>
  <si>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</si>
  <si>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</si>
  <si>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</si>
  <si>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</si>
  <si>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</si>
  <si>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</si>
  <si>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</si>
  <si>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</si>
  <si>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</si>
  <si>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</si>
  <si>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</si>
  <si>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</si>
  <si>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</si>
  <si>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</si>
  <si>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</si>
  <si>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</si>
  <si>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</si>
  <si>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</si>
  <si>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</si>
  <si>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</si>
  <si>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</si>
  <si>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</si>
  <si>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</si>
  <si>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</si>
  <si>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</si>
  <si>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</si>
  <si>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</si>
  <si>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</si>
  <si>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</si>
  <si>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</si>
  <si>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</si>
  <si>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</si>
  <si>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</si>
  <si>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</si>
  <si>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</si>
  <si>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</si>
  <si>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</si>
  <si>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</si>
  <si>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</si>
  <si>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</si>
  <si>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</si>
  <si>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</si>
  <si>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</si>
  <si>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</si>
  <si>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</si>
  <si>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</si>
  <si>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</si>
  <si>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</si>
  <si>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</si>
  <si>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</si>
  <si>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</si>
  <si>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</si>
  <si>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</si>
  <si>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</si>
  <si>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</si>
  <si>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</si>
  <si>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</si>
  <si>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</si>
  <si>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</si>
  <si>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</si>
  <si>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</si>
  <si>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</si>
  <si>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</si>
  <si>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</si>
  <si>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</si>
  <si>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</si>
  <si>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</si>
  <si>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</si>
  <si>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</si>
  <si>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</si>
  <si>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</si>
  <si>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</si>
  <si>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</si>
  <si>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</si>
  <si>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</si>
  <si>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</si>
  <si>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</si>
  <si>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</si>
  <si>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</si>
  <si>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</si>
  <si>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</si>
  <si>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</si>
  <si>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</si>
  <si>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</si>
  <si>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</si>
  <si>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</si>
  <si>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</si>
  <si>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</si>
  <si>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</si>
  <si>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</si>
  <si>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</si>
  <si>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</si>
  <si>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</si>
  <si>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</si>
  <si>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</si>
  <si>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</si>
  <si>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</si>
  <si>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</si>
  <si>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</si>
  <si>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</si>
  <si>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</si>
  <si>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</si>
  <si>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</si>
  <si>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</si>
  <si>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</si>
  <si>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</si>
  <si>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</si>
  <si>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</si>
  <si>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</si>
  <si>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</si>
  <si>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</si>
  <si>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</si>
  <si>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</si>
  <si>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</si>
  <si>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</si>
  <si>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</si>
  <si>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</si>
  <si>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</si>
  <si>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</si>
  <si>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</si>
  <si>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</si>
  <si>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</si>
  <si>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</si>
  <si>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</si>
  <si>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</si>
  <si>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</si>
  <si>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</si>
  <si>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</si>
  <si>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</si>
  <si>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</si>
  <si>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</si>
  <si>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</si>
  <si>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</si>
  <si>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</si>
  <si>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</si>
  <si>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</si>
  <si>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</si>
  <si>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</si>
  <si>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</si>
  <si>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</si>
  <si>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</si>
  <si>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</si>
  <si>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</si>
  <si>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</si>
  <si>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</si>
  <si>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</si>
  <si>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</si>
  <si>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</si>
  <si>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</si>
  <si>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</si>
  <si>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</si>
  <si>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</si>
  <si>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</si>
  <si>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</si>
  <si>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</si>
  <si>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</si>
  <si>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</si>
  <si>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</si>
  <si>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</si>
  <si>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</si>
  <si>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</si>
  <si>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</si>
  <si>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</si>
  <si>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</si>
  <si>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</si>
  <si>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</si>
  <si>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</si>
  <si>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</si>
  <si>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</si>
  <si>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</si>
  <si>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</si>
  <si>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</si>
  <si>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</si>
  <si>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</si>
  <si>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</si>
  <si>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</si>
  <si>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</si>
  <si>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</si>
  <si>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</si>
  <si>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</si>
  <si>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</si>
  <si>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</si>
  <si>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</si>
  <si>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</si>
  <si>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</si>
  <si>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</si>
  <si>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</si>
  <si>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</si>
  <si>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</si>
  <si>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</si>
  <si>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</si>
  <si>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</si>
  <si>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</si>
  <si>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</si>
  <si>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</si>
  <si>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</si>
  <si>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</si>
  <si>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</si>
  <si>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</si>
  <si>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</si>
  <si>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</si>
  <si>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</si>
  <si>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</si>
  <si>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</si>
  <si>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</si>
  <si>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</si>
  <si>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</si>
  <si>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</si>
  <si>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</si>
  <si>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</si>
  <si>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</si>
  <si>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</si>
  <si>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</si>
  <si>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</si>
  <si>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</si>
  <si>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</si>
  <si>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</si>
  <si>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</si>
  <si>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</si>
  <si>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</si>
  <si>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</si>
  <si>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</si>
  <si>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</si>
  <si>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</si>
  <si>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</si>
  <si>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</si>
  <si>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</si>
  <si>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</si>
  <si>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</si>
  <si>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</si>
  <si>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</si>
  <si>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</si>
  <si>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</si>
  <si>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</si>
  <si>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</si>
  <si>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</si>
  <si>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</si>
  <si>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</si>
  <si>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</si>
  <si>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</si>
  <si>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</si>
  <si>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</si>
  <si>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</si>
  <si>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</si>
  <si>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</si>
  <si>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</si>
  <si>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</si>
  <si>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</si>
  <si>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EZZZZ</t>
  </si>
  <si>
    <t xml:space="preserve">Select your local authority's name from this list: </t>
  </si>
  <si>
    <t>Partially occupied hereditaments</t>
  </si>
  <si>
    <t>Empty premises</t>
  </si>
  <si>
    <t>NA</t>
  </si>
  <si>
    <t>UA</t>
  </si>
  <si>
    <t>Avon Fire Authority</t>
  </si>
  <si>
    <t>Bristol UA</t>
  </si>
  <si>
    <t>South Gloucestershire UA</t>
  </si>
  <si>
    <t>North Somerset UA</t>
  </si>
  <si>
    <t>Luton UA</t>
  </si>
  <si>
    <t>Bedfordshire Fire Authority</t>
  </si>
  <si>
    <t>Bracknell Forest UA</t>
  </si>
  <si>
    <t>Berkshire Fire Authority</t>
  </si>
  <si>
    <t>West Berkshire UA</t>
  </si>
  <si>
    <t>Reading UA</t>
  </si>
  <si>
    <t>Slough UA</t>
  </si>
  <si>
    <t>Wokingham UA</t>
  </si>
  <si>
    <t>Milton Keynes UA</t>
  </si>
  <si>
    <t>Buckinghamshire Fire Authority</t>
  </si>
  <si>
    <t>Buckinghamshire</t>
  </si>
  <si>
    <t>Peterborough UA</t>
  </si>
  <si>
    <t>Cambridgeshire Fire Authority</t>
  </si>
  <si>
    <t>Cambridgeshire</t>
  </si>
  <si>
    <t>Halton UA</t>
  </si>
  <si>
    <t>Cheshire Fire Authority</t>
  </si>
  <si>
    <t>Warrington UA</t>
  </si>
  <si>
    <t>Cheshire West and Chester UA</t>
  </si>
  <si>
    <t>Hartlepool UA</t>
  </si>
  <si>
    <t>Cleveland Fire Authority</t>
  </si>
  <si>
    <t>Middlesbrough UA</t>
  </si>
  <si>
    <t>Stockton-on-Tees UA</t>
  </si>
  <si>
    <t>County</t>
  </si>
  <si>
    <t>Cumbria</t>
  </si>
  <si>
    <t>Derby UA</t>
  </si>
  <si>
    <t>Derbyshire Fire Authority</t>
  </si>
  <si>
    <t>Derbyshire</t>
  </si>
  <si>
    <t xml:space="preserve">COLLECTABLE RATES </t>
  </si>
  <si>
    <t>Plymouth UA</t>
  </si>
  <si>
    <t>Devon and Somerset Fire Authority</t>
  </si>
  <si>
    <t>Torbay UA</t>
  </si>
  <si>
    <t>Devon</t>
  </si>
  <si>
    <t>Dorset Fire Authority</t>
  </si>
  <si>
    <t>Dorset</t>
  </si>
  <si>
    <t>Darlington UA</t>
  </si>
  <si>
    <t>Durham Fire Authority</t>
  </si>
  <si>
    <t>East Sussex Fire Authority</t>
  </si>
  <si>
    <t>East Sussex</t>
  </si>
  <si>
    <t>Southend-on-Sea UA</t>
  </si>
  <si>
    <t>Essex Fire Authority</t>
  </si>
  <si>
    <t>Thurrock UA</t>
  </si>
  <si>
    <t>Essex</t>
  </si>
  <si>
    <t>Gloucestershire</t>
  </si>
  <si>
    <t>Portsmouth UA</t>
  </si>
  <si>
    <t>Hampshire Fire Authority</t>
  </si>
  <si>
    <t>Southampton UA</t>
  </si>
  <si>
    <t>Hampshire</t>
  </si>
  <si>
    <t>Herefordshire UA</t>
  </si>
  <si>
    <t>Hereford and Worcester Fire Authority</t>
  </si>
  <si>
    <t>Worcestershire</t>
  </si>
  <si>
    <t>Hertfordshire</t>
  </si>
  <si>
    <t>East Riding of Yorkshire UA</t>
  </si>
  <si>
    <t>Humberside Fire Authority</t>
  </si>
  <si>
    <t>North East Lincolnshire UA</t>
  </si>
  <si>
    <t>North Lincolnshire UA</t>
  </si>
  <si>
    <t>Medway UA</t>
  </si>
  <si>
    <t>Kent Fire Authority</t>
  </si>
  <si>
    <t>Kent</t>
  </si>
  <si>
    <t>Blackburn with Darwen UA</t>
  </si>
  <si>
    <t>Lancashire Fire Authority</t>
  </si>
  <si>
    <t>Blackpool UA</t>
  </si>
  <si>
    <t>Lancashire</t>
  </si>
  <si>
    <t>Leicester UA</t>
  </si>
  <si>
    <t>Leicestershire Fire Authority</t>
  </si>
  <si>
    <t>Rutland UA</t>
  </si>
  <si>
    <t>Leicestershire</t>
  </si>
  <si>
    <t>Lincolnshire</t>
  </si>
  <si>
    <t>Norfolk</t>
  </si>
  <si>
    <t>York UA</t>
  </si>
  <si>
    <t>North Yorkshire Fire Authority</t>
  </si>
  <si>
    <t>North Yorkshire</t>
  </si>
  <si>
    <t>Northamptonshire</t>
  </si>
  <si>
    <t>Nottingham UA</t>
  </si>
  <si>
    <t>Nottinghamshire Fire Authority</t>
  </si>
  <si>
    <t>Nottinghamshire</t>
  </si>
  <si>
    <t>Oxfordshire</t>
  </si>
  <si>
    <t>Shropshire Fire Authority</t>
  </si>
  <si>
    <t>Somerset</t>
  </si>
  <si>
    <t>Stoke-on-Trent UA</t>
  </si>
  <si>
    <t>Staffordshire Fire Authority</t>
  </si>
  <si>
    <t>Staffordshire</t>
  </si>
  <si>
    <t>Suffolk</t>
  </si>
  <si>
    <t>Surrey</t>
  </si>
  <si>
    <t>Warwickshire</t>
  </si>
  <si>
    <t>West Sussex</t>
  </si>
  <si>
    <t>Swindon UA</t>
  </si>
  <si>
    <t>Wiltshire Fire Authority</t>
  </si>
  <si>
    <t>MD</t>
  </si>
  <si>
    <t>Greater Manchester Fire</t>
  </si>
  <si>
    <t>Merseyside Fire</t>
  </si>
  <si>
    <t>South Yorkshire Fire</t>
  </si>
  <si>
    <t>Tyne and Wear Fire</t>
  </si>
  <si>
    <t>West Midlands Fire</t>
  </si>
  <si>
    <t>West Yorkshire Fire</t>
  </si>
  <si>
    <t>Greater London Authority</t>
  </si>
  <si>
    <t>£</t>
  </si>
  <si>
    <t>2.  Sums due to the authority</t>
  </si>
  <si>
    <t xml:space="preserve">3.  Sums due from the authority </t>
  </si>
  <si>
    <t>Authority Name</t>
  </si>
  <si>
    <t>E-code</t>
  </si>
  <si>
    <t>Column 1</t>
  </si>
  <si>
    <t>Column 2</t>
  </si>
  <si>
    <t>Column 3</t>
  </si>
  <si>
    <t>Column 4</t>
  </si>
  <si>
    <t>Small Business Rate Relief</t>
  </si>
  <si>
    <t>Community Amateur Sports Clubs (CASCs)</t>
  </si>
  <si>
    <t>Non-profit making bodies</t>
  </si>
  <si>
    <t>Small rural businesses</t>
  </si>
  <si>
    <t>i)   the Secretary of State in accordance with Regulation 4 of the Non-Domestic Rating (Rates Retention) Regulations 2013;</t>
  </si>
  <si>
    <t>ii)  major precepting authorities in accordance with Regulations 5, 6 and 7; and to be</t>
  </si>
  <si>
    <t xml:space="preserve">iii) transferred by the billing authority from its Collection Fund to its General Fund, </t>
  </si>
  <si>
    <t>are set out below</t>
  </si>
  <si>
    <t>Total</t>
  </si>
  <si>
    <t>TOTAL FOR THE YEAR</t>
  </si>
  <si>
    <t xml:space="preserve">NET RATES PAYABLE </t>
  </si>
  <si>
    <t>5.  Legal costs</t>
  </si>
  <si>
    <t>6.  Allowance for cost of collection</t>
  </si>
  <si>
    <t>4. Cost of collection formula</t>
  </si>
  <si>
    <t>SPECIAL AUTHORITY DEDUCTIONS</t>
  </si>
  <si>
    <t>Column 5</t>
  </si>
  <si>
    <t>4.  Estimated growth/decline in gross rates</t>
  </si>
  <si>
    <t>Charitable occupation</t>
  </si>
  <si>
    <t>Rural shops etc</t>
  </si>
  <si>
    <t>Rural rate relief</t>
  </si>
  <si>
    <t>Other ratepayers</t>
  </si>
  <si>
    <t>NATIONAL NON-DOMESTIC RATES RETURN - NNDR1</t>
  </si>
  <si>
    <t>of which:</t>
  </si>
  <si>
    <t>13. of which: relief on existing properties where a 2nd property is occupied</t>
  </si>
  <si>
    <t>1. Rateable Value at</t>
  </si>
  <si>
    <t>(LESS) LOSSES</t>
  </si>
  <si>
    <t xml:space="preserve">PART 4: ESTIMATED COLLECTION FUND BALANCE </t>
  </si>
  <si>
    <t xml:space="preserve">COLLECTIBLE RATES </t>
  </si>
  <si>
    <t xml:space="preserve">TRANSITIONAL PROTECTION PAYMENTS </t>
  </si>
  <si>
    <t xml:space="preserve">NON-DOMESTIC RATING INCOME </t>
  </si>
  <si>
    <t xml:space="preserve">DISREGARDED AMOUNTS </t>
  </si>
  <si>
    <t>4.  Net Rates payable less losses</t>
  </si>
  <si>
    <t>8.  Net cost of transitional arrangements</t>
  </si>
  <si>
    <t>10. Forecast net cost of transitional arrangements</t>
  </si>
  <si>
    <t>11. Sum due to/(from) authority</t>
  </si>
  <si>
    <t xml:space="preserve">1.  Net amount receivable from rate payers after taking account of transitional adjustments, empty property rate, mandatory and discretionary reliefs and accounting adjustments </t>
  </si>
  <si>
    <t xml:space="preserve">TOTAL:  </t>
  </si>
  <si>
    <t>1.  Sum payable by rate payers after taking account of transitional adjustments, empty property rate, mandatory and discretionary reliefs</t>
  </si>
  <si>
    <t>No.</t>
  </si>
  <si>
    <t>Local Authority</t>
  </si>
  <si>
    <t>Ecodes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</si>
  <si>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</si>
  <si>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</si>
  <si>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</si>
  <si>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</si>
  <si>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</si>
  <si>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</si>
  <si>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</si>
  <si>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</si>
  <si>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</si>
  <si>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</si>
  <si>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</si>
  <si>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</si>
  <si>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</si>
  <si>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</si>
  <si>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</si>
  <si>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</si>
  <si>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</si>
  <si>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</si>
  <si>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</si>
  <si>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</si>
  <si>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</si>
  <si>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</si>
  <si>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</si>
  <si>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</si>
  <si>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</si>
  <si>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</si>
  <si>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</si>
  <si>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</si>
  <si>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</si>
  <si>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</si>
  <si>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</si>
  <si>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</si>
  <si>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</si>
  <si>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</si>
  <si>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</si>
  <si>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</si>
  <si>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</si>
  <si>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</si>
  <si>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</si>
  <si>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</si>
  <si>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</si>
  <si>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</si>
  <si>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</si>
  <si>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</si>
  <si>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</si>
  <si>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</si>
  <si>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</si>
  <si>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</si>
  <si>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</si>
  <si>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</si>
  <si>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</si>
  <si>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</si>
  <si>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</si>
  <si>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</si>
  <si>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</si>
  <si>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</si>
  <si>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</si>
  <si>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</si>
  <si>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</si>
  <si>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</si>
  <si>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</si>
  <si>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</si>
  <si>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</si>
  <si>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</si>
  <si>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</si>
  <si>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</si>
  <si>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</si>
  <si>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</si>
  <si>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</si>
  <si>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</si>
  <si>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</si>
  <si>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</si>
  <si>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</si>
  <si>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</si>
  <si>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</si>
  <si>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</si>
  <si>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</si>
  <si>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</si>
  <si>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</si>
  <si>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</si>
  <si>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</si>
  <si>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</si>
  <si>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</si>
  <si>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</si>
  <si>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</si>
  <si>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</si>
  <si>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</si>
  <si>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</si>
  <si>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</si>
  <si>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</si>
  <si>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</si>
  <si>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</si>
  <si>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</si>
  <si>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</si>
  <si>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</si>
  <si>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</si>
  <si>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</si>
  <si>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</si>
  <si>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</si>
  <si>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</si>
  <si>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</si>
  <si>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</si>
  <si>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</si>
  <si>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</si>
  <si>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</si>
  <si>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</si>
  <si>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E0604</t>
  </si>
  <si>
    <t>Chesterfield</t>
  </si>
  <si>
    <t>E1033</t>
  </si>
  <si>
    <t>Chichester</t>
  </si>
  <si>
    <t>E3833</t>
  </si>
  <si>
    <t>Chiltern</t>
  </si>
  <si>
    <t>E0432</t>
  </si>
  <si>
    <t>Chorley</t>
  </si>
  <si>
    <t>E2334</t>
  </si>
  <si>
    <t>City of London</t>
  </si>
  <si>
    <t>BA Area (exc. Designated areas)</t>
  </si>
  <si>
    <t>Designated
areas</t>
  </si>
  <si>
    <t>Sheffield City region</t>
  </si>
  <si>
    <t>Enterprise Area</t>
  </si>
  <si>
    <t>West of England</t>
  </si>
  <si>
    <t>Notts Broxtowe</t>
  </si>
  <si>
    <t>Sheffield City Region</t>
  </si>
  <si>
    <t>NewQuay Aerohub</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</si>
  <si>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</si>
  <si>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</si>
  <si>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</si>
  <si>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</si>
  <si>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</si>
  <si>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</si>
  <si>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</si>
  <si>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</si>
  <si>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</si>
  <si>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</si>
  <si>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</si>
  <si>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</si>
  <si>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</si>
  <si>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</si>
  <si>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</si>
  <si>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</si>
  <si>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</si>
  <si>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</si>
  <si>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</si>
  <si>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</si>
  <si>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</si>
  <si>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</si>
  <si>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</si>
  <si>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10. sums retained by billing authority</t>
  </si>
  <si>
    <t>11. sums retained by major precepting authority</t>
  </si>
  <si>
    <t xml:space="preserve">     (+ = increase, - = decrease)</t>
  </si>
  <si>
    <t>6.  Revenue foregone because increases in rates have been deferred (Show as -ve)</t>
  </si>
  <si>
    <t>25.  Changes as a result of estimated growth/decline in unoccupied property 'relief'
(+ = decline, - = increase)</t>
  </si>
  <si>
    <t>14. Additional yield from the small business supplement (Show as +ve)</t>
  </si>
  <si>
    <t>33. Relief given to Case A hereditaments</t>
  </si>
  <si>
    <t>34. Relief given to Case B hereditaments</t>
  </si>
  <si>
    <t>36.  Changes as a result of estimated growth/decline in discretionary relief
(+ = decline, - = increase)</t>
  </si>
  <si>
    <t>Birmingham City Centre</t>
  </si>
  <si>
    <t>9.  Amounts retained in respect of Renewable Energy Schemes
(See Note B)</t>
  </si>
  <si>
    <t>Error
checking</t>
  </si>
  <si>
    <t>n/a</t>
  </si>
  <si>
    <t>7.  Additional income received because reductions in rates have been deferred
(Show as +ve)</t>
  </si>
  <si>
    <t>20. Changes as a result of estimated growth/decline in mandatory relief
(+ = decline, - = increase)</t>
  </si>
  <si>
    <t>PART 3: COLLECTABLE RATES AND DISREGARDED AMOUNTS</t>
  </si>
  <si>
    <r>
      <t>9</t>
    </r>
    <r>
      <rPr>
        <sz val="12"/>
        <color indexed="10"/>
        <rFont val="Arial"/>
        <family val="2"/>
      </rPr>
      <t xml:space="preserve">. </t>
    </r>
    <r>
      <rPr>
        <sz val="12"/>
        <rFont val="Arial"/>
        <family val="2"/>
      </rPr>
      <t>Changes as a result of estimated growth / decline in cost of transitional arrangements 
(+ = decline, - = increase)</t>
    </r>
  </si>
  <si>
    <t>MANDATORY RELIEFS (See Note G) (All data should be entered as -ve unless specified otherwise)</t>
  </si>
  <si>
    <t>UNOCCUPIED PROPERTY (See Note H) (All data should be entered as -ve unless specified otherwise)</t>
  </si>
  <si>
    <t>DISCRETIONARY RELIEFS (See Note J) (All data should be entered as -ve unless specified otherwise)</t>
  </si>
  <si>
    <t>DISCRETIONARY RELIEFS FUNDED THROUGH SECTION 31 GRANT
(See Note K) (All data should be entered as -ve unless specified otherwise)</t>
  </si>
  <si>
    <t>Manchester City Airport</t>
  </si>
  <si>
    <t>Infinity Park</t>
  </si>
  <si>
    <t>BUSINESS RATES CREDITS AND CHARGES</t>
  </si>
  <si>
    <t xml:space="preserve">OTHER RATES RETENTION SCHEME CHARGES </t>
  </si>
  <si>
    <t xml:space="preserve">   </t>
  </si>
  <si>
    <t>Hide this column</t>
  </si>
  <si>
    <t xml:space="preserve">OTHER RATES RETENTION SCHEME CREDITS </t>
  </si>
  <si>
    <t>3. Sums written off in excess of the allowance for non-collection</t>
  </si>
  <si>
    <t>4. Changes to the allowance for non-collection</t>
  </si>
  <si>
    <t xml:space="preserve">5. Amounts charged against the provision for appeals following RV list changes </t>
  </si>
  <si>
    <t>6. Changes to the provision for appeals</t>
  </si>
  <si>
    <t>7. Total business rates credits and charges (Total lines 2 to 6)</t>
  </si>
  <si>
    <t xml:space="preserve">9.  Transfers/payments to the Collection Fund for end-year reconciliations </t>
  </si>
  <si>
    <r>
      <t xml:space="preserve">11.  Total Other Credits </t>
    </r>
    <r>
      <rPr>
        <sz val="12"/>
        <rFont val="Arial"/>
        <family val="2"/>
      </rPr>
      <t>(Total lines 8 to 10)</t>
    </r>
  </si>
  <si>
    <t xml:space="preserve">14  Payments made, or to be made to, major precepting authorities in respect of business </t>
  </si>
  <si>
    <t xml:space="preserve">16.  Transfers made, or to be made, to the billing authority's General Fund; and payments made, </t>
  </si>
  <si>
    <t>17. Transfers/payments from the Collection Fund for end-year reconciliations</t>
  </si>
  <si>
    <r>
      <t xml:space="preserve">19.  Total Other Charges </t>
    </r>
    <r>
      <rPr>
        <sz val="12"/>
        <rFont val="Arial"/>
        <family val="2"/>
      </rPr>
      <t>(Total lines 12 to 18)</t>
    </r>
  </si>
  <si>
    <t>MIRA extension</t>
  </si>
  <si>
    <t>Infinity Park Extension</t>
  </si>
  <si>
    <t>Newcastle upon Tyne</t>
  </si>
  <si>
    <t>Nine Elms and Battersea Power station</t>
  </si>
  <si>
    <t>Nine Elms</t>
  </si>
  <si>
    <t>DISREGARDED AMOUNTS</t>
  </si>
  <si>
    <t>DEDUCTIONS FROM CENTRAL SHARE</t>
  </si>
  <si>
    <t>20.  Opening balance plus total credits, less total charges (Total lines 1, 7, 11 &amp;19)</t>
  </si>
  <si>
    <t>Growth Pilot Areas</t>
  </si>
  <si>
    <t>Port of Bristol</t>
  </si>
  <si>
    <t>Baseline</t>
  </si>
  <si>
    <t>EZ Name</t>
  </si>
  <si>
    <t>Ezcode</t>
  </si>
  <si>
    <t>ecode</t>
  </si>
  <si>
    <t>ecodes</t>
  </si>
  <si>
    <t>Select an authority</t>
  </si>
  <si>
    <t>Designated Areas</t>
  </si>
  <si>
    <t>Sum payable by rate payers after taking account of transitional adjustments, empty property rate, mandatory and discretionary reliefs</t>
  </si>
  <si>
    <t>NET RATES PAYABLE</t>
  </si>
  <si>
    <t>Estimated bad debts in respect of 2017-18 rates payable</t>
  </si>
  <si>
    <t>LOSSES</t>
  </si>
  <si>
    <t xml:space="preserve">Estimated repayments in respect of 2017-18 rates payable </t>
  </si>
  <si>
    <t>Net Rates payable less losses</t>
  </si>
  <si>
    <t xml:space="preserve"> Renewable Energy</t>
  </si>
  <si>
    <t>Total Disregarded Amounts</t>
  </si>
  <si>
    <t>8.  Amounts retained in respect of Designated Areas</t>
  </si>
  <si>
    <t>Rural Rate Relief</t>
  </si>
  <si>
    <t>Designated Area</t>
  </si>
  <si>
    <t>Total Designated Area value</t>
  </si>
  <si>
    <t>Windsor and Maidenhead UA</t>
  </si>
  <si>
    <t>St. Helens</t>
  </si>
  <si>
    <t>Redcar and Cleveland UA</t>
  </si>
  <si>
    <t>Kingston upon Hull UA</t>
  </si>
  <si>
    <t>Isle of Wight UA</t>
  </si>
  <si>
    <t>Isles of Scilly UA</t>
  </si>
  <si>
    <t>Epsom and Ewell</t>
  </si>
  <si>
    <t>King’s Lynn and West Norfolk</t>
  </si>
  <si>
    <t>Brighton and Hove UA</t>
  </si>
  <si>
    <t>Basingstoke and Deane</t>
  </si>
  <si>
    <t>Bath and North East Somerset UA</t>
  </si>
  <si>
    <t>Telford and Wrekin UA</t>
  </si>
  <si>
    <t>Local Newspaper Temporary Relief</t>
  </si>
  <si>
    <t>Buckinghamshire Thames Valley: Silverstone</t>
  </si>
  <si>
    <t>Buckinghamshire Thames Valley: Aria/Woodlands</t>
  </si>
  <si>
    <t>Buckinghamshire Thames Valley: Westcott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</si>
  <si>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</si>
  <si>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</si>
  <si>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</si>
  <si>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</si>
  <si>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</si>
  <si>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</si>
  <si>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</si>
  <si>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</si>
  <si>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</si>
  <si>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</si>
  <si>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</si>
  <si>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</si>
  <si>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</si>
  <si>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</si>
  <si>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</si>
  <si>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</si>
  <si>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</si>
  <si>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</si>
  <si>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</si>
  <si>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</si>
  <si>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</si>
  <si>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</si>
  <si>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</si>
  <si>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</si>
  <si>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</si>
  <si>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</si>
  <si>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</si>
  <si>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</si>
  <si>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</si>
  <si>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</si>
  <si>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</si>
  <si>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</si>
  <si>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</si>
  <si>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</si>
  <si>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</si>
  <si>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</si>
  <si>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</si>
  <si>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</si>
  <si>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</si>
  <si>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</si>
  <si>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</si>
  <si>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</si>
  <si>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Cambridge Compass: Lancaster Way</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</si>
  <si>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</si>
  <si>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</si>
  <si>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</si>
  <si>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</si>
  <si>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</si>
  <si>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</si>
  <si>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</si>
  <si>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</si>
  <si>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</si>
  <si>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</si>
  <si>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</si>
  <si>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</si>
  <si>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</si>
  <si>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</si>
  <si>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</si>
  <si>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</si>
  <si>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</si>
  <si>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</si>
  <si>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</si>
  <si>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</si>
  <si>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</si>
  <si>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</si>
  <si>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</si>
  <si>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</si>
  <si>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</si>
  <si>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</si>
  <si>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</si>
  <si>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</si>
  <si>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</si>
  <si>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</si>
  <si>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</si>
  <si>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</si>
  <si>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</si>
  <si>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</si>
  <si>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</si>
  <si>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</si>
  <si>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</si>
  <si>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</si>
  <si>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</si>
  <si>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</si>
  <si>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</si>
  <si>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</si>
  <si>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</si>
  <si>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</si>
  <si>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</si>
  <si>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</si>
  <si>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</si>
  <si>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</si>
  <si>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</si>
  <si>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</si>
  <si>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</si>
  <si>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</si>
  <si>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</si>
  <si>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</si>
  <si>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</si>
  <si>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Airport City</t>
  </si>
  <si>
    <t>Greater Manchester Life Science: MSP Central Campus</t>
  </si>
  <si>
    <t>Greater Manchester Life Science: CMFT Site</t>
  </si>
  <si>
    <t>Rochester Airport Technology Park</t>
  </si>
  <si>
    <t>New Anglia EZ: Sproughton Road</t>
  </si>
  <si>
    <t>New Anglia EZ: Mill Lane</t>
  </si>
  <si>
    <t>Tees Valley EZ Growth Extension: Middlesbrough historic quarter</t>
  </si>
  <si>
    <t>Ceramics Valley: Chatterley Valley West</t>
  </si>
  <si>
    <t>North Bank of the Tyne extension</t>
  </si>
  <si>
    <t>Newcastle International Airport Business Park</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</si>
  <si>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</si>
  <si>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</si>
  <si>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</si>
  <si>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</si>
  <si>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</si>
  <si>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</si>
  <si>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</si>
  <si>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</si>
  <si>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</si>
  <si>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</si>
  <si>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</si>
  <si>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</si>
  <si>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</si>
  <si>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</si>
  <si>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</si>
  <si>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</si>
  <si>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Cambridge Compass: Cambourne Business Park</t>
  </si>
  <si>
    <t>Cambridge Compass: Cambridge Research Park</t>
  </si>
  <si>
    <t>Cambridge Compass: Northstowe</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</si>
  <si>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</si>
  <si>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</si>
  <si>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</si>
  <si>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</si>
  <si>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</si>
  <si>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</si>
  <si>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</si>
  <si>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</si>
  <si>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</si>
  <si>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</si>
  <si>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Cambridge Compass: Haverhill Research Park</t>
  </si>
  <si>
    <t>New Anglia EZ: Suffolk Business Park</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</si>
  <si>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</si>
  <si>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</si>
  <si>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</si>
  <si>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</si>
  <si>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</si>
  <si>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</si>
  <si>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</si>
  <si>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</si>
  <si>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</si>
  <si>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</si>
  <si>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</si>
  <si>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</si>
  <si>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</si>
  <si>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</si>
  <si>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</si>
  <si>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</si>
  <si>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</si>
  <si>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</si>
  <si>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</si>
  <si>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</si>
  <si>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</si>
  <si>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</si>
  <si>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</si>
  <si>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</si>
  <si>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</si>
  <si>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formula</t>
  </si>
  <si>
    <t>Relief Given to Case A Hereditaments</t>
  </si>
  <si>
    <t>Column 9  for non Pilot Authorities</t>
  </si>
  <si>
    <t>Compensation Due</t>
  </si>
  <si>
    <t xml:space="preserve">Transitional Protection Payment  </t>
  </si>
  <si>
    <t>A</t>
  </si>
  <si>
    <t>B</t>
  </si>
  <si>
    <t>Supporting Small Businesses Relief</t>
  </si>
  <si>
    <t>34. Cost to authorities of providing relief</t>
  </si>
  <si>
    <t>Development Area - Gateshead Quays and Baltic Business Centre</t>
  </si>
  <si>
    <t>Greater Manchester Airport City 2</t>
  </si>
  <si>
    <t>Multiplier Cap</t>
  </si>
  <si>
    <t>Discretionary Scheme</t>
  </si>
  <si>
    <t>DESIGNATED AREAS IN 100% PILOT AREAS</t>
  </si>
  <si>
    <t>IAMP</t>
  </si>
  <si>
    <t>Brent Cross LGZ</t>
  </si>
  <si>
    <t>Croydon LGZ</t>
  </si>
  <si>
    <t>35. Cost to authorities of providing relief</t>
  </si>
  <si>
    <t>DESIGNATED AREAS RELIEF</t>
  </si>
  <si>
    <t xml:space="preserve">1. Opening Balance (From Collection Fund Statement) </t>
  </si>
  <si>
    <t>COLLECTIBLE RATES</t>
  </si>
  <si>
    <t/>
  </si>
  <si>
    <t>2019-20</t>
  </si>
  <si>
    <r>
      <t xml:space="preserve">The payments to be made, during the course of </t>
    </r>
    <r>
      <rPr>
        <b/>
        <sz val="12"/>
        <rFont val="Arial"/>
        <family val="2"/>
      </rPr>
      <t>2019-20</t>
    </r>
    <r>
      <rPr>
        <sz val="12"/>
        <rFont val="Arial"/>
        <family val="2"/>
      </rPr>
      <t xml:space="preserve"> to: </t>
    </r>
  </si>
  <si>
    <t>Non-Domestic Rating Income for 2019-20</t>
  </si>
  <si>
    <t>Other Income for 2019-20</t>
  </si>
  <si>
    <t>36. Cost to authorities of providing relief</t>
  </si>
  <si>
    <t>19.  Forecast of mandatory reliefs to be provided in 2019-20 (Sum of lines 15 to 18)</t>
  </si>
  <si>
    <t>21. Total forecast mandatory reliefs to be provided in 2019-20</t>
  </si>
  <si>
    <t>22. Forecast of 'relief' to be provided in 2019-20</t>
  </si>
  <si>
    <t>23. Forecast of 'relief' to be provided in 2019-20</t>
  </si>
  <si>
    <t>24.  Forecast of unoccupied property 'relief' to be provided in 2019-20 (Line 22 + line 23)</t>
  </si>
  <si>
    <t>26. Total forecast unoccupied property 'relief' to be provided in 2019-20</t>
  </si>
  <si>
    <t>27. Forecast of relief to be provided in 2019-20</t>
  </si>
  <si>
    <t>28. Forecast of relief to be provided in 2019-20</t>
  </si>
  <si>
    <t>29. Forecast of relief to be provided in 2019-20</t>
  </si>
  <si>
    <t>30. Forecast of relief to be provided in 2019-20</t>
  </si>
  <si>
    <t>31. Forecast of relief to be provided in 2019-20</t>
  </si>
  <si>
    <t>32. Forecast of relief to be provided in 2019-20</t>
  </si>
  <si>
    <t>35.  Forecast of discretionary relief to be provided in 2019-20 (Sum of lines 27 to 32)</t>
  </si>
  <si>
    <t>37. Total forecast discretionary relief to be provided in 2019-20</t>
  </si>
  <si>
    <t>38. Forecast of relief to be provided in 2019-20</t>
  </si>
  <si>
    <t>39. Forecast of relief to be provided in 2019-20</t>
  </si>
  <si>
    <t>40. Forecast of relief to be provided in 2019-20</t>
  </si>
  <si>
    <t>41. Forecast of relief to be provided in 2019-20</t>
  </si>
  <si>
    <t>42. Forecast of relief to be provided in 2019-20</t>
  </si>
  <si>
    <t xml:space="preserve"> 2019-20</t>
  </si>
  <si>
    <t>2. Small business rating multiplier for 2019-20 (pence)</t>
  </si>
  <si>
    <t>3.  Gross rates 2019-20 (RV x multiplier)</t>
  </si>
  <si>
    <t>5. Forecast gross rates payable in 2019-20</t>
  </si>
  <si>
    <t>12. Forecast of relief to be provided in 2019-20</t>
  </si>
  <si>
    <t>16. Forecast of relief to be provided in 2019-20</t>
  </si>
  <si>
    <t>17. Forecast of relief to be provided in 2019-20</t>
  </si>
  <si>
    <t>18. Forecast of relief to be provided in 2019-20</t>
  </si>
  <si>
    <t>2. Estimated bad debts in respect of 2019-20 rates payable</t>
  </si>
  <si>
    <t xml:space="preserve">3. Estimated repayments in respect of 2019-20 rates payable </t>
  </si>
  <si>
    <t>Estimated bad debts in respect of 2019-20 rates payable</t>
  </si>
  <si>
    <t xml:space="preserve">Estimated repayments in respect of 2019-20 rates payable </t>
  </si>
  <si>
    <t>2. Business rates credited and charged to the Collection Fund in 2018-19</t>
  </si>
  <si>
    <t>8.  Transitional protection payments received, or to be received in 2018-19</t>
  </si>
  <si>
    <t>10. Transfers/payments into the Collection Fund in 2018-19 in respect of a previous year's deficit</t>
  </si>
  <si>
    <t xml:space="preserve">12.  Transitional protection payments made, or to be made, in 2018-19 </t>
  </si>
  <si>
    <t xml:space="preserve">13. Payments made, or to be made, to the Secretary of State in respect of the central share
in 2018-19 </t>
  </si>
  <si>
    <t xml:space="preserve"> rates income in 2018-19</t>
  </si>
  <si>
    <t>15. Transfers made, or to be made, to the billing authority's General Fund in respect of business rates income in 2018-19</t>
  </si>
  <si>
    <t>or to be made, to a precepting authority in respect of disregarded amounts in 2018-19</t>
  </si>
  <si>
    <t>18. Transfers/payments made from the Collection Fund in 2018-19 in respect of a previous year's surplus</t>
  </si>
  <si>
    <t xml:space="preserve">ESTIMATED SURPLUS/(DEFICIT) ON COLLECTION FUND IN RESPECT OF FINANCIAL YEAR 2018-19 - Surplus (positive), Deficit (Negative) </t>
  </si>
  <si>
    <t>Folkestone &amp; Hythe</t>
  </si>
  <si>
    <t>Shale Gas</t>
  </si>
  <si>
    <t>E1204</t>
  </si>
  <si>
    <t>Dorset Council</t>
  </si>
  <si>
    <t>E1203</t>
  </si>
  <si>
    <t>East Suffolk</t>
  </si>
  <si>
    <t>E3538</t>
  </si>
  <si>
    <t>Somerset West &amp; Taunton</t>
  </si>
  <si>
    <t>E3336</t>
  </si>
  <si>
    <t>West Suffolk</t>
  </si>
  <si>
    <t>E3539</t>
  </si>
  <si>
    <t>13.  Line 1 plus line 2, minus lines 3, 6 - 9 and 12</t>
  </si>
  <si>
    <t>14. % of non-domestic rating income to be allocated to each authority in 2019-20</t>
  </si>
  <si>
    <t xml:space="preserve">15. Non-domestic rating income from rates retention scheme </t>
  </si>
  <si>
    <t>16.(less) deductions from central share</t>
  </si>
  <si>
    <t>18. add: cost of collection allowance</t>
  </si>
  <si>
    <t>19. add: amounts retained in respect of Designated Areas</t>
  </si>
  <si>
    <t xml:space="preserve">20. add: amounts retained in respect of renewable energy schemes </t>
  </si>
  <si>
    <t>21. add: amounts retained in respect of shale gas schemes</t>
  </si>
  <si>
    <t>22. add: qualifying relief in Designated Areas</t>
  </si>
  <si>
    <t>23. add: City of London Offset</t>
  </si>
  <si>
    <t>24. add: additional retained Growth in Pilot Areas</t>
  </si>
  <si>
    <t>25. add: in respect of Port of Bristol hereditament</t>
  </si>
  <si>
    <t>Percentages to be used to distribute the collection fund surplus deficit</t>
  </si>
  <si>
    <t>26. % for distribution of "in-year" surplus/deficit (ie 2018-19)</t>
  </si>
  <si>
    <t>Bournemouth, Christchurch &amp; Poole</t>
  </si>
  <si>
    <t>27. % for distribution of "prior-year" surplus/deficit (ie 2017-18)</t>
  </si>
  <si>
    <t>28.  Estimated Surplus/Deficit at end of 2018-19</t>
  </si>
  <si>
    <t>29.  Total amount due to authorities</t>
  </si>
  <si>
    <t>31. Cost of doubling SBRR &amp; threshold changes for 2019-20</t>
  </si>
  <si>
    <t>32. Cost to authorities of maintaining relief on "first" property</t>
  </si>
  <si>
    <t xml:space="preserve">33. Cost to authorities of providing 100% rural rate relief </t>
  </si>
  <si>
    <t>37. Cost to authorities of providing relief</t>
  </si>
  <si>
    <t xml:space="preserve">7.  Transitional Protection Payment </t>
  </si>
  <si>
    <t xml:space="preserve">8.  Baseline </t>
  </si>
  <si>
    <t>9. Total Disregarded Amounts</t>
  </si>
  <si>
    <t>10. Designated Areas Qualifying Relief</t>
  </si>
  <si>
    <t>16. Total Deductions</t>
  </si>
  <si>
    <t>Checks</t>
  </si>
  <si>
    <t>31a. Additional compensation for loss of supplementary multipler income</t>
  </si>
  <si>
    <t>30. Cost of cap on 2014-15, 2015-16 and post-2018-19 small business rates multipliers</t>
  </si>
  <si>
    <t>12. Amounts retained in respect of Shale Gas Schemes (see Note C)</t>
  </si>
  <si>
    <t>6.  Shale Gas (see Note C)</t>
  </si>
  <si>
    <t>38. Cost to authorities of providing relief</t>
  </si>
  <si>
    <t>Retail discount</t>
  </si>
  <si>
    <t>Telecoms Relief</t>
  </si>
  <si>
    <t>Retail Discount</t>
  </si>
  <si>
    <t xml:space="preserve">26a. "In-year surplus (positive) /deficit (negative) </t>
  </si>
  <si>
    <t>27a. "Prior-year" surplus (positive) / deficit (negative)</t>
  </si>
  <si>
    <t>Designated Areas qualifying relief in 100% pilot areas</t>
  </si>
  <si>
    <t>Local Newspaper  Relief</t>
  </si>
  <si>
    <t>43. Forecast of relief to be provided in 2019-20</t>
  </si>
  <si>
    <t>44.  Forecast of discretionary reliefs funded through S31 grant to be provided in 2019-20
(Sum of lines 38 to 43)</t>
  </si>
  <si>
    <t>45.  Changes as a result of estimated growth/decline in Section 31 discretionary relief
(+ = decline, - = increase)</t>
  </si>
  <si>
    <t>46.  Total forecast of discretionary reliefs funded through S31 grant to be provided in 2019-20</t>
  </si>
  <si>
    <t>39. Cost to authorities of providing relief</t>
  </si>
  <si>
    <t>40.  Amount of Section 31 grant due to authorities to compensate for reliefs</t>
  </si>
  <si>
    <t>47.  Forecast of net rates payable by rate payers after taking account of transitional adjustments, unoccupied property relief, mandatory and discretionary reliefs</t>
  </si>
  <si>
    <t>PART 1C: SECTION 31 GRANT (See Note D)</t>
  </si>
  <si>
    <t>GROSS RATES PAYABLE
(All data should be entered as +ve unless specified otherwise) - see Note E</t>
  </si>
  <si>
    <t xml:space="preserve">TRANSITIONAL ARRANGEMENTS (See Note F) </t>
  </si>
  <si>
    <t xml:space="preserve">TRANSITIONAL PROTECTION PAYMENTS (See Note F(a)) </t>
  </si>
  <si>
    <t>Telecoms Relief (see Note L)</t>
  </si>
  <si>
    <t>22. add: qualifying relief in Enterprise Zones</t>
  </si>
  <si>
    <t>Estimated sums due from Government via Section 31 grant, to compensate authorities for the cost of changes to the business rates system announced 
in the 2013 to 2016 Autumn Statements and 2017 (March and November) &amp; 2018 (October) Budgets</t>
  </si>
  <si>
    <t>Data from Page 1</t>
  </si>
  <si>
    <t>Data from Page 2</t>
  </si>
  <si>
    <t>Data from Page 3</t>
  </si>
  <si>
    <t xml:space="preserve">1.  Net amount receivable from rate payers </t>
  </si>
  <si>
    <t xml:space="preserve">4. Cost of collection </t>
  </si>
  <si>
    <t xml:space="preserve">7. City of London Offset </t>
  </si>
  <si>
    <t xml:space="preserve">9.  Amounts retained in respect of Renewable Energy </t>
  </si>
  <si>
    <t>Fire Authority (if applicable)</t>
  </si>
  <si>
    <t>Class</t>
  </si>
  <si>
    <t>Region</t>
  </si>
  <si>
    <t>SD</t>
  </si>
  <si>
    <t>SE</t>
  </si>
  <si>
    <t>NW</t>
  </si>
  <si>
    <t>EM</t>
  </si>
  <si>
    <t>E</t>
  </si>
  <si>
    <t>OLB</t>
  </si>
  <si>
    <t>L</t>
  </si>
  <si>
    <t>Met</t>
  </si>
  <si>
    <t>YH</t>
  </si>
  <si>
    <t>SW</t>
  </si>
  <si>
    <t>WM</t>
  </si>
  <si>
    <t>ILB</t>
  </si>
  <si>
    <t>NE</t>
  </si>
  <si>
    <t>England</t>
  </si>
  <si>
    <t xml:space="preserve">12.  Amounts retained in respect of Shale Gas </t>
  </si>
  <si>
    <t>14. % of non-domestic rating income</t>
  </si>
  <si>
    <t>16. (less) qualifying relief in Enterprise Zones</t>
  </si>
  <si>
    <t>17. Total Non-domestic rating income from rates retention scheme</t>
  </si>
  <si>
    <t>26. % of non-domestic rating income for in year surplus/deficit</t>
  </si>
  <si>
    <r>
      <t xml:space="preserve">26a. </t>
    </r>
    <r>
      <rPr>
        <b/>
        <i/>
        <sz val="10"/>
        <rFont val="Arial"/>
        <family val="2"/>
      </rPr>
      <t>In</t>
    </r>
    <r>
      <rPr>
        <b/>
        <sz val="10"/>
        <rFont val="Arial"/>
        <family val="2"/>
      </rPr>
      <t xml:space="preserve"> year surplus/deficit</t>
    </r>
  </si>
  <si>
    <t>27. % of non-domestic rating income for prior year surplus/deficit</t>
  </si>
  <si>
    <r>
      <t xml:space="preserve">27a. </t>
    </r>
    <r>
      <rPr>
        <b/>
        <i/>
        <sz val="10"/>
        <rFont val="Arial"/>
        <family val="2"/>
      </rPr>
      <t>Prior</t>
    </r>
    <r>
      <rPr>
        <b/>
        <sz val="10"/>
        <rFont val="Arial"/>
        <family val="2"/>
      </rPr>
      <t xml:space="preserve"> year surplus/deficit</t>
    </r>
  </si>
  <si>
    <t>30. Cost of cap on small business rates multiplier</t>
  </si>
  <si>
    <t>31. Cost of temporary doubling SBRR and threshold changes</t>
  </si>
  <si>
    <t>31a. Additional compensation for loss of supplementary multiplier income</t>
  </si>
  <si>
    <t>34. Cost to authorities of providing "Local Newspaper" relief</t>
  </si>
  <si>
    <t>35. Cost to authorities of providing Supporting Small Business relief</t>
  </si>
  <si>
    <t>36 Cost to authorities of providing Discretionary Scheme relief</t>
  </si>
  <si>
    <t>37. Amount of Designated Areas qualifying relief in 100% pilot areas</t>
  </si>
  <si>
    <t>39 Cost to authorities of providing Retail Discount relief</t>
  </si>
  <si>
    <t xml:space="preserve">38. Cost of providing Telecomms relief </t>
  </si>
  <si>
    <t xml:space="preserve">40.  Amount of Section 31 grant </t>
  </si>
  <si>
    <t>Date</t>
  </si>
  <si>
    <t>1. Total rateable value</t>
  </si>
  <si>
    <t>2. Small Business Rate Multiplier</t>
  </si>
  <si>
    <t>4. Estimated growth/decline in gross rates</t>
  </si>
  <si>
    <t xml:space="preserve">6. Revenue foregone because increases in rates have been deferred </t>
  </si>
  <si>
    <t xml:space="preserve">7. Additional income received because reductions in rates have been deferred </t>
  </si>
  <si>
    <t>8. Net cost of transitional arrangements</t>
  </si>
  <si>
    <t>9. Changes as a result of estimated growth/decline in transitional relief</t>
  </si>
  <si>
    <t>11. TPP : Sum due to/(from) authority</t>
  </si>
  <si>
    <t>13. SBRR : relief on existing properties where a 2nd property is occupied</t>
  </si>
  <si>
    <t>14. SBRR : Additional yield from the supplement</t>
  </si>
  <si>
    <t>15. SBRR : Net cost of SBRR</t>
  </si>
  <si>
    <t>20. Mandatory - changes as a result of estimated growth/decline in relief</t>
  </si>
  <si>
    <t>25. Changes as a result of estimated growth/decline in unoccupied property relief</t>
  </si>
  <si>
    <t>33. Case A hereditament relief</t>
  </si>
  <si>
    <t>34. Case B hereditament relief</t>
  </si>
  <si>
    <t>36. Discretionary - changes as a result of estimated growth/decline in relief</t>
  </si>
  <si>
    <t>46. Net rates payable</t>
  </si>
  <si>
    <t>42. S31 grants - telecomms relief: relief to be provided in 2019-20</t>
  </si>
  <si>
    <t>43. S31 grants -retasil discount relief: relief to be provided in 2019-20</t>
  </si>
  <si>
    <t>44. S31 grants - discretionary reliefs funded through S31 grant to be provided in 2019-20</t>
  </si>
  <si>
    <t>45. S31 grants - Changes as a result of estimated growth/decline</t>
  </si>
  <si>
    <t>46. S31 grants - Total forecast of discretionary reliefs funded through S31 grant to be provided in 2019-20</t>
  </si>
  <si>
    <t>12. SBRR : Relief to be provided in 2019-20</t>
  </si>
  <si>
    <t>3. Gross rates 2019-20</t>
  </si>
  <si>
    <t>16. Mandatory - Charity : relief to be provided in 2019-20</t>
  </si>
  <si>
    <t>17. Mandatory - CASCs : relief to be provided in 2019-20</t>
  </si>
  <si>
    <t>18. Mandatory - Rural rates : relief to be provided in 2019-20</t>
  </si>
  <si>
    <t>19. Mandatory - reliefs to be provided in 2019-20</t>
  </si>
  <si>
    <t>21. Mandatory - Total forecast reliefs to be provided in 2019-20</t>
  </si>
  <si>
    <t>22. Partially occupied : relief to be provided in 2019-20</t>
  </si>
  <si>
    <t>23. Empty premises : relief to be provided in 2019-20</t>
  </si>
  <si>
    <t>24. Unoccupied property relief to be provided in 2019-20</t>
  </si>
  <si>
    <t>26. Total forecast unoccupied property relief to be provided in 2019-20</t>
  </si>
  <si>
    <t>27. Discretionary - Charity : relief to be provided in 2019-20</t>
  </si>
  <si>
    <t>28. Discretionary - non-profit making bodies : relief to be provided in 2019-20</t>
  </si>
  <si>
    <t>29. Discretionary - CASCs : relief to be provided in 2019-20</t>
  </si>
  <si>
    <t>30. Discretionary - rural shops : relief to be provided in 2019-20</t>
  </si>
  <si>
    <t>31. Discretionary small rural businesses : relief to be provided in 2019-20</t>
  </si>
  <si>
    <t>32. Discretionary - other reliefs : relief to be provided in 2019-20</t>
  </si>
  <si>
    <t>35. Discretionary - Relief to be provided in 2019-20</t>
  </si>
  <si>
    <t>37. Discretionary - Total forecast relief to be provided in 2019-20</t>
  </si>
  <si>
    <t>38. S31 grants - rural rate relief: relief to be provided in 2019-20</t>
  </si>
  <si>
    <t>39. S31 grants - local newspaper temporary relief: relief to be provided in 2019-20</t>
  </si>
  <si>
    <t>40. S31 grants - supporting small businesses: relief to be provided in 2019-20</t>
  </si>
  <si>
    <t>41. S31 grants -discretionary scheme relief: relief to be provided in 2019-20</t>
  </si>
  <si>
    <t>1. Net rates payable</t>
  </si>
  <si>
    <t>2. Losses : bad debts in respect of 2018-19</t>
  </si>
  <si>
    <t>3. Losses : repayments in respect of 2018-19</t>
  </si>
  <si>
    <t>4. Collectible rates</t>
  </si>
  <si>
    <t>5. Disregarded amount : Renewable Energy</t>
  </si>
  <si>
    <t xml:space="preserve">6. Disregarded amount : Transitional Protection Payment </t>
  </si>
  <si>
    <t xml:space="preserve">7. Disregarded amount : Baseline </t>
  </si>
  <si>
    <t>8. Disregarded Amount : Total</t>
  </si>
  <si>
    <t>9. Designated Areas Qualifying Relief - 100% Pilots</t>
  </si>
  <si>
    <t>10. Designated Areas Qualifying Relief -  Non 100% Pilot Areas</t>
  </si>
  <si>
    <t>11. Net Rates Payable for Growth Baseline comparison</t>
  </si>
  <si>
    <t>12. Growth Baseline</t>
  </si>
  <si>
    <t>13. Additional Growth in Growth Pilot Areas</t>
  </si>
  <si>
    <t xml:space="preserve">14. Port of Bristol </t>
  </si>
  <si>
    <t>15. Total Deduction from Central Share</t>
  </si>
  <si>
    <t>6. Disregarded amount : Shale Gas</t>
  </si>
  <si>
    <t>1. Opening Balance from Collection Fund Statement</t>
  </si>
  <si>
    <t>7. Total business rates credits and charges</t>
  </si>
  <si>
    <t xml:space="preserve">9. Transfers/payments to the Collection Fund for end-year reconciliations </t>
  </si>
  <si>
    <t>11. Total Other Credits</t>
  </si>
  <si>
    <t xml:space="preserve">19. Total Other Charges </t>
  </si>
  <si>
    <t>8. Transitional protection payments received, or to be received in 2018-19</t>
  </si>
  <si>
    <t>12. Transitional protection payments made, or to be made, in 2018-19</t>
  </si>
  <si>
    <t>13. Payments to the SoS in respect of the central share in 2018-19</t>
  </si>
  <si>
    <t>14. Payments to major precepting authorities in respect of income in 2018-19</t>
  </si>
  <si>
    <t>15. Transfers to the billing authority's General Fund in respect of income in 2018-19</t>
  </si>
  <si>
    <t>16. Transfers to the billing authority's General Fund in respect of disregarded amounts in 2018-19</t>
  </si>
  <si>
    <t>20. Estimated surplus/deficit opening balance plus total credits in respect of financial year 2018-19</t>
  </si>
  <si>
    <t>E0431EZ1</t>
  </si>
  <si>
    <t>E0431EZ2</t>
  </si>
  <si>
    <t>E0431EZ3</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</si>
  <si>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</si>
  <si>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</si>
  <si>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</si>
  <si>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</si>
  <si>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</si>
  <si>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</si>
  <si>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</si>
  <si>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</si>
  <si>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</si>
  <si>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</si>
  <si>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</si>
  <si>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</si>
  <si>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</si>
  <si>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</si>
  <si>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</si>
  <si>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</si>
  <si>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</si>
  <si>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</si>
  <si>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</si>
  <si>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</si>
  <si>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</si>
  <si>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</si>
  <si>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</si>
  <si>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</si>
  <si>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</si>
  <si>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</si>
  <si>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</si>
  <si>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</si>
  <si>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</si>
  <si>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</si>
  <si>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</si>
  <si>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</si>
  <si>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</si>
  <si>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</si>
  <si>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</si>
  <si>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</si>
  <si>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</si>
  <si>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</si>
  <si>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</si>
  <si>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</si>
  <si>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</si>
  <si>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</si>
  <si>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</si>
  <si>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</si>
  <si>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</si>
  <si>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</si>
  <si>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</si>
  <si>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</si>
  <si>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</si>
  <si>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</si>
  <si>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</si>
  <si>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</si>
  <si>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</si>
  <si>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</si>
  <si>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</si>
  <si>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</si>
  <si>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</si>
  <si>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</si>
  <si>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</si>
  <si>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</si>
  <si>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</si>
  <si>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</si>
  <si>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</si>
  <si>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</si>
  <si>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</si>
  <si>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</si>
  <si>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</si>
  <si>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</si>
  <si>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</si>
  <si>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</si>
  <si>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</si>
  <si>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</si>
  <si>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</si>
  <si>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</si>
  <si>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</si>
  <si>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</si>
  <si>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</si>
  <si>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</si>
  <si>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</si>
  <si>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</si>
  <si>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</si>
  <si>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</si>
  <si>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</si>
  <si>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</si>
  <si>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</si>
  <si>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</si>
  <si>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</si>
  <si>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E3835EZ1</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</si>
  <si>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</si>
  <si>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</si>
  <si>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</si>
  <si>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</si>
  <si>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</si>
  <si>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</si>
  <si>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</si>
  <si>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</si>
  <si>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</si>
  <si>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</si>
  <si>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</si>
  <si>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</si>
  <si>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</si>
  <si>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</si>
  <si>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</si>
  <si>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</si>
  <si>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</si>
  <si>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</si>
  <si>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</si>
  <si>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</si>
  <si>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</si>
  <si>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</si>
  <si>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</si>
  <si>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</si>
  <si>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</si>
  <si>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</si>
  <si>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</si>
  <si>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</si>
  <si>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</si>
  <si>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</si>
  <si>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</si>
  <si>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</si>
  <si>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</si>
  <si>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</si>
  <si>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</si>
  <si>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</si>
  <si>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</si>
  <si>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</si>
  <si>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</si>
  <si>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</si>
  <si>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</si>
  <si>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</si>
  <si>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</si>
  <si>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</si>
  <si>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</si>
  <si>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</si>
  <si>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</si>
  <si>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</si>
  <si>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</si>
  <si>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</si>
  <si>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</si>
  <si>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</si>
  <si>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</si>
  <si>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</si>
  <si>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</si>
  <si>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</si>
  <si>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</si>
  <si>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</si>
  <si>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</si>
  <si>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</si>
  <si>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</si>
  <si>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</si>
  <si>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</si>
  <si>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</si>
  <si>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</si>
  <si>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</si>
  <si>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</si>
  <si>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</si>
  <si>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</si>
  <si>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</si>
  <si>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</si>
  <si>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</si>
  <si>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</si>
  <si>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E2835EZ1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</si>
  <si>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</si>
  <si>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</si>
  <si>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</si>
  <si>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</si>
  <si>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</si>
  <si>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</si>
  <si>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</si>
  <si>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</si>
  <si>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</si>
  <si>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</si>
  <si>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</si>
  <si>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</si>
  <si>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</si>
  <si>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</si>
  <si>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</si>
  <si>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</si>
  <si>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</si>
  <si>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</si>
  <si>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</si>
  <si>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</si>
  <si>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</si>
  <si>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</si>
  <si>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</si>
  <si>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</si>
  <si>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</si>
  <si>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</si>
  <si>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</si>
  <si>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</si>
  <si>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</si>
  <si>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</si>
  <si>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E3535EZ1</t>
  </si>
  <si>
    <t>E3535EZ2</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</si>
  <si>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</si>
  <si>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</si>
  <si>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</si>
  <si>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</si>
  <si>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</si>
  <si>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</si>
  <si>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</si>
  <si>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</si>
  <si>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</si>
  <si>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</si>
  <si>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</si>
  <si>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</si>
  <si>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</si>
  <si>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</si>
  <si>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</si>
  <si>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</si>
  <si>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</si>
  <si>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</si>
  <si>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</si>
  <si>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</si>
  <si>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</si>
  <si>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</si>
  <si>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</si>
  <si>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</si>
  <si>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</si>
  <si>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</si>
  <si>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</si>
  <si>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</si>
  <si>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E4305EZ1</t>
  </si>
  <si>
    <t>E4305EZ2</t>
  </si>
  <si>
    <t>E4607EZ1</t>
  </si>
  <si>
    <t>E2344EZ1</t>
  </si>
  <si>
    <t>E2701EZ1</t>
  </si>
  <si>
    <t>UNLOCK</t>
  </si>
  <si>
    <t>E3538EZ3</t>
  </si>
  <si>
    <t>E3538EZ2</t>
  </si>
  <si>
    <t>E3538EZ1</t>
  </si>
  <si>
    <t>E1203EZ1</t>
  </si>
  <si>
    <t>E3531EZ1</t>
  </si>
  <si>
    <t>ONS Code</t>
  </si>
  <si>
    <t>Background</t>
  </si>
  <si>
    <t>Part 1</t>
  </si>
  <si>
    <t>Provides the headline forecast numbers for non-domestic rating income, allowable deductions and disregarded amounts.</t>
  </si>
  <si>
    <t>Part 2</t>
  </si>
  <si>
    <t>Part 3</t>
  </si>
  <si>
    <t>Part 4</t>
  </si>
  <si>
    <t>Definitions</t>
  </si>
  <si>
    <t>Data Collection and quality</t>
  </si>
  <si>
    <t>Public Enquiries</t>
  </si>
  <si>
    <t>Revisions</t>
  </si>
  <si>
    <t>Estimated surplus/deficit on collection fund in respect of 2018-19.</t>
  </si>
  <si>
    <t>For enquiries about these data please contact: nndr.statistics@communities.gov.uk</t>
  </si>
  <si>
    <r>
      <rPr>
        <b/>
        <sz val="10"/>
        <rFont val="Arial"/>
        <family val="2"/>
      </rPr>
      <t>Next Update</t>
    </r>
    <r>
      <rPr>
        <sz val="10"/>
        <rFont val="Arial"/>
        <family val="2"/>
      </rPr>
      <t>:  February 2020 (2020-21 NNDR1)</t>
    </r>
  </si>
  <si>
    <t>Net rates payable by ratepayers after taking account of any reliefs awarded leading to figures for collectible rates and disregarded amounts for the year.</t>
  </si>
  <si>
    <t>E07000223</t>
  </si>
  <si>
    <t>E07000026</t>
  </si>
  <si>
    <t>E07000032</t>
  </si>
  <si>
    <t>E07000224</t>
  </si>
  <si>
    <t>E07000170</t>
  </si>
  <si>
    <t>E07000105</t>
  </si>
  <si>
    <t>E07000004</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</si>
  <si>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</si>
  <si>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</si>
  <si>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</si>
  <si>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</si>
  <si>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</si>
  <si>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</si>
  <si>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</si>
  <si>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</si>
  <si>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</si>
  <si>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</si>
  <si>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</si>
  <si>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</si>
  <si>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</si>
  <si>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</si>
  <si>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</si>
  <si>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</si>
  <si>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</si>
  <si>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</si>
  <si>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</si>
  <si>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</si>
  <si>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</si>
  <si>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</si>
  <si>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</si>
  <si>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</si>
  <si>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</si>
  <si>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</si>
  <si>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</si>
  <si>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</si>
  <si>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</si>
  <si>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</si>
  <si>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</si>
  <si>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</si>
  <si>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</si>
  <si>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</si>
  <si>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</si>
  <si>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</si>
  <si>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</si>
  <si>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</si>
  <si>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</si>
  <si>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</si>
  <si>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</si>
  <si>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</si>
  <si>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</si>
  <si>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</si>
  <si>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</si>
  <si>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</si>
  <si>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</si>
  <si>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</si>
  <si>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</si>
  <si>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</si>
  <si>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E07000005</t>
  </si>
  <si>
    <t>E07000118</t>
  </si>
  <si>
    <t>E09000001</t>
  </si>
  <si>
    <t>E07000071</t>
  </si>
  <si>
    <t>E07000029</t>
  </si>
  <si>
    <t>E07000150</t>
  </si>
  <si>
    <t>E06000052</t>
  </si>
  <si>
    <t>E07000079</t>
  </si>
  <si>
    <t>E08000026</t>
  </si>
  <si>
    <t>E07000163</t>
  </si>
  <si>
    <t>E07000226</t>
  </si>
  <si>
    <t>E09000008</t>
  </si>
  <si>
    <t>E07000096</t>
  </si>
  <si>
    <t>E06000005</t>
  </si>
  <si>
    <t>E07000107</t>
  </si>
  <si>
    <t>E07000151</t>
  </si>
  <si>
    <t>E06000015</t>
  </si>
  <si>
    <t>E07000035</t>
  </si>
  <si>
    <t>E08000017</t>
  </si>
  <si>
    <t>E06000059</t>
  </si>
  <si>
    <t>E07000108</t>
  </si>
  <si>
    <t>E08000027</t>
  </si>
  <si>
    <t>E06000047</t>
  </si>
  <si>
    <t>E09000009</t>
  </si>
  <si>
    <t>E07000009</t>
  </si>
  <si>
    <t>E07000040</t>
  </si>
  <si>
    <t>E07000085</t>
  </si>
  <si>
    <t>E07000242</t>
  </si>
  <si>
    <t>E07000137</t>
  </si>
  <si>
    <t>E07000152</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</si>
  <si>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</si>
  <si>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</si>
  <si>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</si>
  <si>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</si>
  <si>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</si>
  <si>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</si>
  <si>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</si>
  <si>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</si>
  <si>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</si>
  <si>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</si>
  <si>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</si>
  <si>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</si>
  <si>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</si>
  <si>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</si>
  <si>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</si>
  <si>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</si>
  <si>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</si>
  <si>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</si>
  <si>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</si>
  <si>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</si>
  <si>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</si>
  <si>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</si>
  <si>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</si>
  <si>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</si>
  <si>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</si>
  <si>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</si>
  <si>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</si>
  <si>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</si>
  <si>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</si>
  <si>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</si>
  <si>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</si>
  <si>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</si>
  <si>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</si>
  <si>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</si>
  <si>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</si>
  <si>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</si>
  <si>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</si>
  <si>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</si>
  <si>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</si>
  <si>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</si>
  <si>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</si>
  <si>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</si>
  <si>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</si>
  <si>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</si>
  <si>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</si>
  <si>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</si>
  <si>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</si>
  <si>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</si>
  <si>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</si>
  <si>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</si>
  <si>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</si>
  <si>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</si>
  <si>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</si>
  <si>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E07000153</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</si>
  <si>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</si>
  <si>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</si>
  <si>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</si>
  <si>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</si>
  <si>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</si>
  <si>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</si>
  <si>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</si>
  <si>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</si>
  <si>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</si>
  <si>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</si>
  <si>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</si>
  <si>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</si>
  <si>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</si>
  <si>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</si>
  <si>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</si>
  <si>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</si>
  <si>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</si>
  <si>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</si>
  <si>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</si>
  <si>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</si>
  <si>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</si>
  <si>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</si>
  <si>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</si>
  <si>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</si>
  <si>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</si>
  <si>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</si>
  <si>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</si>
  <si>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</si>
  <si>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</si>
  <si>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</si>
  <si>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</si>
  <si>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</si>
  <si>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</si>
  <si>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</si>
  <si>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</si>
  <si>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</si>
  <si>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</si>
  <si>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</si>
  <si>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</si>
  <si>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</si>
  <si>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</si>
  <si>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</si>
  <si>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</si>
  <si>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</si>
  <si>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</si>
  <si>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</si>
  <si>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E07000154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</si>
  <si>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</si>
  <si>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</si>
  <si>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</si>
  <si>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</si>
  <si>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</si>
  <si>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</si>
  <si>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</si>
  <si>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</si>
  <si>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</si>
  <si>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</si>
  <si>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</si>
  <si>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</si>
  <si>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</si>
  <si>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</si>
  <si>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</si>
  <si>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</si>
  <si>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</si>
  <si>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</si>
  <si>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</si>
  <si>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</si>
  <si>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</si>
  <si>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</si>
  <si>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</si>
  <si>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</si>
  <si>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</si>
  <si>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</si>
  <si>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</si>
  <si>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</si>
  <si>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</si>
  <si>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</si>
  <si>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</si>
  <si>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</si>
  <si>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</si>
  <si>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</si>
  <si>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</si>
  <si>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</si>
  <si>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</si>
  <si>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</si>
  <si>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</si>
  <si>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</si>
  <si>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</si>
  <si>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</si>
  <si>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</si>
  <si>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</si>
  <si>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</si>
  <si>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</si>
  <si>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</si>
  <si>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</si>
  <si>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</si>
  <si>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</si>
  <si>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</si>
  <si>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</si>
  <si>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</si>
  <si>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</si>
  <si>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</si>
  <si>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</si>
  <si>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</si>
  <si>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</si>
  <si>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</si>
  <si>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</si>
  <si>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</si>
  <si>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</si>
  <si>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</si>
  <si>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</si>
  <si>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</si>
  <si>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</si>
  <si>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</si>
  <si>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</si>
  <si>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</si>
  <si>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</si>
  <si>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</si>
  <si>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</si>
  <si>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</si>
  <si>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</si>
  <si>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</si>
  <si>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</si>
  <si>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</si>
  <si>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</si>
  <si>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</si>
  <si>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</si>
  <si>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</si>
  <si>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</si>
  <si>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</si>
  <si>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</si>
  <si>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</si>
  <si>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</si>
  <si>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</si>
  <si>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</si>
  <si>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</si>
  <si>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</si>
  <si>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</si>
  <si>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</si>
  <si>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</si>
  <si>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</si>
  <si>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</si>
  <si>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</si>
  <si>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</si>
  <si>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</si>
  <si>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</si>
  <si>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</si>
  <si>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</si>
  <si>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</si>
  <si>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</si>
  <si>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</si>
  <si>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</si>
  <si>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E07000156</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</si>
  <si>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</si>
  <si>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</si>
  <si>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</si>
  <si>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</si>
  <si>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</si>
  <si>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</si>
  <si>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</si>
  <si>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</si>
  <si>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</si>
  <si>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</si>
  <si>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</si>
  <si>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</si>
  <si>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</si>
  <si>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</si>
  <si>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</si>
  <si>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</si>
  <si>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</si>
  <si>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</si>
  <si>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</si>
  <si>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E07000007</t>
  </si>
  <si>
    <t>E07000128</t>
  </si>
  <si>
    <t>E07000239</t>
  </si>
  <si>
    <t>E06000014</t>
  </si>
  <si>
    <t>15. Net cost of small business rate relief (lines 12 + 14)</t>
  </si>
  <si>
    <t>…</t>
  </si>
  <si>
    <t>11.  Designated Areas Qualifying Relief</t>
  </si>
  <si>
    <t>12. Net Rates payable for Growth Baseline comparison</t>
  </si>
  <si>
    <t>13. Growth Baseline</t>
  </si>
  <si>
    <t>14. Additional Growth in 'Growth Pilot' Areas"</t>
  </si>
  <si>
    <t xml:space="preserve">Revisions for two authorities to Part 4 data (and consequently Part 1 data too). There are no further revisions planned. </t>
  </si>
  <si>
    <t>Kettering*</t>
  </si>
  <si>
    <t>Stratford-on-Avon*</t>
  </si>
  <si>
    <t>* Revised data for Kettering and Stratford-on-Avon</t>
  </si>
  <si>
    <t>* Revised Estimated Surplus/Deficit data in Part 1 for Kettering and Stratford-on-Avon due to Part 4 revisions.</t>
  </si>
  <si>
    <t>Part 3 DA summary</t>
  </si>
  <si>
    <t>Designated Area summary component data</t>
  </si>
  <si>
    <r>
      <rPr>
        <b/>
        <sz val="10"/>
        <rFont val="Arial"/>
        <family val="2"/>
      </rPr>
      <t>Published:</t>
    </r>
    <r>
      <rPr>
        <sz val="10"/>
        <rFont val="Arial"/>
        <family val="2"/>
      </rPr>
      <t xml:space="preserve"> 13 February 2019; Revised 12 March 2019</t>
    </r>
  </si>
  <si>
    <t>Collectable Rates taking into account of adjustments for bad debts and appeal provisions, Disregarded Amounts and Deductions from Central Share</t>
  </si>
  <si>
    <t>https://www.gov.uk/government/statistics/national-non-domestic-rates-collected-by-councils-in-england-forecast-for-2019-to-2020</t>
  </si>
  <si>
    <t xml:space="preserve">The form is split into 4 separate parts plus a Designated Area  Summary for Part 3..
</t>
  </si>
  <si>
    <t>This workbook provides the detailed information on the Business Rates income forecast for 2019-20. Data within this release are used to calculate the schedule of payments under the business rates retention scheme which covers payments for the central share, tariff and top-ups, transitional protection and safety net on account. These data will also feed into forecasts of public finance which are compiled by the Office for Budget Responsibility.</t>
  </si>
  <si>
    <t xml:space="preserve">Data is collected through the NNDR1 form submitted by all 317 local authorities in Englandthat that will exist from 1 Aprfil 2019. Figures are subjected to rigorous pre-defined validation tests both within the form itself, while the form is being completed by the authority and also by MHCLG as the data are received and stored.  </t>
  </si>
  <si>
    <t>Definitions are described in the 2019-20 NNDR1 Statistical Release on the MHCLG website (link in Background above)</t>
  </si>
  <si>
    <t xml:space="preserve">Data from this workbook have been used to compile the National Statistics release "National non-domestic rates to be collected by local authorities in England 2019-20". This is available on the MHCLG website at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</si>
</sst>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_(* \(#,##0.00\);_(* &quot;-&quot;??_);_(@_)"/>
    <numFmt numFmtId="165" formatCode="#,##0.000"/>
    <numFmt numFmtId="166" formatCode="#,##0.000000000000"/>
    <numFmt numFmtId="167" formatCode="#,##0.000000000000000"/>
    <numFmt numFmtId="168" formatCode="0.0"/>
    <numFmt numFmtId="169" formatCode="#,##0.0"/>
    <numFmt numFmtId="170" formatCode="dd/mm/yy;@"/>
    <numFmt numFmtId="171" formatCode="0_)"/>
    <numFmt numFmtId="172" formatCode="_(* #,##0_);_(* \(#,##0\);_(* &quot;-&quot;??_);_(@_)"/>
    <numFmt numFmtId="173" formatCode="_-* #,##0.0_-;\-* #,##0.0_-;_-* &quot;-&quot;??_-;_-@_-"/>
    <numFmt numFmtId="174" formatCode="0.0%"/>
  </numFmts>
  <fonts count="91"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b/>
      <sz val="1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4"/>
      <name val="Arial"/>
      <family val="2"/>
    </font>
    <font>
      <b/>
      <sz val="16"/>
      <name val="Arial"/>
      <family val="2"/>
    </font>
    <font>
      <sz val="14"/>
      <name val="Arial"/>
      <family val="2"/>
    </font>
    <font>
      <sz val="14"/>
      <color indexed="10"/>
      <name val="Arial"/>
      <family val="2"/>
    </font>
    <font>
      <sz val="12"/>
      <color indexed="10"/>
      <name val="Arial"/>
      <family val="2"/>
    </font>
    <font>
      <sz val="10"/>
      <color indexed="10"/>
      <name val="Arial"/>
      <family val="2"/>
    </font>
    <font>
      <i/>
      <sz val="12"/>
      <name val="Arial"/>
      <family val="2"/>
    </font>
    <font>
      <sz val="12"/>
      <color indexed="10"/>
      <name val="Arial"/>
      <family val="2"/>
    </font>
    <font>
      <sz val="8"/>
      <color indexed="10"/>
      <name val="Arial"/>
      <family val="2"/>
    </font>
    <font>
      <sz val="11"/>
      <color indexed="10"/>
      <name val="Arial"/>
      <family val="2"/>
    </font>
    <font>
      <i/>
      <sz val="10"/>
      <name val="Arial"/>
      <family val="2"/>
    </font>
    <font>
      <sz val="12"/>
      <color indexed="44"/>
      <name val="Arial"/>
      <family val="2"/>
    </font>
    <font>
      <sz val="12"/>
      <color indexed="10"/>
      <name val="Arial"/>
      <family val="2"/>
    </font>
    <font>
      <b/>
      <sz val="12"/>
      <color indexed="10"/>
      <name val="Arial"/>
      <family val="2"/>
    </font>
    <font>
      <sz val="9"/>
      <name val="Arial"/>
      <family val="2"/>
    </font>
    <font>
      <b/>
      <sz val="10"/>
      <name val="Arial"/>
      <family val="2"/>
    </font>
    <font>
      <b/>
      <u/>
      <sz val="10"/>
      <name val="Arial"/>
      <family val="2"/>
    </font>
    <font>
      <sz val="10"/>
      <name val="Arial"/>
      <family val="2"/>
    </font>
    <font>
      <b/>
      <sz val="18"/>
      <name val="Arial"/>
      <family val="2"/>
    </font>
    <font>
      <b/>
      <sz val="12"/>
      <color rgb="FFFF0000"/>
      <name val="Arial"/>
      <family val="2"/>
    </font>
    <font>
      <sz val="10"/>
      <color theme="1"/>
      <name val="Arial"/>
      <family val="2"/>
    </font>
    <font>
      <b/>
      <sz val="10"/>
      <color rgb="FFFF0000"/>
      <name val="Arial"/>
      <family val="2"/>
    </font>
    <font>
      <sz val="12"/>
      <color rgb="FFFF0000"/>
      <name val="Arial"/>
      <family val="2"/>
    </font>
    <font>
      <sz val="12"/>
      <color theme="0"/>
      <name val="Arial"/>
      <family val="2"/>
    </font>
    <font>
      <b/>
      <sz val="12"/>
      <color theme="0"/>
      <name val="Arial"/>
      <family val="2"/>
    </font>
    <font>
      <sz val="10"/>
      <color theme="0"/>
      <name val="Arial"/>
      <family val="2"/>
    </font>
    <font>
      <b/>
      <sz val="11"/>
      <color rgb="FFFF0000"/>
      <name val="Arial"/>
      <family val="2"/>
    </font>
    <font>
      <sz val="14"/>
      <color rgb="FFFF0000"/>
      <name val="Arial"/>
      <family val="2"/>
    </font>
    <font>
      <sz val="10"/>
      <color rgb="FFFF0000"/>
      <name val="Arial"/>
      <family val="2"/>
    </font>
    <font>
      <strike/>
      <sz val="12"/>
      <color rgb="FFFF0000"/>
      <name val="Arial"/>
      <family val="2"/>
    </font>
    <font>
      <strike/>
      <sz val="10"/>
      <color rgb="FFFF0000"/>
      <name val="Arial"/>
      <family val="2"/>
    </font>
    <font>
      <b/>
      <sz val="12"/>
      <color rgb="FFFFFFCC"/>
      <name val="Arial"/>
      <family val="2"/>
    </font>
    <font>
      <u/>
      <sz val="10"/>
      <color theme="10"/>
      <name val="Arial"/>
      <family val="2"/>
    </font>
    <font>
      <sz val="11"/>
      <color theme="1"/>
      <name val="Calibri"/>
      <family val="2"/>
      <scheme val="minor"/>
    </font>
    <font>
      <b/>
      <sz val="10"/>
      <color indexed="10"/>
      <name val="Arial"/>
      <family val="2"/>
    </font>
    <font>
      <sz val="10"/>
      <color theme="0" tint="-0.249977111117893"/>
      <name val="Arial"/>
      <family val="2"/>
    </font>
    <font>
      <b/>
      <sz val="14"/>
      <color rgb="FFFFFF99"/>
      <name val="Arial"/>
      <family val="2"/>
    </font>
    <font>
      <b/>
      <sz val="13"/>
      <name val="Arial"/>
      <family val="2"/>
    </font>
    <font>
      <sz val="10"/>
      <color indexed="9"/>
      <name val="Arial"/>
      <family val="2"/>
    </font>
    <font>
      <sz val="10"/>
      <color indexed="43"/>
      <name val="Arial"/>
      <family val="2"/>
    </font>
    <font>
      <sz val="18"/>
      <color indexed="9"/>
      <name val="Arial"/>
      <family val="2"/>
    </font>
    <font>
      <b/>
      <sz val="18"/>
      <color indexed="9"/>
      <name val="Arial"/>
      <family val="2"/>
    </font>
    <font>
      <u/>
      <sz val="12"/>
      <color indexed="12"/>
      <name val="Arial"/>
      <family val="2"/>
    </font>
    <font>
      <b/>
      <sz val="18"/>
      <color rgb="FFFF0000"/>
      <name val="Arial"/>
      <family val="2"/>
    </font>
    <font>
      <sz val="14"/>
      <color rgb="FFFFFF99"/>
      <name val="Arial"/>
      <family val="2"/>
    </font>
    <font>
      <b/>
      <sz val="12"/>
      <color theme="6" tint="0.39997558519241921"/>
      <name val="Arial"/>
      <family val="2"/>
    </font>
    <font>
      <sz val="10"/>
      <color theme="6" tint="0.39997558519241921"/>
      <name val="Arial"/>
      <family val="2"/>
    </font>
    <font>
      <sz val="12"/>
      <color theme="6" tint="0.39997558519241921"/>
      <name val="Arial"/>
      <family val="2"/>
    </font>
    <font>
      <sz val="9"/>
      <color theme="6" tint="0.39997558519241921"/>
      <name val="Arial"/>
      <family val="2"/>
    </font>
    <font>
      <u/>
      <sz val="12"/>
      <name val="Arial"/>
      <family val="2"/>
    </font>
    <font>
      <sz val="12"/>
      <color theme="1" tint="0.499984740745262"/>
      <name val="Arial"/>
      <family val="2"/>
    </font>
    <font>
      <sz val="9"/>
      <color rgb="FFFF0000"/>
      <name val="Arial"/>
      <family val="2"/>
    </font>
    <font>
      <sz val="12"/>
      <color rgb="FFC4D79B"/>
      <name val="Arial"/>
      <family val="2"/>
    </font>
    <font>
      <strike/>
      <sz val="10"/>
      <color rgb="FFC4D79B"/>
      <name val="Arial"/>
      <family val="2"/>
    </font>
    <font>
      <sz val="12"/>
      <color rgb="FFFFFFCC"/>
      <name val="Arial"/>
      <family val="2"/>
    </font>
    <font>
      <sz val="10"/>
      <name val="Courier"/>
      <family val="3"/>
    </font>
    <font>
      <sz val="10"/>
      <color indexed="8"/>
      <name val="Arial"/>
      <family val="2"/>
    </font>
    <font>
      <b/>
      <i/>
      <sz val="10"/>
      <name val="Arial"/>
      <family val="2"/>
    </font>
    <font>
      <u/>
      <sz val="10"/>
      <color theme="10"/>
      <name val="Arial"/>
    </font>
  </fonts>
  <fills count="3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theme="6" tint="0.39997558519241921"/>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CC"/>
        <bgColor indexed="64"/>
      </patternFill>
    </fill>
    <fill>
      <patternFill patternType="solid">
        <fgColor theme="9" tint="0.59999389629810485"/>
        <bgColor indexed="64"/>
      </patternFill>
    </fill>
    <fill>
      <patternFill patternType="solid">
        <fgColor rgb="FF99CCFF"/>
        <bgColor indexed="64"/>
      </patternFill>
    </fill>
    <fill>
      <patternFill patternType="solid">
        <fgColor rgb="FFFFFF00"/>
        <bgColor indexed="64"/>
      </patternFill>
    </fill>
    <fill>
      <patternFill patternType="solid">
        <fgColor theme="6" tint="0.39994506668294322"/>
        <bgColor indexed="64"/>
      </patternFill>
    </fill>
    <fill>
      <patternFill patternType="solid">
        <fgColor rgb="FF000080"/>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rgb="FFCCFFCC"/>
        <bgColor indexed="64"/>
      </patternFill>
    </fill>
    <fill>
      <patternFill patternType="solid">
        <fgColor rgb="FFC4D79B"/>
        <bgColor indexed="64"/>
      </patternFill>
    </fill>
  </fills>
  <borders count="13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57"/>
      </left>
      <right/>
      <top style="medium">
        <color indexed="57"/>
      </top>
      <bottom/>
      <diagonal/>
    </border>
    <border>
      <left style="medium">
        <color indexed="57"/>
      </left>
      <right/>
      <top/>
      <bottom/>
      <diagonal/>
    </border>
    <border>
      <left style="medium">
        <color indexed="57"/>
      </left>
      <right/>
      <top/>
      <bottom style="medium">
        <color indexed="57"/>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53"/>
      </left>
      <right/>
      <top style="medium">
        <color indexed="53"/>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57"/>
      </top>
      <bottom/>
      <diagonal/>
    </border>
    <border>
      <left/>
      <right/>
      <top/>
      <bottom style="medium">
        <color indexed="57"/>
      </bottom>
      <diagonal/>
    </border>
    <border>
      <left/>
      <right style="medium">
        <color indexed="31"/>
      </right>
      <top/>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style="medium">
        <color indexed="44"/>
      </left>
      <right/>
      <top/>
      <bottom/>
      <diagonal/>
    </border>
    <border>
      <left/>
      <right style="medium">
        <color indexed="44"/>
      </right>
      <top/>
      <bottom/>
      <diagonal/>
    </border>
    <border>
      <left style="medium">
        <color indexed="44"/>
      </left>
      <right/>
      <top/>
      <bottom style="medium">
        <color indexed="44"/>
      </bottom>
      <diagonal/>
    </border>
    <border>
      <left/>
      <right/>
      <top/>
      <bottom style="medium">
        <color indexed="44"/>
      </bottom>
      <diagonal/>
    </border>
    <border>
      <left/>
      <right style="medium">
        <color indexed="44"/>
      </right>
      <top/>
      <bottom style="medium">
        <color indexed="4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53"/>
      </right>
      <top style="medium">
        <color indexed="53"/>
      </top>
      <bottom/>
      <diagonal/>
    </border>
    <border>
      <left/>
      <right style="medium">
        <color indexed="53"/>
      </right>
      <top/>
      <bottom/>
      <diagonal/>
    </border>
    <border>
      <left/>
      <right style="medium">
        <color indexed="53"/>
      </right>
      <top/>
      <bottom style="medium">
        <color indexed="53"/>
      </bottom>
      <diagonal/>
    </border>
    <border>
      <left/>
      <right style="medium">
        <color indexed="57"/>
      </right>
      <top style="medium">
        <color indexed="57"/>
      </top>
      <bottom/>
      <diagonal/>
    </border>
    <border>
      <left/>
      <right style="medium">
        <color indexed="57"/>
      </right>
      <top/>
      <bottom/>
      <diagonal/>
    </border>
    <border>
      <left/>
      <right style="medium">
        <color indexed="57"/>
      </right>
      <top/>
      <bottom style="medium">
        <color indexed="57"/>
      </bottom>
      <diagonal/>
    </border>
    <border>
      <left style="medium">
        <color indexed="30"/>
      </left>
      <right style="medium">
        <color indexed="30"/>
      </right>
      <top style="medium">
        <color indexed="30"/>
      </top>
      <bottom style="medium">
        <color indexed="30"/>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0"/>
      </left>
      <right/>
      <top style="medium">
        <color indexed="30"/>
      </top>
      <bottom style="medium">
        <color indexed="30"/>
      </bottom>
      <diagonal/>
    </border>
    <border>
      <left/>
      <right style="medium">
        <color indexed="30"/>
      </right>
      <top style="medium">
        <color indexed="30"/>
      </top>
      <bottom style="medium">
        <color indexed="30"/>
      </bottom>
      <diagonal/>
    </border>
    <border>
      <left/>
      <right/>
      <top/>
      <bottom style="medium">
        <color indexed="17"/>
      </bottom>
      <diagonal/>
    </border>
    <border>
      <left/>
      <right/>
      <top style="medium">
        <color indexed="17"/>
      </top>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indexed="31"/>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indexed="31"/>
      </right>
      <top/>
      <bottom style="medium">
        <color theme="3" tint="-0.24994659260841701"/>
      </bottom>
      <diagonal/>
    </border>
    <border>
      <left/>
      <right style="medium">
        <color theme="3" tint="-0.24994659260841701"/>
      </right>
      <top/>
      <bottom style="medium">
        <color theme="3" tint="-0.24994659260841701"/>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indexed="31"/>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indexed="31"/>
      </right>
      <top/>
      <bottom style="medium">
        <color theme="3" tint="-0.499984740745262"/>
      </bottom>
      <diagonal/>
    </border>
    <border>
      <left/>
      <right style="medium">
        <color theme="3" tint="-0.499984740745262"/>
      </right>
      <top/>
      <bottom style="medium">
        <color theme="3" tint="-0.499984740745262"/>
      </bottom>
      <diagonal/>
    </border>
    <border>
      <left style="medium">
        <color rgb="FFFF6600"/>
      </left>
      <right/>
      <top/>
      <bottom/>
      <diagonal/>
    </border>
    <border>
      <left style="medium">
        <color rgb="FFFF6600"/>
      </left>
      <right/>
      <top style="medium">
        <color indexed="53"/>
      </top>
      <bottom/>
      <diagonal/>
    </border>
    <border>
      <left style="medium">
        <color rgb="FFFF6600"/>
      </left>
      <right/>
      <top/>
      <bottom style="medium">
        <color indexed="53"/>
      </bottom>
      <diagonal/>
    </border>
    <border>
      <left style="medium">
        <color rgb="FFFF6600"/>
      </left>
      <right/>
      <top/>
      <bottom style="medium">
        <color rgb="FFFF6600"/>
      </bottom>
      <diagonal/>
    </border>
    <border>
      <left style="medium">
        <color rgb="FFFF6600"/>
      </left>
      <right/>
      <top style="medium">
        <color rgb="FFFF6600"/>
      </top>
      <bottom/>
      <diagonal/>
    </border>
    <border>
      <left style="medium">
        <color rgb="FF0066CC"/>
      </left>
      <right/>
      <top style="medium">
        <color rgb="FF0066CC"/>
      </top>
      <bottom style="medium">
        <color rgb="FF0066CC"/>
      </bottom>
      <diagonal/>
    </border>
    <border>
      <left/>
      <right style="medium">
        <color rgb="FF0066CC"/>
      </right>
      <top style="medium">
        <color rgb="FF0066CC"/>
      </top>
      <bottom style="medium">
        <color rgb="FF0066CC"/>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rgb="FF008000"/>
      </left>
      <right/>
      <top style="medium">
        <color indexed="17"/>
      </top>
      <bottom style="medium">
        <color rgb="FF008000"/>
      </bottom>
      <diagonal/>
    </border>
    <border>
      <left/>
      <right style="medium">
        <color rgb="FF008000"/>
      </right>
      <top style="medium">
        <color indexed="17"/>
      </top>
      <bottom style="medium">
        <color rgb="FF008000"/>
      </bottom>
      <diagonal/>
    </border>
    <border>
      <left/>
      <right/>
      <top style="medium">
        <color rgb="FF008000"/>
      </top>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style="medium">
        <color indexed="64"/>
      </bottom>
      <diagonal/>
    </border>
    <border>
      <left/>
      <right/>
      <top style="medium">
        <color indexed="53"/>
      </top>
      <bottom/>
      <diagonal/>
    </border>
    <border>
      <left style="medium">
        <color indexed="53"/>
      </left>
      <right/>
      <top style="medium">
        <color indexed="53"/>
      </top>
      <bottom/>
      <diagonal/>
    </border>
    <border>
      <left/>
      <right/>
      <top/>
      <bottom style="medium">
        <color rgb="FFFF6600"/>
      </bottom>
      <diagonal/>
    </border>
    <border>
      <left/>
      <right/>
      <top style="medium">
        <color rgb="FFFF6600"/>
      </top>
      <bottom/>
      <diagonal/>
    </border>
    <border>
      <left style="medium">
        <color rgb="FF008000"/>
      </left>
      <right style="medium">
        <color rgb="FF008000"/>
      </right>
      <top style="medium">
        <color rgb="FF008000"/>
      </top>
      <bottom style="medium">
        <color rgb="FF008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medium">
        <color rgb="FF008000"/>
      </right>
      <top style="medium">
        <color rgb="FF008000"/>
      </top>
      <bottom style="medium">
        <color rgb="FF008000"/>
      </bottom>
      <diagonal/>
    </border>
    <border>
      <left style="thin">
        <color rgb="FFFF0000"/>
      </left>
      <right/>
      <top style="medium">
        <color rgb="FF008000"/>
      </top>
      <bottom/>
      <diagonal/>
    </border>
    <border>
      <left/>
      <right style="medium">
        <color auto="1"/>
      </right>
      <top/>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style="thin">
        <color rgb="FFFF0000"/>
      </right>
      <top style="medium">
        <color rgb="FF008000"/>
      </top>
      <bottom/>
      <diagonal/>
    </border>
    <border>
      <left style="medium">
        <color rgb="FFCCCCFF"/>
      </left>
      <right style="medium">
        <color indexed="64"/>
      </right>
      <top/>
      <bottom/>
      <diagonal/>
    </border>
    <border>
      <left style="medium">
        <color rgb="FFCCCCFF"/>
      </left>
      <right/>
      <top style="medium">
        <color indexed="57"/>
      </top>
      <bottom/>
      <diagonal/>
    </border>
    <border>
      <left style="medium">
        <color rgb="FFCCCCFF"/>
      </left>
      <right/>
      <top/>
      <bottom/>
      <diagonal/>
    </border>
    <border>
      <left style="medium">
        <color rgb="FFCCCCFF"/>
      </left>
      <right/>
      <top/>
      <bottom style="medium">
        <color indexed="57"/>
      </bottom>
      <diagonal/>
    </border>
  </borders>
  <cellStyleXfs count="71">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3" fontId="4" fillId="17" borderId="2">
      <alignment horizontal="right"/>
    </xf>
    <xf numFmtId="3" fontId="2" fillId="17" borderId="2">
      <alignment horizontal="right"/>
    </xf>
    <xf numFmtId="3" fontId="3" fillId="17" borderId="3">
      <alignment horizontal="right"/>
    </xf>
    <xf numFmtId="3" fontId="4" fillId="17" borderId="3">
      <alignment horizontal="right"/>
    </xf>
    <xf numFmtId="3" fontId="2" fillId="17" borderId="3">
      <alignment horizontal="right"/>
    </xf>
    <xf numFmtId="0" fontId="19" fillId="18" borderId="4"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6" fillId="7" borderId="1" applyNumberFormat="0" applyAlignment="0" applyProtection="0"/>
    <xf numFmtId="0" fontId="27" fillId="0" borderId="8" applyNumberFormat="0" applyFill="0" applyAlignment="0" applyProtection="0"/>
    <xf numFmtId="0" fontId="28" fillId="7" borderId="0" applyNumberFormat="0" applyBorder="0" applyAlignment="0" applyProtection="0"/>
    <xf numFmtId="0" fontId="2" fillId="0" borderId="0"/>
    <xf numFmtId="0" fontId="2" fillId="4" borderId="9" applyNumberFormat="0" applyFont="0" applyAlignment="0" applyProtection="0"/>
    <xf numFmtId="0" fontId="29" fillId="16" borderId="10" applyNumberFormat="0" applyAlignment="0" applyProtection="0"/>
    <xf numFmtId="9" fontId="2" fillId="0" borderId="0" applyFon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27"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64" fillId="0" borderId="0" applyNumberFormat="0" applyFill="0" applyBorder="0" applyAlignment="0" applyProtection="0"/>
    <xf numFmtId="0" fontId="65" fillId="0" borderId="0"/>
    <xf numFmtId="0" fontId="28" fillId="7" borderId="0" applyNumberFormat="0" applyBorder="0" applyAlignment="0" applyProtection="0"/>
    <xf numFmtId="0" fontId="1" fillId="0" borderId="0"/>
    <xf numFmtId="9" fontId="2" fillId="0" borderId="0" applyFont="0" applyFill="0" applyBorder="0" applyAlignment="0" applyProtection="0"/>
    <xf numFmtId="0" fontId="65" fillId="0" borderId="0"/>
    <xf numFmtId="0" fontId="2" fillId="0" borderId="0"/>
    <xf numFmtId="164" fontId="2" fillId="0" borderId="0" applyFont="0" applyFill="0" applyBorder="0" applyAlignment="0" applyProtection="0"/>
    <xf numFmtId="0" fontId="2" fillId="0" borderId="0"/>
    <xf numFmtId="0" fontId="2" fillId="0" borderId="0"/>
    <xf numFmtId="0" fontId="6" fillId="0" borderId="0"/>
    <xf numFmtId="0" fontId="7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2" fillId="0" borderId="0"/>
    <xf numFmtId="0" fontId="2" fillId="0" borderId="0"/>
    <xf numFmtId="171" fontId="87" fillId="0" borderId="0"/>
    <xf numFmtId="0" fontId="2" fillId="0" borderId="0"/>
    <xf numFmtId="0" fontId="90" fillId="0" borderId="0" applyNumberFormat="0" applyFill="0" applyBorder="0" applyAlignment="0" applyProtection="0"/>
  </cellStyleXfs>
  <cellXfs count="1108">
    <xf numFmtId="0" fontId="0" fillId="0" borderId="0" xfId="0"/>
    <xf numFmtId="0" fontId="0" fillId="19" borderId="0" xfId="0" applyFill="1" applyBorder="1" applyAlignment="1">
      <alignment horizontal="center"/>
    </xf>
    <xf numFmtId="0" fontId="0" fillId="19" borderId="0" xfId="0" applyFill="1" applyBorder="1"/>
    <xf numFmtId="0" fontId="3" fillId="19" borderId="0" xfId="0" applyFont="1" applyFill="1" applyBorder="1" applyAlignment="1">
      <alignment horizontal="center"/>
    </xf>
    <xf numFmtId="0" fontId="0" fillId="19" borderId="12" xfId="0" applyFill="1" applyBorder="1"/>
    <xf numFmtId="0" fontId="0" fillId="19" borderId="13" xfId="0" applyFill="1" applyBorder="1"/>
    <xf numFmtId="0" fontId="3" fillId="19" borderId="0" xfId="0" applyFont="1" applyFill="1" applyBorder="1"/>
    <xf numFmtId="0" fontId="0" fillId="19" borderId="14" xfId="0" applyFill="1" applyBorder="1"/>
    <xf numFmtId="0" fontId="6" fillId="17" borderId="0" xfId="0" applyFont="1" applyFill="1" applyBorder="1"/>
    <xf numFmtId="0" fontId="6" fillId="0" borderId="0" xfId="0" applyFont="1"/>
    <xf numFmtId="0" fontId="6" fillId="19" borderId="0" xfId="0" applyFont="1" applyFill="1" applyBorder="1"/>
    <xf numFmtId="0" fontId="6" fillId="19" borderId="15" xfId="0" applyFont="1" applyFill="1" applyBorder="1"/>
    <xf numFmtId="0" fontId="8" fillId="19" borderId="0" xfId="0" applyFont="1" applyFill="1" applyBorder="1" applyAlignment="1">
      <alignment horizontal="left"/>
    </xf>
    <xf numFmtId="0" fontId="8" fillId="19" borderId="0" xfId="0" applyFont="1" applyFill="1" applyBorder="1"/>
    <xf numFmtId="0" fontId="8" fillId="19" borderId="0" xfId="0" applyFont="1" applyFill="1" applyBorder="1" applyAlignment="1">
      <alignment horizontal="center"/>
    </xf>
    <xf numFmtId="0" fontId="6" fillId="19" borderId="0" xfId="0" applyFont="1" applyFill="1" applyBorder="1" applyAlignment="1">
      <alignment horizontal="left"/>
    </xf>
    <xf numFmtId="0" fontId="8" fillId="19" borderId="0" xfId="0" applyFont="1" applyFill="1" applyBorder="1" applyAlignment="1"/>
    <xf numFmtId="0" fontId="6" fillId="17" borderId="18" xfId="0" applyFont="1" applyFill="1" applyBorder="1"/>
    <xf numFmtId="0" fontId="6" fillId="17" borderId="19" xfId="0" applyFont="1" applyFill="1" applyBorder="1"/>
    <xf numFmtId="0" fontId="6" fillId="17" borderId="20" xfId="0" applyFont="1" applyFill="1" applyBorder="1"/>
    <xf numFmtId="0" fontId="8" fillId="17" borderId="0" xfId="0" applyFont="1" applyFill="1" applyBorder="1"/>
    <xf numFmtId="0" fontId="6" fillId="17" borderId="21" xfId="0" applyFont="1" applyFill="1" applyBorder="1"/>
    <xf numFmtId="0" fontId="6" fillId="17" borderId="22" xfId="0" applyFont="1" applyFill="1" applyBorder="1"/>
    <xf numFmtId="0" fontId="0" fillId="19" borderId="23" xfId="0" applyFill="1" applyBorder="1"/>
    <xf numFmtId="0" fontId="0" fillId="19" borderId="24" xfId="0" applyFill="1" applyBorder="1"/>
    <xf numFmtId="0" fontId="0" fillId="19" borderId="25" xfId="0" applyFill="1" applyBorder="1"/>
    <xf numFmtId="0" fontId="11" fillId="19" borderId="0" xfId="0" applyFont="1" applyFill="1" applyBorder="1"/>
    <xf numFmtId="0" fontId="12" fillId="19" borderId="0" xfId="0" applyFont="1" applyFill="1" applyBorder="1"/>
    <xf numFmtId="0" fontId="12" fillId="19" borderId="15" xfId="0" applyFont="1" applyFill="1" applyBorder="1"/>
    <xf numFmtId="0" fontId="12" fillId="17" borderId="0" xfId="0" applyFont="1" applyFill="1" applyBorder="1" applyAlignment="1">
      <alignment horizontal="center"/>
    </xf>
    <xf numFmtId="0" fontId="0" fillId="17" borderId="18" xfId="0" applyFill="1" applyBorder="1"/>
    <xf numFmtId="0" fontId="12" fillId="17" borderId="19" xfId="0" applyFont="1" applyFill="1" applyBorder="1"/>
    <xf numFmtId="0" fontId="0" fillId="17" borderId="20" xfId="0" applyFill="1" applyBorder="1"/>
    <xf numFmtId="0" fontId="11" fillId="17" borderId="0" xfId="0" applyFont="1" applyFill="1" applyBorder="1"/>
    <xf numFmtId="0" fontId="12" fillId="17" borderId="0" xfId="0" applyFont="1" applyFill="1" applyBorder="1"/>
    <xf numFmtId="0" fontId="0" fillId="17" borderId="21" xfId="0" applyFill="1" applyBorder="1"/>
    <xf numFmtId="0" fontId="12" fillId="17" borderId="22" xfId="0" applyFont="1" applyFill="1" applyBorder="1"/>
    <xf numFmtId="0" fontId="12" fillId="0" borderId="0" xfId="0" applyFont="1"/>
    <xf numFmtId="0" fontId="12" fillId="17" borderId="18" xfId="0" applyFont="1" applyFill="1" applyBorder="1"/>
    <xf numFmtId="0" fontId="12" fillId="17" borderId="20" xfId="0" applyFont="1" applyFill="1" applyBorder="1"/>
    <xf numFmtId="0" fontId="12" fillId="17" borderId="21" xfId="0" applyFont="1" applyFill="1" applyBorder="1"/>
    <xf numFmtId="0" fontId="11" fillId="19" borderId="23" xfId="0" applyFont="1" applyFill="1" applyBorder="1" applyAlignment="1">
      <alignment horizontal="left"/>
    </xf>
    <xf numFmtId="0" fontId="12" fillId="19" borderId="0" xfId="0" applyFont="1" applyFill="1" applyBorder="1" applyAlignment="1"/>
    <xf numFmtId="0" fontId="12" fillId="19" borderId="23" xfId="0" applyFont="1" applyFill="1" applyBorder="1" applyAlignment="1"/>
    <xf numFmtId="0" fontId="11" fillId="19" borderId="0" xfId="0" applyFont="1" applyFill="1" applyBorder="1" applyAlignment="1"/>
    <xf numFmtId="0" fontId="12" fillId="19" borderId="23"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0" xfId="0" applyFill="1" applyBorder="1" applyProtection="1">
      <protection locked="0"/>
    </xf>
    <xf numFmtId="0" fontId="0" fillId="20" borderId="0" xfId="0" applyNumberFormat="1" applyFill="1" applyBorder="1" applyProtection="1">
      <protection locked="0"/>
    </xf>
    <xf numFmtId="0" fontId="6" fillId="20" borderId="0" xfId="0" applyFont="1" applyFill="1" applyBorder="1" applyProtection="1">
      <protection locked="0"/>
    </xf>
    <xf numFmtId="0" fontId="0" fillId="0" borderId="0" xfId="0" applyBorder="1"/>
    <xf numFmtId="0" fontId="0" fillId="19" borderId="26" xfId="0" applyFill="1" applyBorder="1"/>
    <xf numFmtId="0" fontId="0" fillId="19" borderId="16" xfId="0" applyFill="1" applyBorder="1"/>
    <xf numFmtId="0" fontId="0" fillId="19" borderId="17" xfId="0" applyFill="1" applyBorder="1"/>
    <xf numFmtId="0" fontId="0" fillId="19" borderId="15" xfId="0" applyFill="1" applyBorder="1"/>
    <xf numFmtId="0" fontId="0" fillId="19" borderId="27" xfId="0" applyFill="1" applyBorder="1"/>
    <xf numFmtId="0" fontId="12" fillId="19" borderId="28" xfId="0" applyFont="1" applyFill="1" applyBorder="1"/>
    <xf numFmtId="0" fontId="12" fillId="19" borderId="29" xfId="0" applyFont="1" applyFill="1" applyBorder="1"/>
    <xf numFmtId="0" fontId="11" fillId="17" borderId="0" xfId="0" applyFont="1" applyFill="1" applyBorder="1" applyAlignment="1">
      <alignment horizontal="center"/>
    </xf>
    <xf numFmtId="0" fontId="0" fillId="17" borderId="22" xfId="0" applyFill="1" applyBorder="1"/>
    <xf numFmtId="0" fontId="12" fillId="19" borderId="0" xfId="0" applyFont="1" applyFill="1" applyBorder="1" applyAlignment="1">
      <alignment vertical="top" wrapText="1"/>
    </xf>
    <xf numFmtId="0" fontId="12" fillId="19" borderId="0" xfId="0" applyFont="1" applyFill="1" applyBorder="1" applyAlignment="1">
      <alignment horizontal="center"/>
    </xf>
    <xf numFmtId="3" fontId="12" fillId="19" borderId="0" xfId="0" applyNumberFormat="1" applyFont="1" applyFill="1" applyBorder="1" applyAlignment="1">
      <alignment horizontal="right" vertical="center" indent="1"/>
    </xf>
    <xf numFmtId="3" fontId="11" fillId="19" borderId="0" xfId="0" applyNumberFormat="1" applyFont="1" applyFill="1" applyBorder="1" applyAlignment="1">
      <alignment horizontal="right" vertical="center" indent="1"/>
    </xf>
    <xf numFmtId="3" fontId="12" fillId="19" borderId="30" xfId="0" applyNumberFormat="1" applyFont="1" applyFill="1" applyBorder="1" applyAlignment="1">
      <alignment horizontal="right" vertical="center" indent="1"/>
    </xf>
    <xf numFmtId="3" fontId="11" fillId="19" borderId="28" xfId="0" applyNumberFormat="1" applyFont="1" applyFill="1" applyBorder="1" applyAlignment="1">
      <alignment horizontal="right" vertical="center" indent="1"/>
    </xf>
    <xf numFmtId="3" fontId="12" fillId="19" borderId="28" xfId="0" applyNumberFormat="1" applyFont="1" applyFill="1" applyBorder="1" applyAlignment="1">
      <alignment horizontal="right" vertical="center" indent="1"/>
    </xf>
    <xf numFmtId="3" fontId="11" fillId="19" borderId="29" xfId="0" applyNumberFormat="1" applyFont="1" applyFill="1" applyBorder="1" applyAlignment="1">
      <alignment horizontal="right" vertical="center" indent="1"/>
    </xf>
    <xf numFmtId="3" fontId="12" fillId="19" borderId="29" xfId="0" applyNumberFormat="1" applyFont="1" applyFill="1" applyBorder="1" applyAlignment="1">
      <alignment horizontal="right" vertical="center" indent="1"/>
    </xf>
    <xf numFmtId="3" fontId="12" fillId="17" borderId="19" xfId="0" applyNumberFormat="1" applyFont="1" applyFill="1" applyBorder="1" applyAlignment="1">
      <alignment horizontal="right" vertical="center" indent="1"/>
    </xf>
    <xf numFmtId="3" fontId="12" fillId="17" borderId="0" xfId="0" applyNumberFormat="1" applyFont="1" applyFill="1" applyBorder="1" applyAlignment="1">
      <alignment horizontal="right" vertical="center" indent="1"/>
    </xf>
    <xf numFmtId="3" fontId="11" fillId="17" borderId="0" xfId="0" applyNumberFormat="1" applyFont="1" applyFill="1" applyBorder="1" applyAlignment="1">
      <alignment horizontal="right" vertical="center" indent="1"/>
    </xf>
    <xf numFmtId="0" fontId="6" fillId="20" borderId="26" xfId="0" applyFont="1" applyFill="1" applyBorder="1" applyAlignment="1"/>
    <xf numFmtId="0" fontId="6" fillId="20" borderId="16" xfId="0" applyFont="1" applyFill="1" applyBorder="1" applyAlignment="1"/>
    <xf numFmtId="0" fontId="6" fillId="20" borderId="17" xfId="0" applyFont="1" applyFill="1" applyBorder="1" applyAlignment="1"/>
    <xf numFmtId="0" fontId="6" fillId="20" borderId="24" xfId="0" applyFont="1" applyFill="1" applyBorder="1" applyAlignment="1"/>
    <xf numFmtId="0" fontId="6" fillId="20" borderId="25" xfId="0" applyFont="1" applyFill="1" applyBorder="1" applyAlignment="1"/>
    <xf numFmtId="0" fontId="6" fillId="20" borderId="27" xfId="0" applyFont="1" applyFill="1" applyBorder="1" applyAlignment="1"/>
    <xf numFmtId="0" fontId="32" fillId="19" borderId="0" xfId="0" applyFont="1" applyFill="1" applyBorder="1" applyAlignment="1">
      <alignment horizontal="left"/>
    </xf>
    <xf numFmtId="3" fontId="12" fillId="19" borderId="23" xfId="0" applyNumberFormat="1" applyFont="1" applyFill="1" applyBorder="1" applyAlignment="1">
      <alignment horizontal="right" vertical="center" indent="1"/>
    </xf>
    <xf numFmtId="3" fontId="6" fillId="19" borderId="0" xfId="0" applyNumberFormat="1" applyFont="1" applyFill="1" applyBorder="1" applyAlignment="1">
      <alignment horizontal="right" vertical="center" indent="1"/>
    </xf>
    <xf numFmtId="3" fontId="9" fillId="19" borderId="0" xfId="0" applyNumberFormat="1" applyFont="1" applyFill="1" applyBorder="1" applyAlignment="1">
      <alignment horizontal="right" vertical="center" indent="1"/>
    </xf>
    <xf numFmtId="3" fontId="10" fillId="19" borderId="0" xfId="0" applyNumberFormat="1" applyFont="1" applyFill="1" applyBorder="1" applyAlignment="1">
      <alignment horizontal="right" vertical="center" indent="1"/>
    </xf>
    <xf numFmtId="3" fontId="6" fillId="17" borderId="19" xfId="0" applyNumberFormat="1" applyFont="1" applyFill="1" applyBorder="1" applyAlignment="1">
      <alignment horizontal="right" vertical="center" indent="1"/>
    </xf>
    <xf numFmtId="3" fontId="9"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center" vertical="center"/>
    </xf>
    <xf numFmtId="0" fontId="6" fillId="0" borderId="0" xfId="0" applyFont="1" applyAlignment="1">
      <alignment horizontal="center"/>
    </xf>
    <xf numFmtId="0" fontId="12" fillId="19" borderId="25" xfId="0" applyFont="1" applyFill="1" applyBorder="1"/>
    <xf numFmtId="3" fontId="11" fillId="19" borderId="25" xfId="0" applyNumberFormat="1" applyFont="1" applyFill="1" applyBorder="1" applyAlignment="1">
      <alignment horizontal="right" vertical="center" indent="1"/>
    </xf>
    <xf numFmtId="3" fontId="12" fillId="19" borderId="25" xfId="0" applyNumberFormat="1" applyFont="1" applyFill="1" applyBorder="1" applyAlignment="1">
      <alignment horizontal="right" vertical="center" indent="1"/>
    </xf>
    <xf numFmtId="0" fontId="6" fillId="0" borderId="0" xfId="0" applyFont="1" applyBorder="1"/>
    <xf numFmtId="0" fontId="6" fillId="0" borderId="25" xfId="0" applyFont="1" applyBorder="1"/>
    <xf numFmtId="0" fontId="6" fillId="0" borderId="16" xfId="0" applyFont="1" applyBorder="1"/>
    <xf numFmtId="0" fontId="6" fillId="0" borderId="0" xfId="0" applyFont="1" applyBorder="1" applyAlignment="1">
      <alignment horizontal="center"/>
    </xf>
    <xf numFmtId="0" fontId="6" fillId="17" borderId="25" xfId="0" applyFont="1" applyFill="1" applyBorder="1"/>
    <xf numFmtId="3" fontId="6" fillId="0" borderId="0" xfId="0" applyNumberFormat="1" applyFont="1"/>
    <xf numFmtId="165" fontId="6" fillId="0" borderId="0" xfId="0" applyNumberFormat="1" applyFont="1"/>
    <xf numFmtId="3" fontId="12" fillId="19" borderId="0" xfId="0" applyNumberFormat="1" applyFont="1" applyFill="1" applyBorder="1" applyAlignment="1" applyProtection="1">
      <alignment horizontal="right" vertical="center" indent="1"/>
      <protection locked="0"/>
    </xf>
    <xf numFmtId="3" fontId="12" fillId="19" borderId="30" xfId="0" applyNumberFormat="1" applyFont="1" applyFill="1" applyBorder="1" applyAlignment="1" applyProtection="1">
      <alignment horizontal="right" vertical="center" indent="1"/>
      <protection locked="0"/>
    </xf>
    <xf numFmtId="0" fontId="8" fillId="19" borderId="0" xfId="0" applyFont="1" applyFill="1" applyBorder="1" applyAlignment="1">
      <alignment vertical="top"/>
    </xf>
    <xf numFmtId="0" fontId="6" fillId="19" borderId="31" xfId="0" applyFont="1" applyFill="1" applyBorder="1"/>
    <xf numFmtId="3" fontId="39" fillId="19" borderId="31" xfId="0" applyNumberFormat="1" applyFont="1" applyFill="1" applyBorder="1" applyAlignment="1">
      <alignment horizontal="right" vertical="center"/>
    </xf>
    <xf numFmtId="3" fontId="9" fillId="19" borderId="31" xfId="0" applyNumberFormat="1" applyFont="1" applyFill="1" applyBorder="1" applyAlignment="1">
      <alignment horizontal="right" vertical="center"/>
    </xf>
    <xf numFmtId="3" fontId="41" fillId="19" borderId="31" xfId="0" applyNumberFormat="1" applyFont="1" applyFill="1" applyBorder="1" applyAlignment="1">
      <alignment horizontal="left" vertical="center" indent="1"/>
    </xf>
    <xf numFmtId="3" fontId="6" fillId="19" borderId="31" xfId="0" applyNumberFormat="1" applyFont="1" applyFill="1" applyBorder="1" applyAlignment="1">
      <alignment horizontal="left" vertical="center" indent="1"/>
    </xf>
    <xf numFmtId="3" fontId="6" fillId="19" borderId="31" xfId="0" applyNumberFormat="1" applyFont="1" applyFill="1" applyBorder="1" applyAlignment="1">
      <alignment horizontal="right" vertical="center" indent="1"/>
    </xf>
    <xf numFmtId="0" fontId="6" fillId="17" borderId="32" xfId="0" applyFont="1" applyFill="1" applyBorder="1"/>
    <xf numFmtId="3" fontId="39" fillId="17" borderId="32" xfId="0" applyNumberFormat="1" applyFont="1" applyFill="1" applyBorder="1" applyAlignment="1">
      <alignment horizontal="right" vertical="center"/>
    </xf>
    <xf numFmtId="3" fontId="9" fillId="17" borderId="32" xfId="0" applyNumberFormat="1" applyFont="1" applyFill="1" applyBorder="1" applyAlignment="1">
      <alignment horizontal="right" vertical="center"/>
    </xf>
    <xf numFmtId="3" fontId="41" fillId="17" borderId="32" xfId="0" applyNumberFormat="1" applyFont="1" applyFill="1" applyBorder="1" applyAlignment="1">
      <alignment horizontal="left" vertical="center" indent="1"/>
    </xf>
    <xf numFmtId="3" fontId="6" fillId="17" borderId="32" xfId="0" applyNumberFormat="1" applyFont="1" applyFill="1" applyBorder="1" applyAlignment="1">
      <alignment horizontal="left" vertical="center" indent="1"/>
    </xf>
    <xf numFmtId="3" fontId="6" fillId="17" borderId="32" xfId="0" applyNumberFormat="1" applyFont="1" applyFill="1" applyBorder="1" applyAlignment="1">
      <alignment horizontal="right" vertical="center" indent="1"/>
    </xf>
    <xf numFmtId="3" fontId="6" fillId="17" borderId="25" xfId="0" applyNumberFormat="1" applyFont="1" applyFill="1" applyBorder="1" applyAlignment="1">
      <alignment horizontal="left" vertical="center" indent="1"/>
    </xf>
    <xf numFmtId="3" fontId="6" fillId="17" borderId="25" xfId="0" applyNumberFormat="1" applyFont="1" applyFill="1" applyBorder="1" applyAlignment="1">
      <alignment horizontal="right" vertical="center" indent="1"/>
    </xf>
    <xf numFmtId="3" fontId="41" fillId="17" borderId="25" xfId="0" applyNumberFormat="1" applyFont="1" applyFill="1" applyBorder="1" applyAlignment="1">
      <alignment horizontal="left" vertical="center" indent="1"/>
    </xf>
    <xf numFmtId="0" fontId="6" fillId="17" borderId="33" xfId="0" applyFont="1" applyFill="1" applyBorder="1"/>
    <xf numFmtId="0" fontId="6" fillId="17" borderId="27" xfId="0" applyFont="1" applyFill="1" applyBorder="1"/>
    <xf numFmtId="0" fontId="6" fillId="19" borderId="0" xfId="0" applyFont="1" applyFill="1" applyBorder="1" applyAlignment="1">
      <alignment vertical="top"/>
    </xf>
    <xf numFmtId="3" fontId="44" fillId="19" borderId="0" xfId="0" applyNumberFormat="1" applyFont="1" applyFill="1" applyBorder="1" applyAlignment="1">
      <alignment horizontal="left" vertical="center" indent="1"/>
    </xf>
    <xf numFmtId="3" fontId="8" fillId="19" borderId="0" xfId="0" applyNumberFormat="1" applyFont="1" applyFill="1" applyBorder="1" applyAlignment="1">
      <alignment horizontal="right" vertical="center" indent="1"/>
    </xf>
    <xf numFmtId="3" fontId="8" fillId="17" borderId="0" xfId="0" applyNumberFormat="1" applyFont="1" applyFill="1" applyBorder="1" applyAlignment="1">
      <alignment horizontal="right" vertical="center" indent="1"/>
    </xf>
    <xf numFmtId="3" fontId="6" fillId="17" borderId="0" xfId="0" applyNumberFormat="1" applyFont="1" applyFill="1" applyBorder="1"/>
    <xf numFmtId="3" fontId="46" fillId="17" borderId="0" xfId="0" applyNumberFormat="1" applyFont="1" applyFill="1" applyBorder="1"/>
    <xf numFmtId="0" fontId="2" fillId="0" borderId="0" xfId="0" applyFont="1"/>
    <xf numFmtId="0" fontId="0" fillId="17" borderId="41" xfId="0" applyFill="1" applyBorder="1"/>
    <xf numFmtId="0" fontId="11" fillId="17" borderId="42" xfId="0" applyFont="1" applyFill="1" applyBorder="1"/>
    <xf numFmtId="0" fontId="12" fillId="17" borderId="42" xfId="0" applyFont="1" applyFill="1" applyBorder="1"/>
    <xf numFmtId="3" fontId="12" fillId="17" borderId="42" xfId="0" applyNumberFormat="1" applyFont="1" applyFill="1" applyBorder="1" applyAlignment="1">
      <alignment horizontal="right" vertical="center" indent="1"/>
    </xf>
    <xf numFmtId="0" fontId="12" fillId="17" borderId="43" xfId="0" applyFont="1" applyFill="1" applyBorder="1"/>
    <xf numFmtId="0" fontId="0" fillId="17" borderId="44" xfId="0" applyFill="1" applyBorder="1"/>
    <xf numFmtId="0" fontId="12" fillId="17" borderId="45" xfId="0" applyFont="1" applyFill="1" applyBorder="1"/>
    <xf numFmtId="0" fontId="12" fillId="17" borderId="45" xfId="0" applyFont="1" applyFill="1" applyBorder="1" applyAlignment="1">
      <alignment horizontal="center"/>
    </xf>
    <xf numFmtId="0" fontId="0" fillId="17" borderId="46" xfId="0" applyFill="1" applyBorder="1"/>
    <xf numFmtId="0" fontId="11" fillId="17" borderId="47" xfId="0" applyFont="1" applyFill="1" applyBorder="1"/>
    <xf numFmtId="0" fontId="12" fillId="17" borderId="47" xfId="0" applyFont="1" applyFill="1" applyBorder="1"/>
    <xf numFmtId="0" fontId="12" fillId="17" borderId="48" xfId="0" applyFont="1" applyFill="1" applyBorder="1"/>
    <xf numFmtId="0" fontId="12" fillId="19" borderId="24" xfId="0" applyFont="1" applyFill="1" applyBorder="1"/>
    <xf numFmtId="0" fontId="12" fillId="19" borderId="27" xfId="0" applyFont="1" applyFill="1" applyBorder="1"/>
    <xf numFmtId="0" fontId="36" fillId="0" borderId="0" xfId="0" applyFont="1"/>
    <xf numFmtId="3" fontId="0" fillId="0" borderId="0" xfId="0" applyNumberFormat="1"/>
    <xf numFmtId="0" fontId="6" fillId="20" borderId="0" xfId="0" applyFont="1" applyFill="1" applyBorder="1" applyAlignment="1">
      <alignment horizontal="center"/>
    </xf>
    <xf numFmtId="0" fontId="6" fillId="20" borderId="15" xfId="0" applyFont="1" applyFill="1" applyBorder="1" applyAlignment="1">
      <alignment horizontal="center"/>
    </xf>
    <xf numFmtId="0" fontId="36" fillId="22" borderId="52" xfId="0" applyFont="1" applyFill="1" applyBorder="1" applyAlignment="1">
      <alignment horizontal="center"/>
    </xf>
    <xf numFmtId="0" fontId="36" fillId="22" borderId="53" xfId="0" applyFont="1" applyFill="1" applyBorder="1" applyAlignment="1">
      <alignment horizontal="center"/>
    </xf>
    <xf numFmtId="1" fontId="36" fillId="22" borderId="53" xfId="0" applyNumberFormat="1" applyFont="1" applyFill="1" applyBorder="1" applyAlignment="1">
      <alignment horizontal="center"/>
    </xf>
    <xf numFmtId="1" fontId="36" fillId="22" borderId="54" xfId="0" applyNumberFormat="1" applyFont="1" applyFill="1" applyBorder="1" applyAlignment="1">
      <alignment horizontal="center"/>
    </xf>
    <xf numFmtId="0" fontId="12" fillId="19" borderId="18" xfId="0" applyFont="1" applyFill="1" applyBorder="1" applyAlignment="1"/>
    <xf numFmtId="0" fontId="12" fillId="19" borderId="19" xfId="0" applyFont="1" applyFill="1" applyBorder="1" applyAlignment="1">
      <alignment wrapText="1"/>
    </xf>
    <xf numFmtId="0" fontId="12" fillId="19" borderId="19" xfId="0" applyFont="1" applyFill="1" applyBorder="1" applyAlignment="1"/>
    <xf numFmtId="3" fontId="11" fillId="19" borderId="19" xfId="0" applyNumberFormat="1" applyFont="1" applyFill="1" applyBorder="1" applyAlignment="1">
      <alignment horizontal="right" vertical="center" indent="1"/>
    </xf>
    <xf numFmtId="0" fontId="12" fillId="19" borderId="20" xfId="0" applyFont="1" applyFill="1" applyBorder="1" applyAlignment="1"/>
    <xf numFmtId="0" fontId="11" fillId="19" borderId="20" xfId="0" applyFont="1" applyFill="1" applyBorder="1" applyAlignment="1"/>
    <xf numFmtId="0" fontId="12" fillId="19" borderId="21" xfId="0" applyFont="1" applyFill="1" applyBorder="1" applyAlignment="1"/>
    <xf numFmtId="0" fontId="12" fillId="19" borderId="22" xfId="0" applyFont="1" applyFill="1" applyBorder="1" applyAlignment="1"/>
    <xf numFmtId="3" fontId="12" fillId="19" borderId="22" xfId="0" applyNumberFormat="1" applyFont="1" applyFill="1" applyBorder="1" applyAlignment="1">
      <alignment horizontal="right" vertical="center" indent="1"/>
    </xf>
    <xf numFmtId="3" fontId="12" fillId="23" borderId="0" xfId="0" applyNumberFormat="1" applyFont="1" applyFill="1" applyBorder="1" applyAlignment="1">
      <alignment horizontal="right" vertical="center" indent="1"/>
    </xf>
    <xf numFmtId="3" fontId="11" fillId="23" borderId="0" xfId="0" applyNumberFormat="1" applyFont="1" applyFill="1" applyBorder="1" applyAlignment="1">
      <alignment horizontal="right" vertical="center" indent="1"/>
    </xf>
    <xf numFmtId="3" fontId="11" fillId="23" borderId="19" xfId="0" applyNumberFormat="1" applyFont="1" applyFill="1" applyBorder="1" applyAlignment="1">
      <alignment horizontal="right" vertical="center" indent="1"/>
    </xf>
    <xf numFmtId="3" fontId="12" fillId="23" borderId="19" xfId="0" applyNumberFormat="1" applyFont="1" applyFill="1" applyBorder="1" applyAlignment="1">
      <alignment horizontal="right" vertical="center" indent="1"/>
    </xf>
    <xf numFmtId="3" fontId="12" fillId="23" borderId="22" xfId="0" applyNumberFormat="1" applyFont="1" applyFill="1" applyBorder="1" applyAlignment="1">
      <alignment horizontal="right" vertical="center" indent="1"/>
    </xf>
    <xf numFmtId="0" fontId="0" fillId="23" borderId="0" xfId="0" applyFill="1" applyBorder="1"/>
    <xf numFmtId="3" fontId="11" fillId="23" borderId="28" xfId="0" applyNumberFormat="1" applyFont="1" applyFill="1" applyBorder="1" applyAlignment="1">
      <alignment horizontal="right" vertical="center" indent="1"/>
    </xf>
    <xf numFmtId="3" fontId="12" fillId="23" borderId="28" xfId="0" applyNumberFormat="1" applyFont="1" applyFill="1" applyBorder="1" applyAlignment="1">
      <alignment horizontal="right" vertical="center" indent="1"/>
    </xf>
    <xf numFmtId="3" fontId="11" fillId="23" borderId="29" xfId="0" applyNumberFormat="1" applyFont="1" applyFill="1" applyBorder="1" applyAlignment="1">
      <alignment horizontal="right" vertical="center" indent="1"/>
    </xf>
    <xf numFmtId="3" fontId="12" fillId="23" borderId="29" xfId="0" applyNumberFormat="1" applyFont="1" applyFill="1" applyBorder="1" applyAlignment="1">
      <alignment horizontal="right" vertical="center" indent="1"/>
    </xf>
    <xf numFmtId="3" fontId="11" fillId="23" borderId="25" xfId="0" applyNumberFormat="1" applyFont="1" applyFill="1" applyBorder="1" applyAlignment="1">
      <alignment horizontal="right" vertical="center" indent="1"/>
    </xf>
    <xf numFmtId="3" fontId="12" fillId="23" borderId="25" xfId="0" applyNumberFormat="1" applyFont="1" applyFill="1" applyBorder="1" applyAlignment="1">
      <alignment horizontal="right" vertical="center" indent="1"/>
    </xf>
    <xf numFmtId="0" fontId="12" fillId="23" borderId="0" xfId="0" applyFont="1" applyFill="1" applyBorder="1"/>
    <xf numFmtId="3" fontId="11" fillId="23" borderId="0" xfId="0" applyNumberFormat="1" applyFont="1" applyFill="1" applyBorder="1" applyAlignment="1">
      <alignment horizontal="right" vertical="center" indent="1"/>
    </xf>
    <xf numFmtId="0" fontId="51" fillId="19" borderId="0" xfId="0" applyFont="1" applyFill="1" applyBorder="1"/>
    <xf numFmtId="0" fontId="12" fillId="23" borderId="0" xfId="0" applyFont="1" applyFill="1" applyBorder="1" applyAlignment="1">
      <alignment horizontal="center"/>
    </xf>
    <xf numFmtId="0" fontId="12" fillId="23" borderId="55" xfId="0" applyFont="1" applyFill="1" applyBorder="1" applyAlignment="1">
      <alignment horizontal="center"/>
    </xf>
    <xf numFmtId="0" fontId="12" fillId="23" borderId="56" xfId="0" applyFont="1" applyFill="1" applyBorder="1"/>
    <xf numFmtId="0" fontId="12" fillId="23" borderId="57" xfId="0" applyFont="1" applyFill="1" applyBorder="1"/>
    <xf numFmtId="0" fontId="12" fillId="23" borderId="55" xfId="0" applyFont="1" applyFill="1" applyBorder="1"/>
    <xf numFmtId="0" fontId="0" fillId="23" borderId="55" xfId="0" applyFill="1" applyBorder="1"/>
    <xf numFmtId="0" fontId="0" fillId="23" borderId="56" xfId="0" applyFill="1" applyBorder="1"/>
    <xf numFmtId="0" fontId="0" fillId="23" borderId="57" xfId="0" applyFill="1" applyBorder="1"/>
    <xf numFmtId="0" fontId="0" fillId="23" borderId="58" xfId="0" applyFill="1" applyBorder="1"/>
    <xf numFmtId="0" fontId="0" fillId="23" borderId="59" xfId="0" applyFill="1" applyBorder="1"/>
    <xf numFmtId="0" fontId="0" fillId="23" borderId="60" xfId="0" applyFill="1" applyBorder="1"/>
    <xf numFmtId="0" fontId="0" fillId="23" borderId="25" xfId="0" applyFill="1" applyBorder="1"/>
    <xf numFmtId="0" fontId="0" fillId="23" borderId="16" xfId="0" applyFill="1" applyBorder="1"/>
    <xf numFmtId="0" fontId="12" fillId="23" borderId="22" xfId="0" applyFont="1" applyFill="1" applyBorder="1"/>
    <xf numFmtId="0" fontId="12" fillId="19" borderId="74" xfId="0" applyFont="1" applyFill="1" applyBorder="1"/>
    <xf numFmtId="3" fontId="12" fillId="19" borderId="75" xfId="0" applyNumberFormat="1" applyFont="1" applyFill="1" applyBorder="1" applyAlignment="1">
      <alignment horizontal="right" vertical="center" indent="1"/>
    </xf>
    <xf numFmtId="3" fontId="12" fillId="19" borderId="76" xfId="0" applyNumberFormat="1" applyFont="1" applyFill="1" applyBorder="1" applyAlignment="1">
      <alignment horizontal="right" vertical="center" indent="1"/>
    </xf>
    <xf numFmtId="3" fontId="12" fillId="23" borderId="75" xfId="0" applyNumberFormat="1" applyFont="1" applyFill="1" applyBorder="1" applyAlignment="1">
      <alignment horizontal="right" vertical="center" indent="1"/>
    </xf>
    <xf numFmtId="0" fontId="0" fillId="23" borderId="77" xfId="0" applyFill="1" applyBorder="1"/>
    <xf numFmtId="0" fontId="12" fillId="19" borderId="78" xfId="0" applyFont="1" applyFill="1" applyBorder="1"/>
    <xf numFmtId="0" fontId="0" fillId="23" borderId="79" xfId="0" applyFill="1" applyBorder="1"/>
    <xf numFmtId="0" fontId="12" fillId="19" borderId="80" xfId="0" applyFont="1" applyFill="1" applyBorder="1"/>
    <xf numFmtId="3" fontId="11" fillId="19" borderId="81" xfId="0" applyNumberFormat="1" applyFont="1" applyFill="1" applyBorder="1" applyAlignment="1">
      <alignment horizontal="right" vertical="center" indent="1"/>
    </xf>
    <xf numFmtId="3" fontId="12" fillId="19" borderId="81" xfId="0" applyNumberFormat="1" applyFont="1" applyFill="1" applyBorder="1" applyAlignment="1">
      <alignment horizontal="right" vertical="center" indent="1"/>
    </xf>
    <xf numFmtId="3" fontId="12" fillId="19" borderId="82" xfId="0" applyNumberFormat="1" applyFont="1" applyFill="1" applyBorder="1" applyAlignment="1">
      <alignment horizontal="right" vertical="center" indent="1"/>
    </xf>
    <xf numFmtId="3" fontId="12" fillId="23" borderId="81" xfId="0" applyNumberFormat="1" applyFont="1" applyFill="1" applyBorder="1" applyAlignment="1">
      <alignment horizontal="right" vertical="center" indent="1"/>
    </xf>
    <xf numFmtId="3" fontId="11" fillId="23" borderId="81" xfId="0" applyNumberFormat="1" applyFont="1" applyFill="1" applyBorder="1" applyAlignment="1">
      <alignment horizontal="right" vertical="center" indent="1"/>
    </xf>
    <xf numFmtId="0" fontId="0" fillId="23" borderId="83" xfId="0" applyFill="1" applyBorder="1"/>
    <xf numFmtId="0" fontId="12" fillId="19" borderId="84" xfId="0" applyFont="1" applyFill="1" applyBorder="1"/>
    <xf numFmtId="3" fontId="12" fillId="19" borderId="85" xfId="0" applyNumberFormat="1" applyFont="1" applyFill="1" applyBorder="1" applyAlignment="1">
      <alignment horizontal="right" vertical="center" indent="1"/>
    </xf>
    <xf numFmtId="3" fontId="12" fillId="19" borderId="86" xfId="0" applyNumberFormat="1" applyFont="1" applyFill="1" applyBorder="1" applyAlignment="1">
      <alignment horizontal="right" vertical="center" indent="1"/>
    </xf>
    <xf numFmtId="3" fontId="12" fillId="23" borderId="85" xfId="0" applyNumberFormat="1" applyFont="1" applyFill="1" applyBorder="1" applyAlignment="1">
      <alignment horizontal="right" vertical="center" indent="1"/>
    </xf>
    <xf numFmtId="0" fontId="0" fillId="23" borderId="87" xfId="0" applyFill="1" applyBorder="1"/>
    <xf numFmtId="0" fontId="12" fillId="19" borderId="88" xfId="0" applyFont="1" applyFill="1" applyBorder="1"/>
    <xf numFmtId="0" fontId="0" fillId="23" borderId="89" xfId="0" applyFill="1" applyBorder="1"/>
    <xf numFmtId="0" fontId="12" fillId="19" borderId="90" xfId="0" applyFont="1" applyFill="1" applyBorder="1"/>
    <xf numFmtId="3" fontId="11" fillId="19" borderId="91" xfId="0" applyNumberFormat="1" applyFont="1" applyFill="1" applyBorder="1" applyAlignment="1">
      <alignment horizontal="right" vertical="center" indent="1"/>
    </xf>
    <xf numFmtId="3" fontId="12" fillId="19" borderId="91" xfId="0" applyNumberFormat="1" applyFont="1" applyFill="1" applyBorder="1" applyAlignment="1">
      <alignment horizontal="right" vertical="center" indent="1"/>
    </xf>
    <xf numFmtId="3" fontId="12" fillId="19" borderId="92" xfId="0" applyNumberFormat="1" applyFont="1" applyFill="1" applyBorder="1" applyAlignment="1">
      <alignment horizontal="right" vertical="center" indent="1"/>
    </xf>
    <xf numFmtId="3" fontId="12" fillId="23" borderId="91" xfId="0" applyNumberFormat="1" applyFont="1" applyFill="1" applyBorder="1" applyAlignment="1">
      <alignment horizontal="right" vertical="center" indent="1"/>
    </xf>
    <xf numFmtId="3" fontId="11" fillId="23" borderId="91" xfId="0" applyNumberFormat="1" applyFont="1" applyFill="1" applyBorder="1" applyAlignment="1">
      <alignment horizontal="right" vertical="center" indent="1"/>
    </xf>
    <xf numFmtId="0" fontId="0" fillId="23" borderId="93" xfId="0" applyFill="1" applyBorder="1"/>
    <xf numFmtId="3" fontId="11" fillId="19" borderId="85" xfId="0" applyNumberFormat="1" applyFont="1" applyFill="1" applyBorder="1" applyAlignment="1">
      <alignment horizontal="right" vertical="center" indent="1"/>
    </xf>
    <xf numFmtId="3" fontId="11" fillId="23" borderId="85" xfId="0" applyNumberFormat="1" applyFont="1" applyFill="1" applyBorder="1" applyAlignment="1">
      <alignment horizontal="right" vertical="center" indent="1"/>
    </xf>
    <xf numFmtId="0" fontId="11" fillId="19" borderId="0" xfId="0" applyFont="1" applyFill="1" applyBorder="1" applyAlignment="1">
      <alignment horizontal="center" vertical="center"/>
    </xf>
    <xf numFmtId="0" fontId="0" fillId="23" borderId="0" xfId="0" applyFill="1" applyBorder="1" applyAlignment="1">
      <alignment horizontal="right" vertical="center" indent="1"/>
    </xf>
    <xf numFmtId="3" fontId="11" fillId="23" borderId="0" xfId="0" applyNumberFormat="1" applyFont="1" applyFill="1" applyBorder="1" applyAlignment="1">
      <alignment horizontal="right" vertical="center" indent="1"/>
    </xf>
    <xf numFmtId="0" fontId="12" fillId="0" borderId="0" xfId="0" applyFont="1" applyBorder="1"/>
    <xf numFmtId="3" fontId="51" fillId="19" borderId="0" xfId="0" applyNumberFormat="1" applyFont="1" applyFill="1" applyBorder="1" applyAlignment="1">
      <alignment horizontal="left" vertical="center" indent="1"/>
    </xf>
    <xf numFmtId="0" fontId="53" fillId="0" borderId="0" xfId="0" applyFont="1"/>
    <xf numFmtId="0" fontId="54" fillId="17" borderId="0" xfId="0" applyFont="1" applyFill="1" applyBorder="1"/>
    <xf numFmtId="0" fontId="12" fillId="24" borderId="0" xfId="0" applyFont="1" applyFill="1"/>
    <xf numFmtId="0" fontId="54" fillId="0" borderId="0" xfId="0" applyFont="1"/>
    <xf numFmtId="3" fontId="38" fillId="19" borderId="0" xfId="0" applyNumberFormat="1" applyFont="1" applyFill="1" applyBorder="1" applyAlignment="1">
      <alignment horizontal="right" vertical="center" indent="1"/>
    </xf>
    <xf numFmtId="3" fontId="11" fillId="23" borderId="0" xfId="0" applyNumberFormat="1" applyFont="1" applyFill="1" applyBorder="1" applyAlignment="1">
      <alignment horizontal="right" vertical="center" indent="1"/>
    </xf>
    <xf numFmtId="3" fontId="8" fillId="19" borderId="0" xfId="0" applyNumberFormat="1" applyFont="1" applyFill="1" applyBorder="1" applyAlignment="1">
      <alignment horizontal="center" vertical="top" wrapText="1"/>
    </xf>
    <xf numFmtId="3" fontId="6" fillId="19" borderId="0" xfId="0" applyNumberFormat="1" applyFont="1" applyFill="1" applyBorder="1" applyAlignment="1">
      <alignment horizontal="right" vertical="top"/>
    </xf>
    <xf numFmtId="3" fontId="11" fillId="23" borderId="0" xfId="0" applyNumberFormat="1" applyFont="1" applyFill="1" applyBorder="1" applyAlignment="1">
      <alignment horizontal="right" vertical="center" indent="1"/>
    </xf>
    <xf numFmtId="0" fontId="38" fillId="19" borderId="0" xfId="0" applyFont="1" applyFill="1" applyBorder="1"/>
    <xf numFmtId="0" fontId="2" fillId="19" borderId="0" xfId="0" applyFont="1" applyFill="1" applyBorder="1"/>
    <xf numFmtId="0" fontId="54" fillId="0" borderId="0" xfId="0" applyFont="1" applyAlignment="1">
      <alignment horizontal="center"/>
    </xf>
    <xf numFmtId="0" fontId="55" fillId="19" borderId="23" xfId="0" applyFont="1" applyFill="1" applyBorder="1"/>
    <xf numFmtId="0" fontId="55" fillId="19" borderId="62" xfId="0" applyFont="1" applyFill="1" applyBorder="1"/>
    <xf numFmtId="0" fontId="55" fillId="17" borderId="63" xfId="0" applyFont="1" applyFill="1" applyBorder="1"/>
    <xf numFmtId="0" fontId="55" fillId="17" borderId="24" xfId="0" applyFont="1" applyFill="1" applyBorder="1"/>
    <xf numFmtId="0" fontId="57" fillId="19" borderId="23" xfId="0" applyFont="1" applyFill="1" applyBorder="1"/>
    <xf numFmtId="0" fontId="55" fillId="0" borderId="0" xfId="0" applyFont="1"/>
    <xf numFmtId="3" fontId="54" fillId="22" borderId="53" xfId="0" applyNumberFormat="1" applyFont="1" applyFill="1" applyBorder="1" applyAlignment="1">
      <alignment horizontal="center"/>
    </xf>
    <xf numFmtId="0" fontId="6" fillId="22" borderId="53" xfId="0" applyFont="1" applyFill="1" applyBorder="1"/>
    <xf numFmtId="3" fontId="6" fillId="22" borderId="53" xfId="0" applyNumberFormat="1" applyFont="1" applyFill="1" applyBorder="1"/>
    <xf numFmtId="0" fontId="6" fillId="22" borderId="54" xfId="0" applyFont="1" applyFill="1" applyBorder="1"/>
    <xf numFmtId="0" fontId="54" fillId="22" borderId="53" xfId="0" applyFont="1" applyFill="1" applyBorder="1" applyAlignment="1">
      <alignment horizontal="center"/>
    </xf>
    <xf numFmtId="0" fontId="54" fillId="0" borderId="0" xfId="0" applyFont="1" applyAlignment="1">
      <alignment horizontal="center" vertical="center"/>
    </xf>
    <xf numFmtId="0" fontId="54" fillId="22" borderId="52" xfId="0" applyFont="1" applyFill="1" applyBorder="1" applyAlignment="1">
      <alignment horizontal="center" vertical="center"/>
    </xf>
    <xf numFmtId="0" fontId="54" fillId="22" borderId="53" xfId="0" applyFont="1" applyFill="1" applyBorder="1" applyAlignment="1">
      <alignment horizontal="center" vertical="center"/>
    </xf>
    <xf numFmtId="3" fontId="54" fillId="22" borderId="53" xfId="0" applyNumberFormat="1" applyFont="1" applyFill="1" applyBorder="1" applyAlignment="1">
      <alignment horizontal="center" vertical="center"/>
    </xf>
    <xf numFmtId="3" fontId="54" fillId="22" borderId="54" xfId="0" applyNumberFormat="1" applyFont="1" applyFill="1" applyBorder="1" applyAlignment="1">
      <alignment horizontal="center" vertical="center"/>
    </xf>
    <xf numFmtId="0" fontId="57" fillId="24" borderId="0" xfId="0" applyFont="1" applyFill="1" applyBorder="1"/>
    <xf numFmtId="3" fontId="8" fillId="23" borderId="0" xfId="0" applyNumberFormat="1" applyFont="1" applyFill="1" applyBorder="1" applyAlignment="1">
      <alignment horizontal="center" vertical="center" wrapText="1"/>
    </xf>
    <xf numFmtId="3" fontId="6" fillId="23" borderId="0" xfId="0" applyNumberFormat="1" applyFont="1" applyFill="1" applyBorder="1" applyAlignment="1">
      <alignment horizontal="right" vertical="center" indent="1"/>
    </xf>
    <xf numFmtId="0" fontId="6" fillId="23" borderId="0" xfId="0" applyFont="1" applyFill="1" applyBorder="1"/>
    <xf numFmtId="3" fontId="8" fillId="23" borderId="0" xfId="0" applyNumberFormat="1" applyFont="1" applyFill="1" applyBorder="1" applyAlignment="1">
      <alignment horizontal="center" vertical="center"/>
    </xf>
    <xf numFmtId="3" fontId="8" fillId="23" borderId="0" xfId="0" applyNumberFormat="1" applyFont="1" applyFill="1" applyBorder="1" applyAlignment="1">
      <alignment horizontal="right" vertical="center" indent="1"/>
    </xf>
    <xf numFmtId="3" fontId="6" fillId="23" borderId="19" xfId="0" applyNumberFormat="1" applyFont="1" applyFill="1" applyBorder="1" applyAlignment="1">
      <alignment horizontal="right" vertical="center" indent="1"/>
    </xf>
    <xf numFmtId="0" fontId="6" fillId="23" borderId="55" xfId="0" applyFont="1" applyFill="1" applyBorder="1"/>
    <xf numFmtId="0" fontId="6" fillId="23" borderId="56" xfId="0" applyFont="1" applyFill="1" applyBorder="1"/>
    <xf numFmtId="0" fontId="6" fillId="23" borderId="22" xfId="0" applyFont="1" applyFill="1" applyBorder="1"/>
    <xf numFmtId="0" fontId="6" fillId="23" borderId="57" xfId="0" applyFont="1" applyFill="1" applyBorder="1"/>
    <xf numFmtId="0" fontId="8" fillId="23" borderId="0" xfId="0" applyFont="1" applyFill="1" applyBorder="1" applyAlignment="1">
      <alignment horizontal="right"/>
    </xf>
    <xf numFmtId="0" fontId="6" fillId="23" borderId="19" xfId="0" applyFont="1" applyFill="1" applyBorder="1"/>
    <xf numFmtId="0" fontId="11" fillId="19" borderId="0" xfId="0" applyFont="1" applyFill="1" applyBorder="1" applyAlignment="1">
      <alignment horizontal="right"/>
    </xf>
    <xf numFmtId="3" fontId="0" fillId="23" borderId="0" xfId="0" applyNumberFormat="1" applyFill="1" applyBorder="1"/>
    <xf numFmtId="0" fontId="0" fillId="23" borderId="91" xfId="0" applyFill="1" applyBorder="1"/>
    <xf numFmtId="0" fontId="51" fillId="19" borderId="0" xfId="0" applyFont="1" applyFill="1" applyBorder="1" applyAlignment="1"/>
    <xf numFmtId="0" fontId="0" fillId="24" borderId="0" xfId="0" applyFill="1" applyBorder="1"/>
    <xf numFmtId="0" fontId="0" fillId="24" borderId="0" xfId="0" applyFill="1"/>
    <xf numFmtId="3" fontId="6" fillId="23" borderId="0" xfId="0" applyNumberFormat="1" applyFont="1" applyFill="1" applyBorder="1" applyAlignment="1">
      <alignment vertical="center"/>
    </xf>
    <xf numFmtId="3" fontId="54" fillId="23" borderId="0" xfId="0" applyNumberFormat="1" applyFont="1" applyFill="1" applyBorder="1" applyAlignment="1">
      <alignment vertical="center"/>
    </xf>
    <xf numFmtId="3" fontId="6" fillId="23" borderId="19" xfId="0" applyNumberFormat="1" applyFont="1" applyFill="1" applyBorder="1" applyAlignment="1">
      <alignment vertical="center"/>
    </xf>
    <xf numFmtId="0" fontId="57" fillId="0" borderId="0" xfId="0" applyFont="1" applyBorder="1"/>
    <xf numFmtId="0" fontId="2" fillId="17" borderId="15" xfId="0" applyFont="1" applyFill="1" applyBorder="1"/>
    <xf numFmtId="3" fontId="11" fillId="23" borderId="0" xfId="0" applyNumberFormat="1" applyFont="1" applyFill="1" applyBorder="1" applyAlignment="1">
      <alignment horizontal="right" vertical="center" indent="1"/>
    </xf>
    <xf numFmtId="0" fontId="11" fillId="19" borderId="0" xfId="0" applyFont="1" applyFill="1" applyBorder="1" applyAlignment="1">
      <alignment horizontal="left"/>
    </xf>
    <xf numFmtId="0" fontId="11" fillId="19" borderId="0" xfId="0" applyFont="1" applyFill="1" applyBorder="1" applyAlignment="1">
      <alignment horizontal="center"/>
    </xf>
    <xf numFmtId="0" fontId="0" fillId="19" borderId="49" xfId="0" applyFill="1" applyBorder="1"/>
    <xf numFmtId="0" fontId="0" fillId="19" borderId="50" xfId="0" applyFill="1" applyBorder="1"/>
    <xf numFmtId="0" fontId="12" fillId="19" borderId="50" xfId="0" applyFont="1" applyFill="1" applyBorder="1"/>
    <xf numFmtId="3" fontId="12" fillId="19" borderId="50" xfId="0" applyNumberFormat="1" applyFont="1" applyFill="1" applyBorder="1" applyAlignment="1">
      <alignment horizontal="right" vertical="center" indent="1"/>
    </xf>
    <xf numFmtId="3" fontId="12" fillId="23" borderId="50" xfId="0" applyNumberFormat="1" applyFont="1" applyFill="1" applyBorder="1" applyAlignment="1">
      <alignment horizontal="right" vertical="center" indent="1"/>
    </xf>
    <xf numFmtId="0" fontId="0" fillId="23" borderId="50" xfId="0" applyFill="1" applyBorder="1"/>
    <xf numFmtId="0" fontId="0" fillId="19" borderId="51" xfId="0" applyFill="1" applyBorder="1"/>
    <xf numFmtId="0" fontId="7" fillId="20" borderId="23" xfId="0" applyFont="1" applyFill="1" applyBorder="1" applyAlignment="1">
      <alignment horizontal="center"/>
    </xf>
    <xf numFmtId="3" fontId="12" fillId="23" borderId="0" xfId="0" applyNumberFormat="1" applyFont="1" applyFill="1" applyBorder="1" applyAlignment="1">
      <alignment horizontal="center" vertical="center"/>
    </xf>
    <xf numFmtId="3" fontId="12" fillId="17" borderId="18" xfId="0" applyNumberFormat="1" applyFont="1" applyFill="1" applyBorder="1" applyAlignment="1">
      <alignment horizontal="right" vertical="center" indent="1"/>
    </xf>
    <xf numFmtId="3" fontId="12" fillId="17" borderId="20" xfId="0" applyNumberFormat="1" applyFont="1" applyFill="1" applyBorder="1" applyAlignment="1">
      <alignment horizontal="right" vertical="center" indent="1"/>
    </xf>
    <xf numFmtId="0" fontId="12" fillId="0" borderId="20" xfId="0" applyFont="1" applyBorder="1"/>
    <xf numFmtId="3" fontId="12" fillId="23" borderId="95" xfId="0" applyNumberFormat="1" applyFont="1" applyFill="1" applyBorder="1" applyAlignment="1">
      <alignment horizontal="right" vertical="center" indent="1"/>
    </xf>
    <xf numFmtId="3" fontId="12" fillId="23" borderId="94" xfId="0" applyNumberFormat="1" applyFont="1" applyFill="1" applyBorder="1" applyAlignment="1">
      <alignment horizontal="center" vertical="top"/>
    </xf>
    <xf numFmtId="3" fontId="12" fillId="23" borderId="96" xfId="0" applyNumberFormat="1" applyFont="1" applyFill="1" applyBorder="1" applyAlignment="1">
      <alignment horizontal="right" vertical="center" indent="1"/>
    </xf>
    <xf numFmtId="3" fontId="11" fillId="19" borderId="97" xfId="0" applyNumberFormat="1" applyFont="1" applyFill="1" applyBorder="1" applyAlignment="1">
      <alignment horizontal="right" vertical="center" indent="1"/>
    </xf>
    <xf numFmtId="3" fontId="11" fillId="19" borderId="98" xfId="0" applyNumberFormat="1" applyFont="1" applyFill="1" applyBorder="1" applyAlignment="1">
      <alignment horizontal="right" vertical="center" indent="1"/>
    </xf>
    <xf numFmtId="3" fontId="8" fillId="19" borderId="0" xfId="0" applyNumberFormat="1" applyFont="1" applyFill="1" applyBorder="1" applyAlignment="1">
      <alignment horizontal="center" vertical="center" wrapText="1"/>
    </xf>
    <xf numFmtId="0" fontId="11" fillId="23" borderId="0" xfId="0" applyFont="1" applyFill="1" applyBorder="1" applyAlignment="1">
      <alignment horizontal="center"/>
    </xf>
    <xf numFmtId="0" fontId="3" fillId="19" borderId="0" xfId="0" applyFont="1" applyFill="1" applyBorder="1" applyAlignment="1">
      <alignment horizontal="left"/>
    </xf>
    <xf numFmtId="0" fontId="8" fillId="19" borderId="0" xfId="0" applyFont="1" applyFill="1" applyBorder="1" applyAlignment="1">
      <alignment wrapText="1"/>
    </xf>
    <xf numFmtId="0" fontId="8" fillId="19" borderId="16" xfId="0" applyFont="1" applyFill="1" applyBorder="1" applyAlignment="1">
      <alignment wrapText="1"/>
    </xf>
    <xf numFmtId="0" fontId="8" fillId="23" borderId="16" xfId="0" applyFont="1" applyFill="1" applyBorder="1" applyAlignment="1">
      <alignment wrapText="1"/>
    </xf>
    <xf numFmtId="0" fontId="8" fillId="23" borderId="0" xfId="0" applyFont="1" applyFill="1" applyBorder="1" applyAlignment="1">
      <alignment wrapText="1"/>
    </xf>
    <xf numFmtId="0" fontId="55" fillId="17" borderId="26" xfId="0" applyFont="1" applyFill="1" applyBorder="1"/>
    <xf numFmtId="0" fontId="6" fillId="19" borderId="16" xfId="0" applyFont="1" applyFill="1" applyBorder="1"/>
    <xf numFmtId="0" fontId="6" fillId="17" borderId="17" xfId="0" applyFont="1" applyFill="1" applyBorder="1"/>
    <xf numFmtId="0" fontId="56" fillId="19" borderId="23" xfId="0" applyFont="1" applyFill="1" applyBorder="1"/>
    <xf numFmtId="0" fontId="51" fillId="19" borderId="15" xfId="0" applyFont="1" applyFill="1" applyBorder="1"/>
    <xf numFmtId="3" fontId="11" fillId="23" borderId="0" xfId="0" applyNumberFormat="1" applyFont="1" applyFill="1" applyBorder="1" applyAlignment="1">
      <alignment horizontal="right" vertical="center" indent="1"/>
    </xf>
    <xf numFmtId="0" fontId="53" fillId="0" borderId="0" xfId="0" applyFont="1" applyBorder="1"/>
    <xf numFmtId="0" fontId="36" fillId="22" borderId="54" xfId="0" applyFont="1" applyFill="1" applyBorder="1" applyAlignment="1">
      <alignment horizontal="center"/>
    </xf>
    <xf numFmtId="3" fontId="8" fillId="23" borderId="0" xfId="0" applyNumberFormat="1" applyFont="1" applyFill="1" applyBorder="1" applyAlignment="1">
      <alignment vertical="center"/>
    </xf>
    <xf numFmtId="0" fontId="62" fillId="19" borderId="0" xfId="0" applyFont="1" applyFill="1" applyBorder="1"/>
    <xf numFmtId="0" fontId="62" fillId="23" borderId="0" xfId="0" applyFont="1" applyFill="1" applyBorder="1"/>
    <xf numFmtId="3" fontId="61" fillId="23" borderId="0" xfId="0" applyNumberFormat="1" applyFont="1" applyFill="1" applyBorder="1" applyAlignment="1">
      <alignment horizontal="right" vertical="center" indent="1"/>
    </xf>
    <xf numFmtId="0" fontId="0" fillId="27" borderId="0" xfId="0" applyFill="1"/>
    <xf numFmtId="0" fontId="6" fillId="19" borderId="0" xfId="0" applyFont="1" applyFill="1" applyBorder="1" applyAlignment="1"/>
    <xf numFmtId="0" fontId="6" fillId="17" borderId="47" xfId="0" applyFont="1" applyFill="1" applyBorder="1"/>
    <xf numFmtId="3" fontId="62" fillId="23" borderId="0" xfId="0" applyNumberFormat="1" applyFont="1" applyFill="1" applyBorder="1"/>
    <xf numFmtId="0" fontId="6" fillId="19" borderId="0" xfId="0" applyFont="1" applyFill="1" applyBorder="1" applyAlignment="1">
      <alignment wrapText="1"/>
    </xf>
    <xf numFmtId="0" fontId="6" fillId="19" borderId="28" xfId="0" applyFont="1" applyFill="1" applyBorder="1"/>
    <xf numFmtId="0" fontId="0" fillId="0" borderId="0" xfId="0" applyProtection="1">
      <protection locked="0"/>
    </xf>
    <xf numFmtId="3" fontId="51" fillId="19" borderId="0" xfId="0" applyNumberFormat="1" applyFont="1" applyFill="1" applyBorder="1" applyAlignment="1">
      <alignment horizontal="right" vertical="center" indent="1"/>
    </xf>
    <xf numFmtId="3" fontId="51" fillId="23" borderId="0" xfId="0" applyNumberFormat="1" applyFont="1" applyFill="1" applyBorder="1" applyAlignment="1">
      <alignment horizontal="right" vertical="center" indent="1"/>
    </xf>
    <xf numFmtId="3" fontId="11" fillId="23" borderId="0" xfId="0" applyNumberFormat="1" applyFont="1" applyFill="1" applyBorder="1" applyAlignment="1">
      <alignment horizontal="right" vertical="center" indent="1"/>
    </xf>
    <xf numFmtId="0" fontId="2" fillId="0" borderId="0" xfId="0" applyFont="1" applyAlignment="1">
      <alignment wrapText="1"/>
    </xf>
    <xf numFmtId="3" fontId="11" fillId="19" borderId="0" xfId="0" applyNumberFormat="1" applyFont="1" applyFill="1" applyBorder="1" applyAlignment="1">
      <alignment vertical="center"/>
    </xf>
    <xf numFmtId="3" fontId="51" fillId="19" borderId="0" xfId="0" applyNumberFormat="1" applyFont="1" applyFill="1" applyBorder="1" applyAlignment="1">
      <alignment vertical="center"/>
    </xf>
    <xf numFmtId="3" fontId="63" fillId="19" borderId="0" xfId="0" applyNumberFormat="1" applyFont="1" applyFill="1" applyBorder="1" applyAlignment="1">
      <alignment horizontal="right" vertical="center" indent="1"/>
    </xf>
    <xf numFmtId="3" fontId="11" fillId="19" borderId="0" xfId="0" applyNumberFormat="1" applyFont="1" applyFill="1" applyBorder="1" applyAlignment="1">
      <alignment wrapText="1"/>
    </xf>
    <xf numFmtId="3" fontId="51" fillId="19" borderId="0" xfId="0" applyNumberFormat="1" applyFont="1" applyFill="1" applyBorder="1" applyAlignment="1">
      <alignment wrapText="1"/>
    </xf>
    <xf numFmtId="3" fontId="51" fillId="19" borderId="0" xfId="0" applyNumberFormat="1" applyFont="1" applyFill="1" applyBorder="1" applyAlignment="1">
      <alignment vertical="center" wrapText="1"/>
    </xf>
    <xf numFmtId="0" fontId="60" fillId="0" borderId="0" xfId="0" applyFont="1"/>
    <xf numFmtId="0" fontId="6" fillId="24" borderId="0" xfId="0" applyFont="1" applyFill="1" applyAlignment="1">
      <alignment horizontal="center"/>
    </xf>
    <xf numFmtId="0" fontId="51" fillId="24" borderId="0" xfId="0" applyFont="1" applyFill="1" applyBorder="1"/>
    <xf numFmtId="0" fontId="6" fillId="24" borderId="0" xfId="0" applyFont="1" applyFill="1"/>
    <xf numFmtId="0" fontId="6" fillId="24" borderId="0" xfId="0" applyFont="1" applyFill="1" applyBorder="1"/>
    <xf numFmtId="1" fontId="36" fillId="22" borderId="52" xfId="0" applyNumberFormat="1" applyFont="1" applyFill="1" applyBorder="1" applyAlignment="1">
      <alignment horizontal="center"/>
    </xf>
    <xf numFmtId="0" fontId="57" fillId="0" borderId="0" xfId="0" applyFont="1"/>
    <xf numFmtId="0" fontId="7" fillId="20" borderId="23" xfId="0" applyFont="1" applyFill="1" applyBorder="1" applyAlignment="1">
      <alignment horizontal="center"/>
    </xf>
    <xf numFmtId="0" fontId="12" fillId="19" borderId="0" xfId="0" applyFont="1" applyFill="1" applyBorder="1" applyAlignment="1">
      <alignment wrapText="1"/>
    </xf>
    <xf numFmtId="0" fontId="6" fillId="20" borderId="0" xfId="0" applyFont="1" applyFill="1" applyBorder="1" applyAlignment="1">
      <alignment horizontal="center"/>
    </xf>
    <xf numFmtId="0" fontId="6" fillId="20" borderId="15" xfId="0" applyFont="1" applyFill="1" applyBorder="1" applyAlignment="1">
      <alignment horizontal="center"/>
    </xf>
    <xf numFmtId="0" fontId="8" fillId="19" borderId="0" xfId="0" applyFont="1" applyFill="1" applyBorder="1" applyAlignment="1">
      <alignment horizontal="left"/>
    </xf>
    <xf numFmtId="0" fontId="6" fillId="19" borderId="0" xfId="0" applyFont="1" applyFill="1" applyBorder="1" applyAlignment="1">
      <alignment wrapText="1"/>
    </xf>
    <xf numFmtId="0" fontId="6" fillId="20" borderId="16" xfId="0" applyFont="1" applyFill="1" applyBorder="1" applyAlignment="1">
      <alignment horizontal="center"/>
    </xf>
    <xf numFmtId="0" fontId="6" fillId="20" borderId="25" xfId="0" applyFont="1" applyFill="1" applyBorder="1" applyAlignment="1">
      <alignment horizontal="center"/>
    </xf>
    <xf numFmtId="0" fontId="11" fillId="19" borderId="0" xfId="0" applyFont="1" applyFill="1" applyBorder="1" applyAlignment="1">
      <alignment horizontal="left"/>
    </xf>
    <xf numFmtId="0" fontId="12" fillId="19" borderId="0" xfId="0" applyFont="1" applyFill="1" applyBorder="1" applyAlignment="1">
      <alignment horizontal="center"/>
    </xf>
    <xf numFmtId="0" fontId="51" fillId="19" borderId="0" xfId="0" applyFont="1" applyFill="1" applyBorder="1" applyAlignment="1">
      <alignment horizontal="left" vertical="center" wrapText="1"/>
    </xf>
    <xf numFmtId="3" fontId="11" fillId="23" borderId="0" xfId="0" applyNumberFormat="1" applyFont="1" applyFill="1" applyBorder="1" applyAlignment="1">
      <alignment horizontal="right" vertical="center" indent="1"/>
    </xf>
    <xf numFmtId="0" fontId="11" fillId="19" borderId="0" xfId="0" applyFont="1" applyFill="1" applyBorder="1" applyAlignment="1">
      <alignment horizontal="center" wrapText="1"/>
    </xf>
    <xf numFmtId="3" fontId="11" fillId="17" borderId="0" xfId="0" applyNumberFormat="1" applyFont="1" applyFill="1" applyBorder="1" applyAlignment="1">
      <alignment horizontal="center" vertical="center"/>
    </xf>
    <xf numFmtId="3" fontId="11" fillId="19" borderId="0" xfId="0" applyNumberFormat="1" applyFont="1" applyFill="1" applyBorder="1" applyAlignment="1">
      <alignment horizontal="center" wrapText="1"/>
    </xf>
    <xf numFmtId="0" fontId="11" fillId="19" borderId="0" xfId="0" applyFont="1" applyFill="1" applyBorder="1" applyAlignment="1">
      <alignment horizontal="center"/>
    </xf>
    <xf numFmtId="0" fontId="11" fillId="19" borderId="16" xfId="0" applyFont="1" applyFill="1" applyBorder="1"/>
    <xf numFmtId="0" fontId="12" fillId="19" borderId="16" xfId="0" applyFont="1" applyFill="1" applyBorder="1"/>
    <xf numFmtId="0" fontId="6" fillId="20" borderId="16" xfId="0" applyFont="1" applyFill="1" applyBorder="1" applyProtection="1">
      <protection locked="0"/>
    </xf>
    <xf numFmtId="0" fontId="0" fillId="0" borderId="0" xfId="0" applyAlignment="1">
      <alignment vertical="top"/>
    </xf>
    <xf numFmtId="0" fontId="60" fillId="24" borderId="0" xfId="0" applyFont="1" applyFill="1" applyBorder="1"/>
    <xf numFmtId="0" fontId="0" fillId="0" borderId="0" xfId="0" applyFill="1"/>
    <xf numFmtId="0" fontId="12" fillId="27" borderId="0" xfId="0" applyFont="1" applyFill="1" applyBorder="1"/>
    <xf numFmtId="0" fontId="0" fillId="27" borderId="0" xfId="0" applyFill="1" applyBorder="1"/>
    <xf numFmtId="0" fontId="54" fillId="24" borderId="0" xfId="0" applyFont="1" applyFill="1" applyBorder="1" applyAlignment="1">
      <alignment vertical="center"/>
    </xf>
    <xf numFmtId="0" fontId="6" fillId="20" borderId="25" xfId="0" applyFont="1" applyFill="1" applyBorder="1" applyAlignment="1">
      <alignment horizontal="right"/>
    </xf>
    <xf numFmtId="3" fontId="6" fillId="19" borderId="0" xfId="0" applyNumberFormat="1" applyFont="1" applyFill="1" applyBorder="1" applyAlignment="1">
      <alignment horizontal="right" vertical="center"/>
    </xf>
    <xf numFmtId="3" fontId="8" fillId="24" borderId="0" xfId="0" applyNumberFormat="1" applyFont="1" applyFill="1" applyBorder="1" applyAlignment="1">
      <alignment vertical="center"/>
    </xf>
    <xf numFmtId="3" fontId="12" fillId="23" borderId="0" xfId="0" applyNumberFormat="1" applyFont="1" applyFill="1" applyBorder="1" applyAlignment="1" applyProtection="1">
      <alignment horizontal="right" vertical="center" indent="1"/>
    </xf>
    <xf numFmtId="3" fontId="11" fillId="23" borderId="0" xfId="0" applyNumberFormat="1" applyFont="1" applyFill="1" applyBorder="1" applyAlignment="1" applyProtection="1">
      <alignment horizontal="right" vertical="center" indent="1"/>
    </xf>
    <xf numFmtId="3" fontId="12" fillId="23" borderId="91" xfId="0" applyNumberFormat="1" applyFont="1" applyFill="1" applyBorder="1" applyAlignment="1" applyProtection="1">
      <alignment horizontal="right" vertical="center" indent="1"/>
    </xf>
    <xf numFmtId="3" fontId="11" fillId="23" borderId="91" xfId="0" applyNumberFormat="1" applyFont="1" applyFill="1" applyBorder="1" applyAlignment="1" applyProtection="1">
      <alignment horizontal="right" vertical="center" indent="1"/>
    </xf>
    <xf numFmtId="3" fontId="12" fillId="23" borderId="19" xfId="0" applyNumberFormat="1" applyFont="1" applyFill="1" applyBorder="1" applyAlignment="1" applyProtection="1">
      <alignment horizontal="right" vertical="center" indent="1"/>
    </xf>
    <xf numFmtId="3" fontId="11" fillId="23" borderId="19" xfId="0" applyNumberFormat="1" applyFont="1" applyFill="1" applyBorder="1" applyAlignment="1" applyProtection="1">
      <alignment horizontal="right" vertical="center" indent="1"/>
    </xf>
    <xf numFmtId="3" fontId="12" fillId="23" borderId="22" xfId="0" applyNumberFormat="1" applyFont="1" applyFill="1" applyBorder="1" applyAlignment="1" applyProtection="1">
      <alignment horizontal="right" vertical="center" indent="1"/>
    </xf>
    <xf numFmtId="3" fontId="11" fillId="23" borderId="22" xfId="0" applyNumberFormat="1" applyFont="1" applyFill="1" applyBorder="1" applyAlignment="1" applyProtection="1">
      <alignment horizontal="right" vertical="center" indent="1"/>
    </xf>
    <xf numFmtId="0" fontId="6" fillId="0" borderId="0" xfId="0" applyFont="1" applyProtection="1">
      <protection locked="0"/>
    </xf>
    <xf numFmtId="0" fontId="55" fillId="20" borderId="26" xfId="0" applyFont="1" applyFill="1" applyBorder="1" applyProtection="1">
      <protection locked="0"/>
    </xf>
    <xf numFmtId="0" fontId="6" fillId="20" borderId="17" xfId="0" applyFont="1" applyFill="1" applyBorder="1" applyProtection="1">
      <protection locked="0"/>
    </xf>
    <xf numFmtId="0" fontId="6" fillId="17" borderId="0" xfId="0" applyFont="1" applyFill="1" applyBorder="1" applyProtection="1">
      <protection locked="0"/>
    </xf>
    <xf numFmtId="0" fontId="6" fillId="0" borderId="0" xfId="0" applyFont="1" applyAlignment="1" applyProtection="1">
      <alignment horizontal="center"/>
      <protection locked="0"/>
    </xf>
    <xf numFmtId="0" fontId="36" fillId="17" borderId="0" xfId="0" applyFont="1" applyFill="1" applyBorder="1" applyProtection="1">
      <protection locked="0"/>
    </xf>
    <xf numFmtId="0" fontId="55" fillId="20" borderId="23" xfId="0" applyFont="1" applyFill="1" applyBorder="1" applyProtection="1">
      <protection locked="0"/>
    </xf>
    <xf numFmtId="0" fontId="6" fillId="20" borderId="15" xfId="0" applyFont="1" applyFill="1" applyBorder="1" applyProtection="1">
      <protection locked="0"/>
    </xf>
    <xf numFmtId="0" fontId="6" fillId="0" borderId="0" xfId="0" applyFont="1" applyBorder="1" applyProtection="1">
      <protection locked="0"/>
    </xf>
    <xf numFmtId="0" fontId="36" fillId="17" borderId="0" xfId="0" applyFont="1" applyFill="1" applyBorder="1" applyAlignment="1" applyProtection="1">
      <alignment vertical="center"/>
      <protection locked="0"/>
    </xf>
    <xf numFmtId="0" fontId="55" fillId="20" borderId="24" xfId="0" applyFont="1" applyFill="1" applyBorder="1" applyProtection="1">
      <protection locked="0"/>
    </xf>
    <xf numFmtId="0" fontId="6" fillId="20" borderId="25" xfId="0" applyFont="1" applyFill="1" applyBorder="1" applyProtection="1">
      <protection locked="0"/>
    </xf>
    <xf numFmtId="0" fontId="3" fillId="20" borderId="25" xfId="0" applyFont="1" applyFill="1" applyBorder="1" applyAlignment="1" applyProtection="1">
      <alignment horizontal="right"/>
      <protection locked="0"/>
    </xf>
    <xf numFmtId="0" fontId="6" fillId="20" borderId="27" xfId="0" applyFont="1" applyFill="1" applyBorder="1" applyProtection="1">
      <protection locked="0"/>
    </xf>
    <xf numFmtId="0" fontId="43" fillId="20" borderId="16" xfId="0" applyFont="1" applyFill="1" applyBorder="1" applyProtection="1">
      <protection locked="0"/>
    </xf>
    <xf numFmtId="3" fontId="11" fillId="19" borderId="0" xfId="0" applyNumberFormat="1" applyFont="1" applyFill="1" applyBorder="1" applyAlignment="1" applyProtection="1">
      <alignment horizontal="center" wrapText="1"/>
      <protection locked="0"/>
    </xf>
    <xf numFmtId="3" fontId="11" fillId="17" borderId="0" xfId="0" applyNumberFormat="1" applyFont="1" applyFill="1" applyBorder="1" applyAlignment="1">
      <alignment horizontal="center" vertical="center"/>
    </xf>
    <xf numFmtId="0" fontId="6" fillId="23" borderId="0" xfId="0" applyFont="1" applyFill="1"/>
    <xf numFmtId="0" fontId="8" fillId="27" borderId="0" xfId="0" applyFont="1" applyFill="1" applyBorder="1"/>
    <xf numFmtId="0" fontId="0" fillId="27" borderId="0" xfId="0" applyFill="1" applyBorder="1" applyProtection="1"/>
    <xf numFmtId="0" fontId="8" fillId="27" borderId="0" xfId="0" applyFont="1" applyFill="1" applyBorder="1" applyProtection="1"/>
    <xf numFmtId="0" fontId="12" fillId="27" borderId="0" xfId="0" applyFont="1" applyFill="1" applyBorder="1" applyProtection="1"/>
    <xf numFmtId="3" fontId="11" fillId="27" borderId="0" xfId="0" applyNumberFormat="1" applyFont="1" applyFill="1" applyBorder="1" applyAlignment="1" applyProtection="1">
      <alignment horizontal="right" vertical="center" indent="1"/>
    </xf>
    <xf numFmtId="3" fontId="12" fillId="27" borderId="0" xfId="0" applyNumberFormat="1" applyFont="1" applyFill="1" applyBorder="1" applyAlignment="1" applyProtection="1">
      <alignment horizontal="right" vertical="center" indent="1"/>
    </xf>
    <xf numFmtId="0" fontId="12" fillId="27" borderId="91" xfId="0" applyFont="1" applyFill="1" applyBorder="1" applyProtection="1"/>
    <xf numFmtId="3" fontId="12" fillId="27" borderId="91" xfId="0" applyNumberFormat="1" applyFont="1" applyFill="1" applyBorder="1" applyAlignment="1" applyProtection="1">
      <alignment horizontal="right" vertical="center" indent="1"/>
    </xf>
    <xf numFmtId="0" fontId="12" fillId="27" borderId="0" xfId="0" applyFont="1" applyFill="1" applyBorder="1" applyAlignment="1" applyProtection="1">
      <alignment vertical="top"/>
    </xf>
    <xf numFmtId="0" fontId="12" fillId="27" borderId="88" xfId="0" applyFont="1" applyFill="1" applyBorder="1" applyProtection="1"/>
    <xf numFmtId="3" fontId="12" fillId="27" borderId="30" xfId="0" applyNumberFormat="1" applyFont="1" applyFill="1" applyBorder="1" applyAlignment="1" applyProtection="1">
      <alignment horizontal="right" vertical="center" indent="1"/>
    </xf>
    <xf numFmtId="0" fontId="12" fillId="27" borderId="0" xfId="0" applyFont="1" applyFill="1" applyBorder="1" applyAlignment="1" applyProtection="1">
      <alignment vertical="top" wrapText="1"/>
    </xf>
    <xf numFmtId="0" fontId="12" fillId="27" borderId="90" xfId="0" applyFont="1" applyFill="1" applyBorder="1" applyProtection="1"/>
    <xf numFmtId="3" fontId="11" fillId="27" borderId="91" xfId="0" applyNumberFormat="1" applyFont="1" applyFill="1" applyBorder="1" applyAlignment="1" applyProtection="1">
      <alignment horizontal="right" vertical="center" indent="1"/>
    </xf>
    <xf numFmtId="3" fontId="12" fillId="27" borderId="92" xfId="0" applyNumberFormat="1" applyFont="1" applyFill="1" applyBorder="1" applyAlignment="1" applyProtection="1">
      <alignment horizontal="right" vertical="center" indent="1"/>
    </xf>
    <xf numFmtId="3" fontId="12" fillId="27" borderId="82" xfId="0" applyNumberFormat="1" applyFont="1" applyFill="1" applyBorder="1" applyAlignment="1" applyProtection="1">
      <alignment horizontal="right" vertical="center" indent="1"/>
    </xf>
    <xf numFmtId="0" fontId="0" fillId="27" borderId="18" xfId="0" applyFill="1" applyBorder="1" applyProtection="1"/>
    <xf numFmtId="0" fontId="12" fillId="27" borderId="19" xfId="0" applyFont="1" applyFill="1" applyBorder="1" applyProtection="1"/>
    <xf numFmtId="3" fontId="11" fillId="27" borderId="19" xfId="0" applyNumberFormat="1" applyFont="1" applyFill="1" applyBorder="1" applyAlignment="1" applyProtection="1">
      <alignment horizontal="right" vertical="center" indent="1"/>
    </xf>
    <xf numFmtId="3" fontId="12" fillId="27" borderId="19" xfId="0" applyNumberFormat="1" applyFont="1" applyFill="1" applyBorder="1" applyAlignment="1" applyProtection="1">
      <alignment horizontal="right" vertical="center" indent="1"/>
    </xf>
    <xf numFmtId="0" fontId="0" fillId="27" borderId="20" xfId="0" applyFill="1" applyBorder="1" applyProtection="1"/>
    <xf numFmtId="0" fontId="39" fillId="27" borderId="0" xfId="0" applyFont="1" applyFill="1" applyBorder="1" applyProtection="1"/>
    <xf numFmtId="0" fontId="6" fillId="27" borderId="0" xfId="0" applyFont="1" applyFill="1" applyBorder="1" applyProtection="1"/>
    <xf numFmtId="0" fontId="0" fillId="27" borderId="21" xfId="0" applyFill="1" applyBorder="1" applyProtection="1"/>
    <xf numFmtId="0" fontId="11" fillId="27" borderId="22" xfId="0" applyFont="1" applyFill="1" applyBorder="1" applyProtection="1"/>
    <xf numFmtId="0" fontId="12" fillId="27" borderId="22" xfId="0" applyFont="1" applyFill="1" applyBorder="1" applyProtection="1"/>
    <xf numFmtId="3" fontId="11" fillId="27" borderId="22" xfId="0" applyNumberFormat="1" applyFont="1" applyFill="1" applyBorder="1" applyAlignment="1" applyProtection="1">
      <alignment horizontal="right" vertical="center" indent="1"/>
    </xf>
    <xf numFmtId="3" fontId="12" fillId="27" borderId="22" xfId="0" applyNumberFormat="1" applyFont="1" applyFill="1" applyBorder="1" applyAlignment="1" applyProtection="1">
      <alignment horizontal="right" vertical="center" indent="1"/>
    </xf>
    <xf numFmtId="0" fontId="6" fillId="27" borderId="0" xfId="0" applyFont="1" applyFill="1" applyBorder="1"/>
    <xf numFmtId="3" fontId="11" fillId="23" borderId="0" xfId="0" applyNumberFormat="1" applyFont="1" applyFill="1" applyBorder="1" applyAlignment="1">
      <alignment horizontal="right" vertical="center" indent="1"/>
    </xf>
    <xf numFmtId="0" fontId="12" fillId="19" borderId="0" xfId="0" applyFont="1" applyFill="1" applyBorder="1" applyAlignment="1">
      <alignment horizontal="center"/>
    </xf>
    <xf numFmtId="0" fontId="11" fillId="19" borderId="0" xfId="0" applyFont="1" applyFill="1" applyBorder="1" applyAlignment="1">
      <alignment horizontal="center"/>
    </xf>
    <xf numFmtId="0" fontId="0" fillId="19" borderId="23" xfId="58" applyFont="1" applyFill="1" applyBorder="1" applyProtection="1"/>
    <xf numFmtId="0" fontId="0" fillId="0" borderId="0" xfId="58" applyFont="1" applyProtection="1"/>
    <xf numFmtId="0" fontId="6" fillId="0" borderId="0" xfId="58" applyFont="1" applyProtection="1"/>
    <xf numFmtId="0" fontId="36" fillId="0" borderId="0" xfId="58" applyFont="1" applyProtection="1"/>
    <xf numFmtId="169" fontId="36" fillId="0" borderId="0" xfId="58" applyNumberFormat="1" applyFont="1" applyProtection="1"/>
    <xf numFmtId="0" fontId="37" fillId="17" borderId="0" xfId="58" applyFont="1" applyFill="1" applyProtection="1"/>
    <xf numFmtId="0" fontId="0" fillId="0" borderId="0" xfId="58" applyFont="1" applyBorder="1" applyProtection="1"/>
    <xf numFmtId="0" fontId="37" fillId="17" borderId="0" xfId="58" applyFont="1" applyFill="1" applyBorder="1" applyProtection="1"/>
    <xf numFmtId="0" fontId="66" fillId="19" borderId="0" xfId="58" applyFont="1" applyFill="1" applyBorder="1" applyAlignment="1" applyProtection="1">
      <alignment horizontal="left" vertical="center"/>
    </xf>
    <xf numFmtId="0" fontId="34" fillId="0" borderId="0" xfId="58" applyFont="1" applyAlignment="1" applyProtection="1">
      <alignment vertical="center"/>
    </xf>
    <xf numFmtId="0" fontId="35" fillId="17" borderId="0" xfId="58" applyFont="1" applyFill="1" applyBorder="1" applyAlignment="1" applyProtection="1">
      <alignment vertical="center"/>
    </xf>
    <xf numFmtId="0" fontId="32" fillId="19" borderId="15" xfId="58" applyFont="1" applyFill="1" applyBorder="1" applyAlignment="1" applyProtection="1">
      <alignment horizontal="left" vertical="center" wrapText="1"/>
    </xf>
    <xf numFmtId="0" fontId="32" fillId="17" borderId="34" xfId="58" applyNumberFormat="1" applyFont="1" applyFill="1" applyBorder="1" applyAlignment="1" applyProtection="1">
      <alignment vertical="center"/>
      <protection locked="0"/>
    </xf>
    <xf numFmtId="0" fontId="32" fillId="19" borderId="0" xfId="58" applyFont="1" applyFill="1" applyBorder="1" applyAlignment="1" applyProtection="1">
      <alignment horizontal="right" vertical="center" indent="1"/>
    </xf>
    <xf numFmtId="0" fontId="68" fillId="19" borderId="0" xfId="58" applyFont="1" applyFill="1" applyBorder="1" applyAlignment="1" applyProtection="1">
      <alignment horizontal="left" vertical="center"/>
    </xf>
    <xf numFmtId="0" fontId="34" fillId="19" borderId="0" xfId="58" applyFont="1" applyFill="1" applyBorder="1" applyAlignment="1" applyProtection="1">
      <alignment horizontal="right" vertical="center" indent="1"/>
    </xf>
    <xf numFmtId="0" fontId="32" fillId="19" borderId="0" xfId="58" applyFont="1" applyFill="1" applyBorder="1" applyAlignment="1" applyProtection="1">
      <alignment horizontal="left" vertical="center"/>
    </xf>
    <xf numFmtId="0" fontId="34" fillId="17" borderId="0" xfId="58" applyFont="1" applyFill="1" applyAlignment="1" applyProtection="1">
      <alignment vertical="center"/>
    </xf>
    <xf numFmtId="0" fontId="0" fillId="17" borderId="0" xfId="58" applyFont="1" applyFill="1" applyProtection="1"/>
    <xf numFmtId="0" fontId="36" fillId="17" borderId="0" xfId="58" applyFont="1" applyFill="1" applyProtection="1"/>
    <xf numFmtId="169" fontId="36" fillId="17" borderId="0" xfId="58" applyNumberFormat="1" applyFont="1" applyFill="1" applyProtection="1"/>
    <xf numFmtId="0" fontId="0" fillId="19" borderId="15" xfId="58" applyFont="1" applyFill="1" applyBorder="1" applyProtection="1"/>
    <xf numFmtId="0" fontId="3" fillId="19" borderId="0" xfId="58" applyFont="1" applyFill="1" applyBorder="1" applyAlignment="1" applyProtection="1">
      <alignment horizontal="center"/>
    </xf>
    <xf numFmtId="0" fontId="3" fillId="19" borderId="0" xfId="58" applyFont="1" applyFill="1" applyBorder="1" applyAlignment="1" applyProtection="1">
      <alignment horizontal="center" vertical="center"/>
    </xf>
    <xf numFmtId="0" fontId="3" fillId="19" borderId="0" xfId="58" applyFont="1" applyFill="1" applyBorder="1" applyAlignment="1" applyProtection="1">
      <alignment horizontal="left" vertical="center"/>
    </xf>
    <xf numFmtId="0" fontId="0" fillId="19" borderId="0" xfId="58" applyFont="1" applyFill="1" applyBorder="1" applyProtection="1"/>
    <xf numFmtId="0" fontId="0" fillId="19" borderId="0" xfId="58" applyFont="1" applyFill="1" applyBorder="1" applyAlignment="1" applyProtection="1">
      <alignment horizontal="left" vertical="center"/>
    </xf>
    <xf numFmtId="0" fontId="36" fillId="19" borderId="0" xfId="58" applyFont="1" applyFill="1" applyBorder="1" applyAlignment="1" applyProtection="1">
      <alignment vertical="center"/>
    </xf>
    <xf numFmtId="0" fontId="69" fillId="19" borderId="0" xfId="58" applyFont="1" applyFill="1" applyBorder="1" applyAlignment="1" applyProtection="1">
      <alignment horizontal="left" vertical="top" wrapText="1"/>
    </xf>
    <xf numFmtId="0" fontId="0" fillId="19" borderId="0" xfId="58" applyFont="1" applyFill="1" applyBorder="1" applyAlignment="1" applyProtection="1">
      <alignment vertical="center"/>
    </xf>
    <xf numFmtId="3" fontId="70" fillId="19" borderId="0" xfId="58" applyNumberFormat="1" applyFont="1" applyFill="1" applyBorder="1" applyAlignment="1" applyProtection="1">
      <alignment horizontal="right" vertical="center"/>
    </xf>
    <xf numFmtId="0" fontId="70" fillId="19" borderId="0" xfId="58" applyFont="1" applyFill="1" applyBorder="1" applyAlignment="1" applyProtection="1">
      <alignment horizontal="right" vertical="center"/>
    </xf>
    <xf numFmtId="0" fontId="32" fillId="19" borderId="0" xfId="58" applyFont="1" applyFill="1" applyBorder="1" applyAlignment="1" applyProtection="1">
      <alignment vertical="center"/>
    </xf>
    <xf numFmtId="0" fontId="37" fillId="0" borderId="0" xfId="58" applyFont="1" applyAlignment="1" applyProtection="1">
      <alignment vertical="center"/>
    </xf>
    <xf numFmtId="3" fontId="71" fillId="19" borderId="0" xfId="58" applyNumberFormat="1" applyFont="1" applyFill="1" applyBorder="1" applyAlignment="1" applyProtection="1">
      <alignment horizontal="right" vertical="center"/>
    </xf>
    <xf numFmtId="0" fontId="8" fillId="19" borderId="0" xfId="58" applyFont="1" applyFill="1" applyBorder="1" applyAlignment="1" applyProtection="1">
      <alignment horizontal="left" vertical="center"/>
    </xf>
    <xf numFmtId="0" fontId="6" fillId="0" borderId="0" xfId="58" applyFont="1" applyBorder="1" applyProtection="1"/>
    <xf numFmtId="0" fontId="36" fillId="0" borderId="0" xfId="58" applyFont="1" applyBorder="1" applyProtection="1"/>
    <xf numFmtId="169" fontId="36" fillId="0" borderId="0" xfId="58" applyNumberFormat="1" applyFont="1" applyBorder="1" applyProtection="1"/>
    <xf numFmtId="0" fontId="0" fillId="24" borderId="25" xfId="0" applyFill="1" applyBorder="1"/>
    <xf numFmtId="0" fontId="55" fillId="24" borderId="0" xfId="0" applyFont="1" applyFill="1" applyBorder="1"/>
    <xf numFmtId="0" fontId="60" fillId="24" borderId="0" xfId="0" applyFont="1" applyFill="1"/>
    <xf numFmtId="0" fontId="53" fillId="24" borderId="0" xfId="0" applyFont="1" applyFill="1" applyBorder="1"/>
    <xf numFmtId="0" fontId="2" fillId="24" borderId="0" xfId="58" applyFont="1" applyFill="1" applyBorder="1"/>
    <xf numFmtId="3" fontId="11" fillId="19" borderId="113" xfId="0" applyNumberFormat="1" applyFont="1" applyFill="1" applyBorder="1" applyAlignment="1">
      <alignment horizontal="right" vertical="center" indent="1"/>
    </xf>
    <xf numFmtId="3" fontId="11" fillId="19" borderId="114" xfId="0" applyNumberFormat="1" applyFont="1" applyFill="1" applyBorder="1" applyAlignment="1">
      <alignment horizontal="right" vertical="center" indent="1"/>
    </xf>
    <xf numFmtId="3" fontId="12" fillId="17" borderId="111" xfId="0" applyNumberFormat="1" applyFont="1" applyFill="1" applyBorder="1" applyAlignment="1">
      <alignment horizontal="right" vertical="center" indent="1"/>
    </xf>
    <xf numFmtId="0" fontId="12" fillId="27" borderId="111" xfId="0" applyFont="1" applyFill="1" applyBorder="1"/>
    <xf numFmtId="0" fontId="12" fillId="27" borderId="0" xfId="0" applyFont="1" applyFill="1" applyBorder="1" applyAlignment="1">
      <alignment horizontal="right"/>
    </xf>
    <xf numFmtId="0" fontId="12" fillId="27" borderId="22" xfId="0" applyFont="1" applyFill="1" applyBorder="1"/>
    <xf numFmtId="3" fontId="12" fillId="17" borderId="112" xfId="0" applyNumberFormat="1" applyFont="1" applyFill="1" applyBorder="1" applyAlignment="1">
      <alignment horizontal="right" vertical="center" indent="1"/>
    </xf>
    <xf numFmtId="3" fontId="12" fillId="19" borderId="94" xfId="0" applyNumberFormat="1" applyFont="1" applyFill="1" applyBorder="1" applyAlignment="1">
      <alignment horizontal="right" vertical="center" indent="1"/>
    </xf>
    <xf numFmtId="3" fontId="12" fillId="23" borderId="0" xfId="0" applyNumberFormat="1" applyFont="1" applyFill="1" applyBorder="1" applyAlignment="1">
      <alignment horizontal="center" vertical="top"/>
    </xf>
    <xf numFmtId="0" fontId="12" fillId="23" borderId="111" xfId="0" applyFont="1" applyFill="1" applyBorder="1"/>
    <xf numFmtId="0" fontId="33" fillId="19" borderId="0" xfId="58" applyFont="1" applyFill="1" applyBorder="1" applyAlignment="1" applyProtection="1">
      <alignment horizontal="left" vertical="center"/>
    </xf>
    <xf numFmtId="0" fontId="50" fillId="19" borderId="0" xfId="58" applyFont="1" applyFill="1" applyBorder="1" applyAlignment="1" applyProtection="1">
      <alignment vertical="center"/>
    </xf>
    <xf numFmtId="0" fontId="2" fillId="24" borderId="0" xfId="0" applyFont="1" applyFill="1"/>
    <xf numFmtId="0" fontId="53" fillId="24" borderId="0" xfId="0" applyFont="1" applyFill="1"/>
    <xf numFmtId="0" fontId="75" fillId="19" borderId="0" xfId="58" applyFont="1" applyFill="1" applyBorder="1" applyAlignment="1" applyProtection="1">
      <alignment vertical="center"/>
    </xf>
    <xf numFmtId="0" fontId="8" fillId="19" borderId="0" xfId="58" applyFont="1" applyFill="1" applyBorder="1" applyAlignment="1" applyProtection="1">
      <alignment horizontal="center" vertical="center"/>
    </xf>
    <xf numFmtId="0" fontId="33" fillId="19" borderId="0" xfId="58" quotePrefix="1" applyFont="1" applyFill="1" applyBorder="1" applyAlignment="1" applyProtection="1">
      <alignment horizontal="center" vertical="center"/>
    </xf>
    <xf numFmtId="0" fontId="55" fillId="24" borderId="0" xfId="0" applyFont="1" applyFill="1"/>
    <xf numFmtId="0" fontId="55" fillId="24" borderId="0" xfId="0" applyFont="1" applyFill="1" applyAlignment="1">
      <alignment horizontal="center"/>
    </xf>
    <xf numFmtId="0" fontId="12" fillId="19" borderId="0" xfId="0" applyFont="1" applyFill="1" applyBorder="1" applyAlignment="1">
      <alignment horizontal="center"/>
    </xf>
    <xf numFmtId="0" fontId="8" fillId="19" borderId="0" xfId="58" quotePrefix="1" applyFont="1" applyFill="1" applyBorder="1" applyAlignment="1" applyProtection="1">
      <alignment horizontal="center" vertical="center" wrapText="1"/>
    </xf>
    <xf numFmtId="0" fontId="8" fillId="19" borderId="0" xfId="58" quotePrefix="1" applyFont="1" applyFill="1" applyBorder="1" applyAlignment="1" applyProtection="1">
      <alignment horizontal="center" vertical="center"/>
    </xf>
    <xf numFmtId="0" fontId="76" fillId="19" borderId="23" xfId="58" applyFont="1" applyFill="1" applyBorder="1" applyAlignment="1" applyProtection="1">
      <alignment vertical="center"/>
    </xf>
    <xf numFmtId="0" fontId="67" fillId="0" borderId="0" xfId="0" applyFont="1" applyProtection="1"/>
    <xf numFmtId="3" fontId="32" fillId="17" borderId="115" xfId="58" applyNumberFormat="1" applyFont="1" applyFill="1" applyBorder="1" applyAlignment="1" applyProtection="1">
      <alignment horizontal="right" vertical="center" indent="1"/>
    </xf>
    <xf numFmtId="169" fontId="35" fillId="17" borderId="0" xfId="62" applyNumberFormat="1" applyFont="1" applyFill="1" applyAlignment="1" applyProtection="1">
      <alignment horizontal="right" vertical="center"/>
    </xf>
    <xf numFmtId="0" fontId="42" fillId="17" borderId="0" xfId="58" applyFont="1" applyFill="1" applyBorder="1" applyProtection="1"/>
    <xf numFmtId="0" fontId="6" fillId="17" borderId="0" xfId="58" applyFont="1" applyFill="1" applyBorder="1" applyProtection="1"/>
    <xf numFmtId="4" fontId="2" fillId="17" borderId="0" xfId="61" applyNumberFormat="1" applyFill="1" applyBorder="1" applyAlignment="1" applyProtection="1">
      <alignment wrapText="1"/>
    </xf>
    <xf numFmtId="0" fontId="0" fillId="17" borderId="0" xfId="58" applyFont="1" applyFill="1" applyBorder="1" applyProtection="1"/>
    <xf numFmtId="0" fontId="33" fillId="19" borderId="0" xfId="58" applyFont="1" applyFill="1" applyBorder="1" applyAlignment="1" applyProtection="1">
      <alignment horizontal="left" vertical="center" wrapText="1"/>
    </xf>
    <xf numFmtId="0" fontId="8" fillId="19" borderId="119" xfId="58" quotePrefix="1" applyFont="1" applyFill="1" applyBorder="1" applyAlignment="1" applyProtection="1">
      <alignment horizontal="center" vertical="center"/>
    </xf>
    <xf numFmtId="0" fontId="8" fillId="19" borderId="120" xfId="58" quotePrefix="1" applyFont="1" applyFill="1" applyBorder="1" applyAlignment="1" applyProtection="1">
      <alignment horizontal="center" vertical="center"/>
    </xf>
    <xf numFmtId="0" fontId="8" fillId="19" borderId="121" xfId="58" applyFont="1" applyFill="1" applyBorder="1" applyAlignment="1" applyProtection="1">
      <alignment horizontal="left" vertical="center" wrapText="1"/>
    </xf>
    <xf numFmtId="0" fontId="3" fillId="19" borderId="122" xfId="58" applyFont="1" applyFill="1" applyBorder="1" applyAlignment="1" applyProtection="1">
      <alignment horizontal="left" vertical="center"/>
    </xf>
    <xf numFmtId="0" fontId="8" fillId="19" borderId="123" xfId="58" applyFont="1" applyFill="1" applyBorder="1" applyAlignment="1" applyProtection="1">
      <alignment horizontal="left" vertical="center" wrapText="1"/>
    </xf>
    <xf numFmtId="0" fontId="69" fillId="19" borderId="119" xfId="58" applyFont="1" applyFill="1" applyBorder="1" applyAlignment="1" applyProtection="1">
      <alignment horizontal="left" vertical="top" wrapText="1"/>
    </xf>
    <xf numFmtId="0" fontId="36" fillId="19" borderId="120" xfId="58" applyFont="1" applyFill="1" applyBorder="1" applyAlignment="1" applyProtection="1">
      <alignment vertical="center"/>
    </xf>
    <xf numFmtId="3" fontId="32" fillId="17" borderId="124" xfId="58" applyNumberFormat="1" applyFont="1" applyFill="1" applyBorder="1" applyAlignment="1" applyProtection="1">
      <alignment horizontal="right" vertical="center" indent="1"/>
    </xf>
    <xf numFmtId="0" fontId="3" fillId="19" borderId="119" xfId="58" applyFont="1" applyFill="1" applyBorder="1" applyAlignment="1" applyProtection="1">
      <alignment horizontal="left" vertical="center"/>
    </xf>
    <xf numFmtId="0" fontId="33" fillId="19" borderId="120" xfId="58" quotePrefix="1" applyFont="1" applyFill="1" applyBorder="1" applyAlignment="1" applyProtection="1">
      <alignment horizontal="center"/>
    </xf>
    <xf numFmtId="0" fontId="8" fillId="19" borderId="119" xfId="58" applyFont="1" applyFill="1" applyBorder="1" applyAlignment="1" applyProtection="1">
      <alignment horizontal="center" vertical="center"/>
    </xf>
    <xf numFmtId="0" fontId="0" fillId="19" borderId="122" xfId="58" applyFont="1" applyFill="1" applyBorder="1" applyAlignment="1" applyProtection="1">
      <alignment horizontal="left" vertical="center"/>
    </xf>
    <xf numFmtId="0" fontId="8" fillId="19" borderId="122" xfId="58" applyFont="1" applyFill="1" applyBorder="1" applyAlignment="1" applyProtection="1">
      <alignment horizontal="left" vertical="center" wrapText="1"/>
    </xf>
    <xf numFmtId="0" fontId="3" fillId="19" borderId="118" xfId="58" applyFont="1" applyFill="1" applyBorder="1" applyAlignment="1" applyProtection="1">
      <alignment horizontal="center"/>
    </xf>
    <xf numFmtId="0" fontId="0" fillId="19" borderId="120" xfId="58" applyFont="1" applyFill="1" applyBorder="1" applyAlignment="1" applyProtection="1">
      <alignment horizontal="left" vertical="center"/>
    </xf>
    <xf numFmtId="0" fontId="32" fillId="19" borderId="120" xfId="58" applyFont="1" applyFill="1" applyBorder="1" applyAlignment="1" applyProtection="1">
      <alignment horizontal="right" vertical="center" indent="1"/>
    </xf>
    <xf numFmtId="0" fontId="8" fillId="19" borderId="122" xfId="58" applyFont="1" applyFill="1" applyBorder="1" applyAlignment="1" applyProtection="1">
      <alignment horizontal="left" vertical="center"/>
    </xf>
    <xf numFmtId="0" fontId="0" fillId="19" borderId="123" xfId="58" applyFont="1" applyFill="1" applyBorder="1" applyAlignment="1" applyProtection="1">
      <alignment horizontal="left" vertical="center"/>
    </xf>
    <xf numFmtId="0" fontId="13" fillId="19" borderId="0" xfId="58" applyFont="1" applyFill="1" applyBorder="1" applyAlignment="1" applyProtection="1">
      <alignment horizontal="center" vertical="center" wrapText="1"/>
    </xf>
    <xf numFmtId="0" fontId="13" fillId="19" borderId="0" xfId="58" applyFont="1" applyFill="1" applyBorder="1" applyAlignment="1" applyProtection="1">
      <alignment horizontal="left" vertical="center"/>
    </xf>
    <xf numFmtId="0" fontId="13" fillId="19" borderId="0" xfId="58" applyFont="1" applyFill="1" applyBorder="1" applyAlignment="1" applyProtection="1">
      <alignment horizontal="center"/>
    </xf>
    <xf numFmtId="0" fontId="14" fillId="19" borderId="0" xfId="58" applyFont="1" applyFill="1" applyBorder="1" applyProtection="1"/>
    <xf numFmtId="0" fontId="13" fillId="19" borderId="0" xfId="58" applyFont="1" applyFill="1" applyBorder="1" applyAlignment="1" applyProtection="1">
      <alignment horizontal="center" vertical="center"/>
    </xf>
    <xf numFmtId="0" fontId="53" fillId="19" borderId="119" xfId="58" applyFont="1" applyFill="1" applyBorder="1" applyAlignment="1" applyProtection="1">
      <alignment horizontal="left" vertical="center"/>
    </xf>
    <xf numFmtId="0" fontId="32" fillId="19" borderId="0" xfId="58" applyFont="1" applyFill="1" applyBorder="1" applyAlignment="1" applyProtection="1">
      <alignment horizontal="left" vertical="center" wrapText="1"/>
    </xf>
    <xf numFmtId="0" fontId="66" fillId="19" borderId="25" xfId="58" applyFont="1" applyFill="1" applyBorder="1" applyAlignment="1" applyProtection="1">
      <alignment horizontal="left" vertical="center"/>
    </xf>
    <xf numFmtId="0" fontId="32" fillId="19" borderId="27" xfId="58" applyFont="1" applyFill="1" applyBorder="1" applyAlignment="1" applyProtection="1">
      <alignment horizontal="left" vertical="center" wrapText="1"/>
    </xf>
    <xf numFmtId="0" fontId="66" fillId="19" borderId="24" xfId="58" applyFont="1" applyFill="1" applyBorder="1" applyAlignment="1" applyProtection="1">
      <alignment horizontal="left" vertical="center"/>
    </xf>
    <xf numFmtId="3" fontId="71" fillId="26" borderId="0" xfId="58" applyNumberFormat="1" applyFont="1" applyFill="1" applyBorder="1" applyAlignment="1" applyProtection="1">
      <alignment horizontal="right" vertical="center"/>
    </xf>
    <xf numFmtId="0" fontId="70" fillId="26" borderId="0" xfId="58" applyFont="1" applyFill="1" applyBorder="1" applyAlignment="1" applyProtection="1">
      <alignment horizontal="right" vertical="center"/>
    </xf>
    <xf numFmtId="3" fontId="70" fillId="26" borderId="0" xfId="58" applyNumberFormat="1" applyFont="1" applyFill="1" applyBorder="1" applyAlignment="1" applyProtection="1">
      <alignment horizontal="right" vertical="center"/>
    </xf>
    <xf numFmtId="0" fontId="3" fillId="26" borderId="0" xfId="58" applyFont="1" applyFill="1" applyBorder="1" applyAlignment="1" applyProtection="1">
      <alignment horizontal="center"/>
    </xf>
    <xf numFmtId="0" fontId="0" fillId="26" borderId="0" xfId="58" applyFont="1" applyFill="1" applyBorder="1" applyAlignment="1" applyProtection="1">
      <alignment horizontal="left" vertical="center"/>
    </xf>
    <xf numFmtId="3" fontId="32" fillId="26" borderId="115" xfId="58" applyNumberFormat="1" applyFont="1" applyFill="1" applyBorder="1" applyAlignment="1" applyProtection="1">
      <alignment horizontal="right" vertical="center" indent="1"/>
    </xf>
    <xf numFmtId="0" fontId="32" fillId="26" borderId="0" xfId="58" applyFont="1" applyFill="1" applyBorder="1" applyAlignment="1" applyProtection="1">
      <alignment horizontal="right" vertical="center" indent="1"/>
    </xf>
    <xf numFmtId="0" fontId="33" fillId="26" borderId="0" xfId="58" quotePrefix="1" applyFont="1" applyFill="1" applyBorder="1" applyAlignment="1" applyProtection="1">
      <alignment horizontal="center" vertical="center"/>
    </xf>
    <xf numFmtId="0" fontId="8" fillId="26" borderId="0" xfId="58" quotePrefix="1" applyFont="1" applyFill="1" applyBorder="1" applyAlignment="1" applyProtection="1">
      <alignment horizontal="center" vertical="center"/>
    </xf>
    <xf numFmtId="0" fontId="8" fillId="26" borderId="122" xfId="58" applyFont="1" applyFill="1" applyBorder="1" applyAlignment="1" applyProtection="1">
      <alignment horizontal="left" vertical="center" wrapText="1"/>
    </xf>
    <xf numFmtId="0" fontId="3" fillId="26" borderId="122" xfId="58" applyFont="1" applyFill="1" applyBorder="1" applyAlignment="1" applyProtection="1">
      <alignment horizontal="left" vertical="center"/>
    </xf>
    <xf numFmtId="0" fontId="13" fillId="26" borderId="0" xfId="58" applyFont="1" applyFill="1" applyBorder="1" applyAlignment="1" applyProtection="1">
      <alignment horizontal="center" vertical="center" wrapText="1"/>
    </xf>
    <xf numFmtId="0" fontId="13" fillId="26" borderId="0" xfId="58" applyFont="1" applyFill="1" applyBorder="1" applyAlignment="1" applyProtection="1">
      <alignment horizontal="center" vertical="center"/>
    </xf>
    <xf numFmtId="0" fontId="32" fillId="26" borderId="115" xfId="58" applyNumberFormat="1" applyFont="1" applyFill="1" applyBorder="1" applyAlignment="1" applyProtection="1">
      <alignment vertical="center"/>
    </xf>
    <xf numFmtId="0" fontId="66" fillId="26" borderId="25" xfId="58" applyFont="1" applyFill="1" applyBorder="1" applyAlignment="1" applyProtection="1">
      <alignment horizontal="left" vertical="center"/>
    </xf>
    <xf numFmtId="0" fontId="66" fillId="26" borderId="0" xfId="58" applyFont="1" applyFill="1" applyBorder="1" applyAlignment="1" applyProtection="1">
      <alignment horizontal="left" vertical="center"/>
    </xf>
    <xf numFmtId="0" fontId="6" fillId="26" borderId="0" xfId="58" applyFont="1" applyFill="1" applyBorder="1" applyProtection="1"/>
    <xf numFmtId="0" fontId="0" fillId="26" borderId="0" xfId="58" applyFont="1" applyFill="1" applyProtection="1"/>
    <xf numFmtId="0" fontId="3" fillId="19" borderId="0" xfId="58" quotePrefix="1" applyFont="1" applyFill="1" applyBorder="1" applyAlignment="1" applyProtection="1">
      <alignment horizontal="center"/>
    </xf>
    <xf numFmtId="0" fontId="3" fillId="19" borderId="120" xfId="58" quotePrefix="1" applyFont="1" applyFill="1" applyBorder="1" applyAlignment="1" applyProtection="1">
      <alignment horizontal="center"/>
    </xf>
    <xf numFmtId="0" fontId="3" fillId="26" borderId="0" xfId="58" quotePrefix="1" applyFont="1" applyFill="1" applyBorder="1" applyAlignment="1" applyProtection="1">
      <alignment horizontal="center"/>
    </xf>
    <xf numFmtId="0" fontId="2" fillId="19" borderId="23" xfId="58" applyFont="1" applyFill="1" applyBorder="1" applyProtection="1"/>
    <xf numFmtId="0" fontId="2" fillId="19" borderId="15" xfId="58" applyFont="1" applyFill="1" applyBorder="1" applyProtection="1"/>
    <xf numFmtId="169" fontId="37" fillId="0" borderId="0" xfId="58" applyNumberFormat="1" applyFont="1" applyProtection="1"/>
    <xf numFmtId="0" fontId="37" fillId="0" borderId="0" xfId="58" applyFont="1" applyProtection="1"/>
    <xf numFmtId="0" fontId="2" fillId="0" borderId="0" xfId="58" applyFont="1" applyProtection="1"/>
    <xf numFmtId="1" fontId="2" fillId="20" borderId="26" xfId="0" applyNumberFormat="1" applyFont="1" applyFill="1" applyBorder="1" applyProtection="1"/>
    <xf numFmtId="0" fontId="2" fillId="20" borderId="16" xfId="0" applyFont="1" applyFill="1" applyBorder="1" applyProtection="1"/>
    <xf numFmtId="0" fontId="2" fillId="20" borderId="17" xfId="0" applyFont="1" applyFill="1" applyBorder="1" applyAlignment="1" applyProtection="1">
      <alignment horizontal="center"/>
    </xf>
    <xf numFmtId="0" fontId="0" fillId="24" borderId="0" xfId="0" applyFill="1" applyProtection="1"/>
    <xf numFmtId="0" fontId="0" fillId="0" borderId="0" xfId="0" applyProtection="1"/>
    <xf numFmtId="1" fontId="2" fillId="20" borderId="26" xfId="0" applyNumberFormat="1" applyFont="1" applyFill="1" applyBorder="1" applyAlignment="1" applyProtection="1"/>
    <xf numFmtId="0" fontId="2" fillId="20" borderId="16" xfId="0" applyFont="1" applyFill="1" applyBorder="1" applyAlignment="1" applyProtection="1"/>
    <xf numFmtId="1" fontId="2" fillId="20" borderId="23" xfId="0" applyNumberFormat="1" applyFont="1" applyFill="1" applyBorder="1" applyAlignment="1" applyProtection="1">
      <alignment horizontal="center"/>
    </xf>
    <xf numFmtId="1" fontId="2" fillId="20" borderId="0" xfId="0" applyNumberFormat="1" applyFont="1" applyFill="1" applyBorder="1" applyAlignment="1" applyProtection="1">
      <alignment horizontal="center"/>
    </xf>
    <xf numFmtId="1" fontId="2" fillId="20" borderId="15" xfId="0" applyNumberFormat="1" applyFont="1" applyFill="1" applyBorder="1" applyAlignment="1" applyProtection="1">
      <alignment horizontal="center"/>
    </xf>
    <xf numFmtId="1" fontId="2" fillId="20" borderId="23" xfId="0" applyNumberFormat="1" applyFont="1" applyFill="1" applyBorder="1" applyProtection="1"/>
    <xf numFmtId="0" fontId="2" fillId="20" borderId="0" xfId="0" applyFont="1" applyFill="1" applyBorder="1" applyProtection="1"/>
    <xf numFmtId="0" fontId="2" fillId="20" borderId="15" xfId="0" applyFont="1" applyFill="1" applyBorder="1" applyAlignment="1" applyProtection="1">
      <alignment horizontal="center"/>
    </xf>
    <xf numFmtId="1" fontId="48" fillId="20" borderId="23" xfId="0" applyNumberFormat="1" applyFont="1" applyFill="1" applyBorder="1" applyAlignment="1" applyProtection="1">
      <alignment horizontal="center" vertical="top"/>
    </xf>
    <xf numFmtId="0" fontId="48" fillId="20" borderId="0" xfId="0" applyFont="1" applyFill="1" applyBorder="1" applyAlignment="1" applyProtection="1">
      <alignment vertical="top"/>
    </xf>
    <xf numFmtId="0" fontId="48" fillId="20" borderId="15" xfId="0" applyFont="1" applyFill="1" applyBorder="1" applyAlignment="1" applyProtection="1">
      <alignment horizontal="center" vertical="top"/>
    </xf>
    <xf numFmtId="1" fontId="49" fillId="20" borderId="24" xfId="0" applyNumberFormat="1" applyFont="1" applyFill="1" applyBorder="1" applyProtection="1"/>
    <xf numFmtId="0" fontId="49" fillId="20" borderId="25" xfId="0" applyFont="1" applyFill="1" applyBorder="1" applyProtection="1"/>
    <xf numFmtId="0" fontId="49" fillId="20" borderId="27" xfId="0" applyFont="1" applyFill="1" applyBorder="1" applyAlignment="1" applyProtection="1">
      <alignment horizontal="center"/>
    </xf>
    <xf numFmtId="0" fontId="3" fillId="20" borderId="38" xfId="0" applyFont="1" applyFill="1" applyBorder="1" applyAlignment="1" applyProtection="1">
      <alignment vertical="top" wrapText="1"/>
    </xf>
    <xf numFmtId="0" fontId="3" fillId="20" borderId="17" xfId="0" applyFont="1" applyFill="1" applyBorder="1" applyAlignment="1" applyProtection="1">
      <alignment vertical="top" wrapText="1"/>
    </xf>
    <xf numFmtId="1" fontId="49" fillId="21" borderId="23" xfId="0" applyNumberFormat="1" applyFont="1" applyFill="1" applyBorder="1" applyAlignment="1" applyProtection="1">
      <alignment horizontal="center"/>
    </xf>
    <xf numFmtId="4" fontId="49" fillId="21" borderId="38" xfId="0" applyNumberFormat="1" applyFont="1" applyFill="1" applyBorder="1" applyProtection="1"/>
    <xf numFmtId="4" fontId="49" fillId="21" borderId="26" xfId="0" applyNumberFormat="1" applyFont="1" applyFill="1" applyBorder="1" applyAlignment="1" applyProtection="1">
      <alignment horizontal="center"/>
    </xf>
    <xf numFmtId="4" fontId="49" fillId="25" borderId="39" xfId="0" applyNumberFormat="1" applyFont="1" applyFill="1" applyBorder="1" applyProtection="1"/>
    <xf numFmtId="4" fontId="49" fillId="21" borderId="23" xfId="0" applyNumberFormat="1" applyFont="1" applyFill="1" applyBorder="1" applyAlignment="1" applyProtection="1">
      <alignment horizontal="center"/>
    </xf>
    <xf numFmtId="4" fontId="49" fillId="21" borderId="39" xfId="0" applyNumberFormat="1" applyFont="1" applyFill="1" applyBorder="1" applyProtection="1"/>
    <xf numFmtId="4" fontId="2" fillId="21" borderId="39" xfId="0" applyNumberFormat="1" applyFont="1" applyFill="1" applyBorder="1" applyProtection="1"/>
    <xf numFmtId="0" fontId="49" fillId="21" borderId="39" xfId="0" applyFont="1" applyFill="1" applyBorder="1" applyProtection="1"/>
    <xf numFmtId="0" fontId="49" fillId="21" borderId="23" xfId="0" applyFont="1" applyFill="1" applyBorder="1" applyAlignment="1" applyProtection="1">
      <alignment horizontal="center"/>
    </xf>
    <xf numFmtId="4" fontId="2" fillId="21" borderId="40" xfId="0" applyNumberFormat="1" applyFont="1" applyFill="1" applyBorder="1" applyProtection="1"/>
    <xf numFmtId="4" fontId="49" fillId="21" borderId="24" xfId="0" applyNumberFormat="1" applyFont="1" applyFill="1" applyBorder="1" applyAlignment="1" applyProtection="1">
      <alignment horizontal="center"/>
    </xf>
    <xf numFmtId="0" fontId="0" fillId="24" borderId="0" xfId="0" applyFill="1" applyBorder="1" applyProtection="1"/>
    <xf numFmtId="0" fontId="12" fillId="24" borderId="0" xfId="0" applyFont="1" applyFill="1" applyBorder="1" applyProtection="1"/>
    <xf numFmtId="0" fontId="12" fillId="0" borderId="0" xfId="0" applyFont="1" applyBorder="1" applyProtection="1"/>
    <xf numFmtId="0" fontId="0" fillId="0" borderId="0" xfId="0" applyBorder="1" applyProtection="1"/>
    <xf numFmtId="0" fontId="12" fillId="0" borderId="0" xfId="0" applyFont="1" applyProtection="1"/>
    <xf numFmtId="0" fontId="52" fillId="24" borderId="0" xfId="0" applyFont="1" applyFill="1" applyProtection="1"/>
    <xf numFmtId="3" fontId="11" fillId="23" borderId="0" xfId="0" applyNumberFormat="1" applyFont="1" applyFill="1" applyBorder="1" applyAlignment="1">
      <alignment horizontal="right" vertical="center" indent="1"/>
    </xf>
    <xf numFmtId="0" fontId="3" fillId="24" borderId="0" xfId="0" applyFont="1" applyFill="1"/>
    <xf numFmtId="0" fontId="0" fillId="27" borderId="23" xfId="0" applyFill="1" applyBorder="1"/>
    <xf numFmtId="3" fontId="12" fillId="27" borderId="0" xfId="0" applyNumberFormat="1" applyFont="1" applyFill="1" applyBorder="1" applyAlignment="1">
      <alignment horizontal="right" vertical="center" indent="1"/>
    </xf>
    <xf numFmtId="0" fontId="6" fillId="27" borderId="0" xfId="0" applyFont="1" applyFill="1" applyBorder="1" applyAlignment="1">
      <alignment horizontal="left" vertical="top" wrapText="1"/>
    </xf>
    <xf numFmtId="3" fontId="11" fillId="27" borderId="0" xfId="0" applyNumberFormat="1" applyFont="1" applyFill="1" applyBorder="1" applyAlignment="1" applyProtection="1">
      <alignment horizontal="right" vertical="center" indent="1"/>
      <protection locked="0"/>
    </xf>
    <xf numFmtId="0" fontId="0" fillId="27" borderId="15" xfId="0" applyFill="1" applyBorder="1"/>
    <xf numFmtId="0" fontId="6" fillId="0" borderId="0" xfId="0" applyFont="1" applyFill="1"/>
    <xf numFmtId="0" fontId="12" fillId="0" borderId="0" xfId="0" applyFont="1" applyFill="1"/>
    <xf numFmtId="3" fontId="77" fillId="23" borderId="0" xfId="0" applyNumberFormat="1" applyFont="1" applyFill="1" applyBorder="1" applyAlignment="1">
      <alignment horizontal="center" vertical="center" wrapText="1"/>
    </xf>
    <xf numFmtId="3" fontId="79" fillId="23" borderId="0" xfId="0" applyNumberFormat="1" applyFont="1" applyFill="1" applyBorder="1" applyAlignment="1">
      <alignment horizontal="right" vertical="center" indent="1"/>
    </xf>
    <xf numFmtId="0" fontId="6" fillId="27" borderId="0" xfId="0" applyFont="1" applyFill="1" applyBorder="1" applyAlignment="1">
      <alignment horizontal="left" vertical="top" wrapText="1"/>
    </xf>
    <xf numFmtId="0" fontId="0" fillId="27" borderId="0" xfId="0" applyFill="1" applyAlignment="1">
      <alignment horizontal="left" vertical="top" wrapText="1"/>
    </xf>
    <xf numFmtId="0" fontId="2" fillId="24" borderId="0" xfId="0" applyFont="1" applyFill="1" applyBorder="1"/>
    <xf numFmtId="0" fontId="3" fillId="24" borderId="0" xfId="0" applyFont="1" applyFill="1" applyBorder="1"/>
    <xf numFmtId="0" fontId="14" fillId="19" borderId="0" xfId="0" applyFont="1" applyFill="1" applyBorder="1"/>
    <xf numFmtId="3" fontId="78" fillId="23" borderId="0" xfId="0" applyNumberFormat="1" applyFont="1" applyFill="1" applyBorder="1"/>
    <xf numFmtId="3" fontId="80" fillId="23" borderId="0" xfId="0" applyNumberFormat="1" applyFont="1" applyFill="1" applyBorder="1"/>
    <xf numFmtId="0" fontId="2" fillId="17" borderId="0" xfId="0" applyFont="1" applyFill="1" applyBorder="1"/>
    <xf numFmtId="0" fontId="6" fillId="27" borderId="0" xfId="0" applyFont="1" applyFill="1" applyBorder="1" applyAlignment="1">
      <alignment horizontal="left" vertical="top" wrapText="1"/>
    </xf>
    <xf numFmtId="0" fontId="0" fillId="27" borderId="0" xfId="0" applyFill="1" applyAlignment="1">
      <alignment horizontal="left" vertical="top" wrapText="1"/>
    </xf>
    <xf numFmtId="3" fontId="11" fillId="23" borderId="0" xfId="0" applyNumberFormat="1" applyFont="1" applyFill="1" applyBorder="1" applyAlignment="1">
      <alignment horizontal="right" vertical="center" indent="1"/>
    </xf>
    <xf numFmtId="3" fontId="8" fillId="23" borderId="0" xfId="0" applyNumberFormat="1" applyFont="1" applyFill="1" applyBorder="1" applyAlignment="1">
      <alignment horizontal="right"/>
    </xf>
    <xf numFmtId="0" fontId="0" fillId="19" borderId="126" xfId="0" applyFill="1" applyBorder="1"/>
    <xf numFmtId="0" fontId="0" fillId="27" borderId="126" xfId="0" applyFill="1" applyBorder="1"/>
    <xf numFmtId="168" fontId="2" fillId="20" borderId="25" xfId="0" applyNumberFormat="1" applyFont="1" applyFill="1" applyBorder="1" applyAlignment="1" applyProtection="1">
      <alignment horizontal="left"/>
      <protection locked="0"/>
    </xf>
    <xf numFmtId="168" fontId="6" fillId="20" borderId="25" xfId="0" applyNumberFormat="1" applyFont="1" applyFill="1" applyBorder="1" applyAlignment="1">
      <alignment horizontal="left"/>
    </xf>
    <xf numFmtId="3" fontId="51" fillId="23" borderId="0" xfId="0" applyNumberFormat="1" applyFont="1" applyFill="1" applyBorder="1" applyAlignment="1">
      <alignment horizontal="left" vertical="center" indent="1"/>
    </xf>
    <xf numFmtId="0" fontId="54" fillId="19" borderId="0" xfId="0" applyFont="1" applyFill="1" applyBorder="1"/>
    <xf numFmtId="0" fontId="54" fillId="23" borderId="0" xfId="0" applyFont="1" applyFill="1" applyBorder="1"/>
    <xf numFmtId="0" fontId="60" fillId="19" borderId="15" xfId="0" applyFont="1" applyFill="1" applyBorder="1"/>
    <xf numFmtId="1" fontId="54" fillId="22" borderId="53" xfId="0" applyNumberFormat="1" applyFont="1" applyFill="1" applyBorder="1" applyAlignment="1">
      <alignment horizontal="center"/>
    </xf>
    <xf numFmtId="3" fontId="54" fillId="0" borderId="0" xfId="0" applyNumberFormat="1" applyFont="1"/>
    <xf numFmtId="4" fontId="49" fillId="34" borderId="23" xfId="0" applyNumberFormat="1" applyFont="1" applyFill="1" applyBorder="1" applyAlignment="1" applyProtection="1">
      <alignment horizontal="center"/>
    </xf>
    <xf numFmtId="0" fontId="0" fillId="34" borderId="0" xfId="0" applyFill="1" applyProtection="1"/>
    <xf numFmtId="3" fontId="8" fillId="23" borderId="0" xfId="0" applyNumberFormat="1" applyFont="1" applyFill="1" applyBorder="1" applyAlignment="1">
      <alignment horizontal="center" vertical="center"/>
    </xf>
    <xf numFmtId="3" fontId="45" fillId="19" borderId="0" xfId="0" applyNumberFormat="1" applyFont="1" applyFill="1" applyBorder="1" applyAlignment="1">
      <alignment horizontal="left" vertical="center"/>
    </xf>
    <xf numFmtId="3" fontId="77" fillId="23" borderId="72" xfId="0" applyNumberFormat="1" applyFont="1" applyFill="1" applyBorder="1" applyAlignment="1">
      <alignment horizontal="center" vertical="center"/>
    </xf>
    <xf numFmtId="0" fontId="78" fillId="23" borderId="72" xfId="0" applyFont="1" applyFill="1" applyBorder="1" applyAlignment="1">
      <alignment horizontal="center" vertical="center"/>
    </xf>
    <xf numFmtId="3" fontId="77" fillId="23" borderId="72" xfId="0" applyNumberFormat="1" applyFont="1" applyFill="1" applyBorder="1" applyAlignment="1">
      <alignment vertical="center"/>
    </xf>
    <xf numFmtId="3" fontId="11" fillId="19" borderId="0" xfId="0" applyNumberFormat="1" applyFont="1" applyFill="1" applyBorder="1" applyAlignment="1">
      <alignment horizontal="center" wrapText="1"/>
    </xf>
    <xf numFmtId="0" fontId="13" fillId="19" borderId="0" xfId="58" applyFont="1" applyFill="1" applyBorder="1" applyAlignment="1" applyProtection="1">
      <alignment horizontal="center" vertical="center" wrapText="1"/>
    </xf>
    <xf numFmtId="0" fontId="6" fillId="19" borderId="126" xfId="0" applyFont="1" applyFill="1" applyBorder="1"/>
    <xf numFmtId="1" fontId="36" fillId="22" borderId="0" xfId="0" applyNumberFormat="1" applyFont="1" applyFill="1" applyBorder="1" applyAlignment="1">
      <alignment horizontal="center"/>
    </xf>
    <xf numFmtId="0" fontId="81" fillId="19" borderId="0" xfId="0" applyFont="1" applyFill="1" applyBorder="1"/>
    <xf numFmtId="3" fontId="77" fillId="23" borderId="0" xfId="0" applyNumberFormat="1" applyFont="1" applyFill="1" applyBorder="1" applyAlignment="1">
      <alignment horizontal="center" vertical="center"/>
    </xf>
    <xf numFmtId="0" fontId="78" fillId="23" borderId="0" xfId="0" applyFont="1" applyFill="1" applyBorder="1" applyAlignment="1">
      <alignment horizontal="center" vertical="center"/>
    </xf>
    <xf numFmtId="3" fontId="77" fillId="23" borderId="0" xfId="0" applyNumberFormat="1" applyFont="1" applyFill="1" applyBorder="1" applyAlignment="1">
      <alignment vertical="center"/>
    </xf>
    <xf numFmtId="3" fontId="54" fillId="23" borderId="0" xfId="0" applyNumberFormat="1" applyFont="1" applyFill="1" applyBorder="1" applyAlignment="1">
      <alignment horizontal="right" vertical="center" indent="1"/>
    </xf>
    <xf numFmtId="3" fontId="79" fillId="23" borderId="0" xfId="0" applyNumberFormat="1" applyFont="1" applyFill="1" applyBorder="1" applyAlignment="1">
      <alignment horizontal="center" vertical="center" wrapText="1"/>
    </xf>
    <xf numFmtId="3" fontId="54" fillId="23" borderId="0" xfId="0" applyNumberFormat="1" applyFont="1" applyFill="1" applyBorder="1" applyAlignment="1">
      <alignment horizontal="center" vertical="center" wrapText="1"/>
    </xf>
    <xf numFmtId="1" fontId="49" fillId="21" borderId="34" xfId="0" applyNumberFormat="1" applyFont="1" applyFill="1" applyBorder="1" applyAlignment="1" applyProtection="1">
      <alignment horizontal="center"/>
    </xf>
    <xf numFmtId="1" fontId="3" fillId="21" borderId="23" xfId="0" applyNumberFormat="1" applyFont="1" applyFill="1" applyBorder="1" applyAlignment="1" applyProtection="1">
      <alignment horizontal="center"/>
    </xf>
    <xf numFmtId="0" fontId="3" fillId="24" borderId="39" xfId="0" applyFont="1" applyFill="1" applyBorder="1" applyProtection="1"/>
    <xf numFmtId="0" fontId="3" fillId="24" borderId="23" xfId="0" applyFont="1" applyFill="1" applyBorder="1" applyProtection="1"/>
    <xf numFmtId="0" fontId="3" fillId="24" borderId="0" xfId="0" applyFont="1" applyFill="1" applyBorder="1" applyProtection="1"/>
    <xf numFmtId="0" fontId="3" fillId="0" borderId="0" xfId="0" applyFont="1" applyProtection="1"/>
    <xf numFmtId="0" fontId="3" fillId="24" borderId="23" xfId="0" applyFont="1" applyFill="1" applyBorder="1" applyAlignment="1" applyProtection="1">
      <alignment horizontal="center"/>
    </xf>
    <xf numFmtId="4" fontId="3" fillId="34" borderId="39" xfId="0" applyNumberFormat="1" applyFont="1" applyFill="1" applyBorder="1" applyProtection="1"/>
    <xf numFmtId="0" fontId="12" fillId="19" borderId="126" xfId="0" applyFont="1" applyFill="1" applyBorder="1"/>
    <xf numFmtId="0" fontId="45" fillId="27" borderId="0" xfId="0" applyFont="1" applyFill="1" applyAlignment="1">
      <alignment horizontal="left" vertical="center"/>
    </xf>
    <xf numFmtId="0" fontId="2" fillId="33" borderId="0" xfId="0" applyFont="1" applyFill="1"/>
    <xf numFmtId="3" fontId="6" fillId="0" borderId="108" xfId="0" applyNumberFormat="1" applyFont="1" applyFill="1" applyBorder="1" applyAlignment="1">
      <alignment vertical="center"/>
    </xf>
    <xf numFmtId="3" fontId="6" fillId="0" borderId="109" xfId="0" applyNumberFormat="1" applyFont="1" applyFill="1" applyBorder="1" applyAlignment="1">
      <alignment vertical="center"/>
    </xf>
    <xf numFmtId="3" fontId="6" fillId="35" borderId="53" xfId="0" applyNumberFormat="1" applyFont="1" applyFill="1" applyBorder="1"/>
    <xf numFmtId="3" fontId="54" fillId="35" borderId="53" xfId="0" applyNumberFormat="1" applyFont="1" applyFill="1" applyBorder="1" applyAlignment="1">
      <alignment horizontal="center"/>
    </xf>
    <xf numFmtId="0" fontId="60" fillId="35" borderId="0" xfId="58" applyFont="1" applyFill="1" applyBorder="1" applyProtection="1"/>
    <xf numFmtId="0" fontId="60" fillId="35" borderId="0" xfId="58" applyFont="1" applyFill="1" applyProtection="1"/>
    <xf numFmtId="3" fontId="59" fillId="17" borderId="0" xfId="58" applyNumberFormat="1" applyFont="1" applyFill="1" applyBorder="1" applyAlignment="1" applyProtection="1">
      <alignment horizontal="left" vertical="center" indent="1"/>
    </xf>
    <xf numFmtId="3" fontId="36" fillId="0" borderId="0" xfId="58" applyNumberFormat="1" applyFont="1" applyProtection="1"/>
    <xf numFmtId="3" fontId="32" fillId="17" borderId="34" xfId="58" applyNumberFormat="1" applyFont="1" applyFill="1" applyBorder="1" applyAlignment="1" applyProtection="1">
      <alignment horizontal="left" vertical="center" indent="1"/>
    </xf>
    <xf numFmtId="9" fontId="51" fillId="23" borderId="73" xfId="46" applyFont="1" applyFill="1" applyBorder="1" applyAlignment="1" applyProtection="1">
      <alignment horizontal="right" vertical="center" indent="1"/>
    </xf>
    <xf numFmtId="9" fontId="51" fillId="23" borderId="73" xfId="46" applyFont="1" applyFill="1" applyBorder="1" applyAlignment="1">
      <alignment horizontal="right" vertical="center" indent="1"/>
    </xf>
    <xf numFmtId="9" fontId="51" fillId="23" borderId="0" xfId="46" applyFont="1" applyFill="1" applyBorder="1" applyAlignment="1">
      <alignment horizontal="right" vertical="center" indent="1"/>
    </xf>
    <xf numFmtId="9" fontId="51" fillId="23" borderId="0" xfId="46" applyFont="1" applyFill="1" applyBorder="1" applyAlignment="1" applyProtection="1">
      <alignment horizontal="right" vertical="center" indent="1"/>
    </xf>
    <xf numFmtId="3" fontId="11" fillId="23" borderId="0" xfId="0" applyNumberFormat="1" applyFont="1" applyFill="1" applyBorder="1" applyAlignment="1">
      <alignment horizontal="right" vertical="center" indent="1"/>
    </xf>
    <xf numFmtId="0" fontId="6" fillId="27" borderId="0" xfId="0" applyFont="1" applyFill="1" applyBorder="1" applyAlignment="1">
      <alignment horizontal="left" vertical="top" wrapText="1"/>
    </xf>
    <xf numFmtId="0" fontId="0" fillId="27" borderId="0" xfId="0" applyFill="1" applyAlignment="1">
      <alignment horizontal="left" vertical="top" wrapText="1"/>
    </xf>
    <xf numFmtId="0" fontId="82" fillId="17" borderId="21" xfId="0" applyFont="1" applyFill="1" applyBorder="1"/>
    <xf numFmtId="0" fontId="82" fillId="17" borderId="22" xfId="0" applyFont="1" applyFill="1" applyBorder="1"/>
    <xf numFmtId="0" fontId="82" fillId="23" borderId="22" xfId="0" applyFont="1" applyFill="1" applyBorder="1"/>
    <xf numFmtId="0" fontId="82" fillId="23" borderId="57" xfId="0" applyFont="1" applyFill="1" applyBorder="1"/>
    <xf numFmtId="0" fontId="82" fillId="19" borderId="15" xfId="0" applyFont="1" applyFill="1" applyBorder="1"/>
    <xf numFmtId="0" fontId="82" fillId="17" borderId="0" xfId="0" applyFont="1" applyFill="1" applyBorder="1"/>
    <xf numFmtId="0" fontId="82" fillId="0" borderId="0" xfId="0" applyFont="1"/>
    <xf numFmtId="3" fontId="82" fillId="0" borderId="0" xfId="0" applyNumberFormat="1" applyFont="1"/>
    <xf numFmtId="0" fontId="82" fillId="19" borderId="0" xfId="0" applyFont="1" applyFill="1" applyBorder="1"/>
    <xf numFmtId="0" fontId="82" fillId="17" borderId="32" xfId="0" applyFont="1" applyFill="1" applyBorder="1"/>
    <xf numFmtId="0" fontId="82" fillId="17" borderId="33" xfId="0" applyFont="1" applyFill="1" applyBorder="1"/>
    <xf numFmtId="3" fontId="51" fillId="19" borderId="0" xfId="0" applyNumberFormat="1" applyFont="1" applyFill="1" applyBorder="1" applyAlignment="1">
      <alignment horizontal="left" vertical="center"/>
    </xf>
    <xf numFmtId="0" fontId="8" fillId="27" borderId="0" xfId="0" applyFont="1" applyFill="1" applyBorder="1" applyAlignment="1">
      <alignment horizontal="left" vertical="top"/>
    </xf>
    <xf numFmtId="0" fontId="0" fillId="28" borderId="0" xfId="0" applyFill="1"/>
    <xf numFmtId="0" fontId="54" fillId="35" borderId="53" xfId="0" applyFont="1" applyFill="1" applyBorder="1" applyAlignment="1">
      <alignment horizontal="center" vertical="center"/>
    </xf>
    <xf numFmtId="0" fontId="54" fillId="0" borderId="53" xfId="0" applyFont="1" applyFill="1" applyBorder="1" applyAlignment="1">
      <alignment horizontal="center" vertical="center"/>
    </xf>
    <xf numFmtId="168" fontId="6" fillId="17" borderId="61" xfId="0" applyNumberFormat="1" applyFont="1" applyFill="1" applyBorder="1" applyAlignment="1" applyProtection="1">
      <alignment horizontal="center"/>
    </xf>
    <xf numFmtId="3" fontId="60" fillId="23" borderId="0" xfId="0" applyNumberFormat="1" applyFont="1" applyFill="1" applyBorder="1"/>
    <xf numFmtId="3" fontId="83" fillId="23" borderId="0" xfId="0" applyNumberFormat="1" applyFont="1" applyFill="1" applyBorder="1"/>
    <xf numFmtId="3" fontId="11" fillId="23" borderId="0" xfId="0" applyNumberFormat="1" applyFont="1" applyFill="1" applyBorder="1" applyAlignment="1">
      <alignment horizontal="right" vertical="center" indent="1"/>
    </xf>
    <xf numFmtId="0" fontId="6" fillId="27" borderId="0" xfId="0" applyFont="1" applyFill="1" applyBorder="1" applyAlignment="1">
      <alignment horizontal="left" vertical="top" wrapText="1"/>
    </xf>
    <xf numFmtId="0" fontId="12" fillId="27" borderId="23" xfId="0" applyFont="1" applyFill="1" applyBorder="1"/>
    <xf numFmtId="0" fontId="12" fillId="27" borderId="15" xfId="0" applyFont="1" applyFill="1" applyBorder="1"/>
    <xf numFmtId="0" fontId="12" fillId="36" borderId="0" xfId="0" applyFont="1" applyFill="1" applyBorder="1"/>
    <xf numFmtId="0" fontId="12" fillId="36" borderId="105" xfId="0" applyFont="1" applyFill="1" applyBorder="1"/>
    <xf numFmtId="0" fontId="47" fillId="21" borderId="49" xfId="0" applyFont="1" applyFill="1" applyBorder="1" applyAlignment="1" applyProtection="1">
      <alignment horizontal="center"/>
    </xf>
    <xf numFmtId="3" fontId="85" fillId="23" borderId="0" xfId="0" applyNumberFormat="1" applyFont="1" applyFill="1" applyBorder="1"/>
    <xf numFmtId="0" fontId="86" fillId="27" borderId="0" xfId="0" applyFont="1" applyFill="1" applyBorder="1"/>
    <xf numFmtId="0" fontId="2" fillId="27" borderId="0" xfId="0" applyFont="1" applyFill="1" applyAlignment="1">
      <alignment wrapText="1"/>
    </xf>
    <xf numFmtId="0" fontId="12" fillId="19" borderId="130" xfId="0" applyFont="1" applyFill="1" applyBorder="1"/>
    <xf numFmtId="3" fontId="11" fillId="19" borderId="131" xfId="0" applyNumberFormat="1" applyFont="1" applyFill="1" applyBorder="1" applyAlignment="1">
      <alignment horizontal="right" vertical="center" indent="1"/>
    </xf>
    <xf numFmtId="0" fontId="12" fillId="19" borderId="132" xfId="0" applyFont="1" applyFill="1" applyBorder="1"/>
    <xf numFmtId="3" fontId="12" fillId="19" borderId="132" xfId="0" applyNumberFormat="1" applyFont="1" applyFill="1" applyBorder="1" applyAlignment="1">
      <alignment horizontal="right" vertical="center" indent="1"/>
    </xf>
    <xf numFmtId="3" fontId="12" fillId="19" borderId="133" xfId="0" applyNumberFormat="1" applyFont="1" applyFill="1" applyBorder="1" applyAlignment="1">
      <alignment horizontal="right" vertical="center" indent="1"/>
    </xf>
    <xf numFmtId="0" fontId="60" fillId="19" borderId="23" xfId="58" applyFont="1" applyFill="1" applyBorder="1" applyAlignment="1" applyProtection="1">
      <alignment wrapText="1"/>
    </xf>
    <xf numFmtId="0" fontId="53" fillId="19" borderId="0" xfId="58" applyFont="1" applyFill="1" applyBorder="1" applyAlignment="1" applyProtection="1">
      <alignment horizontal="left" vertical="center" wrapText="1"/>
    </xf>
    <xf numFmtId="0" fontId="53" fillId="19" borderId="119" xfId="58" applyFont="1" applyFill="1" applyBorder="1" applyAlignment="1" applyProtection="1">
      <alignment horizontal="left" vertical="center" wrapText="1"/>
    </xf>
    <xf numFmtId="0" fontId="53" fillId="19" borderId="0" xfId="58" quotePrefix="1" applyFont="1" applyFill="1" applyBorder="1" applyAlignment="1" applyProtection="1">
      <alignment horizontal="left" wrapText="1"/>
    </xf>
    <xf numFmtId="0" fontId="53" fillId="19" borderId="0" xfId="58" quotePrefix="1" applyFont="1" applyFill="1" applyBorder="1" applyAlignment="1" applyProtection="1">
      <alignment horizontal="center" wrapText="1"/>
    </xf>
    <xf numFmtId="0" fontId="53" fillId="19" borderId="129" xfId="58" quotePrefix="1" applyFont="1" applyFill="1" applyBorder="1" applyAlignment="1" applyProtection="1">
      <alignment horizontal="left" wrapText="1"/>
    </xf>
    <xf numFmtId="0" fontId="60" fillId="19" borderId="0" xfId="58" applyFont="1" applyFill="1" applyBorder="1" applyAlignment="1" applyProtection="1">
      <alignment wrapText="1"/>
    </xf>
    <xf numFmtId="0" fontId="53" fillId="19" borderId="125" xfId="58" quotePrefix="1" applyFont="1" applyFill="1" applyBorder="1" applyAlignment="1" applyProtection="1">
      <alignment horizontal="left" wrapText="1"/>
    </xf>
    <xf numFmtId="0" fontId="60" fillId="19" borderId="0" xfId="58" applyFont="1" applyFill="1" applyBorder="1" applyAlignment="1" applyProtection="1">
      <alignment vertical="center" wrapText="1"/>
    </xf>
    <xf numFmtId="0" fontId="60" fillId="19" borderId="15" xfId="58" applyFont="1" applyFill="1" applyBorder="1" applyAlignment="1" applyProtection="1">
      <alignment wrapText="1"/>
    </xf>
    <xf numFmtId="0" fontId="60" fillId="17" borderId="0" xfId="58" applyFont="1" applyFill="1" applyBorder="1" applyAlignment="1" applyProtection="1">
      <alignment wrapText="1"/>
    </xf>
    <xf numFmtId="169" fontId="60" fillId="0" borderId="0" xfId="58" applyNumberFormat="1" applyFont="1" applyAlignment="1" applyProtection="1">
      <alignment wrapText="1"/>
    </xf>
    <xf numFmtId="0" fontId="60" fillId="0" borderId="0" xfId="58" applyFont="1" applyAlignment="1" applyProtection="1">
      <alignment wrapText="1"/>
    </xf>
    <xf numFmtId="0" fontId="60" fillId="0" borderId="0" xfId="0" applyFont="1" applyAlignment="1" applyProtection="1">
      <alignment wrapText="1"/>
    </xf>
    <xf numFmtId="3" fontId="57" fillId="24" borderId="0" xfId="33" applyNumberFormat="1" applyFont="1" applyFill="1"/>
    <xf numFmtId="169" fontId="6" fillId="19" borderId="0" xfId="0" applyNumberFormat="1" applyFont="1" applyFill="1" applyBorder="1" applyAlignment="1">
      <alignment horizontal="left" vertical="center"/>
    </xf>
    <xf numFmtId="168" fontId="0" fillId="19" borderId="0" xfId="0" applyNumberFormat="1" applyFill="1" applyBorder="1" applyAlignment="1">
      <alignment horizontal="left"/>
    </xf>
    <xf numFmtId="0" fontId="57" fillId="24" borderId="0" xfId="0" applyFont="1" applyFill="1" applyProtection="1">
      <protection locked="0"/>
    </xf>
    <xf numFmtId="1" fontId="2" fillId="20" borderId="38" xfId="0" applyNumberFormat="1" applyFont="1" applyFill="1" applyBorder="1" applyAlignment="1">
      <alignment horizontal="center"/>
    </xf>
    <xf numFmtId="1" fontId="2" fillId="20" borderId="16" xfId="0" applyNumberFormat="1" applyFont="1" applyFill="1" applyBorder="1"/>
    <xf numFmtId="0" fontId="2" fillId="20" borderId="16" xfId="0" applyFont="1" applyFill="1" applyBorder="1"/>
    <xf numFmtId="0" fontId="2" fillId="20" borderId="17" xfId="0" applyFont="1" applyFill="1" applyBorder="1" applyAlignment="1">
      <alignment horizontal="center"/>
    </xf>
    <xf numFmtId="0" fontId="2" fillId="20" borderId="0" xfId="0" applyFont="1" applyFill="1" applyBorder="1" applyAlignment="1">
      <alignment horizontal="center"/>
    </xf>
    <xf numFmtId="1" fontId="2" fillId="20" borderId="39" xfId="0" applyNumberFormat="1" applyFont="1" applyFill="1" applyBorder="1" applyAlignment="1"/>
    <xf numFmtId="1" fontId="2" fillId="20" borderId="0" xfId="0" applyNumberFormat="1" applyFont="1" applyFill="1" applyBorder="1" applyAlignment="1"/>
    <xf numFmtId="0" fontId="2" fillId="20" borderId="0" xfId="0" applyFont="1" applyFill="1" applyBorder="1" applyAlignment="1"/>
    <xf numFmtId="0" fontId="2" fillId="20" borderId="15" xfId="0" applyFont="1" applyFill="1" applyBorder="1" applyAlignment="1"/>
    <xf numFmtId="0" fontId="0" fillId="0" borderId="49" xfId="0" applyBorder="1" applyAlignment="1">
      <alignment horizontal="center" vertical="top" wrapText="1"/>
    </xf>
    <xf numFmtId="0" fontId="0" fillId="0" borderId="110" xfId="0" applyBorder="1" applyAlignment="1">
      <alignment horizontal="center" vertical="top" wrapText="1"/>
    </xf>
    <xf numFmtId="0" fontId="2" fillId="0" borderId="110" xfId="0" applyFont="1" applyFill="1" applyBorder="1" applyAlignment="1">
      <alignment horizontal="center" vertical="top" wrapText="1"/>
    </xf>
    <xf numFmtId="1" fontId="2" fillId="20" borderId="39" xfId="0" applyNumberFormat="1" applyFont="1" applyFill="1" applyBorder="1" applyAlignment="1">
      <alignment horizontal="center"/>
    </xf>
    <xf numFmtId="1" fontId="2" fillId="20" borderId="0" xfId="0" applyNumberFormat="1" applyFont="1" applyFill="1" applyBorder="1" applyAlignment="1">
      <alignment horizontal="center"/>
    </xf>
    <xf numFmtId="1" fontId="2" fillId="20" borderId="15" xfId="0" applyNumberFormat="1" applyFont="1" applyFill="1" applyBorder="1" applyAlignment="1">
      <alignment horizontal="center"/>
    </xf>
    <xf numFmtId="1" fontId="2" fillId="20" borderId="26" xfId="0" applyNumberFormat="1" applyFont="1" applyFill="1" applyBorder="1" applyAlignment="1">
      <alignment horizontal="center"/>
    </xf>
    <xf numFmtId="1" fontId="2" fillId="20" borderId="16" xfId="0" applyNumberFormat="1" applyFont="1" applyFill="1" applyBorder="1" applyAlignment="1">
      <alignment horizontal="center"/>
    </xf>
    <xf numFmtId="1" fontId="2" fillId="20" borderId="0" xfId="0" applyNumberFormat="1" applyFont="1" applyFill="1" applyBorder="1"/>
    <xf numFmtId="0" fontId="2" fillId="20" borderId="0" xfId="0" applyFont="1" applyFill="1" applyBorder="1"/>
    <xf numFmtId="0" fontId="2" fillId="20" borderId="15" xfId="0" applyFont="1" applyFill="1" applyBorder="1" applyAlignment="1">
      <alignment horizontal="center"/>
    </xf>
    <xf numFmtId="0" fontId="0" fillId="29" borderId="23" xfId="0" applyFill="1" applyBorder="1"/>
    <xf numFmtId="0" fontId="0" fillId="29" borderId="0" xfId="0" applyFill="1" applyBorder="1"/>
    <xf numFmtId="0" fontId="0" fillId="29" borderId="15" xfId="0" applyFill="1" applyBorder="1"/>
    <xf numFmtId="0" fontId="3" fillId="20" borderId="0" xfId="0" applyFont="1" applyFill="1" applyBorder="1" applyAlignment="1">
      <alignment horizontal="left" vertical="top"/>
    </xf>
    <xf numFmtId="169" fontId="2" fillId="17" borderId="27" xfId="68" applyNumberFormat="1" applyFont="1" applyFill="1" applyBorder="1" applyAlignment="1">
      <alignment horizontal="left"/>
    </xf>
    <xf numFmtId="0" fontId="3" fillId="0" borderId="0" xfId="0" applyFont="1" applyBorder="1" applyAlignment="1">
      <alignment horizontal="center"/>
    </xf>
    <xf numFmtId="1" fontId="2" fillId="20" borderId="40" xfId="0" applyNumberFormat="1" applyFont="1" applyFill="1" applyBorder="1" applyAlignment="1">
      <alignment horizontal="center"/>
    </xf>
    <xf numFmtId="1" fontId="2" fillId="20" borderId="25" xfId="0" applyNumberFormat="1" applyFont="1" applyFill="1" applyBorder="1" applyAlignment="1">
      <alignment horizontal="center"/>
    </xf>
    <xf numFmtId="0" fontId="2" fillId="20" borderId="25" xfId="0" applyFont="1" applyFill="1" applyBorder="1" applyAlignment="1">
      <alignment horizontal="center"/>
    </xf>
    <xf numFmtId="0" fontId="2" fillId="20" borderId="27" xfId="0" applyFont="1" applyFill="1" applyBorder="1" applyAlignment="1">
      <alignment horizontal="center"/>
    </xf>
    <xf numFmtId="0" fontId="0" fillId="29" borderId="25" xfId="0" applyFill="1" applyBorder="1"/>
    <xf numFmtId="1" fontId="2" fillId="30" borderId="49" xfId="0" applyNumberFormat="1" applyFont="1" applyFill="1" applyBorder="1" applyAlignment="1">
      <alignment horizontal="center"/>
    </xf>
    <xf numFmtId="1" fontId="2" fillId="30" borderId="49" xfId="0" applyNumberFormat="1" applyFont="1" applyFill="1" applyBorder="1"/>
    <xf numFmtId="0" fontId="2" fillId="30" borderId="110" xfId="0" applyFont="1" applyFill="1" applyBorder="1"/>
    <xf numFmtId="0" fontId="2" fillId="30" borderId="51" xfId="0" applyFont="1" applyFill="1" applyBorder="1" applyAlignment="1">
      <alignment horizontal="center"/>
    </xf>
    <xf numFmtId="0" fontId="2" fillId="30" borderId="25" xfId="0" applyFont="1" applyFill="1" applyBorder="1" applyAlignment="1">
      <alignment horizontal="center"/>
    </xf>
    <xf numFmtId="0" fontId="0" fillId="30" borderId="110" xfId="0" applyFill="1" applyBorder="1"/>
    <xf numFmtId="0" fontId="0" fillId="0" borderId="38" xfId="0" applyBorder="1" applyAlignment="1">
      <alignment horizontal="center"/>
    </xf>
    <xf numFmtId="169" fontId="2" fillId="17" borderId="26" xfId="68" applyNumberFormat="1" applyFont="1" applyFill="1" applyBorder="1"/>
    <xf numFmtId="169" fontId="2" fillId="17" borderId="16" xfId="69" applyNumberFormat="1" applyFont="1" applyFill="1" applyBorder="1"/>
    <xf numFmtId="169" fontId="88" fillId="17" borderId="17" xfId="68" applyNumberFormat="1" applyFont="1" applyFill="1" applyBorder="1" applyAlignment="1">
      <alignment horizontal="left"/>
    </xf>
    <xf numFmtId="169" fontId="2" fillId="0" borderId="38" xfId="68" applyNumberFormat="1" applyFont="1" applyBorder="1" applyAlignment="1" applyProtection="1">
      <alignment horizontal="left"/>
    </xf>
    <xf numFmtId="172" fontId="0" fillId="0" borderId="23" xfId="33" applyNumberFormat="1" applyFont="1" applyBorder="1"/>
    <xf numFmtId="172" fontId="0" fillId="0" borderId="0" xfId="33" applyNumberFormat="1" applyFont="1" applyBorder="1"/>
    <xf numFmtId="171" fontId="2" fillId="0" borderId="0" xfId="68" applyFont="1" applyAlignment="1" applyProtection="1">
      <alignment horizontal="left"/>
    </xf>
    <xf numFmtId="0" fontId="0" fillId="0" borderId="39" xfId="0" applyBorder="1" applyAlignment="1">
      <alignment horizontal="center"/>
    </xf>
    <xf numFmtId="169" fontId="2" fillId="17" borderId="23" xfId="68" applyNumberFormat="1" applyFont="1" applyFill="1" applyBorder="1"/>
    <xf numFmtId="169" fontId="2" fillId="17" borderId="0" xfId="69" applyNumberFormat="1" applyFont="1" applyFill="1" applyBorder="1"/>
    <xf numFmtId="169" fontId="88" fillId="17" borderId="15" xfId="68" applyNumberFormat="1" applyFont="1" applyFill="1" applyBorder="1" applyAlignment="1">
      <alignment horizontal="left"/>
    </xf>
    <xf numFmtId="169" fontId="2" fillId="0" borderId="39" xfId="68" applyNumberFormat="1" applyFont="1" applyBorder="1" applyAlignment="1" applyProtection="1">
      <alignment horizontal="left"/>
    </xf>
    <xf numFmtId="169" fontId="2" fillId="0" borderId="23" xfId="68" applyNumberFormat="1" applyFont="1" applyFill="1" applyBorder="1"/>
    <xf numFmtId="169" fontId="2" fillId="0" borderId="0" xfId="69" applyNumberFormat="1" applyFont="1" applyFill="1" applyBorder="1"/>
    <xf numFmtId="169" fontId="88" fillId="0" borderId="15" xfId="68" applyNumberFormat="1" applyFont="1" applyFill="1" applyBorder="1" applyAlignment="1">
      <alignment horizontal="left"/>
    </xf>
    <xf numFmtId="169" fontId="2" fillId="0" borderId="39" xfId="68" applyNumberFormat="1" applyFont="1" applyFill="1" applyBorder="1" applyAlignment="1" applyProtection="1">
      <alignment horizontal="left"/>
    </xf>
    <xf numFmtId="0" fontId="0" fillId="27" borderId="40" xfId="0" applyFill="1" applyBorder="1" applyAlignment="1">
      <alignment horizontal="center"/>
    </xf>
    <xf numFmtId="1" fontId="3" fillId="27" borderId="25" xfId="0" applyNumberFormat="1" applyFont="1" applyFill="1" applyBorder="1" applyAlignment="1">
      <alignment horizontal="center"/>
    </xf>
    <xf numFmtId="0" fontId="3" fillId="27" borderId="34" xfId="0" applyFont="1" applyFill="1" applyBorder="1"/>
    <xf numFmtId="172" fontId="0" fillId="27" borderId="49" xfId="33" applyNumberFormat="1" applyFont="1" applyFill="1" applyBorder="1"/>
    <xf numFmtId="172" fontId="0" fillId="27" borderId="110" xfId="33" applyNumberFormat="1" applyFont="1" applyFill="1" applyBorder="1"/>
    <xf numFmtId="0" fontId="2" fillId="0" borderId="0" xfId="43"/>
    <xf numFmtId="0" fontId="0" fillId="0" borderId="0" xfId="0" applyAlignment="1">
      <alignment horizontal="center"/>
    </xf>
    <xf numFmtId="169" fontId="87" fillId="0" borderId="0" xfId="68" applyNumberFormat="1" applyBorder="1"/>
    <xf numFmtId="169" fontId="3" fillId="0" borderId="0" xfId="59" applyNumberFormat="1" applyFont="1" applyBorder="1" applyAlignment="1" applyProtection="1">
      <alignment horizontal="left"/>
    </xf>
    <xf numFmtId="173" fontId="3" fillId="0" borderId="0" xfId="59" applyNumberFormat="1" applyFont="1" applyBorder="1" applyAlignment="1" applyProtection="1">
      <alignment horizontal="left"/>
    </xf>
    <xf numFmtId="0" fontId="2" fillId="0" borderId="0" xfId="43" applyBorder="1"/>
    <xf numFmtId="0" fontId="2" fillId="0" borderId="0" xfId="0" applyFont="1" applyAlignment="1">
      <alignment vertical="center"/>
    </xf>
    <xf numFmtId="0" fontId="2" fillId="0" borderId="110" xfId="0" applyFont="1" applyBorder="1" applyAlignment="1">
      <alignment horizontal="center" vertical="top" wrapText="1"/>
    </xf>
    <xf numFmtId="0" fontId="2" fillId="0" borderId="0" xfId="43" applyFill="1" applyBorder="1"/>
    <xf numFmtId="172" fontId="0" fillId="0" borderId="16" xfId="33" applyNumberFormat="1" applyFont="1" applyBorder="1"/>
    <xf numFmtId="172" fontId="0" fillId="0" borderId="25" xfId="33" applyNumberFormat="1" applyFont="1" applyBorder="1"/>
    <xf numFmtId="165" fontId="0" fillId="0" borderId="16" xfId="33" applyNumberFormat="1" applyFont="1" applyBorder="1"/>
    <xf numFmtId="165" fontId="0" fillId="0" borderId="0" xfId="33" applyNumberFormat="1" applyFont="1" applyBorder="1"/>
    <xf numFmtId="165" fontId="0" fillId="0" borderId="25" xfId="33" applyNumberFormat="1" applyFont="1" applyBorder="1"/>
    <xf numFmtId="1" fontId="2" fillId="20" borderId="17" xfId="0" applyNumberFormat="1" applyFont="1" applyFill="1" applyBorder="1" applyAlignment="1">
      <alignment horizontal="center"/>
    </xf>
    <xf numFmtId="0" fontId="0" fillId="29" borderId="27" xfId="0" applyFill="1" applyBorder="1"/>
    <xf numFmtId="0" fontId="2" fillId="0" borderId="0" xfId="0" applyFont="1" applyAlignment="1">
      <alignment vertical="top"/>
    </xf>
    <xf numFmtId="0" fontId="0" fillId="0" borderId="0" xfId="0" applyAlignment="1">
      <alignment horizontal="center" vertical="top" wrapText="1"/>
    </xf>
    <xf numFmtId="0" fontId="0" fillId="29" borderId="0" xfId="0" applyFill="1"/>
    <xf numFmtId="0" fontId="0" fillId="30" borderId="49" xfId="0" applyFill="1" applyBorder="1"/>
    <xf numFmtId="172" fontId="0" fillId="0" borderId="17" xfId="33" applyNumberFormat="1" applyFont="1" applyBorder="1"/>
    <xf numFmtId="172" fontId="0" fillId="0" borderId="15" xfId="33" applyNumberFormat="1" applyFont="1" applyBorder="1"/>
    <xf numFmtId="172" fontId="0" fillId="0" borderId="27" xfId="33" applyNumberFormat="1" applyFont="1" applyBorder="1"/>
    <xf numFmtId="0" fontId="0" fillId="30" borderId="51" xfId="0" applyFill="1" applyBorder="1"/>
    <xf numFmtId="3" fontId="0" fillId="0" borderId="51" xfId="0" applyNumberFormat="1" applyFont="1" applyFill="1" applyBorder="1" applyAlignment="1">
      <alignment vertical="top" wrapText="1"/>
    </xf>
    <xf numFmtId="0" fontId="0" fillId="0" borderId="15" xfId="0" applyBorder="1"/>
    <xf numFmtId="0" fontId="3" fillId="0" borderId="15" xfId="0" applyFont="1" applyBorder="1" applyAlignment="1">
      <alignment horizontal="center"/>
    </xf>
    <xf numFmtId="0" fontId="2" fillId="17" borderId="15" xfId="0" applyFont="1" applyFill="1" applyBorder="1" applyAlignment="1">
      <alignment horizontal="left"/>
    </xf>
    <xf numFmtId="0" fontId="2" fillId="17" borderId="15" xfId="0" quotePrefix="1" applyFont="1" applyFill="1" applyBorder="1" applyAlignment="1">
      <alignment horizontal="left"/>
    </xf>
    <xf numFmtId="0" fontId="2" fillId="0" borderId="15" xfId="43" applyBorder="1"/>
    <xf numFmtId="0" fontId="2" fillId="0" borderId="15" xfId="43" applyFill="1" applyBorder="1"/>
    <xf numFmtId="0" fontId="0" fillId="0" borderId="25" xfId="0" applyBorder="1"/>
    <xf numFmtId="0" fontId="0" fillId="0" borderId="27" xfId="0" applyBorder="1"/>
    <xf numFmtId="3" fontId="3" fillId="17" borderId="24" xfId="68" applyNumberFormat="1" applyFont="1" applyFill="1" applyBorder="1" applyAlignment="1">
      <alignment horizontal="left"/>
    </xf>
    <xf numFmtId="1" fontId="2" fillId="20" borderId="23" xfId="0" applyNumberFormat="1" applyFont="1" applyFill="1" applyBorder="1" applyAlignment="1">
      <alignment horizontal="center"/>
    </xf>
    <xf numFmtId="0" fontId="2" fillId="0" borderId="49" xfId="0" applyFont="1" applyBorder="1" applyAlignment="1">
      <alignment vertical="top"/>
    </xf>
    <xf numFmtId="0" fontId="0" fillId="29" borderId="24" xfId="0" applyFill="1" applyBorder="1"/>
    <xf numFmtId="0" fontId="2" fillId="0" borderId="51" xfId="0" applyFont="1" applyBorder="1" applyAlignment="1">
      <alignment horizontal="center" vertical="top" wrapText="1"/>
    </xf>
    <xf numFmtId="0" fontId="3" fillId="17" borderId="0" xfId="58" applyFont="1" applyFill="1" applyBorder="1"/>
    <xf numFmtId="0" fontId="3" fillId="24" borderId="0" xfId="0" applyFont="1" applyFill="1" applyBorder="1" applyAlignment="1">
      <alignment wrapText="1"/>
    </xf>
    <xf numFmtId="0" fontId="3" fillId="21" borderId="34" xfId="0" applyFont="1" applyFill="1" applyBorder="1" applyProtection="1"/>
    <xf numFmtId="0" fontId="13" fillId="19" borderId="0" xfId="58" applyFont="1" applyFill="1" applyBorder="1" applyAlignment="1" applyProtection="1">
      <alignment horizontal="center" vertical="center" wrapText="1"/>
    </xf>
    <xf numFmtId="0" fontId="2" fillId="0" borderId="0" xfId="0" applyFont="1" applyFill="1" applyBorder="1" applyAlignment="1">
      <alignment horizontal="center" vertical="top" wrapText="1"/>
    </xf>
    <xf numFmtId="0" fontId="0" fillId="24" borderId="26" xfId="0" applyFill="1" applyBorder="1"/>
    <xf numFmtId="0" fontId="0" fillId="24" borderId="16" xfId="0" applyFill="1" applyBorder="1"/>
    <xf numFmtId="0" fontId="0" fillId="24" borderId="17" xfId="0" applyFill="1" applyBorder="1"/>
    <xf numFmtId="0" fontId="0" fillId="24" borderId="23" xfId="0" applyFill="1" applyBorder="1"/>
    <xf numFmtId="0" fontId="0" fillId="24" borderId="126" xfId="0" applyFill="1" applyBorder="1"/>
    <xf numFmtId="0" fontId="0" fillId="24" borderId="126" xfId="0" applyFill="1" applyBorder="1" applyAlignment="1">
      <alignment vertical="top"/>
    </xf>
    <xf numFmtId="0" fontId="0" fillId="24" borderId="0" xfId="0" applyFill="1" applyBorder="1" applyAlignment="1">
      <alignment vertical="top"/>
    </xf>
    <xf numFmtId="0" fontId="2" fillId="24" borderId="0" xfId="0" applyFont="1" applyFill="1" applyBorder="1" applyAlignment="1">
      <alignment vertical="top" wrapText="1"/>
    </xf>
    <xf numFmtId="0" fontId="2" fillId="24" borderId="126" xfId="0" applyFont="1" applyFill="1" applyBorder="1" applyAlignment="1">
      <alignment vertical="top" wrapText="1"/>
    </xf>
    <xf numFmtId="0" fontId="2" fillId="24" borderId="0" xfId="0" applyFont="1" applyFill="1" applyBorder="1" applyAlignment="1">
      <alignment horizontal="left" vertical="top" wrapText="1"/>
    </xf>
    <xf numFmtId="0" fontId="64" fillId="24" borderId="0" xfId="52" applyFill="1" applyBorder="1" applyAlignment="1">
      <alignment horizontal="left" vertical="top" wrapText="1"/>
    </xf>
    <xf numFmtId="0" fontId="64" fillId="24" borderId="0" xfId="52" applyFill="1" applyBorder="1" applyAlignment="1">
      <alignment vertical="top" wrapText="1"/>
    </xf>
    <xf numFmtId="0" fontId="3" fillId="24" borderId="0" xfId="0" applyFont="1" applyFill="1" applyBorder="1" applyAlignment="1">
      <alignment vertical="top"/>
    </xf>
    <xf numFmtId="0" fontId="0" fillId="24" borderId="0" xfId="0" applyFill="1" applyBorder="1" applyAlignment="1">
      <alignment vertical="top" wrapText="1"/>
    </xf>
    <xf numFmtId="0" fontId="0" fillId="24" borderId="126" xfId="0" applyFill="1" applyBorder="1" applyAlignment="1">
      <alignment vertical="top" wrapText="1"/>
    </xf>
    <xf numFmtId="0" fontId="2" fillId="24" borderId="0" xfId="0" applyFont="1" applyFill="1" applyBorder="1" applyAlignment="1">
      <alignment vertical="top"/>
    </xf>
    <xf numFmtId="0" fontId="0" fillId="24" borderId="24" xfId="0" applyFill="1" applyBorder="1"/>
    <xf numFmtId="0" fontId="0" fillId="24" borderId="27" xfId="0" applyFill="1" applyBorder="1"/>
    <xf numFmtId="0" fontId="2" fillId="0" borderId="110" xfId="0" applyFont="1" applyBorder="1"/>
    <xf numFmtId="172" fontId="2" fillId="27" borderId="110" xfId="33" applyNumberFormat="1" applyFont="1" applyFill="1" applyBorder="1"/>
    <xf numFmtId="174" fontId="8" fillId="23" borderId="0" xfId="0" applyNumberFormat="1" applyFont="1" applyFill="1" applyBorder="1" applyAlignment="1">
      <alignment horizontal="right" vertical="center" indent="1"/>
    </xf>
    <xf numFmtId="174" fontId="6" fillId="23" borderId="0" xfId="0" applyNumberFormat="1" applyFont="1" applyFill="1" applyBorder="1" applyAlignment="1">
      <alignment horizontal="right" vertical="center" indent="1"/>
    </xf>
    <xf numFmtId="174" fontId="51" fillId="23" borderId="0" xfId="0" applyNumberFormat="1" applyFont="1" applyFill="1" applyBorder="1" applyAlignment="1">
      <alignment horizontal="right" vertical="center" indent="1"/>
    </xf>
    <xf numFmtId="174" fontId="54" fillId="23" borderId="0" xfId="0" applyNumberFormat="1" applyFont="1" applyFill="1" applyBorder="1" applyAlignment="1">
      <alignment horizontal="right" vertical="center" indent="1"/>
    </xf>
    <xf numFmtId="1" fontId="0" fillId="0" borderId="0" xfId="0" applyNumberFormat="1" applyBorder="1" applyProtection="1">
      <protection locked="0"/>
    </xf>
    <xf numFmtId="0" fontId="0" fillId="0" borderId="0" xfId="0" applyNumberFormat="1" applyBorder="1" applyProtection="1">
      <protection locked="0"/>
    </xf>
    <xf numFmtId="0" fontId="0" fillId="0" borderId="0" xfId="0" applyNumberFormat="1" applyBorder="1"/>
    <xf numFmtId="0" fontId="13" fillId="19" borderId="0" xfId="58" applyFont="1" applyFill="1" applyBorder="1" applyAlignment="1" applyProtection="1">
      <alignment horizontal="right" vertical="center" wrapText="1"/>
    </xf>
    <xf numFmtId="3" fontId="32" fillId="17" borderId="34" xfId="58" applyNumberFormat="1" applyFont="1" applyFill="1" applyBorder="1" applyAlignment="1" applyProtection="1">
      <alignment horizontal="right" indent="1"/>
    </xf>
    <xf numFmtId="3" fontId="32" fillId="17" borderId="34" xfId="58" applyNumberFormat="1" applyFont="1" applyFill="1" applyBorder="1" applyAlignment="1" applyProtection="1">
      <alignment horizontal="right" vertical="center" indent="1"/>
    </xf>
    <xf numFmtId="3" fontId="32" fillId="17" borderId="34" xfId="58" applyNumberFormat="1" applyFont="1" applyFill="1" applyBorder="1" applyAlignment="1" applyProtection="1">
      <alignment vertical="center"/>
      <protection locked="0"/>
    </xf>
    <xf numFmtId="3" fontId="32" fillId="17" borderId="115" xfId="58" applyNumberFormat="1" applyFont="1" applyFill="1" applyBorder="1" applyAlignment="1" applyProtection="1">
      <alignment horizontal="right" vertical="center"/>
    </xf>
    <xf numFmtId="3" fontId="32" fillId="17" borderId="115" xfId="58" applyNumberFormat="1" applyFont="1" applyFill="1" applyBorder="1" applyAlignment="1" applyProtection="1">
      <alignment vertical="center"/>
      <protection locked="0"/>
    </xf>
    <xf numFmtId="3" fontId="32" fillId="17" borderId="34" xfId="58" applyNumberFormat="1" applyFont="1" applyFill="1" applyBorder="1" applyAlignment="1" applyProtection="1">
      <alignment horizontal="right" vertical="center"/>
      <protection locked="0"/>
    </xf>
    <xf numFmtId="172" fontId="0" fillId="0" borderId="0" xfId="0" applyNumberFormat="1"/>
    <xf numFmtId="3" fontId="0" fillId="0" borderId="0" xfId="0" applyNumberFormat="1" applyBorder="1"/>
    <xf numFmtId="3" fontId="0" fillId="0" borderId="15" xfId="0" applyNumberFormat="1" applyBorder="1"/>
    <xf numFmtId="3" fontId="0" fillId="0" borderId="110" xfId="0" applyNumberFormat="1" applyBorder="1"/>
    <xf numFmtId="3" fontId="0" fillId="0" borderId="51" xfId="0" applyNumberFormat="1" applyBorder="1"/>
    <xf numFmtId="3" fontId="0" fillId="0" borderId="49" xfId="0" applyNumberFormat="1" applyBorder="1"/>
    <xf numFmtId="1" fontId="0" fillId="0" borderId="0" xfId="0" applyNumberFormat="1"/>
    <xf numFmtId="0" fontId="2" fillId="24" borderId="0" xfId="0" applyFont="1" applyFill="1" applyBorder="1" applyAlignment="1">
      <alignment horizontal="left" vertical="top" wrapText="1"/>
    </xf>
    <xf numFmtId="0" fontId="2" fillId="24" borderId="0" xfId="0" applyFont="1" applyFill="1" applyBorder="1" applyAlignment="1">
      <alignment horizontal="left" vertical="top" wrapText="1"/>
    </xf>
    <xf numFmtId="169" fontId="2" fillId="17" borderId="24" xfId="68" applyNumberFormat="1" applyFont="1" applyFill="1" applyBorder="1"/>
    <xf numFmtId="1" fontId="3" fillId="0" borderId="0" xfId="0" applyNumberFormat="1" applyFont="1" applyAlignment="1">
      <alignment horizontal="left"/>
    </xf>
    <xf numFmtId="0" fontId="90" fillId="24" borderId="0" xfId="70" applyFill="1" applyBorder="1" applyAlignment="1">
      <alignment vertical="top" wrapText="1"/>
    </xf>
    <xf numFmtId="14" fontId="0" fillId="0" borderId="0" xfId="0" applyNumberFormat="1"/>
    <xf numFmtId="0" fontId="2" fillId="24" borderId="0" xfId="0" applyFont="1" applyFill="1" applyBorder="1" applyAlignment="1">
      <alignment horizontal="left" vertical="top" wrapText="1"/>
    </xf>
    <xf numFmtId="0" fontId="0" fillId="0" borderId="0" xfId="0" applyAlignment="1">
      <alignment horizontal="left" vertical="top" wrapText="1"/>
    </xf>
    <xf numFmtId="0" fontId="90" fillId="24" borderId="0" xfId="70" applyFill="1" applyBorder="1" applyAlignment="1">
      <alignment horizontal="left" vertical="top" wrapText="1"/>
    </xf>
    <xf numFmtId="0" fontId="2" fillId="24" borderId="0" xfId="0" applyFont="1" applyFill="1" applyBorder="1" applyAlignment="1">
      <alignment vertical="top" wrapText="1"/>
    </xf>
    <xf numFmtId="0" fontId="0" fillId="0" borderId="0" xfId="0" applyAlignment="1">
      <alignment vertical="top" wrapText="1"/>
    </xf>
    <xf numFmtId="0" fontId="6" fillId="0" borderId="52" xfId="0" applyFont="1" applyBorder="1" applyAlignment="1">
      <alignment horizontal="center" wrapText="1"/>
    </xf>
    <xf numFmtId="0" fontId="6" fillId="0" borderId="54" xfId="0" applyFont="1" applyBorder="1" applyAlignment="1">
      <alignment horizontal="center" wrapText="1"/>
    </xf>
    <xf numFmtId="3" fontId="8" fillId="23" borderId="68" xfId="0" applyNumberFormat="1" applyFont="1" applyFill="1" applyBorder="1" applyAlignment="1">
      <alignment horizontal="right" vertical="center" indent="1"/>
    </xf>
    <xf numFmtId="3" fontId="8" fillId="23" borderId="69" xfId="0" applyNumberFormat="1" applyFont="1" applyFill="1" applyBorder="1" applyAlignment="1">
      <alignment horizontal="right" vertical="center" indent="1"/>
    </xf>
    <xf numFmtId="174" fontId="8" fillId="23" borderId="68" xfId="46" applyNumberFormat="1" applyFont="1" applyFill="1" applyBorder="1" applyAlignment="1" applyProtection="1">
      <alignment horizontal="right" vertical="center" indent="1"/>
    </xf>
    <xf numFmtId="174" fontId="8" fillId="23" borderId="69" xfId="46" applyNumberFormat="1" applyFont="1" applyFill="1" applyBorder="1" applyAlignment="1" applyProtection="1">
      <alignment horizontal="right" vertical="center" indent="1"/>
    </xf>
    <xf numFmtId="0" fontId="6" fillId="19" borderId="0" xfId="0" applyFont="1" applyFill="1" applyBorder="1" applyAlignment="1">
      <alignment wrapText="1"/>
    </xf>
    <xf numFmtId="0" fontId="0" fillId="0" borderId="0" xfId="0" applyAlignment="1">
      <alignment wrapText="1"/>
    </xf>
    <xf numFmtId="3" fontId="8" fillId="23" borderId="101" xfId="0" applyNumberFormat="1" applyFont="1" applyFill="1" applyBorder="1" applyAlignment="1">
      <alignment horizontal="right" vertical="center" indent="1"/>
    </xf>
    <xf numFmtId="3" fontId="8" fillId="23" borderId="102" xfId="0" applyNumberFormat="1" applyFont="1" applyFill="1" applyBorder="1" applyAlignment="1">
      <alignment horizontal="right" vertical="center" indent="1"/>
    </xf>
    <xf numFmtId="0" fontId="8" fillId="19" borderId="0" xfId="0" applyFont="1" applyFill="1" applyBorder="1" applyAlignment="1">
      <alignment horizontal="center"/>
    </xf>
    <xf numFmtId="3" fontId="11" fillId="17" borderId="49" xfId="0" applyNumberFormat="1" applyFont="1" applyFill="1" applyBorder="1" applyAlignment="1" applyProtection="1">
      <alignment horizontal="right" vertical="center" indent="1"/>
      <protection locked="0"/>
    </xf>
    <xf numFmtId="3" fontId="11" fillId="17" borderId="51" xfId="0" applyNumberFormat="1" applyFont="1" applyFill="1" applyBorder="1" applyAlignment="1" applyProtection="1">
      <alignment horizontal="right" vertical="center" indent="1"/>
      <protection locked="0"/>
    </xf>
    <xf numFmtId="3" fontId="8" fillId="17" borderId="68" xfId="0" applyNumberFormat="1" applyFont="1" applyFill="1" applyBorder="1" applyAlignment="1">
      <alignment horizontal="right" vertical="center" indent="1"/>
    </xf>
    <xf numFmtId="3" fontId="6" fillId="17" borderId="69" xfId="0" applyNumberFormat="1" applyFont="1" applyFill="1" applyBorder="1" applyAlignment="1">
      <alignment horizontal="right" vertical="center" indent="1"/>
    </xf>
    <xf numFmtId="0" fontId="6" fillId="19" borderId="0" xfId="0" applyFont="1" applyFill="1" applyBorder="1" applyAlignment="1">
      <alignment vertical="top" wrapText="1"/>
    </xf>
    <xf numFmtId="3" fontId="8" fillId="17" borderId="70" xfId="0" applyNumberFormat="1" applyFont="1" applyFill="1" applyBorder="1" applyAlignment="1" applyProtection="1">
      <alignment horizontal="right" vertical="center" indent="1"/>
    </xf>
    <xf numFmtId="3" fontId="6" fillId="17" borderId="71" xfId="0" applyNumberFormat="1" applyFont="1" applyFill="1" applyBorder="1" applyAlignment="1" applyProtection="1">
      <alignment horizontal="right" vertical="center" indent="1"/>
    </xf>
    <xf numFmtId="3" fontId="8" fillId="17" borderId="101" xfId="0" applyNumberFormat="1" applyFont="1" applyFill="1" applyBorder="1" applyAlignment="1">
      <alignment horizontal="right" vertical="center" indent="1"/>
    </xf>
    <xf numFmtId="3" fontId="6" fillId="17" borderId="102" xfId="0" applyNumberFormat="1" applyFont="1" applyFill="1" applyBorder="1" applyAlignment="1">
      <alignment horizontal="right" vertical="center" indent="1"/>
    </xf>
    <xf numFmtId="3" fontId="8" fillId="23" borderId="0" xfId="0" applyNumberFormat="1" applyFont="1" applyFill="1" applyBorder="1" applyAlignment="1">
      <alignment horizontal="center" vertical="center"/>
    </xf>
    <xf numFmtId="3" fontId="6" fillId="19" borderId="0" xfId="0" applyNumberFormat="1" applyFont="1" applyFill="1" applyBorder="1" applyAlignment="1">
      <alignment horizontal="center" vertical="center"/>
    </xf>
    <xf numFmtId="3" fontId="8" fillId="19" borderId="0" xfId="0" applyNumberFormat="1" applyFont="1" applyFill="1" applyBorder="1" applyAlignment="1">
      <alignment horizontal="center" vertical="top" wrapText="1"/>
    </xf>
    <xf numFmtId="0" fontId="6" fillId="0" borderId="0" xfId="0" applyFont="1" applyAlignment="1">
      <alignment vertical="top" wrapText="1"/>
    </xf>
    <xf numFmtId="0" fontId="6" fillId="24" borderId="52" xfId="0" applyFont="1" applyFill="1" applyBorder="1" applyAlignment="1">
      <alignment horizontal="center" wrapText="1"/>
    </xf>
    <xf numFmtId="0" fontId="6" fillId="24" borderId="54" xfId="0" applyFont="1" applyFill="1" applyBorder="1" applyAlignment="1">
      <alignment horizontal="center" wrapText="1"/>
    </xf>
    <xf numFmtId="174" fontId="8" fillId="23" borderId="68" xfId="46" applyNumberFormat="1" applyFont="1" applyFill="1" applyBorder="1" applyAlignment="1">
      <alignment horizontal="right" vertical="center" indent="1"/>
    </xf>
    <xf numFmtId="174" fontId="8" fillId="23" borderId="69" xfId="46" applyNumberFormat="1" applyFont="1" applyFill="1" applyBorder="1" applyAlignment="1">
      <alignment horizontal="right" vertical="center" indent="1"/>
    </xf>
    <xf numFmtId="3" fontId="8" fillId="23" borderId="0" xfId="0" applyNumberFormat="1" applyFont="1" applyFill="1" applyBorder="1" applyAlignment="1">
      <alignment vertical="center"/>
    </xf>
    <xf numFmtId="3" fontId="8" fillId="36" borderId="108" xfId="0" applyNumberFormat="1" applyFont="1" applyFill="1" applyBorder="1" applyAlignment="1">
      <alignment horizontal="right" vertical="center" indent="1"/>
    </xf>
    <xf numFmtId="3" fontId="8" fillId="36" borderId="109" xfId="0" applyNumberFormat="1" applyFont="1" applyFill="1" applyBorder="1" applyAlignment="1">
      <alignment horizontal="right" vertical="center" indent="1"/>
    </xf>
    <xf numFmtId="3" fontId="8" fillId="36" borderId="68" xfId="0" applyNumberFormat="1" applyFont="1" applyFill="1" applyBorder="1" applyAlignment="1">
      <alignment horizontal="right" vertical="center" indent="1"/>
    </xf>
    <xf numFmtId="3" fontId="8" fillId="36" borderId="69" xfId="0" applyNumberFormat="1" applyFont="1" applyFill="1" applyBorder="1" applyAlignment="1">
      <alignment horizontal="right" vertical="center" indent="1"/>
    </xf>
    <xf numFmtId="3" fontId="8" fillId="31" borderId="108" xfId="0" applyNumberFormat="1" applyFont="1" applyFill="1" applyBorder="1" applyAlignment="1">
      <alignment horizontal="right" vertical="center" indent="1"/>
    </xf>
    <xf numFmtId="3" fontId="8" fillId="31" borderId="109" xfId="0" applyNumberFormat="1" applyFont="1" applyFill="1" applyBorder="1" applyAlignment="1">
      <alignment horizontal="right" vertical="center" indent="1"/>
    </xf>
    <xf numFmtId="3" fontId="8" fillId="23" borderId="108" xfId="0" applyNumberFormat="1" applyFont="1" applyFill="1" applyBorder="1" applyAlignment="1">
      <alignment horizontal="right" vertical="center" indent="1"/>
    </xf>
    <xf numFmtId="3" fontId="8" fillId="23" borderId="109" xfId="0" applyNumberFormat="1" applyFont="1" applyFill="1" applyBorder="1" applyAlignment="1">
      <alignment horizontal="right" vertical="center" indent="1"/>
    </xf>
    <xf numFmtId="0" fontId="3" fillId="23" borderId="109" xfId="0" applyFont="1" applyFill="1" applyBorder="1" applyAlignment="1">
      <alignment horizontal="right" vertical="center" indent="1"/>
    </xf>
    <xf numFmtId="0" fontId="6" fillId="20" borderId="16" xfId="0" applyFont="1" applyFill="1" applyBorder="1" applyAlignment="1" applyProtection="1">
      <alignment horizontal="center"/>
      <protection locked="0"/>
    </xf>
    <xf numFmtId="3" fontId="8" fillId="17" borderId="70" xfId="0" applyNumberFormat="1" applyFont="1" applyFill="1" applyBorder="1" applyAlignment="1">
      <alignment horizontal="right" vertical="center" indent="1"/>
    </xf>
    <xf numFmtId="3" fontId="6" fillId="17" borderId="71" xfId="0" applyNumberFormat="1" applyFont="1" applyFill="1" applyBorder="1" applyAlignment="1">
      <alignment horizontal="right" vertical="center" indent="1"/>
    </xf>
    <xf numFmtId="166" fontId="44" fillId="19" borderId="0" xfId="0" applyNumberFormat="1" applyFont="1" applyFill="1" applyBorder="1" applyAlignment="1">
      <alignment horizontal="right" vertical="center"/>
    </xf>
    <xf numFmtId="0" fontId="7" fillId="20" borderId="23" xfId="0" applyFont="1" applyFill="1" applyBorder="1" applyAlignment="1">
      <alignment horizontal="center"/>
    </xf>
    <xf numFmtId="0" fontId="7" fillId="20" borderId="0" xfId="0" applyFont="1" applyFill="1" applyBorder="1" applyAlignment="1">
      <alignment horizontal="center"/>
    </xf>
    <xf numFmtId="0" fontId="7" fillId="20" borderId="15" xfId="0" applyFont="1" applyFill="1" applyBorder="1" applyAlignment="1">
      <alignment horizontal="center"/>
    </xf>
    <xf numFmtId="167" fontId="9" fillId="19" borderId="0" xfId="0" applyNumberFormat="1" applyFont="1" applyFill="1" applyBorder="1" applyAlignment="1">
      <alignment horizontal="center" vertical="center"/>
    </xf>
    <xf numFmtId="0" fontId="6" fillId="20" borderId="0" xfId="0" applyFont="1" applyFill="1" applyBorder="1" applyAlignment="1" applyProtection="1">
      <alignment horizontal="center" vertical="top"/>
      <protection locked="0"/>
    </xf>
    <xf numFmtId="0" fontId="6" fillId="20" borderId="24" xfId="0" applyFont="1" applyFill="1" applyBorder="1" applyAlignment="1">
      <alignment horizontal="center"/>
    </xf>
    <xf numFmtId="0" fontId="6" fillId="20" borderId="25" xfId="0" applyFont="1" applyFill="1" applyBorder="1" applyAlignment="1">
      <alignment horizontal="center"/>
    </xf>
    <xf numFmtId="0" fontId="6" fillId="20" borderId="27" xfId="0" applyFont="1" applyFill="1" applyBorder="1" applyAlignment="1">
      <alignment horizontal="center"/>
    </xf>
    <xf numFmtId="0" fontId="8" fillId="19" borderId="0" xfId="0" applyFont="1" applyFill="1" applyBorder="1" applyAlignment="1">
      <alignment vertical="top"/>
    </xf>
    <xf numFmtId="0" fontId="6" fillId="20" borderId="23" xfId="0" applyFont="1" applyFill="1" applyBorder="1" applyAlignment="1">
      <alignment horizontal="center"/>
    </xf>
    <xf numFmtId="0" fontId="6" fillId="20" borderId="0" xfId="0" applyFont="1" applyFill="1" applyBorder="1" applyAlignment="1">
      <alignment horizontal="center"/>
    </xf>
    <xf numFmtId="0" fontId="6" fillId="20" borderId="15" xfId="0" applyFont="1" applyFill="1" applyBorder="1" applyAlignment="1">
      <alignment horizontal="center"/>
    </xf>
    <xf numFmtId="0" fontId="8" fillId="19" borderId="0" xfId="0" applyFont="1" applyFill="1" applyBorder="1" applyAlignment="1">
      <alignment horizontal="left"/>
    </xf>
    <xf numFmtId="3" fontId="45" fillId="19" borderId="0" xfId="0" applyNumberFormat="1" applyFont="1" applyFill="1" applyBorder="1" applyAlignment="1">
      <alignment horizontal="left" vertical="center"/>
    </xf>
    <xf numFmtId="0" fontId="45" fillId="0" borderId="0" xfId="0" applyFont="1" applyAlignment="1">
      <alignment horizontal="left" vertical="center"/>
    </xf>
    <xf numFmtId="3" fontId="9" fillId="19" borderId="0" xfId="0" applyNumberFormat="1" applyFont="1" applyFill="1" applyBorder="1" applyAlignment="1">
      <alignment horizontal="right" vertical="center"/>
    </xf>
    <xf numFmtId="0" fontId="14" fillId="17" borderId="64" xfId="0" applyNumberFormat="1" applyFont="1" applyFill="1" applyBorder="1" applyAlignment="1" applyProtection="1">
      <alignment horizontal="left" vertical="top"/>
      <protection locked="0"/>
    </xf>
    <xf numFmtId="0" fontId="14" fillId="17" borderId="65" xfId="0" applyNumberFormat="1" applyFont="1" applyFill="1" applyBorder="1" applyAlignment="1" applyProtection="1">
      <alignment horizontal="left" vertical="top"/>
      <protection locked="0"/>
    </xf>
    <xf numFmtId="0" fontId="14" fillId="17" borderId="66" xfId="0" applyNumberFormat="1" applyFont="1" applyFill="1" applyBorder="1" applyAlignment="1" applyProtection="1">
      <alignment horizontal="left" vertical="top"/>
      <protection locked="0"/>
    </xf>
    <xf numFmtId="3" fontId="8" fillId="24" borderId="101" xfId="0" applyNumberFormat="1" applyFont="1" applyFill="1" applyBorder="1" applyAlignment="1" applyProtection="1">
      <alignment horizontal="right" vertical="center" indent="1"/>
    </xf>
    <xf numFmtId="3" fontId="8" fillId="24" borderId="102" xfId="0" applyNumberFormat="1" applyFont="1" applyFill="1" applyBorder="1" applyAlignment="1" applyProtection="1">
      <alignment horizontal="right" vertical="center" indent="1"/>
    </xf>
    <xf numFmtId="0" fontId="6" fillId="19" borderId="0" xfId="0" applyFont="1" applyFill="1" applyBorder="1" applyAlignment="1">
      <alignment horizontal="left" vertical="top" wrapText="1"/>
    </xf>
    <xf numFmtId="3" fontId="8" fillId="24" borderId="68" xfId="0" applyNumberFormat="1" applyFont="1" applyFill="1" applyBorder="1" applyAlignment="1" applyProtection="1">
      <alignment horizontal="right" vertical="center" indent="1"/>
    </xf>
    <xf numFmtId="3" fontId="6" fillId="24" borderId="69" xfId="0" applyNumberFormat="1" applyFont="1" applyFill="1" applyBorder="1" applyAlignment="1" applyProtection="1">
      <alignment horizontal="right" vertical="center" indent="1"/>
    </xf>
    <xf numFmtId="3" fontId="11" fillId="17" borderId="101" xfId="0" applyNumberFormat="1" applyFont="1" applyFill="1" applyBorder="1" applyAlignment="1" applyProtection="1">
      <alignment horizontal="right" vertical="center" indent="1"/>
    </xf>
    <xf numFmtId="3" fontId="11" fillId="17" borderId="102" xfId="0" applyNumberFormat="1" applyFont="1" applyFill="1" applyBorder="1" applyAlignment="1" applyProtection="1">
      <alignment horizontal="right" vertical="center" indent="1"/>
    </xf>
    <xf numFmtId="3" fontId="54" fillId="23" borderId="0" xfId="0" applyNumberFormat="1" applyFont="1" applyFill="1" applyBorder="1" applyAlignment="1">
      <alignment horizontal="center" vertical="center"/>
    </xf>
    <xf numFmtId="0" fontId="60" fillId="23" borderId="0" xfId="0" applyFont="1" applyFill="1" applyBorder="1" applyAlignment="1">
      <alignment horizontal="center" vertical="center"/>
    </xf>
    <xf numFmtId="0" fontId="3" fillId="23" borderId="102" xfId="0" applyFont="1" applyFill="1" applyBorder="1" applyAlignment="1">
      <alignment horizontal="right" vertical="center" indent="1"/>
    </xf>
    <xf numFmtId="0" fontId="6" fillId="19" borderId="0" xfId="0" applyFont="1" applyFill="1" applyBorder="1" applyAlignment="1">
      <alignment horizontal="left" wrapText="1"/>
    </xf>
    <xf numFmtId="0" fontId="6" fillId="27" borderId="0" xfId="0" applyFont="1" applyFill="1" applyAlignment="1">
      <alignment horizontal="left" wrapText="1"/>
    </xf>
    <xf numFmtId="0" fontId="6" fillId="27" borderId="0" xfId="0" applyFont="1" applyFill="1" applyBorder="1" applyAlignment="1">
      <alignment horizontal="left" wrapText="1"/>
    </xf>
    <xf numFmtId="0" fontId="40" fillId="17" borderId="25" xfId="0" applyFont="1" applyFill="1" applyBorder="1" applyAlignment="1">
      <alignment horizontal="center"/>
    </xf>
    <xf numFmtId="0" fontId="38" fillId="19" borderId="0" xfId="0" applyFont="1" applyFill="1" applyBorder="1" applyAlignment="1">
      <alignment horizontal="left" wrapText="1"/>
    </xf>
    <xf numFmtId="3" fontId="8" fillId="23" borderId="101" xfId="0" applyNumberFormat="1" applyFont="1" applyFill="1" applyBorder="1" applyAlignment="1">
      <alignment horizontal="right" vertical="center"/>
    </xf>
    <xf numFmtId="3" fontId="8" fillId="23" borderId="102" xfId="0" applyNumberFormat="1" applyFont="1" applyFill="1" applyBorder="1" applyAlignment="1">
      <alignment horizontal="right" vertical="center"/>
    </xf>
    <xf numFmtId="3" fontId="84" fillId="23" borderId="72" xfId="0" applyNumberFormat="1" applyFont="1" applyFill="1" applyBorder="1" applyAlignment="1">
      <alignment horizontal="right" vertical="center" indent="1"/>
    </xf>
    <xf numFmtId="0" fontId="51" fillId="19" borderId="37" xfId="0" applyFont="1" applyFill="1" applyBorder="1" applyAlignment="1">
      <alignment horizontal="left" vertical="center" wrapText="1"/>
    </xf>
    <xf numFmtId="0" fontId="51" fillId="19" borderId="32" xfId="0" applyFont="1" applyFill="1" applyBorder="1" applyAlignment="1">
      <alignment horizontal="left" vertical="center" wrapText="1"/>
    </xf>
    <xf numFmtId="0" fontId="51" fillId="19" borderId="35" xfId="0" applyFont="1" applyFill="1" applyBorder="1" applyAlignment="1">
      <alignment horizontal="left" vertical="center" wrapText="1"/>
    </xf>
    <xf numFmtId="0" fontId="51" fillId="19" borderId="67" xfId="0" applyFont="1" applyFill="1" applyBorder="1" applyAlignment="1">
      <alignment horizontal="left" vertical="center" wrapText="1"/>
    </xf>
    <xf numFmtId="0" fontId="51" fillId="19" borderId="31" xfId="0" applyFont="1" applyFill="1" applyBorder="1" applyAlignment="1">
      <alignment horizontal="left" vertical="center" wrapText="1"/>
    </xf>
    <xf numFmtId="0" fontId="51" fillId="19" borderId="36" xfId="0" applyFont="1" applyFill="1" applyBorder="1" applyAlignment="1">
      <alignment horizontal="left" vertical="center" wrapText="1"/>
    </xf>
    <xf numFmtId="0" fontId="0" fillId="0" borderId="102" xfId="0" applyBorder="1" applyAlignment="1">
      <alignment horizontal="right" vertical="center" indent="1"/>
    </xf>
    <xf numFmtId="3" fontId="8" fillId="19" borderId="0" xfId="0" applyNumberFormat="1" applyFont="1" applyFill="1" applyBorder="1" applyAlignment="1">
      <alignment horizontal="center" vertical="center" wrapText="1"/>
    </xf>
    <xf numFmtId="3" fontId="11" fillId="23" borderId="68" xfId="0" applyNumberFormat="1" applyFont="1" applyFill="1" applyBorder="1" applyAlignment="1">
      <alignment horizontal="right" vertical="center" indent="1"/>
    </xf>
    <xf numFmtId="3" fontId="12" fillId="23" borderId="69" xfId="0" applyNumberFormat="1" applyFont="1" applyFill="1" applyBorder="1" applyAlignment="1">
      <alignment horizontal="right" vertical="center" indent="1"/>
    </xf>
    <xf numFmtId="0" fontId="2" fillId="0" borderId="0" xfId="0" applyFont="1" applyBorder="1" applyAlignment="1">
      <alignment wrapText="1"/>
    </xf>
    <xf numFmtId="3" fontId="11" fillId="17" borderId="68" xfId="0" applyNumberFormat="1" applyFont="1" applyFill="1" applyBorder="1" applyAlignment="1">
      <alignment horizontal="right" vertical="center" indent="1"/>
    </xf>
    <xf numFmtId="3" fontId="12" fillId="17" borderId="69" xfId="0" applyNumberFormat="1" applyFont="1" applyFill="1" applyBorder="1" applyAlignment="1">
      <alignment horizontal="right" vertical="center" indent="1"/>
    </xf>
    <xf numFmtId="3" fontId="11" fillId="24" borderId="49" xfId="0" applyNumberFormat="1" applyFont="1" applyFill="1" applyBorder="1" applyAlignment="1" applyProtection="1">
      <alignment horizontal="right" vertical="center" indent="1"/>
      <protection locked="0"/>
    </xf>
    <xf numFmtId="3" fontId="11" fillId="24" borderId="51" xfId="0" applyNumberFormat="1" applyFont="1" applyFill="1" applyBorder="1" applyAlignment="1" applyProtection="1">
      <alignment horizontal="right" vertical="center" indent="1"/>
      <protection locked="0"/>
    </xf>
    <xf numFmtId="3" fontId="11" fillId="17" borderId="69" xfId="0" applyNumberFormat="1" applyFont="1" applyFill="1" applyBorder="1" applyAlignment="1">
      <alignment horizontal="right" vertical="center" indent="1"/>
    </xf>
    <xf numFmtId="0" fontId="58" fillId="19" borderId="0" xfId="0" applyFont="1" applyFill="1" applyBorder="1" applyAlignment="1">
      <alignment horizontal="center" vertical="center" wrapText="1"/>
    </xf>
    <xf numFmtId="0" fontId="51" fillId="19" borderId="0" xfId="0" applyFont="1" applyFill="1" applyBorder="1" applyAlignment="1">
      <alignment horizontal="left" vertical="center" wrapText="1"/>
    </xf>
    <xf numFmtId="0" fontId="11" fillId="19" borderId="25" xfId="0" applyFont="1" applyFill="1" applyBorder="1" applyAlignment="1">
      <alignment horizontal="center"/>
    </xf>
    <xf numFmtId="0" fontId="8" fillId="19" borderId="0" xfId="0" applyFont="1" applyFill="1" applyBorder="1" applyAlignment="1">
      <alignment horizontal="left" wrapText="1"/>
    </xf>
    <xf numFmtId="0" fontId="12" fillId="19" borderId="0" xfId="0" applyFont="1" applyFill="1" applyBorder="1" applyAlignment="1">
      <alignment horizontal="center"/>
    </xf>
    <xf numFmtId="0" fontId="11" fillId="19" borderId="0" xfId="0" applyFont="1" applyFill="1" applyBorder="1" applyAlignment="1">
      <alignment horizontal="left"/>
    </xf>
    <xf numFmtId="14" fontId="51" fillId="17" borderId="49" xfId="0" applyNumberFormat="1" applyFont="1" applyFill="1" applyBorder="1" applyAlignment="1" applyProtection="1">
      <alignment horizontal="right" vertical="center" indent="1"/>
      <protection locked="0"/>
    </xf>
    <xf numFmtId="14" fontId="51" fillId="17" borderId="51" xfId="0" applyNumberFormat="1" applyFont="1" applyFill="1" applyBorder="1" applyAlignment="1" applyProtection="1">
      <alignment horizontal="right" vertical="center" indent="1"/>
      <protection locked="0"/>
    </xf>
    <xf numFmtId="0" fontId="12" fillId="19" borderId="0" xfId="0" applyFont="1" applyFill="1" applyBorder="1" applyAlignment="1">
      <alignment horizontal="left" vertical="top" wrapText="1"/>
    </xf>
    <xf numFmtId="0" fontId="12" fillId="27" borderId="0" xfId="0" applyFont="1" applyFill="1" applyBorder="1" applyAlignment="1" applyProtection="1">
      <alignment vertical="top" wrapText="1"/>
    </xf>
    <xf numFmtId="0" fontId="0" fillId="27" borderId="0" xfId="0" applyFill="1" applyBorder="1" applyAlignment="1" applyProtection="1">
      <alignment vertical="top" wrapText="1"/>
    </xf>
    <xf numFmtId="3" fontId="11" fillId="23" borderId="69" xfId="0" applyNumberFormat="1" applyFont="1" applyFill="1" applyBorder="1" applyAlignment="1">
      <alignment horizontal="right" vertical="center" indent="1"/>
    </xf>
    <xf numFmtId="0" fontId="8" fillId="19" borderId="0" xfId="0" applyFont="1" applyFill="1" applyBorder="1" applyAlignment="1">
      <alignment wrapText="1"/>
    </xf>
    <xf numFmtId="0" fontId="2" fillId="0" borderId="0" xfId="0" applyFont="1" applyAlignment="1">
      <alignment wrapText="1"/>
    </xf>
    <xf numFmtId="0" fontId="6" fillId="27" borderId="0" xfId="0" applyFont="1" applyFill="1" applyBorder="1" applyAlignment="1" applyProtection="1">
      <alignment horizontal="left" vertical="top" wrapText="1"/>
    </xf>
    <xf numFmtId="0" fontId="12" fillId="27" borderId="0" xfId="0" applyFont="1" applyFill="1" applyBorder="1" applyAlignment="1" applyProtection="1">
      <alignment horizontal="left" vertical="top" wrapText="1"/>
    </xf>
    <xf numFmtId="3" fontId="11" fillId="24" borderId="68" xfId="0" applyNumberFormat="1" applyFont="1" applyFill="1" applyBorder="1" applyAlignment="1" applyProtection="1">
      <alignment horizontal="right" vertical="center" indent="1"/>
    </xf>
    <xf numFmtId="3" fontId="12" fillId="24" borderId="69" xfId="0" applyNumberFormat="1" applyFont="1" applyFill="1" applyBorder="1" applyAlignment="1" applyProtection="1">
      <alignment horizontal="right" vertical="center" indent="1"/>
    </xf>
    <xf numFmtId="0" fontId="6" fillId="27" borderId="0" xfId="0" applyFont="1" applyFill="1" applyBorder="1" applyAlignment="1" applyProtection="1">
      <alignment vertical="top" wrapText="1"/>
    </xf>
    <xf numFmtId="3" fontId="11" fillId="0" borderId="49" xfId="0" applyNumberFormat="1" applyFont="1" applyFill="1" applyBorder="1" applyAlignment="1" applyProtection="1">
      <alignment horizontal="right" vertical="center" indent="1"/>
      <protection locked="0"/>
    </xf>
    <xf numFmtId="3" fontId="11" fillId="0" borderId="51" xfId="0" applyNumberFormat="1" applyFont="1" applyFill="1" applyBorder="1" applyAlignment="1" applyProtection="1">
      <alignment horizontal="right" vertical="center" indent="1"/>
      <protection locked="0"/>
    </xf>
    <xf numFmtId="0" fontId="8" fillId="19" borderId="16" xfId="0" applyFont="1" applyFill="1" applyBorder="1" applyAlignment="1">
      <alignment horizontal="left" wrapText="1"/>
    </xf>
    <xf numFmtId="0" fontId="6" fillId="27" borderId="0" xfId="0" applyFont="1" applyFill="1" applyBorder="1" applyAlignment="1">
      <alignment horizontal="left" vertical="top" wrapText="1"/>
    </xf>
    <xf numFmtId="0" fontId="0" fillId="27" borderId="0" xfId="0" applyFill="1" applyAlignment="1">
      <alignment horizontal="left" vertical="top" wrapText="1"/>
    </xf>
    <xf numFmtId="3" fontId="8" fillId="24" borderId="49" xfId="0" applyNumberFormat="1" applyFont="1" applyFill="1" applyBorder="1" applyAlignment="1" applyProtection="1">
      <alignment horizontal="right" vertical="center" indent="1"/>
      <protection locked="0"/>
    </xf>
    <xf numFmtId="3" fontId="8" fillId="24" borderId="51" xfId="0" applyNumberFormat="1" applyFont="1" applyFill="1" applyBorder="1" applyAlignment="1" applyProtection="1">
      <alignment horizontal="right" vertical="center" indent="1"/>
      <protection locked="0"/>
    </xf>
    <xf numFmtId="0" fontId="3" fillId="19" borderId="16" xfId="0" applyFont="1" applyFill="1" applyBorder="1" applyAlignment="1">
      <alignment horizontal="left"/>
    </xf>
    <xf numFmtId="3" fontId="11" fillId="17" borderId="0" xfId="0" applyNumberFormat="1" applyFont="1" applyFill="1" applyBorder="1" applyAlignment="1">
      <alignment horizontal="center"/>
    </xf>
    <xf numFmtId="0" fontId="11" fillId="17" borderId="0" xfId="0" applyFont="1" applyFill="1" applyBorder="1" applyAlignment="1">
      <alignment horizontal="center"/>
    </xf>
    <xf numFmtId="3" fontId="11" fillId="17" borderId="0" xfId="0" applyNumberFormat="1" applyFont="1" applyFill="1" applyBorder="1" applyAlignment="1">
      <alignment horizontal="right" vertical="center" indent="1"/>
    </xf>
    <xf numFmtId="0" fontId="8" fillId="19" borderId="0" xfId="0" applyFont="1" applyFill="1" applyBorder="1" applyAlignment="1">
      <alignment vertical="top" wrapText="1"/>
    </xf>
    <xf numFmtId="0" fontId="3" fillId="0" borderId="0" xfId="0" applyFont="1" applyBorder="1" applyAlignment="1">
      <alignment vertical="top" wrapText="1"/>
    </xf>
    <xf numFmtId="0" fontId="3" fillId="0" borderId="0" xfId="0" applyFont="1" applyAlignment="1">
      <alignment vertical="top" wrapText="1"/>
    </xf>
    <xf numFmtId="0" fontId="2" fillId="0" borderId="0" xfId="0" applyFont="1" applyBorder="1" applyAlignment="1">
      <alignment vertical="top" wrapText="1"/>
    </xf>
    <xf numFmtId="3" fontId="11" fillId="23" borderId="0" xfId="0" applyNumberFormat="1" applyFont="1" applyFill="1" applyBorder="1" applyAlignment="1">
      <alignment horizontal="right" vertical="center" indent="1"/>
    </xf>
    <xf numFmtId="0" fontId="6" fillId="17" borderId="0" xfId="0" applyFont="1" applyFill="1" applyBorder="1" applyAlignment="1">
      <alignment vertical="top" wrapText="1"/>
    </xf>
    <xf numFmtId="0" fontId="2" fillId="0" borderId="0" xfId="0" applyFont="1" applyAlignment="1">
      <alignment vertical="top" wrapText="1"/>
    </xf>
    <xf numFmtId="0" fontId="0" fillId="0" borderId="0" xfId="0" applyBorder="1" applyAlignment="1">
      <alignment horizontal="center"/>
    </xf>
    <xf numFmtId="0" fontId="0" fillId="0" borderId="15" xfId="0" applyBorder="1" applyAlignment="1">
      <alignment horizontal="center"/>
    </xf>
    <xf numFmtId="0" fontId="2" fillId="0" borderId="0" xfId="0" applyFont="1" applyBorder="1" applyAlignment="1">
      <alignment horizontal="center"/>
    </xf>
    <xf numFmtId="0" fontId="2" fillId="0" borderId="15" xfId="0" applyFont="1" applyBorder="1" applyAlignment="1">
      <alignment horizontal="center"/>
    </xf>
    <xf numFmtId="3" fontId="11" fillId="23" borderId="68" xfId="0" applyNumberFormat="1" applyFont="1" applyFill="1" applyBorder="1" applyAlignment="1" applyProtection="1">
      <alignment horizontal="right" vertical="center" indent="1"/>
    </xf>
    <xf numFmtId="3" fontId="12" fillId="23" borderId="69" xfId="0" applyNumberFormat="1" applyFont="1" applyFill="1" applyBorder="1" applyAlignment="1" applyProtection="1">
      <alignment horizontal="right" vertical="center" indent="1"/>
    </xf>
    <xf numFmtId="0" fontId="51" fillId="0" borderId="0" xfId="0" applyFont="1" applyAlignment="1">
      <alignment wrapText="1"/>
    </xf>
    <xf numFmtId="0" fontId="3" fillId="0" borderId="0" xfId="0" applyFont="1" applyAlignment="1">
      <alignment wrapText="1"/>
    </xf>
    <xf numFmtId="0" fontId="36" fillId="0" borderId="52" xfId="0" applyFont="1" applyBorder="1" applyAlignment="1">
      <alignment horizontal="center" vertical="center" wrapText="1"/>
    </xf>
    <xf numFmtId="0" fontId="36" fillId="0" borderId="54" xfId="0" applyFont="1" applyBorder="1" applyAlignment="1">
      <alignment horizontal="center" vertical="center"/>
    </xf>
    <xf numFmtId="0" fontId="59" fillId="0" borderId="0" xfId="0" applyFont="1" applyBorder="1" applyAlignment="1">
      <alignment horizontal="left" vertical="center"/>
    </xf>
    <xf numFmtId="0" fontId="11" fillId="19" borderId="0" xfId="0" applyFont="1" applyFill="1" applyBorder="1" applyAlignment="1">
      <alignment horizontal="center" wrapText="1"/>
    </xf>
    <xf numFmtId="0" fontId="0" fillId="0" borderId="0" xfId="0" applyBorder="1" applyAlignment="1">
      <alignment wrapText="1"/>
    </xf>
    <xf numFmtId="0" fontId="58" fillId="19" borderId="0" xfId="0" applyFont="1" applyFill="1" applyBorder="1" applyAlignment="1">
      <alignment horizontal="center" vertical="center"/>
    </xf>
    <xf numFmtId="0" fontId="11" fillId="23" borderId="72" xfId="0" applyFont="1" applyFill="1" applyBorder="1" applyAlignment="1">
      <alignment horizontal="center"/>
    </xf>
    <xf numFmtId="0" fontId="11" fillId="19" borderId="0" xfId="0" applyFont="1" applyFill="1" applyBorder="1" applyAlignment="1">
      <alignment horizontal="center"/>
    </xf>
    <xf numFmtId="0" fontId="11" fillId="23" borderId="0" xfId="0" applyFont="1" applyFill="1" applyBorder="1" applyAlignment="1">
      <alignment horizontal="center"/>
    </xf>
    <xf numFmtId="0" fontId="12" fillId="19" borderId="0" xfId="0" applyFont="1" applyFill="1" applyBorder="1" applyAlignment="1">
      <alignment vertical="top" wrapText="1"/>
    </xf>
    <xf numFmtId="0" fontId="0" fillId="0" borderId="0" xfId="0" applyBorder="1" applyAlignment="1">
      <alignment vertical="top" wrapText="1"/>
    </xf>
    <xf numFmtId="3" fontId="11" fillId="0" borderId="101" xfId="0" applyNumberFormat="1" applyFont="1" applyFill="1" applyBorder="1" applyAlignment="1">
      <alignment horizontal="right" vertical="center" indent="1"/>
    </xf>
    <xf numFmtId="3" fontId="11" fillId="0" borderId="102" xfId="0" applyNumberFormat="1" applyFont="1" applyFill="1" applyBorder="1" applyAlignment="1">
      <alignment horizontal="right" vertical="center" indent="1"/>
    </xf>
    <xf numFmtId="3" fontId="11" fillId="23" borderId="101" xfId="0" applyNumberFormat="1" applyFont="1" applyFill="1" applyBorder="1" applyAlignment="1" applyProtection="1">
      <alignment horizontal="right" vertical="center" indent="1"/>
    </xf>
    <xf numFmtId="3" fontId="11" fillId="23" borderId="102" xfId="0" applyNumberFormat="1" applyFont="1" applyFill="1" applyBorder="1" applyAlignment="1" applyProtection="1">
      <alignment horizontal="right" vertical="center" indent="1"/>
    </xf>
    <xf numFmtId="3" fontId="8" fillId="0" borderId="101" xfId="0" applyNumberFormat="1" applyFont="1" applyFill="1" applyBorder="1" applyAlignment="1">
      <alignment horizontal="right" vertical="center" indent="1"/>
    </xf>
    <xf numFmtId="3" fontId="8" fillId="0" borderId="102" xfId="0" applyNumberFormat="1" applyFont="1" applyFill="1" applyBorder="1" applyAlignment="1">
      <alignment horizontal="right" vertical="center" indent="1"/>
    </xf>
    <xf numFmtId="3" fontId="8" fillId="17" borderId="101" xfId="0" applyNumberFormat="1" applyFont="1" applyFill="1" applyBorder="1" applyAlignment="1" applyProtection="1">
      <alignment horizontal="right" indent="1"/>
    </xf>
    <xf numFmtId="3" fontId="8" fillId="17" borderId="102" xfId="0" applyNumberFormat="1" applyFont="1" applyFill="1" applyBorder="1" applyAlignment="1" applyProtection="1">
      <alignment horizontal="right" indent="1"/>
    </xf>
    <xf numFmtId="3" fontId="11" fillId="17" borderId="68" xfId="0" applyNumberFormat="1" applyFont="1" applyFill="1" applyBorder="1" applyAlignment="1" applyProtection="1">
      <alignment horizontal="right" vertical="center" indent="1"/>
    </xf>
    <xf numFmtId="3" fontId="12" fillId="17" borderId="69" xfId="0" applyNumberFormat="1" applyFont="1" applyFill="1" applyBorder="1" applyAlignment="1" applyProtection="1">
      <alignment horizontal="right" vertical="center" indent="1"/>
    </xf>
    <xf numFmtId="0" fontId="11" fillId="23" borderId="0" xfId="0" applyFont="1" applyFill="1" applyBorder="1" applyAlignment="1">
      <alignment horizontal="center" vertical="center"/>
    </xf>
    <xf numFmtId="3" fontId="11" fillId="17" borderId="99" xfId="0" applyNumberFormat="1" applyFont="1" applyFill="1" applyBorder="1" applyAlignment="1" applyProtection="1">
      <alignment horizontal="right" vertical="center" indent="1"/>
    </xf>
    <xf numFmtId="3" fontId="11" fillId="17" borderId="100" xfId="0" applyNumberFormat="1" applyFont="1" applyFill="1" applyBorder="1" applyAlignment="1" applyProtection="1">
      <alignment horizontal="right" vertical="center" indent="1"/>
    </xf>
    <xf numFmtId="0" fontId="8" fillId="23" borderId="19" xfId="0" applyFont="1" applyFill="1" applyBorder="1" applyAlignment="1">
      <alignment horizontal="center" vertical="center" wrapText="1"/>
    </xf>
    <xf numFmtId="0" fontId="11" fillId="23" borderId="19" xfId="0" applyFont="1" applyFill="1" applyBorder="1" applyAlignment="1">
      <alignment horizontal="center" vertical="center"/>
    </xf>
    <xf numFmtId="0" fontId="11" fillId="23" borderId="72" xfId="0" applyFont="1" applyFill="1" applyBorder="1" applyAlignment="1">
      <alignment horizontal="center" vertical="center"/>
    </xf>
    <xf numFmtId="3" fontId="11" fillId="23" borderId="103" xfId="0" applyNumberFormat="1" applyFont="1" applyFill="1" applyBorder="1" applyAlignment="1" applyProtection="1">
      <alignment horizontal="right" vertical="center" indent="1"/>
    </xf>
    <xf numFmtId="3" fontId="11" fillId="23" borderId="104" xfId="0" applyNumberFormat="1" applyFont="1" applyFill="1" applyBorder="1" applyAlignment="1" applyProtection="1">
      <alignment horizontal="right" vertical="center" indent="1"/>
    </xf>
    <xf numFmtId="3" fontId="11" fillId="17" borderId="0" xfId="0" applyNumberFormat="1" applyFont="1" applyFill="1" applyBorder="1" applyAlignment="1">
      <alignment horizontal="center" vertical="center"/>
    </xf>
    <xf numFmtId="0" fontId="3" fillId="19" borderId="0" xfId="0" applyFont="1" applyFill="1" applyBorder="1" applyAlignment="1">
      <alignment horizontal="left"/>
    </xf>
    <xf numFmtId="0" fontId="8" fillId="19" borderId="0" xfId="0" applyFont="1" applyFill="1" applyBorder="1" applyAlignment="1">
      <alignment horizontal="center" vertical="center"/>
    </xf>
    <xf numFmtId="0" fontId="8" fillId="19" borderId="0" xfId="0" applyFont="1" applyFill="1" applyBorder="1" applyAlignment="1">
      <alignment horizontal="center" wrapText="1"/>
    </xf>
    <xf numFmtId="3" fontId="8" fillId="19" borderId="0" xfId="0" applyNumberFormat="1" applyFont="1" applyFill="1" applyBorder="1" applyAlignment="1">
      <alignment horizontal="center" wrapText="1"/>
    </xf>
    <xf numFmtId="3" fontId="11" fillId="19" borderId="0" xfId="0" applyNumberFormat="1" applyFont="1" applyFill="1" applyBorder="1" applyAlignment="1">
      <alignment horizontal="center" wrapText="1"/>
    </xf>
    <xf numFmtId="0" fontId="6" fillId="19" borderId="0" xfId="0" applyFont="1" applyFill="1" applyBorder="1" applyAlignment="1">
      <alignment horizontal="center"/>
    </xf>
    <xf numFmtId="3" fontId="8" fillId="23" borderId="101" xfId="0" applyNumberFormat="1" applyFont="1" applyFill="1" applyBorder="1" applyAlignment="1" applyProtection="1">
      <alignment horizontal="right" vertical="justify" indent="1"/>
    </xf>
    <xf numFmtId="3" fontId="3" fillId="0" borderId="102" xfId="0" applyNumberFormat="1" applyFont="1" applyBorder="1" applyAlignment="1" applyProtection="1">
      <alignment horizontal="right" vertical="justify" indent="1"/>
    </xf>
    <xf numFmtId="0" fontId="54" fillId="24" borderId="0" xfId="0" applyFont="1" applyFill="1" applyBorder="1" applyAlignment="1">
      <alignment horizontal="center" vertical="center"/>
    </xf>
    <xf numFmtId="3" fontId="12" fillId="17" borderId="102" xfId="0" applyNumberFormat="1" applyFont="1" applyFill="1" applyBorder="1" applyAlignment="1" applyProtection="1">
      <alignment horizontal="right" vertical="center" indent="1"/>
    </xf>
    <xf numFmtId="3" fontId="8" fillId="36" borderId="101" xfId="0" applyNumberFormat="1" applyFont="1" applyFill="1" applyBorder="1" applyAlignment="1" applyProtection="1">
      <alignment horizontal="right" vertical="center" indent="1"/>
    </xf>
    <xf numFmtId="3" fontId="11" fillId="36" borderId="102" xfId="0" applyNumberFormat="1" applyFont="1" applyFill="1" applyBorder="1" applyAlignment="1" applyProtection="1">
      <alignment horizontal="right" vertical="center" indent="1"/>
    </xf>
    <xf numFmtId="0" fontId="6" fillId="27" borderId="0" xfId="0" applyFont="1" applyFill="1" applyBorder="1" applyAlignment="1">
      <alignment vertical="top" wrapText="1"/>
    </xf>
    <xf numFmtId="0" fontId="0" fillId="27" borderId="0" xfId="0" applyFill="1" applyAlignment="1">
      <alignment wrapText="1"/>
    </xf>
    <xf numFmtId="0" fontId="0" fillId="27" borderId="0" xfId="0" applyFill="1" applyAlignment="1">
      <alignment vertical="top" wrapText="1"/>
    </xf>
    <xf numFmtId="3" fontId="11" fillId="24" borderId="106" xfId="0" applyNumberFormat="1" applyFont="1" applyFill="1" applyBorder="1" applyAlignment="1" applyProtection="1">
      <alignment horizontal="right" vertical="center" indent="1"/>
    </xf>
    <xf numFmtId="3" fontId="11" fillId="24" borderId="107" xfId="0" applyNumberFormat="1" applyFont="1" applyFill="1" applyBorder="1" applyAlignment="1" applyProtection="1">
      <alignment horizontal="right" vertical="center" indent="1"/>
    </xf>
    <xf numFmtId="3" fontId="11" fillId="24" borderId="101" xfId="0" applyNumberFormat="1" applyFont="1" applyFill="1" applyBorder="1" applyAlignment="1" applyProtection="1">
      <alignment horizontal="right" vertical="center" indent="1"/>
    </xf>
    <xf numFmtId="3" fontId="11" fillId="24" borderId="102" xfId="0" applyNumberFormat="1" applyFont="1" applyFill="1" applyBorder="1" applyAlignment="1" applyProtection="1">
      <alignment horizontal="right" vertical="center" indent="1"/>
    </xf>
    <xf numFmtId="3" fontId="11" fillId="36" borderId="101" xfId="0" applyNumberFormat="1" applyFont="1" applyFill="1" applyBorder="1" applyAlignment="1" applyProtection="1">
      <alignment horizontal="right" vertical="center" indent="1"/>
    </xf>
    <xf numFmtId="0" fontId="8" fillId="19" borderId="119" xfId="58"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0" xfId="0" applyBorder="1" applyAlignment="1" applyProtection="1">
      <alignment horizontal="center" vertical="center" wrapText="1"/>
    </xf>
    <xf numFmtId="0" fontId="8" fillId="19" borderId="119" xfId="58" quotePrefix="1" applyFont="1" applyFill="1" applyBorder="1" applyAlignment="1" applyProtection="1">
      <alignment horizontal="center" vertical="center" wrapText="1"/>
    </xf>
    <xf numFmtId="2" fontId="42" fillId="17" borderId="0" xfId="61" applyNumberFormat="1" applyFont="1" applyFill="1" applyBorder="1" applyAlignment="1" applyProtection="1">
      <alignment wrapText="1"/>
    </xf>
    <xf numFmtId="0" fontId="42" fillId="17" borderId="0" xfId="58" applyFont="1" applyFill="1" applyBorder="1" applyAlignment="1" applyProtection="1">
      <alignment wrapText="1"/>
    </xf>
    <xf numFmtId="0" fontId="73" fillId="32" borderId="23" xfId="58" applyFont="1" applyFill="1" applyBorder="1" applyAlignment="1" applyProtection="1">
      <alignment horizontal="left"/>
    </xf>
    <xf numFmtId="0" fontId="72" fillId="32" borderId="0" xfId="58" applyFont="1" applyFill="1" applyBorder="1" applyAlignment="1" applyProtection="1">
      <alignment horizontal="left"/>
    </xf>
    <xf numFmtId="0" fontId="72" fillId="32" borderId="15" xfId="58" applyFont="1" applyFill="1" applyBorder="1" applyAlignment="1" applyProtection="1">
      <alignment horizontal="left"/>
    </xf>
    <xf numFmtId="0" fontId="69" fillId="19" borderId="0" xfId="58" applyFont="1" applyFill="1" applyBorder="1" applyAlignment="1" applyProtection="1">
      <alignment horizontal="center" vertical="center" wrapText="1"/>
    </xf>
    <xf numFmtId="0" fontId="0" fillId="0" borderId="0" xfId="58" applyFont="1" applyBorder="1" applyAlignment="1" applyProtection="1">
      <alignment horizontal="center" vertical="center"/>
    </xf>
    <xf numFmtId="0" fontId="53" fillId="19" borderId="0" xfId="58" quotePrefix="1" applyFont="1" applyFill="1" applyBorder="1" applyAlignment="1" applyProtection="1">
      <alignment horizontal="left" wrapText="1"/>
    </xf>
    <xf numFmtId="0" fontId="60" fillId="0" borderId="0" xfId="58" applyFont="1" applyBorder="1" applyAlignment="1" applyProtection="1">
      <alignment horizontal="left" wrapText="1"/>
    </xf>
    <xf numFmtId="0" fontId="60" fillId="0" borderId="120" xfId="58" applyFont="1" applyBorder="1" applyAlignment="1" applyProtection="1">
      <alignment horizontal="left" wrapText="1"/>
    </xf>
    <xf numFmtId="0" fontId="8" fillId="19" borderId="116" xfId="58" quotePrefix="1" applyFont="1" applyFill="1" applyBorder="1" applyAlignment="1" applyProtection="1">
      <alignment horizontal="center" vertical="center"/>
    </xf>
    <xf numFmtId="0" fontId="0" fillId="0" borderId="117" xfId="0" applyBorder="1" applyAlignment="1" applyProtection="1">
      <alignment horizontal="center" vertical="center"/>
    </xf>
    <xf numFmtId="0" fontId="0" fillId="0" borderId="118" xfId="0" applyBorder="1" applyAlignment="1" applyProtection="1">
      <alignment horizontal="center" vertical="center"/>
    </xf>
    <xf numFmtId="0" fontId="32" fillId="19" borderId="116" xfId="58" applyFont="1" applyFill="1" applyBorder="1" applyAlignment="1" applyProtection="1">
      <alignment horizontal="center" vertical="center"/>
    </xf>
    <xf numFmtId="0" fontId="0" fillId="0" borderId="117" xfId="0" applyBorder="1" applyAlignment="1">
      <alignment horizontal="center"/>
    </xf>
    <xf numFmtId="0" fontId="0" fillId="0" borderId="118" xfId="0" applyBorder="1" applyAlignment="1">
      <alignment horizontal="center"/>
    </xf>
    <xf numFmtId="0" fontId="0" fillId="0" borderId="117" xfId="0" applyBorder="1" applyAlignment="1">
      <alignment horizontal="center" vertical="center"/>
    </xf>
    <xf numFmtId="0" fontId="53" fillId="19" borderId="125" xfId="58" applyFont="1" applyFill="1" applyBorder="1" applyAlignment="1" applyProtection="1">
      <alignment horizontal="left" vertical="center" wrapText="1"/>
    </xf>
    <xf numFmtId="0" fontId="2" fillId="0" borderId="119" xfId="0" applyFont="1" applyBorder="1" applyAlignment="1">
      <alignment wrapText="1"/>
    </xf>
    <xf numFmtId="0" fontId="54" fillId="0" borderId="0" xfId="0" applyFont="1" applyBorder="1" applyAlignment="1">
      <alignment horizontal="center" vertical="center" wrapText="1"/>
    </xf>
    <xf numFmtId="3" fontId="8" fillId="24" borderId="127" xfId="0" applyNumberFormat="1" applyFont="1" applyFill="1" applyBorder="1" applyAlignment="1" applyProtection="1">
      <alignment horizontal="right" vertical="center" indent="1"/>
      <protection locked="0"/>
    </xf>
    <xf numFmtId="3" fontId="8" fillId="24" borderId="128" xfId="0" applyNumberFormat="1" applyFont="1" applyFill="1" applyBorder="1" applyAlignment="1" applyProtection="1">
      <alignment horizontal="right" vertical="center" indent="1"/>
      <protection locked="0"/>
    </xf>
    <xf numFmtId="170" fontId="2" fillId="0" borderId="49" xfId="0" applyNumberFormat="1" applyFont="1" applyBorder="1" applyAlignment="1">
      <alignment horizontal="center"/>
    </xf>
    <xf numFmtId="170" fontId="2" fillId="0" borderId="110" xfId="0" applyNumberFormat="1" applyFont="1" applyBorder="1" applyAlignment="1">
      <alignment horizontal="center"/>
    </xf>
    <xf numFmtId="170" fontId="2" fillId="0" borderId="51" xfId="0" applyNumberFormat="1" applyFont="1" applyBorder="1" applyAlignment="1">
      <alignment horizontal="center"/>
    </xf>
    <xf numFmtId="0" fontId="0" fillId="0" borderId="49" xfId="0" applyBorder="1" applyAlignment="1">
      <alignment horizontal="center"/>
    </xf>
    <xf numFmtId="0" fontId="0" fillId="0" borderId="110" xfId="0" applyBorder="1" applyAlignment="1">
      <alignment horizontal="center"/>
    </xf>
    <xf numFmtId="0" fontId="0" fillId="0" borderId="51" xfId="0" applyBorder="1" applyAlignment="1">
      <alignment horizontal="center"/>
    </xf>
    <xf numFmtId="0" fontId="2" fillId="0" borderId="49" xfId="0" applyFont="1" applyFill="1" applyBorder="1" applyAlignment="1">
      <alignment horizontal="center" vertical="top" wrapText="1"/>
    </xf>
    <xf numFmtId="0" fontId="0" fillId="0" borderId="110" xfId="0" applyBorder="1" applyAlignment="1">
      <alignment horizontal="center" vertical="top" wrapText="1"/>
    </xf>
    <xf numFmtId="0" fontId="2" fillId="0" borderId="110" xfId="0" applyFont="1" applyFill="1" applyBorder="1" applyAlignment="1">
      <alignment horizontal="center" vertical="top" wrapText="1"/>
    </xf>
    <xf numFmtId="0" fontId="2" fillId="0" borderId="110" xfId="0" applyFont="1" applyBorder="1" applyAlignment="1">
      <alignment horizontal="center" vertical="top" wrapText="1"/>
    </xf>
    <xf numFmtId="0" fontId="0" fillId="0" borderId="51" xfId="0" applyBorder="1" applyAlignment="1">
      <alignment horizontal="center" vertical="top" wrapText="1"/>
    </xf>
    <xf numFmtId="0" fontId="3" fillId="0" borderId="110" xfId="0" applyFont="1" applyBorder="1" applyAlignment="1">
      <alignment horizontal="center" vertical="top" wrapText="1"/>
    </xf>
    <xf numFmtId="0" fontId="0" fillId="0" borderId="0" xfId="0" applyAlignment="1">
      <alignment horizontal="center" vertical="top" wrapText="1"/>
    </xf>
    <xf numFmtId="0" fontId="0" fillId="0" borderId="0" xfId="0" applyBorder="1" applyAlignment="1">
      <alignment horizontal="center" vertical="top" wrapText="1"/>
    </xf>
    <xf numFmtId="0" fontId="0" fillId="0" borderId="49" xfId="0" applyBorder="1" applyAlignment="1">
      <alignment horizontal="center" vertical="top" wrapText="1"/>
    </xf>
    <xf numFmtId="0" fontId="2" fillId="0" borderId="49" xfId="0" applyFont="1" applyBorder="1" applyAlignment="1">
      <alignment horizontal="center" vertical="top" wrapText="1"/>
    </xf>
    <xf numFmtId="1" fontId="3" fillId="0" borderId="16" xfId="0" applyNumberFormat="1" applyFont="1" applyBorder="1" applyAlignment="1">
      <alignment horizontal="left" wrapText="1"/>
    </xf>
    <xf numFmtId="0" fontId="3" fillId="0" borderId="16" xfId="0" applyFont="1" applyBorder="1" applyAlignment="1">
      <alignment horizontal="left" wrapText="1"/>
    </xf>
  </cellXfs>
  <cellStyles count="71">
    <cellStyle name="%" xfId="5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cellStyle name="CellBAValue 2" xfId="28"/>
    <cellStyle name="CellNationValue" xfId="29"/>
    <cellStyle name="CellUAValue" xfId="30"/>
    <cellStyle name="CellUAValue 2" xfId="31"/>
    <cellStyle name="Check Cell" xfId="32" builtinId="23" customBuiltin="1"/>
    <cellStyle name="Comma" xfId="33" builtinId="3"/>
    <cellStyle name="Comma 2" xfId="50"/>
    <cellStyle name="Comma 2 2" xfId="51"/>
    <cellStyle name="Comma 3" xfId="59"/>
    <cellStyle name="Explanatory Text" xfId="34" builtinId="53" customBuiltin="1"/>
    <cellStyle name="Good" xfId="35" builtinId="26" customBuiltin="1"/>
    <cellStyle name="Heading 1" xfId="36" builtinId="16" customBuiltin="1"/>
    <cellStyle name="Heading 2" xfId="37" builtinId="17" customBuiltin="1"/>
    <cellStyle name="Heading 3" xfId="38" builtinId="18" customBuiltin="1"/>
    <cellStyle name="Heading 4" xfId="39" builtinId="19" customBuiltin="1"/>
    <cellStyle name="Hyperlink" xfId="70" builtinId="8"/>
    <cellStyle name="Hyperlink 2" xfId="52"/>
    <cellStyle name="Hyperlink 2 2" xfId="63"/>
    <cellStyle name="Hyperlink 3" xfId="64"/>
    <cellStyle name="Hyperlink 4" xfId="65"/>
    <cellStyle name="Input" xfId="40" builtinId="20" customBuiltin="1"/>
    <cellStyle name="Linked Cell" xfId="41" builtinId="24" customBuiltin="1"/>
    <cellStyle name="Neutral" xfId="42" builtinId="28" customBuiltin="1"/>
    <cellStyle name="Neutral 2" xfId="54"/>
    <cellStyle name="Normal" xfId="0" builtinId="0"/>
    <cellStyle name="Normal 2" xfId="43"/>
    <cellStyle name="Normal 2 2" xfId="66"/>
    <cellStyle name="Normal 3" xfId="55"/>
    <cellStyle name="Normal 3 2" xfId="62"/>
    <cellStyle name="Normal 4" xfId="57"/>
    <cellStyle name="Normal 5" xfId="53"/>
    <cellStyle name="Normal 5 2" xfId="60"/>
    <cellStyle name="Normal 6" xfId="67"/>
    <cellStyle name="Normal_10-11 Data (2009)" xfId="69"/>
    <cellStyle name="Normal_CTB Data down load" xfId="68"/>
    <cellStyle name="Normal_Sheet1" xfId="61"/>
    <cellStyle name="Note" xfId="44" builtinId="10" customBuiltin="1"/>
    <cellStyle name="Output" xfId="45" builtinId="21" customBuiltin="1"/>
    <cellStyle name="Percent" xfId="46" builtinId="5"/>
    <cellStyle name="Percent 2" xfId="56"/>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colors>
    <mruColors>
      <color rgb="FFFFFFCC"/>
      <color rgb="FFCCCCFF"/>
      <color rgb="FF99CCFF"/>
      <color rgb="FFDDD9C4"/>
      <color rgb="FFC4D79B"/>
      <color rgb="FFCCFFCC"/>
      <color rgb="FFFFFF99"/>
      <color rgb="FF008000"/>
      <color rgb="FF0000FF"/>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List" dx="16" fmlaLink="F1" fmlaRange="Data!$B$8:$C$325" noThreeD="1" sel="318" val="312"/>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49691</xdr:colOff>
      <xdr:row>7</xdr:row>
      <xdr:rowOff>159723</xdr:rowOff>
    </xdr:to>
    <xdr:pic>
      <xdr:nvPicPr>
        <xdr:cNvPr id="2" name="Picture 1"/>
        <xdr:cNvPicPr>
          <a:picLocks noChangeAspect="1"/>
        </xdr:cNvPicPr>
      </xdr:nvPicPr>
      <xdr:blipFill>
        <a:blip xmlns:r="http://schemas.openxmlformats.org/officeDocument/2006/relationships" r:embed="rId1"/>
        <a:stretch>
          <a:fillRect/>
        </a:stretch>
      </xdr:blipFill>
      <xdr:spPr>
        <a:xfrm>
          <a:off x="333375" y="333375"/>
          <a:ext cx="1859441" cy="9693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561975</xdr:colOff>
          <xdr:row>6</xdr:row>
          <xdr:rowOff>85725</xdr:rowOff>
        </xdr:from>
        <xdr:to>
          <xdr:col>14</xdr:col>
          <xdr:colOff>609600</xdr:colOff>
          <xdr:row>10</xdr:row>
          <xdr:rowOff>95250</xdr:rowOff>
        </xdr:to>
        <xdr:sp macro="" textlink="">
          <xdr:nvSpPr>
            <xdr:cNvPr id="2053" name="List Box 5" hidden="1">
              <a:extLst>
                <a:ext uri="{63B3BB69-23CF-44E3-9099-C40C66FF867C}">
                  <a14:compatExt spid="_x0000_s2053"/>
                </a:ext>
              </a:extLst>
            </xdr:cNvPr>
            <xdr:cNvSpPr/>
          </xdr:nvSpPr>
          <xdr:spPr>
            <a:xfrm>
              <a:off x="0" y="0"/>
              <a:ext cx="0" cy="0"/>
            </a:xfrm>
            <a:prstGeom prst="rect">
              <a:avLst/>
            </a:prstGeom>
          </xdr:spPr>
        </xdr:sp>
        <xdr:clientData fLocksWithSheet="0"/>
      </xdr:twoCellAnchor>
    </mc:Choice>
    <mc:Fallback/>
  </mc:AlternateContent>
  <xdr:twoCellAnchor editAs="oneCell">
    <xdr:from>
      <xdr:col>2</xdr:col>
      <xdr:colOff>0</xdr:colOff>
      <xdr:row>0</xdr:row>
      <xdr:rowOff>0</xdr:rowOff>
    </xdr:from>
    <xdr:to>
      <xdr:col>4</xdr:col>
      <xdr:colOff>356607</xdr:colOff>
      <xdr:row>4</xdr:row>
      <xdr:rowOff>112098</xdr:rowOff>
    </xdr:to>
    <xdr:pic>
      <xdr:nvPicPr>
        <xdr:cNvPr id="2" name="Picture 1"/>
        <xdr:cNvPicPr>
          <a:picLocks noChangeAspect="1"/>
        </xdr:cNvPicPr>
      </xdr:nvPicPr>
      <xdr:blipFill>
        <a:blip xmlns:r="http://schemas.openxmlformats.org/officeDocument/2006/relationships" r:embed="rId1"/>
        <a:stretch>
          <a:fillRect/>
        </a:stretch>
      </xdr:blipFill>
      <xdr:spPr>
        <a:xfrm>
          <a:off x="328083" y="0"/>
          <a:ext cx="1859441" cy="969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 name="Line 1"/>
        <xdr:cNvSpPr>
          <a:spLocks noChangeShapeType="1"/>
        </xdr:cNvSpPr>
      </xdr:nvSpPr>
      <xdr:spPr bwMode="auto">
        <a:xfrm>
          <a:off x="54864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3990975</xdr:colOff>
      <xdr:row>1</xdr:row>
      <xdr:rowOff>0</xdr:rowOff>
    </xdr:from>
    <xdr:to>
      <xdr:col>19</xdr:col>
      <xdr:colOff>0</xdr:colOff>
      <xdr:row>1</xdr:row>
      <xdr:rowOff>0</xdr:rowOff>
    </xdr:to>
    <xdr:sp macro="" textlink="">
      <xdr:nvSpPr>
        <xdr:cNvPr id="3" name="Line 1"/>
        <xdr:cNvSpPr>
          <a:spLocks noChangeShapeType="1"/>
        </xdr:cNvSpPr>
      </xdr:nvSpPr>
      <xdr:spPr bwMode="auto">
        <a:xfrm>
          <a:off x="103632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3990975</xdr:colOff>
      <xdr:row>1</xdr:row>
      <xdr:rowOff>0</xdr:rowOff>
    </xdr:from>
    <xdr:to>
      <xdr:col>27</xdr:col>
      <xdr:colOff>0</xdr:colOff>
      <xdr:row>1</xdr:row>
      <xdr:rowOff>0</xdr:rowOff>
    </xdr:to>
    <xdr:sp macro="" textlink="">
      <xdr:nvSpPr>
        <xdr:cNvPr id="4" name="Line 1"/>
        <xdr:cNvSpPr>
          <a:spLocks noChangeShapeType="1"/>
        </xdr:cNvSpPr>
      </xdr:nvSpPr>
      <xdr:spPr bwMode="auto">
        <a:xfrm>
          <a:off x="15240000" y="161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Access/NNDR3/Forms_Uploaded/Allerdale%20NNDR3%20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2 DA Summary"/>
      <sheetName val="Part 3"/>
      <sheetName val="Part 4"/>
      <sheetName val="Part 5"/>
      <sheetName val="Main Validation"/>
      <sheetName val="NNDR3_P1"/>
      <sheetName val="NNDR3_P2"/>
      <sheetName val="Access_DASummary"/>
      <sheetName val="NNDR3_P3"/>
      <sheetName val="NNDR3_P4"/>
      <sheetName val="NNDR3_P5"/>
      <sheetName val="Data"/>
      <sheetName val="EZ list"/>
      <sheetName val="LA list"/>
      <sheetName val="LA_info"/>
      <sheetName val="TierSplit"/>
      <sheetName val="SSB &amp; Pubs Relief &amp; Amounts"/>
      <sheetName val="Discretionary Scheme Allocation"/>
      <sheetName val="SBRR threshold amounts"/>
      <sheetName val="Access_NNDR3_allparts"/>
      <sheetName val="Access_Val"/>
      <sheetName val="CHECK_P1"/>
      <sheetName val="CHECK_P2"/>
      <sheetName val="CHECK_P3"/>
      <sheetName val="CHECK_P4"/>
      <sheetName val="CHECK_P5"/>
    </sheetNames>
    <sheetDataSet>
      <sheetData sheetId="0" refreshError="1"/>
      <sheetData sheetId="1">
        <row r="20">
          <cell r="L20" t="str">
            <v>Allerdale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A8">
            <v>1</v>
          </cell>
          <cell r="B8" t="str">
            <v>Adur</v>
          </cell>
          <cell r="C8" t="str">
            <v>E3831</v>
          </cell>
          <cell r="D8">
            <v>85393</v>
          </cell>
          <cell r="H8">
            <v>-1268400</v>
          </cell>
          <cell r="I8">
            <v>0</v>
          </cell>
          <cell r="J8">
            <v>85393</v>
          </cell>
          <cell r="K8">
            <v>0</v>
          </cell>
          <cell r="L8">
            <v>0</v>
          </cell>
          <cell r="M8">
            <v>0</v>
          </cell>
          <cell r="N8">
            <v>0</v>
          </cell>
          <cell r="O8">
            <v>0</v>
          </cell>
          <cell r="P8">
            <v>0</v>
          </cell>
          <cell r="Q8">
            <v>0</v>
          </cell>
          <cell r="R8">
            <v>365549</v>
          </cell>
          <cell r="S8">
            <v>91387</v>
          </cell>
          <cell r="T8">
            <v>0</v>
          </cell>
          <cell r="U8">
            <v>0</v>
          </cell>
          <cell r="V8">
            <v>0</v>
          </cell>
          <cell r="W8">
            <v>0</v>
          </cell>
          <cell r="X8">
            <v>2543</v>
          </cell>
          <cell r="Y8">
            <v>636</v>
          </cell>
          <cell r="Z8">
            <v>0</v>
          </cell>
          <cell r="AA8">
            <v>0</v>
          </cell>
          <cell r="AB8">
            <v>0</v>
          </cell>
          <cell r="AC8">
            <v>0</v>
          </cell>
          <cell r="AD8">
            <v>0</v>
          </cell>
          <cell r="AE8">
            <v>0</v>
          </cell>
          <cell r="AF8">
            <v>0</v>
          </cell>
          <cell r="AG8">
            <v>0</v>
          </cell>
          <cell r="AH8">
            <v>0</v>
          </cell>
          <cell r="AI8">
            <v>0</v>
          </cell>
          <cell r="AM8">
            <v>0</v>
          </cell>
          <cell r="AN8">
            <v>0</v>
          </cell>
          <cell r="AO8">
            <v>0</v>
          </cell>
          <cell r="AP8">
            <v>105529</v>
          </cell>
          <cell r="AQ8">
            <v>26382</v>
          </cell>
          <cell r="AR8">
            <v>0</v>
          </cell>
          <cell r="AS8">
            <v>-176408</v>
          </cell>
          <cell r="AT8">
            <v>-141127</v>
          </cell>
          <cell r="AU8">
            <v>-35281</v>
          </cell>
          <cell r="AV8">
            <v>0</v>
          </cell>
          <cell r="AW8">
            <v>-352816</v>
          </cell>
          <cell r="AX8">
            <v>-892129</v>
          </cell>
          <cell r="AY8">
            <v>-713703</v>
          </cell>
          <cell r="AZ8">
            <v>-178426</v>
          </cell>
          <cell r="BA8">
            <v>0</v>
          </cell>
          <cell r="BB8">
            <v>-1784258</v>
          </cell>
          <cell r="BC8">
            <v>17432514</v>
          </cell>
          <cell r="BD8">
            <v>-1379147</v>
          </cell>
          <cell r="BE8">
            <v>486350</v>
          </cell>
          <cell r="BF8">
            <v>0</v>
          </cell>
          <cell r="BG8">
            <v>-1568209</v>
          </cell>
          <cell r="BH8">
            <v>-81560</v>
          </cell>
          <cell r="BI8">
            <v>0</v>
          </cell>
          <cell r="BJ8">
            <v>0</v>
          </cell>
          <cell r="BK8">
            <v>-183416</v>
          </cell>
          <cell r="BL8">
            <v>-13981</v>
          </cell>
          <cell r="BM8">
            <v>-19290</v>
          </cell>
          <cell r="BN8">
            <v>-2665</v>
          </cell>
          <cell r="BO8">
            <v>0</v>
          </cell>
          <cell r="BP8">
            <v>0</v>
          </cell>
          <cell r="BQ8">
            <v>0</v>
          </cell>
          <cell r="BR8">
            <v>0</v>
          </cell>
          <cell r="BS8">
            <v>0</v>
          </cell>
          <cell r="BT8">
            <v>18673625</v>
          </cell>
          <cell r="BU8">
            <v>-145119</v>
          </cell>
          <cell r="BV8">
            <v>427907</v>
          </cell>
          <cell r="BW8">
            <v>-1140850</v>
          </cell>
          <cell r="BX8">
            <v>-608267</v>
          </cell>
          <cell r="BY8">
            <v>434945</v>
          </cell>
          <cell r="BZ8">
            <v>17562967</v>
          </cell>
          <cell r="CA8">
            <v>-304134</v>
          </cell>
          <cell r="CB8">
            <v>-243306</v>
          </cell>
          <cell r="CC8">
            <v>-60827</v>
          </cell>
          <cell r="CD8">
            <v>0</v>
          </cell>
          <cell r="CE8">
            <v>217472</v>
          </cell>
          <cell r="CF8">
            <v>173978</v>
          </cell>
          <cell r="CG8">
            <v>43495</v>
          </cell>
          <cell r="CH8">
            <v>0</v>
          </cell>
        </row>
        <row r="9">
          <cell r="A9">
            <v>2</v>
          </cell>
          <cell r="B9" t="str">
            <v>Allerdale</v>
          </cell>
          <cell r="C9" t="str">
            <v>E0931</v>
          </cell>
          <cell r="D9">
            <v>183183</v>
          </cell>
          <cell r="H9">
            <v>689237</v>
          </cell>
          <cell r="I9">
            <v>0</v>
          </cell>
          <cell r="J9">
            <v>183183</v>
          </cell>
          <cell r="K9">
            <v>0</v>
          </cell>
          <cell r="L9">
            <v>408587</v>
          </cell>
          <cell r="M9">
            <v>0</v>
          </cell>
          <cell r="N9">
            <v>0</v>
          </cell>
          <cell r="O9">
            <v>0</v>
          </cell>
          <cell r="P9">
            <v>0</v>
          </cell>
          <cell r="Q9">
            <v>0</v>
          </cell>
          <cell r="R9">
            <v>855482</v>
          </cell>
          <cell r="S9">
            <v>213870</v>
          </cell>
          <cell r="T9">
            <v>0</v>
          </cell>
          <cell r="U9">
            <v>6042</v>
          </cell>
          <cell r="V9">
            <v>1511</v>
          </cell>
          <cell r="W9">
            <v>0</v>
          </cell>
          <cell r="X9">
            <v>0</v>
          </cell>
          <cell r="Y9">
            <v>0</v>
          </cell>
          <cell r="Z9">
            <v>0</v>
          </cell>
          <cell r="AA9">
            <v>0</v>
          </cell>
          <cell r="AB9">
            <v>0</v>
          </cell>
          <cell r="AC9">
            <v>0</v>
          </cell>
          <cell r="AD9">
            <v>0</v>
          </cell>
          <cell r="AE9">
            <v>0</v>
          </cell>
          <cell r="AF9">
            <v>0</v>
          </cell>
          <cell r="AG9">
            <v>0</v>
          </cell>
          <cell r="AH9">
            <v>0</v>
          </cell>
          <cell r="AI9">
            <v>0</v>
          </cell>
          <cell r="AM9">
            <v>0</v>
          </cell>
          <cell r="AN9">
            <v>0</v>
          </cell>
          <cell r="AO9">
            <v>0</v>
          </cell>
          <cell r="AP9">
            <v>177187</v>
          </cell>
          <cell r="AQ9">
            <v>42762</v>
          </cell>
          <cell r="AR9">
            <v>0</v>
          </cell>
          <cell r="AS9">
            <v>-183516</v>
          </cell>
          <cell r="AT9">
            <v>-146811</v>
          </cell>
          <cell r="AU9">
            <v>-36704</v>
          </cell>
          <cell r="AV9">
            <v>0</v>
          </cell>
          <cell r="AW9">
            <v>-367031</v>
          </cell>
          <cell r="AX9">
            <v>-583383</v>
          </cell>
          <cell r="AY9">
            <v>-466705</v>
          </cell>
          <cell r="AZ9">
            <v>-116677</v>
          </cell>
          <cell r="BA9">
            <v>0</v>
          </cell>
          <cell r="BB9">
            <v>-1166765</v>
          </cell>
          <cell r="BC9">
            <v>27109386</v>
          </cell>
          <cell r="BD9">
            <v>-3548482</v>
          </cell>
          <cell r="BE9">
            <v>694607</v>
          </cell>
          <cell r="BF9">
            <v>0</v>
          </cell>
          <cell r="BG9">
            <v>-2071588</v>
          </cell>
          <cell r="BH9">
            <v>-62642</v>
          </cell>
          <cell r="BI9">
            <v>-38633</v>
          </cell>
          <cell r="BJ9">
            <v>-9887</v>
          </cell>
          <cell r="BK9">
            <v>-674041</v>
          </cell>
          <cell r="BL9">
            <v>-156162</v>
          </cell>
          <cell r="BM9">
            <v>-86229</v>
          </cell>
          <cell r="BN9">
            <v>-1242</v>
          </cell>
          <cell r="BO9">
            <v>-1491</v>
          </cell>
          <cell r="BP9">
            <v>0</v>
          </cell>
          <cell r="BQ9">
            <v>0</v>
          </cell>
          <cell r="BR9">
            <v>0</v>
          </cell>
          <cell r="BS9">
            <v>0</v>
          </cell>
          <cell r="BT9">
            <v>27655386</v>
          </cell>
          <cell r="BU9">
            <v>-253633</v>
          </cell>
          <cell r="BV9">
            <v>793063</v>
          </cell>
          <cell r="BW9">
            <v>-186661</v>
          </cell>
          <cell r="BX9">
            <v>-1889894</v>
          </cell>
          <cell r="BY9">
            <v>-2180211</v>
          </cell>
          <cell r="BZ9">
            <v>28467472</v>
          </cell>
          <cell r="CA9">
            <v>-944947</v>
          </cell>
          <cell r="CB9">
            <v>-755958</v>
          </cell>
          <cell r="CC9">
            <v>-188989</v>
          </cell>
          <cell r="CD9">
            <v>0</v>
          </cell>
          <cell r="CE9">
            <v>-1090106</v>
          </cell>
          <cell r="CF9">
            <v>-872084</v>
          </cell>
          <cell r="CG9">
            <v>-218021</v>
          </cell>
          <cell r="CH9">
            <v>0</v>
          </cell>
        </row>
        <row r="10">
          <cell r="A10">
            <v>3</v>
          </cell>
          <cell r="B10" t="str">
            <v>Amber Valley</v>
          </cell>
          <cell r="C10" t="str">
            <v>E1031</v>
          </cell>
          <cell r="D10">
            <v>149167</v>
          </cell>
          <cell r="H10">
            <v>382831</v>
          </cell>
          <cell r="I10">
            <v>0</v>
          </cell>
          <cell r="J10">
            <v>149167</v>
          </cell>
          <cell r="K10">
            <v>0</v>
          </cell>
          <cell r="L10">
            <v>5554</v>
          </cell>
          <cell r="M10">
            <v>0</v>
          </cell>
          <cell r="N10">
            <v>0</v>
          </cell>
          <cell r="O10">
            <v>0</v>
          </cell>
          <cell r="P10">
            <v>0</v>
          </cell>
          <cell r="Q10">
            <v>0</v>
          </cell>
          <cell r="R10">
            <v>749130</v>
          </cell>
          <cell r="S10">
            <v>168554</v>
          </cell>
          <cell r="T10">
            <v>18728</v>
          </cell>
          <cell r="U10">
            <v>0</v>
          </cell>
          <cell r="V10">
            <v>0</v>
          </cell>
          <cell r="W10">
            <v>0</v>
          </cell>
          <cell r="X10">
            <v>0</v>
          </cell>
          <cell r="Y10">
            <v>0</v>
          </cell>
          <cell r="Z10">
            <v>0</v>
          </cell>
          <cell r="AA10">
            <v>2720</v>
          </cell>
          <cell r="AB10">
            <v>612</v>
          </cell>
          <cell r="AC10">
            <v>68</v>
          </cell>
          <cell r="AD10">
            <v>0</v>
          </cell>
          <cell r="AE10">
            <v>0</v>
          </cell>
          <cell r="AF10">
            <v>0</v>
          </cell>
          <cell r="AG10">
            <v>0</v>
          </cell>
          <cell r="AH10">
            <v>0</v>
          </cell>
          <cell r="AI10">
            <v>0</v>
          </cell>
          <cell r="AM10">
            <v>0</v>
          </cell>
          <cell r="AN10">
            <v>0</v>
          </cell>
          <cell r="AO10">
            <v>0</v>
          </cell>
          <cell r="AP10">
            <v>171340</v>
          </cell>
          <cell r="AQ10">
            <v>38533</v>
          </cell>
          <cell r="AR10">
            <v>4281</v>
          </cell>
          <cell r="AS10">
            <v>-186522</v>
          </cell>
          <cell r="AT10">
            <v>-149218</v>
          </cell>
          <cell r="AU10">
            <v>-33574</v>
          </cell>
          <cell r="AV10">
            <v>-3730</v>
          </cell>
          <cell r="AW10">
            <v>-373044</v>
          </cell>
          <cell r="AX10">
            <v>-700000</v>
          </cell>
          <cell r="AY10">
            <v>-560000</v>
          </cell>
          <cell r="AZ10">
            <v>-126000</v>
          </cell>
          <cell r="BA10">
            <v>-14000</v>
          </cell>
          <cell r="BB10">
            <v>-1400000</v>
          </cell>
          <cell r="BC10">
            <v>30159897</v>
          </cell>
          <cell r="BD10">
            <v>-2941944</v>
          </cell>
          <cell r="BE10">
            <v>816256</v>
          </cell>
          <cell r="BF10">
            <v>0</v>
          </cell>
          <cell r="BG10">
            <v>-1617130</v>
          </cell>
          <cell r="BH10">
            <v>-41947</v>
          </cell>
          <cell r="BI10">
            <v>-19993</v>
          </cell>
          <cell r="BJ10">
            <v>-36395</v>
          </cell>
          <cell r="BK10">
            <v>-1376747</v>
          </cell>
          <cell r="BL10">
            <v>-46829</v>
          </cell>
          <cell r="BM10">
            <v>-375941</v>
          </cell>
          <cell r="BN10">
            <v>0</v>
          </cell>
          <cell r="BO10">
            <v>-19993</v>
          </cell>
          <cell r="BP10">
            <v>-2140</v>
          </cell>
          <cell r="BQ10">
            <v>0</v>
          </cell>
          <cell r="BR10">
            <v>0</v>
          </cell>
          <cell r="BS10">
            <v>0</v>
          </cell>
          <cell r="BT10">
            <v>30357307</v>
          </cell>
          <cell r="BU10">
            <v>-174553</v>
          </cell>
          <cell r="BV10">
            <v>373044</v>
          </cell>
          <cell r="BW10">
            <v>-1147822</v>
          </cell>
          <cell r="BX10">
            <v>-194050</v>
          </cell>
          <cell r="BY10">
            <v>-151434</v>
          </cell>
          <cell r="BZ10">
            <v>28501922</v>
          </cell>
          <cell r="CA10">
            <v>-97025</v>
          </cell>
          <cell r="CB10">
            <v>-77620</v>
          </cell>
          <cell r="CC10">
            <v>-17465</v>
          </cell>
          <cell r="CD10">
            <v>-1940</v>
          </cell>
          <cell r="CE10">
            <v>-75717</v>
          </cell>
          <cell r="CF10">
            <v>-60574</v>
          </cell>
          <cell r="CG10">
            <v>-13629</v>
          </cell>
          <cell r="CH10">
            <v>-1514</v>
          </cell>
        </row>
        <row r="11">
          <cell r="A11">
            <v>4</v>
          </cell>
          <cell r="B11" t="str">
            <v>Arun</v>
          </cell>
          <cell r="C11" t="str">
            <v>E3832</v>
          </cell>
          <cell r="D11">
            <v>186077</v>
          </cell>
          <cell r="H11">
            <v>-457433</v>
          </cell>
          <cell r="I11">
            <v>0</v>
          </cell>
          <cell r="J11">
            <v>186077</v>
          </cell>
          <cell r="K11">
            <v>0</v>
          </cell>
          <cell r="L11">
            <v>0</v>
          </cell>
          <cell r="M11">
            <v>0</v>
          </cell>
          <cell r="N11">
            <v>0</v>
          </cell>
          <cell r="O11">
            <v>0</v>
          </cell>
          <cell r="P11">
            <v>0</v>
          </cell>
          <cell r="Q11">
            <v>0</v>
          </cell>
          <cell r="R11">
            <v>931966</v>
          </cell>
          <cell r="S11">
            <v>232991</v>
          </cell>
          <cell r="T11">
            <v>0</v>
          </cell>
          <cell r="U11">
            <v>3978</v>
          </cell>
          <cell r="V11">
            <v>994</v>
          </cell>
          <cell r="W11">
            <v>0</v>
          </cell>
          <cell r="X11">
            <v>0</v>
          </cell>
          <cell r="Y11">
            <v>0</v>
          </cell>
          <cell r="Z11">
            <v>0</v>
          </cell>
          <cell r="AA11">
            <v>11109</v>
          </cell>
          <cell r="AB11">
            <v>2777</v>
          </cell>
          <cell r="AC11">
            <v>0</v>
          </cell>
          <cell r="AD11">
            <v>0</v>
          </cell>
          <cell r="AE11">
            <v>0</v>
          </cell>
          <cell r="AF11">
            <v>0</v>
          </cell>
          <cell r="AG11">
            <v>0</v>
          </cell>
          <cell r="AH11">
            <v>0</v>
          </cell>
          <cell r="AI11">
            <v>0</v>
          </cell>
          <cell r="AM11">
            <v>0</v>
          </cell>
          <cell r="AN11">
            <v>0</v>
          </cell>
          <cell r="AO11">
            <v>0</v>
          </cell>
          <cell r="AP11">
            <v>212037</v>
          </cell>
          <cell r="AQ11">
            <v>53009</v>
          </cell>
          <cell r="AR11">
            <v>0</v>
          </cell>
          <cell r="AS11">
            <v>-154500</v>
          </cell>
          <cell r="AT11">
            <v>-123600</v>
          </cell>
          <cell r="AU11">
            <v>-30900</v>
          </cell>
          <cell r="AV11">
            <v>0</v>
          </cell>
          <cell r="AW11">
            <v>-309000</v>
          </cell>
          <cell r="AX11">
            <v>-2508000</v>
          </cell>
          <cell r="AY11">
            <v>-2006400</v>
          </cell>
          <cell r="AZ11">
            <v>-501600</v>
          </cell>
          <cell r="BA11">
            <v>0</v>
          </cell>
          <cell r="BB11">
            <v>-5016000</v>
          </cell>
          <cell r="BC11">
            <v>37274542</v>
          </cell>
          <cell r="BD11">
            <v>-3559187</v>
          </cell>
          <cell r="BE11">
            <v>927294</v>
          </cell>
          <cell r="BF11">
            <v>0</v>
          </cell>
          <cell r="BG11">
            <v>-2791543</v>
          </cell>
          <cell r="BH11">
            <v>-85893</v>
          </cell>
          <cell r="BI11">
            <v>-5219</v>
          </cell>
          <cell r="BJ11">
            <v>0</v>
          </cell>
          <cell r="BK11">
            <v>-636885</v>
          </cell>
          <cell r="BL11">
            <v>-114118</v>
          </cell>
          <cell r="BM11">
            <v>-17884</v>
          </cell>
          <cell r="BN11">
            <v>-1006</v>
          </cell>
          <cell r="BO11">
            <v>-3175</v>
          </cell>
          <cell r="BP11">
            <v>0</v>
          </cell>
          <cell r="BQ11">
            <v>0</v>
          </cell>
          <cell r="BR11">
            <v>0</v>
          </cell>
          <cell r="BS11">
            <v>0</v>
          </cell>
          <cell r="BT11">
            <v>37622453</v>
          </cell>
          <cell r="BU11">
            <v>-267000</v>
          </cell>
          <cell r="BV11">
            <v>822836</v>
          </cell>
          <cell r="BW11">
            <v>-344241</v>
          </cell>
          <cell r="BX11">
            <v>2121027</v>
          </cell>
          <cell r="BY11">
            <v>829263</v>
          </cell>
          <cell r="BZ11">
            <v>35289011</v>
          </cell>
          <cell r="CA11">
            <v>1060513</v>
          </cell>
          <cell r="CB11">
            <v>848411</v>
          </cell>
          <cell r="CC11">
            <v>212103</v>
          </cell>
          <cell r="CD11">
            <v>0</v>
          </cell>
          <cell r="CE11">
            <v>414632</v>
          </cell>
          <cell r="CF11">
            <v>331705</v>
          </cell>
          <cell r="CG11">
            <v>82926</v>
          </cell>
          <cell r="CH11">
            <v>0</v>
          </cell>
        </row>
        <row r="12">
          <cell r="A12">
            <v>5</v>
          </cell>
          <cell r="B12" t="str">
            <v>Ashfield</v>
          </cell>
          <cell r="C12" t="str">
            <v>E3031</v>
          </cell>
          <cell r="D12">
            <v>130702</v>
          </cell>
          <cell r="H12">
            <v>302189</v>
          </cell>
          <cell r="I12">
            <v>0</v>
          </cell>
          <cell r="J12">
            <v>130702</v>
          </cell>
          <cell r="K12">
            <v>0</v>
          </cell>
          <cell r="L12">
            <v>0</v>
          </cell>
          <cell r="M12">
            <v>0</v>
          </cell>
          <cell r="N12">
            <v>0</v>
          </cell>
          <cell r="O12">
            <v>0</v>
          </cell>
          <cell r="P12">
            <v>0</v>
          </cell>
          <cell r="Q12">
            <v>0</v>
          </cell>
          <cell r="R12">
            <v>556935</v>
          </cell>
          <cell r="S12">
            <v>125310</v>
          </cell>
          <cell r="T12">
            <v>13923</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M12">
            <v>0</v>
          </cell>
          <cell r="AN12">
            <v>0</v>
          </cell>
          <cell r="AO12">
            <v>0</v>
          </cell>
          <cell r="AP12">
            <v>218863</v>
          </cell>
          <cell r="AQ12">
            <v>49244</v>
          </cell>
          <cell r="AR12">
            <v>5472</v>
          </cell>
          <cell r="AS12">
            <v>-333890</v>
          </cell>
          <cell r="AT12">
            <v>-267110</v>
          </cell>
          <cell r="AU12">
            <v>-60099</v>
          </cell>
          <cell r="AV12">
            <v>-6677</v>
          </cell>
          <cell r="AW12">
            <v>-667776</v>
          </cell>
          <cell r="AX12">
            <v>-1455900</v>
          </cell>
          <cell r="AY12">
            <v>-1164721</v>
          </cell>
          <cell r="AZ12">
            <v>-262063</v>
          </cell>
          <cell r="BA12">
            <v>-29118</v>
          </cell>
          <cell r="BB12">
            <v>-2911802</v>
          </cell>
          <cell r="BC12">
            <v>34772284</v>
          </cell>
          <cell r="BD12">
            <v>-2080941</v>
          </cell>
          <cell r="BE12">
            <v>941795</v>
          </cell>
          <cell r="BF12">
            <v>0</v>
          </cell>
          <cell r="BG12">
            <v>-1798132</v>
          </cell>
          <cell r="BH12">
            <v>-8429</v>
          </cell>
          <cell r="BI12">
            <v>-11698</v>
          </cell>
          <cell r="BJ12">
            <v>-1215</v>
          </cell>
          <cell r="BK12">
            <v>-745133</v>
          </cell>
          <cell r="BL12">
            <v>-147857</v>
          </cell>
          <cell r="BM12">
            <v>-40881</v>
          </cell>
          <cell r="BN12">
            <v>0</v>
          </cell>
          <cell r="BO12">
            <v>-6268</v>
          </cell>
          <cell r="BP12">
            <v>-4437</v>
          </cell>
          <cell r="BQ12">
            <v>0</v>
          </cell>
          <cell r="BR12">
            <v>0</v>
          </cell>
          <cell r="BS12">
            <v>0</v>
          </cell>
          <cell r="BT12">
            <v>36595516</v>
          </cell>
          <cell r="BU12">
            <v>-309427</v>
          </cell>
          <cell r="BV12">
            <v>1366811</v>
          </cell>
          <cell r="BW12">
            <v>-214831</v>
          </cell>
          <cell r="BX12">
            <v>-535214</v>
          </cell>
          <cell r="BY12">
            <v>-1143757</v>
          </cell>
          <cell r="BZ12">
            <v>36424993</v>
          </cell>
          <cell r="CA12">
            <v>-267607</v>
          </cell>
          <cell r="CB12">
            <v>-214086</v>
          </cell>
          <cell r="CC12">
            <v>-48169</v>
          </cell>
          <cell r="CD12">
            <v>-5352</v>
          </cell>
          <cell r="CE12">
            <v>-571878</v>
          </cell>
          <cell r="CF12">
            <v>-457503</v>
          </cell>
          <cell r="CG12">
            <v>-102938</v>
          </cell>
          <cell r="CH12">
            <v>-11438</v>
          </cell>
        </row>
        <row r="13">
          <cell r="A13">
            <v>6</v>
          </cell>
          <cell r="B13" t="str">
            <v>Ashford</v>
          </cell>
          <cell r="C13" t="str">
            <v>E2231</v>
          </cell>
          <cell r="D13">
            <v>181049</v>
          </cell>
          <cell r="H13">
            <v>490248</v>
          </cell>
          <cell r="I13">
            <v>0</v>
          </cell>
          <cell r="J13">
            <v>181049</v>
          </cell>
          <cell r="K13">
            <v>0</v>
          </cell>
          <cell r="L13">
            <v>60400</v>
          </cell>
          <cell r="M13">
            <v>0</v>
          </cell>
          <cell r="N13">
            <v>0</v>
          </cell>
          <cell r="O13">
            <v>0</v>
          </cell>
          <cell r="P13">
            <v>0</v>
          </cell>
          <cell r="Q13">
            <v>0</v>
          </cell>
          <cell r="R13">
            <v>749487</v>
          </cell>
          <cell r="S13">
            <v>168634</v>
          </cell>
          <cell r="T13">
            <v>18737</v>
          </cell>
          <cell r="U13">
            <v>2588</v>
          </cell>
          <cell r="V13">
            <v>583</v>
          </cell>
          <cell r="W13">
            <v>65</v>
          </cell>
          <cell r="X13">
            <v>0</v>
          </cell>
          <cell r="Y13">
            <v>0</v>
          </cell>
          <cell r="Z13">
            <v>0</v>
          </cell>
          <cell r="AA13">
            <v>0</v>
          </cell>
          <cell r="AB13">
            <v>0</v>
          </cell>
          <cell r="AC13">
            <v>0</v>
          </cell>
          <cell r="AD13">
            <v>0</v>
          </cell>
          <cell r="AE13">
            <v>0</v>
          </cell>
          <cell r="AF13">
            <v>0</v>
          </cell>
          <cell r="AG13">
            <v>0</v>
          </cell>
          <cell r="AH13">
            <v>0</v>
          </cell>
          <cell r="AI13">
            <v>0</v>
          </cell>
          <cell r="AM13">
            <v>0</v>
          </cell>
          <cell r="AN13">
            <v>0</v>
          </cell>
          <cell r="AO13">
            <v>0</v>
          </cell>
          <cell r="AP13">
            <v>298223</v>
          </cell>
          <cell r="AQ13">
            <v>66896</v>
          </cell>
          <cell r="AR13">
            <v>7433</v>
          </cell>
          <cell r="AS13">
            <v>-130389</v>
          </cell>
          <cell r="AT13">
            <v>-104311</v>
          </cell>
          <cell r="AU13">
            <v>-23470</v>
          </cell>
          <cell r="AV13">
            <v>-2608</v>
          </cell>
          <cell r="AW13">
            <v>-260778</v>
          </cell>
          <cell r="AX13">
            <v>-1646964</v>
          </cell>
          <cell r="AY13">
            <v>-1317574</v>
          </cell>
          <cell r="AZ13">
            <v>-296454</v>
          </cell>
          <cell r="BA13">
            <v>-32939</v>
          </cell>
          <cell r="BB13">
            <v>-3293931</v>
          </cell>
          <cell r="BC13">
            <v>47285849</v>
          </cell>
          <cell r="BD13">
            <v>-2925750</v>
          </cell>
          <cell r="BE13">
            <v>1265801</v>
          </cell>
          <cell r="BF13">
            <v>0</v>
          </cell>
          <cell r="BG13">
            <v>-3450036</v>
          </cell>
          <cell r="BH13">
            <v>-88226</v>
          </cell>
          <cell r="BI13">
            <v>-36968</v>
          </cell>
          <cell r="BJ13">
            <v>-873</v>
          </cell>
          <cell r="BK13">
            <v>-1780591</v>
          </cell>
          <cell r="BL13">
            <v>-174149</v>
          </cell>
          <cell r="BM13">
            <v>-64493</v>
          </cell>
          <cell r="BN13">
            <v>-13349</v>
          </cell>
          <cell r="BO13">
            <v>-15569</v>
          </cell>
          <cell r="BP13">
            <v>-52161</v>
          </cell>
          <cell r="BQ13">
            <v>0</v>
          </cell>
          <cell r="BR13">
            <v>0</v>
          </cell>
          <cell r="BS13">
            <v>0</v>
          </cell>
          <cell r="BT13">
            <v>47203994</v>
          </cell>
          <cell r="BU13">
            <v>-286856</v>
          </cell>
          <cell r="BV13">
            <v>138972</v>
          </cell>
          <cell r="BW13">
            <v>-255031</v>
          </cell>
          <cell r="BX13">
            <v>-2867508</v>
          </cell>
          <cell r="BY13">
            <v>-2378178</v>
          </cell>
          <cell r="BZ13">
            <v>49481875</v>
          </cell>
          <cell r="CA13">
            <v>-1433754</v>
          </cell>
          <cell r="CB13">
            <v>-1147003</v>
          </cell>
          <cell r="CC13">
            <v>-258076</v>
          </cell>
          <cell r="CD13">
            <v>-28675</v>
          </cell>
          <cell r="CE13">
            <v>-1189089</v>
          </cell>
          <cell r="CF13">
            <v>-951271</v>
          </cell>
          <cell r="CG13">
            <v>-214036</v>
          </cell>
          <cell r="CH13">
            <v>-23782</v>
          </cell>
        </row>
        <row r="14">
          <cell r="A14">
            <v>7</v>
          </cell>
          <cell r="B14" t="str">
            <v>Aylesbury Vale</v>
          </cell>
          <cell r="C14" t="str">
            <v>E0431</v>
          </cell>
          <cell r="D14">
            <v>223286</v>
          </cell>
          <cell r="H14">
            <v>-441967</v>
          </cell>
          <cell r="I14">
            <v>-8387</v>
          </cell>
          <cell r="J14">
            <v>223286</v>
          </cell>
          <cell r="K14">
            <v>204367</v>
          </cell>
          <cell r="L14">
            <v>0</v>
          </cell>
          <cell r="M14">
            <v>0</v>
          </cell>
          <cell r="N14">
            <v>0</v>
          </cell>
          <cell r="O14">
            <v>0</v>
          </cell>
          <cell r="P14">
            <v>0</v>
          </cell>
          <cell r="Q14">
            <v>0</v>
          </cell>
          <cell r="R14">
            <v>971723</v>
          </cell>
          <cell r="S14">
            <v>218637</v>
          </cell>
          <cell r="T14">
            <v>24293</v>
          </cell>
          <cell r="U14">
            <v>4162</v>
          </cell>
          <cell r="V14">
            <v>936</v>
          </cell>
          <cell r="W14">
            <v>104</v>
          </cell>
          <cell r="X14">
            <v>21214</v>
          </cell>
          <cell r="Y14">
            <v>4773</v>
          </cell>
          <cell r="Z14">
            <v>530</v>
          </cell>
          <cell r="AA14">
            <v>0</v>
          </cell>
          <cell r="AB14">
            <v>0</v>
          </cell>
          <cell r="AC14">
            <v>0</v>
          </cell>
          <cell r="AD14">
            <v>0</v>
          </cell>
          <cell r="AE14">
            <v>0</v>
          </cell>
          <cell r="AF14">
            <v>0</v>
          </cell>
          <cell r="AG14">
            <v>0</v>
          </cell>
          <cell r="AH14">
            <v>0</v>
          </cell>
          <cell r="AI14">
            <v>0</v>
          </cell>
          <cell r="AM14">
            <v>0</v>
          </cell>
          <cell r="AN14">
            <v>0</v>
          </cell>
          <cell r="AO14">
            <v>0</v>
          </cell>
          <cell r="AP14">
            <v>315482</v>
          </cell>
          <cell r="AQ14">
            <v>70293</v>
          </cell>
          <cell r="AR14">
            <v>7810</v>
          </cell>
          <cell r="AS14">
            <v>0</v>
          </cell>
          <cell r="AT14">
            <v>0</v>
          </cell>
          <cell r="AU14">
            <v>0</v>
          </cell>
          <cell r="AV14">
            <v>0</v>
          </cell>
          <cell r="AW14">
            <v>0</v>
          </cell>
          <cell r="AX14">
            <v>-996424</v>
          </cell>
          <cell r="AY14">
            <v>-797139</v>
          </cell>
          <cell r="AZ14">
            <v>-179356</v>
          </cell>
          <cell r="BA14">
            <v>-19929</v>
          </cell>
          <cell r="BB14">
            <v>-1992848</v>
          </cell>
          <cell r="BC14">
            <v>54146204</v>
          </cell>
          <cell r="BD14">
            <v>-3405396</v>
          </cell>
          <cell r="BE14">
            <v>1418416</v>
          </cell>
          <cell r="BF14">
            <v>0</v>
          </cell>
          <cell r="BG14">
            <v>-4727174</v>
          </cell>
          <cell r="BH14">
            <v>-28506</v>
          </cell>
          <cell r="BI14">
            <v>-58700</v>
          </cell>
          <cell r="BJ14">
            <v>-5976</v>
          </cell>
          <cell r="BK14">
            <v>-2529198</v>
          </cell>
          <cell r="BL14">
            <v>-220957</v>
          </cell>
          <cell r="BM14">
            <v>-137684</v>
          </cell>
          <cell r="BN14">
            <v>-2256</v>
          </cell>
          <cell r="BO14">
            <v>0</v>
          </cell>
          <cell r="BP14">
            <v>0</v>
          </cell>
          <cell r="BQ14">
            <v>0</v>
          </cell>
          <cell r="BR14">
            <v>0</v>
          </cell>
          <cell r="BS14">
            <v>0</v>
          </cell>
          <cell r="BT14">
            <v>52325508</v>
          </cell>
          <cell r="BU14">
            <v>0</v>
          </cell>
          <cell r="BV14">
            <v>204693</v>
          </cell>
          <cell r="BW14">
            <v>-1192487</v>
          </cell>
          <cell r="BX14">
            <v>1911537</v>
          </cell>
          <cell r="BY14">
            <v>-839454</v>
          </cell>
          <cell r="BZ14">
            <v>51994226</v>
          </cell>
          <cell r="CA14">
            <v>955768</v>
          </cell>
          <cell r="CB14">
            <v>764615</v>
          </cell>
          <cell r="CC14">
            <v>172039</v>
          </cell>
          <cell r="CD14">
            <v>19115</v>
          </cell>
          <cell r="CE14">
            <v>-419726</v>
          </cell>
          <cell r="CF14">
            <v>-335782</v>
          </cell>
          <cell r="CG14">
            <v>-75551</v>
          </cell>
          <cell r="CH14">
            <v>-8395</v>
          </cell>
        </row>
        <row r="15">
          <cell r="A15">
            <v>8</v>
          </cell>
          <cell r="B15" t="str">
            <v>Babergh</v>
          </cell>
          <cell r="C15" t="str">
            <v>E3531</v>
          </cell>
          <cell r="D15">
            <v>129574</v>
          </cell>
          <cell r="H15">
            <v>-282421</v>
          </cell>
          <cell r="I15">
            <v>0</v>
          </cell>
          <cell r="J15">
            <v>129574</v>
          </cell>
          <cell r="K15">
            <v>0</v>
          </cell>
          <cell r="L15">
            <v>2148</v>
          </cell>
          <cell r="M15">
            <v>0</v>
          </cell>
          <cell r="N15">
            <v>0</v>
          </cell>
          <cell r="O15">
            <v>0</v>
          </cell>
          <cell r="P15">
            <v>0</v>
          </cell>
          <cell r="Q15">
            <v>0</v>
          </cell>
          <cell r="R15">
            <v>615014</v>
          </cell>
          <cell r="S15">
            <v>153753</v>
          </cell>
          <cell r="T15">
            <v>0</v>
          </cell>
          <cell r="U15">
            <v>12926</v>
          </cell>
          <cell r="V15">
            <v>3232</v>
          </cell>
          <cell r="W15">
            <v>0</v>
          </cell>
          <cell r="X15">
            <v>3611</v>
          </cell>
          <cell r="Y15">
            <v>903</v>
          </cell>
          <cell r="Z15">
            <v>0</v>
          </cell>
          <cell r="AA15">
            <v>5967</v>
          </cell>
          <cell r="AB15">
            <v>1492</v>
          </cell>
          <cell r="AC15">
            <v>0</v>
          </cell>
          <cell r="AD15">
            <v>0</v>
          </cell>
          <cell r="AE15">
            <v>0</v>
          </cell>
          <cell r="AF15">
            <v>0</v>
          </cell>
          <cell r="AG15">
            <v>0</v>
          </cell>
          <cell r="AH15">
            <v>0</v>
          </cell>
          <cell r="AI15">
            <v>0</v>
          </cell>
          <cell r="AM15">
            <v>0</v>
          </cell>
          <cell r="AN15">
            <v>0</v>
          </cell>
          <cell r="AO15">
            <v>0</v>
          </cell>
          <cell r="AP15">
            <v>136252</v>
          </cell>
          <cell r="AQ15">
            <v>34055</v>
          </cell>
          <cell r="AR15">
            <v>0</v>
          </cell>
          <cell r="AS15">
            <v>-163312</v>
          </cell>
          <cell r="AT15">
            <v>-130650</v>
          </cell>
          <cell r="AU15">
            <v>-32663</v>
          </cell>
          <cell r="AV15">
            <v>0</v>
          </cell>
          <cell r="AW15">
            <v>-326625</v>
          </cell>
          <cell r="AX15">
            <v>-507256</v>
          </cell>
          <cell r="AY15">
            <v>-405806</v>
          </cell>
          <cell r="AZ15">
            <v>-101451</v>
          </cell>
          <cell r="BA15">
            <v>0</v>
          </cell>
          <cell r="BB15">
            <v>-1014513</v>
          </cell>
          <cell r="BC15">
            <v>24080763</v>
          </cell>
          <cell r="BD15">
            <v>-2384299</v>
          </cell>
          <cell r="BE15">
            <v>618254</v>
          </cell>
          <cell r="BF15">
            <v>0</v>
          </cell>
          <cell r="BG15">
            <v>-2110451</v>
          </cell>
          <cell r="BH15">
            <v>-58478</v>
          </cell>
          <cell r="BI15">
            <v>-86725</v>
          </cell>
          <cell r="BJ15">
            <v>-4182</v>
          </cell>
          <cell r="BK15">
            <v>-455117</v>
          </cell>
          <cell r="BL15">
            <v>-44159</v>
          </cell>
          <cell r="BM15">
            <v>-9412</v>
          </cell>
          <cell r="BN15">
            <v>-7310</v>
          </cell>
          <cell r="BO15">
            <v>-71485</v>
          </cell>
          <cell r="BP15">
            <v>-12463</v>
          </cell>
          <cell r="BQ15">
            <v>0</v>
          </cell>
          <cell r="BR15">
            <v>0</v>
          </cell>
          <cell r="BS15">
            <v>0</v>
          </cell>
          <cell r="BT15">
            <v>23423964</v>
          </cell>
          <cell r="BU15">
            <v>-57570</v>
          </cell>
          <cell r="BV15">
            <v>397801</v>
          </cell>
          <cell r="BW15">
            <v>-475061</v>
          </cell>
          <cell r="BX15">
            <v>573584</v>
          </cell>
          <cell r="BY15">
            <v>844323</v>
          </cell>
          <cell r="BZ15">
            <v>22670887</v>
          </cell>
          <cell r="CA15">
            <v>286793</v>
          </cell>
          <cell r="CB15">
            <v>229433</v>
          </cell>
          <cell r="CC15">
            <v>57358</v>
          </cell>
          <cell r="CD15">
            <v>0</v>
          </cell>
          <cell r="CE15">
            <v>422162</v>
          </cell>
          <cell r="CF15">
            <v>337729</v>
          </cell>
          <cell r="CG15">
            <v>84432</v>
          </cell>
          <cell r="CH15">
            <v>0</v>
          </cell>
        </row>
        <row r="16">
          <cell r="A16">
            <v>9</v>
          </cell>
          <cell r="B16" t="str">
            <v>Barking and Dagenham</v>
          </cell>
          <cell r="C16" t="str">
            <v>E5030</v>
          </cell>
          <cell r="D16">
            <v>203037</v>
          </cell>
          <cell r="H16">
            <v>801540</v>
          </cell>
          <cell r="I16">
            <v>0</v>
          </cell>
          <cell r="J16">
            <v>203037</v>
          </cell>
          <cell r="K16">
            <v>0</v>
          </cell>
          <cell r="L16">
            <v>0</v>
          </cell>
          <cell r="M16">
            <v>0</v>
          </cell>
          <cell r="N16">
            <v>0</v>
          </cell>
          <cell r="O16">
            <v>0</v>
          </cell>
          <cell r="P16">
            <v>0</v>
          </cell>
          <cell r="Q16">
            <v>0</v>
          </cell>
          <cell r="R16">
            <v>581680</v>
          </cell>
          <cell r="S16">
            <v>717405</v>
          </cell>
          <cell r="T16">
            <v>0</v>
          </cell>
          <cell r="U16">
            <v>2018</v>
          </cell>
          <cell r="V16">
            <v>2489</v>
          </cell>
          <cell r="W16">
            <v>0</v>
          </cell>
          <cell r="X16">
            <v>0</v>
          </cell>
          <cell r="Y16">
            <v>0</v>
          </cell>
          <cell r="Z16">
            <v>0</v>
          </cell>
          <cell r="AA16">
            <v>63244</v>
          </cell>
          <cell r="AB16">
            <v>78000</v>
          </cell>
          <cell r="AC16">
            <v>0</v>
          </cell>
          <cell r="AD16">
            <v>0</v>
          </cell>
          <cell r="AE16">
            <v>0</v>
          </cell>
          <cell r="AF16">
            <v>0</v>
          </cell>
          <cell r="AG16">
            <v>0</v>
          </cell>
          <cell r="AH16">
            <v>0</v>
          </cell>
          <cell r="AI16">
            <v>0</v>
          </cell>
          <cell r="AM16">
            <v>0</v>
          </cell>
          <cell r="AN16">
            <v>0</v>
          </cell>
          <cell r="AO16">
            <v>0</v>
          </cell>
          <cell r="AP16">
            <v>257157</v>
          </cell>
          <cell r="AQ16">
            <v>317160</v>
          </cell>
          <cell r="AR16">
            <v>0</v>
          </cell>
          <cell r="AS16">
            <v>-2588000</v>
          </cell>
          <cell r="AT16">
            <v>-1552800</v>
          </cell>
          <cell r="AU16">
            <v>-1035200</v>
          </cell>
          <cell r="AV16">
            <v>0</v>
          </cell>
          <cell r="AW16">
            <v>-5176000</v>
          </cell>
          <cell r="AX16">
            <v>-4811185</v>
          </cell>
          <cell r="AY16">
            <v>-2886711</v>
          </cell>
          <cell r="AZ16">
            <v>-1924474</v>
          </cell>
          <cell r="BA16">
            <v>0</v>
          </cell>
          <cell r="BB16">
            <v>-9622370</v>
          </cell>
          <cell r="BC16">
            <v>60929832</v>
          </cell>
          <cell r="BD16">
            <v>-2774270</v>
          </cell>
          <cell r="BE16">
            <v>1508766</v>
          </cell>
          <cell r="BF16">
            <v>0</v>
          </cell>
          <cell r="BG16">
            <v>-3606573</v>
          </cell>
          <cell r="BH16">
            <v>-22425</v>
          </cell>
          <cell r="BI16">
            <v>0</v>
          </cell>
          <cell r="BJ16">
            <v>-15942</v>
          </cell>
          <cell r="BK16">
            <v>-3048683</v>
          </cell>
          <cell r="BL16">
            <v>-217638</v>
          </cell>
          <cell r="BM16">
            <v>-2468</v>
          </cell>
          <cell r="BN16">
            <v>-5606</v>
          </cell>
          <cell r="BO16">
            <v>0</v>
          </cell>
          <cell r="BP16">
            <v>0</v>
          </cell>
          <cell r="BQ16">
            <v>-437360</v>
          </cell>
          <cell r="BR16">
            <v>0</v>
          </cell>
          <cell r="BS16">
            <v>0</v>
          </cell>
          <cell r="BT16">
            <v>56569207</v>
          </cell>
          <cell r="BU16">
            <v>0</v>
          </cell>
          <cell r="BV16">
            <v>5345972</v>
          </cell>
          <cell r="BW16">
            <v>-1106263</v>
          </cell>
          <cell r="BX16">
            <v>1584924</v>
          </cell>
          <cell r="BY16">
            <v>-1068678</v>
          </cell>
          <cell r="BZ16">
            <v>57064258</v>
          </cell>
          <cell r="CA16">
            <v>792462</v>
          </cell>
          <cell r="CB16">
            <v>475478</v>
          </cell>
          <cell r="CC16">
            <v>316984</v>
          </cell>
          <cell r="CD16">
            <v>0</v>
          </cell>
          <cell r="CE16">
            <v>-534339</v>
          </cell>
          <cell r="CF16">
            <v>-320603</v>
          </cell>
          <cell r="CG16">
            <v>-213736</v>
          </cell>
          <cell r="CH16">
            <v>0</v>
          </cell>
        </row>
        <row r="17">
          <cell r="A17">
            <v>10</v>
          </cell>
          <cell r="B17" t="str">
            <v>Barnet</v>
          </cell>
          <cell r="C17" t="str">
            <v>E5031</v>
          </cell>
          <cell r="D17">
            <v>417570</v>
          </cell>
          <cell r="H17">
            <v>2533567</v>
          </cell>
          <cell r="I17">
            <v>0</v>
          </cell>
          <cell r="J17">
            <v>417570</v>
          </cell>
          <cell r="K17">
            <v>0</v>
          </cell>
          <cell r="L17">
            <v>0</v>
          </cell>
          <cell r="M17">
            <v>0</v>
          </cell>
          <cell r="N17">
            <v>0</v>
          </cell>
          <cell r="O17">
            <v>0</v>
          </cell>
          <cell r="P17">
            <v>0</v>
          </cell>
          <cell r="Q17">
            <v>0</v>
          </cell>
          <cell r="R17">
            <v>859448</v>
          </cell>
          <cell r="S17">
            <v>1059987</v>
          </cell>
          <cell r="T17">
            <v>0</v>
          </cell>
          <cell r="U17">
            <v>0</v>
          </cell>
          <cell r="V17">
            <v>0</v>
          </cell>
          <cell r="W17">
            <v>0</v>
          </cell>
          <cell r="X17">
            <v>0</v>
          </cell>
          <cell r="Y17">
            <v>0</v>
          </cell>
          <cell r="Z17">
            <v>0</v>
          </cell>
          <cell r="AA17">
            <v>984</v>
          </cell>
          <cell r="AB17">
            <v>1213</v>
          </cell>
          <cell r="AC17">
            <v>0</v>
          </cell>
          <cell r="AD17">
            <v>0</v>
          </cell>
          <cell r="AE17">
            <v>0</v>
          </cell>
          <cell r="AF17">
            <v>0</v>
          </cell>
          <cell r="AG17">
            <v>0</v>
          </cell>
          <cell r="AH17">
            <v>0</v>
          </cell>
          <cell r="AI17">
            <v>0</v>
          </cell>
          <cell r="AM17">
            <v>0</v>
          </cell>
          <cell r="AN17">
            <v>0</v>
          </cell>
          <cell r="AO17">
            <v>0</v>
          </cell>
          <cell r="AP17">
            <v>523185</v>
          </cell>
          <cell r="AQ17">
            <v>645261</v>
          </cell>
          <cell r="AR17">
            <v>0</v>
          </cell>
          <cell r="AS17">
            <v>959809</v>
          </cell>
          <cell r="AT17">
            <v>575886</v>
          </cell>
          <cell r="AU17">
            <v>383923</v>
          </cell>
          <cell r="AV17">
            <v>0</v>
          </cell>
          <cell r="AW17">
            <v>1919618</v>
          </cell>
          <cell r="AX17">
            <v>-5096006</v>
          </cell>
          <cell r="AY17">
            <v>-3057603</v>
          </cell>
          <cell r="AZ17">
            <v>-2038402</v>
          </cell>
          <cell r="BA17">
            <v>0</v>
          </cell>
          <cell r="BB17">
            <v>-10192011</v>
          </cell>
          <cell r="BC17">
            <v>107828338</v>
          </cell>
          <cell r="BD17">
            <v>-4044025</v>
          </cell>
          <cell r="BE17">
            <v>2811567</v>
          </cell>
          <cell r="BF17">
            <v>0</v>
          </cell>
          <cell r="BG17">
            <v>-11645160</v>
          </cell>
          <cell r="BH17">
            <v>-210171</v>
          </cell>
          <cell r="BI17">
            <v>0</v>
          </cell>
          <cell r="BJ17">
            <v>-48034</v>
          </cell>
          <cell r="BK17">
            <v>-3331118</v>
          </cell>
          <cell r="BL17">
            <v>-927893</v>
          </cell>
          <cell r="BM17">
            <v>-78628</v>
          </cell>
          <cell r="BN17">
            <v>-5188</v>
          </cell>
          <cell r="BO17">
            <v>0</v>
          </cell>
          <cell r="BP17">
            <v>0</v>
          </cell>
          <cell r="BQ17">
            <v>0</v>
          </cell>
          <cell r="BR17">
            <v>0</v>
          </cell>
          <cell r="BS17">
            <v>0</v>
          </cell>
          <cell r="BT17">
            <v>110181841</v>
          </cell>
          <cell r="BU17">
            <v>-2431882</v>
          </cell>
          <cell r="BV17">
            <v>10470076</v>
          </cell>
          <cell r="BW17">
            <v>-4847863</v>
          </cell>
          <cell r="BX17">
            <v>-795899</v>
          </cell>
          <cell r="BY17">
            <v>-516281</v>
          </cell>
          <cell r="BZ17">
            <v>116097173</v>
          </cell>
          <cell r="CA17">
            <v>-397949</v>
          </cell>
          <cell r="CB17">
            <v>-238770</v>
          </cell>
          <cell r="CC17">
            <v>-159180</v>
          </cell>
          <cell r="CD17">
            <v>0</v>
          </cell>
          <cell r="CE17">
            <v>-258141</v>
          </cell>
          <cell r="CF17">
            <v>-154884</v>
          </cell>
          <cell r="CG17">
            <v>-103256</v>
          </cell>
          <cell r="CH17">
            <v>0</v>
          </cell>
        </row>
        <row r="18">
          <cell r="A18">
            <v>11</v>
          </cell>
          <cell r="B18" t="str">
            <v>Barnsley</v>
          </cell>
          <cell r="C18" t="str">
            <v>E4401</v>
          </cell>
          <cell r="D18">
            <v>266729</v>
          </cell>
          <cell r="H18">
            <v>-3059596</v>
          </cell>
          <cell r="I18">
            <v>-5988</v>
          </cell>
          <cell r="J18">
            <v>266729</v>
          </cell>
          <cell r="K18">
            <v>242344</v>
          </cell>
          <cell r="L18">
            <v>48371</v>
          </cell>
          <cell r="M18">
            <v>0</v>
          </cell>
          <cell r="N18">
            <v>252508</v>
          </cell>
          <cell r="O18">
            <v>252508</v>
          </cell>
          <cell r="P18">
            <v>0</v>
          </cell>
          <cell r="Q18">
            <v>0</v>
          </cell>
          <cell r="R18">
            <v>1557861</v>
          </cell>
          <cell r="S18">
            <v>0</v>
          </cell>
          <cell r="T18">
            <v>31793</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M18">
            <v>0</v>
          </cell>
          <cell r="AN18">
            <v>0</v>
          </cell>
          <cell r="AO18">
            <v>0</v>
          </cell>
          <cell r="AP18">
            <v>336589</v>
          </cell>
          <cell r="AQ18">
            <v>0</v>
          </cell>
          <cell r="AR18">
            <v>6703</v>
          </cell>
          <cell r="AS18">
            <v>-772422</v>
          </cell>
          <cell r="AT18">
            <v>-756973</v>
          </cell>
          <cell r="AU18">
            <v>0</v>
          </cell>
          <cell r="AV18">
            <v>-15448</v>
          </cell>
          <cell r="AW18">
            <v>-1544843</v>
          </cell>
          <cell r="AX18">
            <v>-2978667</v>
          </cell>
          <cell r="AY18">
            <v>-2919095</v>
          </cell>
          <cell r="AZ18">
            <v>0</v>
          </cell>
          <cell r="BA18">
            <v>-59574</v>
          </cell>
          <cell r="BB18">
            <v>-5957336</v>
          </cell>
          <cell r="BC18">
            <v>51897033</v>
          </cell>
          <cell r="BD18">
            <v>-5239293</v>
          </cell>
          <cell r="BE18">
            <v>1490305</v>
          </cell>
          <cell r="BF18">
            <v>0</v>
          </cell>
          <cell r="BG18">
            <v>-4410511</v>
          </cell>
          <cell r="BH18">
            <v>0</v>
          </cell>
          <cell r="BI18">
            <v>-6646</v>
          </cell>
          <cell r="BJ18">
            <v>0</v>
          </cell>
          <cell r="BK18">
            <v>-2207970</v>
          </cell>
          <cell r="BL18">
            <v>-57494</v>
          </cell>
          <cell r="BM18">
            <v>-38875</v>
          </cell>
          <cell r="BN18">
            <v>0</v>
          </cell>
          <cell r="BO18">
            <v>-932</v>
          </cell>
          <cell r="BP18">
            <v>0</v>
          </cell>
          <cell r="BQ18">
            <v>-306688</v>
          </cell>
          <cell r="BR18">
            <v>-306688</v>
          </cell>
          <cell r="BS18">
            <v>0</v>
          </cell>
          <cell r="BT18">
            <v>56106809</v>
          </cell>
          <cell r="BU18">
            <v>-906978</v>
          </cell>
          <cell r="BV18">
            <v>2773995</v>
          </cell>
          <cell r="BW18">
            <v>-1918203</v>
          </cell>
          <cell r="BX18">
            <v>455819</v>
          </cell>
          <cell r="BY18">
            <v>243690</v>
          </cell>
          <cell r="BZ18">
            <v>44620441</v>
          </cell>
          <cell r="CA18">
            <v>227910</v>
          </cell>
          <cell r="CB18">
            <v>223351</v>
          </cell>
          <cell r="CC18">
            <v>0</v>
          </cell>
          <cell r="CD18">
            <v>4558</v>
          </cell>
          <cell r="CE18">
            <v>121845</v>
          </cell>
          <cell r="CF18">
            <v>119408</v>
          </cell>
          <cell r="CG18">
            <v>0</v>
          </cell>
          <cell r="CH18">
            <v>2437</v>
          </cell>
        </row>
        <row r="19">
          <cell r="A19">
            <v>12</v>
          </cell>
          <cell r="B19" t="str">
            <v>Barrow-in-Furness</v>
          </cell>
          <cell r="C19" t="str">
            <v>E0932</v>
          </cell>
          <cell r="D19">
            <v>92724</v>
          </cell>
          <cell r="H19">
            <v>-2944194</v>
          </cell>
          <cell r="I19">
            <v>0</v>
          </cell>
          <cell r="J19">
            <v>92724</v>
          </cell>
          <cell r="K19">
            <v>0</v>
          </cell>
          <cell r="L19">
            <v>135658</v>
          </cell>
          <cell r="M19">
            <v>0</v>
          </cell>
          <cell r="N19">
            <v>0</v>
          </cell>
          <cell r="O19">
            <v>0</v>
          </cell>
          <cell r="P19">
            <v>0</v>
          </cell>
          <cell r="Q19">
            <v>0</v>
          </cell>
          <cell r="R19">
            <v>361435</v>
          </cell>
          <cell r="S19">
            <v>90359</v>
          </cell>
          <cell r="T19">
            <v>0</v>
          </cell>
          <cell r="U19">
            <v>1125</v>
          </cell>
          <cell r="V19">
            <v>281</v>
          </cell>
          <cell r="W19">
            <v>0</v>
          </cell>
          <cell r="X19">
            <v>0</v>
          </cell>
          <cell r="Y19">
            <v>0</v>
          </cell>
          <cell r="Z19">
            <v>0</v>
          </cell>
          <cell r="AA19">
            <v>0</v>
          </cell>
          <cell r="AB19">
            <v>0</v>
          </cell>
          <cell r="AC19">
            <v>0</v>
          </cell>
          <cell r="AD19">
            <v>0</v>
          </cell>
          <cell r="AE19">
            <v>0</v>
          </cell>
          <cell r="AF19">
            <v>0</v>
          </cell>
          <cell r="AG19">
            <v>0</v>
          </cell>
          <cell r="AH19">
            <v>0</v>
          </cell>
          <cell r="AI19">
            <v>0</v>
          </cell>
          <cell r="AM19">
            <v>0</v>
          </cell>
          <cell r="AN19">
            <v>0</v>
          </cell>
          <cell r="AO19">
            <v>0</v>
          </cell>
          <cell r="AP19">
            <v>121545</v>
          </cell>
          <cell r="AQ19">
            <v>29877</v>
          </cell>
          <cell r="AR19">
            <v>0</v>
          </cell>
          <cell r="AS19">
            <v>-621367</v>
          </cell>
          <cell r="AT19">
            <v>-497092</v>
          </cell>
          <cell r="AU19">
            <v>-124273</v>
          </cell>
          <cell r="AV19">
            <v>0</v>
          </cell>
          <cell r="AW19">
            <v>-1242732</v>
          </cell>
          <cell r="AX19">
            <v>-657024</v>
          </cell>
          <cell r="AY19">
            <v>-525619</v>
          </cell>
          <cell r="AZ19">
            <v>-131406</v>
          </cell>
          <cell r="BA19">
            <v>0</v>
          </cell>
          <cell r="BB19">
            <v>-1314049</v>
          </cell>
          <cell r="BC19">
            <v>22513473</v>
          </cell>
          <cell r="BD19">
            <v>-1434605</v>
          </cell>
          <cell r="BE19">
            <v>640096</v>
          </cell>
          <cell r="BF19">
            <v>0</v>
          </cell>
          <cell r="BG19">
            <v>-1720091</v>
          </cell>
          <cell r="BH19">
            <v>-103806</v>
          </cell>
          <cell r="BI19">
            <v>0</v>
          </cell>
          <cell r="BJ19">
            <v>-693734</v>
          </cell>
          <cell r="BK19">
            <v>-580844</v>
          </cell>
          <cell r="BL19">
            <v>0</v>
          </cell>
          <cell r="BM19">
            <v>0</v>
          </cell>
          <cell r="BN19">
            <v>0</v>
          </cell>
          <cell r="BO19">
            <v>0</v>
          </cell>
          <cell r="BP19">
            <v>0</v>
          </cell>
          <cell r="BQ19">
            <v>0</v>
          </cell>
          <cell r="BR19">
            <v>0</v>
          </cell>
          <cell r="BS19">
            <v>0</v>
          </cell>
          <cell r="BT19">
            <v>23500850</v>
          </cell>
          <cell r="BU19">
            <v>-93265</v>
          </cell>
          <cell r="BV19">
            <v>1459430</v>
          </cell>
          <cell r="BW19">
            <v>-1123072</v>
          </cell>
          <cell r="BX19">
            <v>-2015048</v>
          </cell>
          <cell r="BY19">
            <v>-1202806</v>
          </cell>
          <cell r="BZ19">
            <v>19889491</v>
          </cell>
          <cell r="CA19">
            <v>-1007523</v>
          </cell>
          <cell r="CB19">
            <v>-806020</v>
          </cell>
          <cell r="CC19">
            <v>-201505</v>
          </cell>
          <cell r="CD19">
            <v>0</v>
          </cell>
          <cell r="CE19">
            <v>-601403</v>
          </cell>
          <cell r="CF19">
            <v>-481122</v>
          </cell>
          <cell r="CG19">
            <v>-120281</v>
          </cell>
          <cell r="CH19">
            <v>0</v>
          </cell>
        </row>
        <row r="20">
          <cell r="A20">
            <v>13</v>
          </cell>
          <cell r="B20" t="str">
            <v>Basildon</v>
          </cell>
          <cell r="C20" t="str">
            <v>E1531</v>
          </cell>
          <cell r="D20">
            <v>229078</v>
          </cell>
          <cell r="H20">
            <v>-131303</v>
          </cell>
          <cell r="I20">
            <v>0</v>
          </cell>
          <cell r="J20">
            <v>237078</v>
          </cell>
          <cell r="K20">
            <v>0</v>
          </cell>
          <cell r="L20">
            <v>38</v>
          </cell>
          <cell r="M20">
            <v>0</v>
          </cell>
          <cell r="N20">
            <v>0</v>
          </cell>
          <cell r="O20">
            <v>0</v>
          </cell>
          <cell r="P20">
            <v>0</v>
          </cell>
          <cell r="Q20">
            <v>0</v>
          </cell>
          <cell r="R20">
            <v>745932</v>
          </cell>
          <cell r="S20">
            <v>167835</v>
          </cell>
          <cell r="T20">
            <v>18648</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M20">
            <v>0</v>
          </cell>
          <cell r="AN20">
            <v>0</v>
          </cell>
          <cell r="AO20">
            <v>0</v>
          </cell>
          <cell r="AP20">
            <v>461178</v>
          </cell>
          <cell r="AQ20">
            <v>103765</v>
          </cell>
          <cell r="AR20">
            <v>11529</v>
          </cell>
          <cell r="AS20">
            <v>-616500</v>
          </cell>
          <cell r="AT20">
            <v>-493200</v>
          </cell>
          <cell r="AU20">
            <v>-110970</v>
          </cell>
          <cell r="AV20">
            <v>-12330</v>
          </cell>
          <cell r="AW20">
            <v>-1233000</v>
          </cell>
          <cell r="AX20">
            <v>-3900000</v>
          </cell>
          <cell r="AY20">
            <v>-3120000</v>
          </cell>
          <cell r="AZ20">
            <v>-702000</v>
          </cell>
          <cell r="BA20">
            <v>-78000</v>
          </cell>
          <cell r="BB20">
            <v>-7800000</v>
          </cell>
          <cell r="BC20">
            <v>91872476</v>
          </cell>
          <cell r="BD20">
            <v>-2600882</v>
          </cell>
          <cell r="BE20">
            <v>2186662</v>
          </cell>
          <cell r="BF20">
            <v>0</v>
          </cell>
          <cell r="BG20">
            <v>-3671985</v>
          </cell>
          <cell r="BH20">
            <v>-40850</v>
          </cell>
          <cell r="BI20">
            <v>-3504</v>
          </cell>
          <cell r="BJ20">
            <v>-1656</v>
          </cell>
          <cell r="BK20">
            <v>-1744695</v>
          </cell>
          <cell r="BL20">
            <v>-9390</v>
          </cell>
          <cell r="BM20">
            <v>-41855</v>
          </cell>
          <cell r="BN20">
            <v>0</v>
          </cell>
          <cell r="BO20">
            <v>0</v>
          </cell>
          <cell r="BP20">
            <v>0</v>
          </cell>
          <cell r="BQ20">
            <v>0</v>
          </cell>
          <cell r="BR20">
            <v>0</v>
          </cell>
          <cell r="BS20">
            <v>0</v>
          </cell>
          <cell r="BT20">
            <v>83750263</v>
          </cell>
          <cell r="BU20">
            <v>-111997</v>
          </cell>
          <cell r="BV20">
            <v>3097956</v>
          </cell>
          <cell r="BW20">
            <v>-1103355</v>
          </cell>
          <cell r="BX20">
            <v>5499644</v>
          </cell>
          <cell r="BY20">
            <v>-3503226</v>
          </cell>
          <cell r="BZ20">
            <v>76753112</v>
          </cell>
          <cell r="CA20">
            <v>2749821</v>
          </cell>
          <cell r="CB20">
            <v>2199858</v>
          </cell>
          <cell r="CC20">
            <v>494969</v>
          </cell>
          <cell r="CD20">
            <v>54996</v>
          </cell>
          <cell r="CE20">
            <v>-1751614</v>
          </cell>
          <cell r="CF20">
            <v>-1401290</v>
          </cell>
          <cell r="CG20">
            <v>-315290</v>
          </cell>
          <cell r="CH20">
            <v>-35032</v>
          </cell>
        </row>
        <row r="21">
          <cell r="A21">
            <v>14</v>
          </cell>
          <cell r="B21" t="str">
            <v>Basingstoke &amp; Deane</v>
          </cell>
          <cell r="C21" t="str">
            <v>E1731</v>
          </cell>
          <cell r="D21">
            <v>198939</v>
          </cell>
          <cell r="H21">
            <v>-3287241</v>
          </cell>
          <cell r="I21">
            <v>25826</v>
          </cell>
          <cell r="J21">
            <v>198939</v>
          </cell>
          <cell r="K21">
            <v>0</v>
          </cell>
          <cell r="L21">
            <v>97014</v>
          </cell>
          <cell r="M21">
            <v>206122</v>
          </cell>
          <cell r="N21">
            <v>155000</v>
          </cell>
          <cell r="O21">
            <v>155000</v>
          </cell>
          <cell r="P21">
            <v>0</v>
          </cell>
          <cell r="Q21">
            <v>0</v>
          </cell>
          <cell r="R21">
            <v>441620</v>
          </cell>
          <cell r="S21">
            <v>95803</v>
          </cell>
          <cell r="T21">
            <v>10645</v>
          </cell>
          <cell r="U21">
            <v>13572</v>
          </cell>
          <cell r="V21">
            <v>2158</v>
          </cell>
          <cell r="W21">
            <v>240</v>
          </cell>
          <cell r="X21">
            <v>0</v>
          </cell>
          <cell r="Y21">
            <v>0</v>
          </cell>
          <cell r="Z21">
            <v>0</v>
          </cell>
          <cell r="AA21">
            <v>765</v>
          </cell>
          <cell r="AB21">
            <v>172</v>
          </cell>
          <cell r="AC21">
            <v>19</v>
          </cell>
          <cell r="AD21">
            <v>0</v>
          </cell>
          <cell r="AE21">
            <v>0</v>
          </cell>
          <cell r="AF21">
            <v>0</v>
          </cell>
          <cell r="AG21">
            <v>0</v>
          </cell>
          <cell r="AH21">
            <v>0</v>
          </cell>
          <cell r="AI21">
            <v>0</v>
          </cell>
          <cell r="AM21">
            <v>0</v>
          </cell>
          <cell r="AN21">
            <v>0</v>
          </cell>
          <cell r="AO21">
            <v>0</v>
          </cell>
          <cell r="AP21">
            <v>422981</v>
          </cell>
          <cell r="AQ21">
            <v>97415</v>
          </cell>
          <cell r="AR21">
            <v>10480</v>
          </cell>
          <cell r="AS21">
            <v>-217501</v>
          </cell>
          <cell r="AT21">
            <v>-174000</v>
          </cell>
          <cell r="AU21">
            <v>-39150</v>
          </cell>
          <cell r="AV21">
            <v>-4350</v>
          </cell>
          <cell r="AW21">
            <v>-435001</v>
          </cell>
          <cell r="AX21">
            <v>-3450000</v>
          </cell>
          <cell r="AY21">
            <v>-2760000</v>
          </cell>
          <cell r="AZ21">
            <v>-621000</v>
          </cell>
          <cell r="BA21">
            <v>-69000</v>
          </cell>
          <cell r="BB21">
            <v>-6900000</v>
          </cell>
          <cell r="BC21">
            <v>73612621</v>
          </cell>
          <cell r="BD21">
            <v>-1770308</v>
          </cell>
          <cell r="BE21">
            <v>2092972</v>
          </cell>
          <cell r="BF21">
            <v>0</v>
          </cell>
          <cell r="BG21">
            <v>-3348992</v>
          </cell>
          <cell r="BH21">
            <v>-11311</v>
          </cell>
          <cell r="BI21">
            <v>-35627</v>
          </cell>
          <cell r="BJ21">
            <v>-867917</v>
          </cell>
          <cell r="BK21">
            <v>-3748529</v>
          </cell>
          <cell r="BL21">
            <v>-458803</v>
          </cell>
          <cell r="BM21">
            <v>-171032</v>
          </cell>
          <cell r="BN21">
            <v>-2827</v>
          </cell>
          <cell r="BO21">
            <v>-28982</v>
          </cell>
          <cell r="BP21">
            <v>-66538</v>
          </cell>
          <cell r="BQ21">
            <v>0</v>
          </cell>
          <cell r="BR21">
            <v>0</v>
          </cell>
          <cell r="BS21">
            <v>0</v>
          </cell>
          <cell r="BT21">
            <v>75069821</v>
          </cell>
          <cell r="BU21">
            <v>-254487</v>
          </cell>
          <cell r="BV21">
            <v>1799878</v>
          </cell>
          <cell r="BW21">
            <v>-1995400</v>
          </cell>
          <cell r="BX21">
            <v>-3158537</v>
          </cell>
          <cell r="BY21">
            <v>-2085694</v>
          </cell>
          <cell r="BZ21">
            <v>69766145</v>
          </cell>
          <cell r="CA21">
            <v>-1579267</v>
          </cell>
          <cell r="CB21">
            <v>-1263416</v>
          </cell>
          <cell r="CC21">
            <v>-284268</v>
          </cell>
          <cell r="CD21">
            <v>-31586</v>
          </cell>
          <cell r="CE21">
            <v>-1042847</v>
          </cell>
          <cell r="CF21">
            <v>-834278</v>
          </cell>
          <cell r="CG21">
            <v>-187712</v>
          </cell>
          <cell r="CH21">
            <v>-20857</v>
          </cell>
        </row>
        <row r="22">
          <cell r="A22">
            <v>15</v>
          </cell>
          <cell r="B22" t="str">
            <v>Bassetlaw</v>
          </cell>
          <cell r="C22" t="str">
            <v>E3032</v>
          </cell>
          <cell r="D22">
            <v>167487</v>
          </cell>
          <cell r="H22">
            <v>-6930775</v>
          </cell>
          <cell r="I22">
            <v>0</v>
          </cell>
          <cell r="J22">
            <v>167487</v>
          </cell>
          <cell r="K22">
            <v>0</v>
          </cell>
          <cell r="L22">
            <v>482834</v>
          </cell>
          <cell r="M22">
            <v>0</v>
          </cell>
          <cell r="N22">
            <v>0</v>
          </cell>
          <cell r="O22">
            <v>0</v>
          </cell>
          <cell r="P22">
            <v>0</v>
          </cell>
          <cell r="Q22">
            <v>0</v>
          </cell>
          <cell r="R22">
            <v>635662</v>
          </cell>
          <cell r="S22">
            <v>143024</v>
          </cell>
          <cell r="T22">
            <v>15892</v>
          </cell>
          <cell r="U22">
            <v>6460</v>
          </cell>
          <cell r="V22">
            <v>1453</v>
          </cell>
          <cell r="W22">
            <v>161</v>
          </cell>
          <cell r="X22">
            <v>2273</v>
          </cell>
          <cell r="Y22">
            <v>511</v>
          </cell>
          <cell r="Z22">
            <v>57</v>
          </cell>
          <cell r="AA22">
            <v>0</v>
          </cell>
          <cell r="AB22">
            <v>0</v>
          </cell>
          <cell r="AC22">
            <v>0</v>
          </cell>
          <cell r="AD22">
            <v>0</v>
          </cell>
          <cell r="AE22">
            <v>0</v>
          </cell>
          <cell r="AF22">
            <v>0</v>
          </cell>
          <cell r="AG22">
            <v>0</v>
          </cell>
          <cell r="AH22">
            <v>0</v>
          </cell>
          <cell r="AI22">
            <v>0</v>
          </cell>
          <cell r="AM22">
            <v>0</v>
          </cell>
          <cell r="AN22">
            <v>0</v>
          </cell>
          <cell r="AO22">
            <v>0</v>
          </cell>
          <cell r="AP22">
            <v>260432</v>
          </cell>
          <cell r="AQ22">
            <v>56965</v>
          </cell>
          <cell r="AR22">
            <v>6329</v>
          </cell>
          <cell r="AS22">
            <v>-433577</v>
          </cell>
          <cell r="AT22">
            <v>-346861</v>
          </cell>
          <cell r="AU22">
            <v>-78043</v>
          </cell>
          <cell r="AV22">
            <v>-8671</v>
          </cell>
          <cell r="AW22">
            <v>-867152</v>
          </cell>
          <cell r="AX22">
            <v>-4428694</v>
          </cell>
          <cell r="AY22">
            <v>-3542955</v>
          </cell>
          <cell r="AZ22">
            <v>-797166</v>
          </cell>
          <cell r="BA22">
            <v>-88574</v>
          </cell>
          <cell r="BB22">
            <v>-8857389</v>
          </cell>
          <cell r="BC22">
            <v>51159497</v>
          </cell>
          <cell r="BD22">
            <v>-2684107</v>
          </cell>
          <cell r="BE22">
            <v>1392332</v>
          </cell>
          <cell r="BF22">
            <v>0</v>
          </cell>
          <cell r="BG22">
            <v>-2889856</v>
          </cell>
          <cell r="BH22">
            <v>-13300</v>
          </cell>
          <cell r="BI22">
            <v>-41304</v>
          </cell>
          <cell r="BJ22">
            <v>-533713</v>
          </cell>
          <cell r="BK22">
            <v>-1120938</v>
          </cell>
          <cell r="BL22">
            <v>-84736</v>
          </cell>
          <cell r="BM22">
            <v>-60862</v>
          </cell>
          <cell r="BN22">
            <v>-1625</v>
          </cell>
          <cell r="BO22">
            <v>-43207</v>
          </cell>
          <cell r="BP22">
            <v>-13587</v>
          </cell>
          <cell r="BQ22">
            <v>0</v>
          </cell>
          <cell r="BR22">
            <v>0</v>
          </cell>
          <cell r="BS22">
            <v>0</v>
          </cell>
          <cell r="BT22">
            <v>51131177</v>
          </cell>
          <cell r="BU22">
            <v>4009</v>
          </cell>
          <cell r="BV22">
            <v>2206792</v>
          </cell>
          <cell r="BW22">
            <v>-876882</v>
          </cell>
          <cell r="BX22">
            <v>-1860223</v>
          </cell>
          <cell r="BY22">
            <v>-3183688</v>
          </cell>
          <cell r="BZ22">
            <v>42136258</v>
          </cell>
          <cell r="CA22">
            <v>-930112</v>
          </cell>
          <cell r="CB22">
            <v>-744089</v>
          </cell>
          <cell r="CC22">
            <v>-167420</v>
          </cell>
          <cell r="CD22">
            <v>-18602</v>
          </cell>
          <cell r="CE22">
            <v>-1591844</v>
          </cell>
          <cell r="CF22">
            <v>-1273475</v>
          </cell>
          <cell r="CG22">
            <v>-286532</v>
          </cell>
          <cell r="CH22">
            <v>-31837</v>
          </cell>
        </row>
        <row r="23">
          <cell r="A23">
            <v>16</v>
          </cell>
          <cell r="B23" t="str">
            <v>Bath &amp; North East Somerset</v>
          </cell>
          <cell r="C23" t="str">
            <v>E0101</v>
          </cell>
          <cell r="D23">
            <v>259447</v>
          </cell>
          <cell r="H23">
            <v>-616863</v>
          </cell>
          <cell r="I23">
            <v>-22611</v>
          </cell>
          <cell r="J23">
            <v>259447</v>
          </cell>
          <cell r="K23">
            <v>534106</v>
          </cell>
          <cell r="L23">
            <v>54227</v>
          </cell>
          <cell r="M23">
            <v>0</v>
          </cell>
          <cell r="N23">
            <v>0</v>
          </cell>
          <cell r="O23">
            <v>0</v>
          </cell>
          <cell r="P23">
            <v>0</v>
          </cell>
          <cell r="Q23">
            <v>0</v>
          </cell>
          <cell r="R23">
            <v>2658051</v>
          </cell>
          <cell r="S23">
            <v>137597</v>
          </cell>
          <cell r="T23">
            <v>27519</v>
          </cell>
          <cell r="U23">
            <v>10424</v>
          </cell>
          <cell r="V23">
            <v>555</v>
          </cell>
          <cell r="W23">
            <v>111</v>
          </cell>
          <cell r="X23">
            <v>0</v>
          </cell>
          <cell r="Y23">
            <v>0</v>
          </cell>
          <cell r="Z23">
            <v>0</v>
          </cell>
          <cell r="AA23">
            <v>8393</v>
          </cell>
          <cell r="AB23">
            <v>446</v>
          </cell>
          <cell r="AC23">
            <v>89</v>
          </cell>
          <cell r="AD23">
            <v>0</v>
          </cell>
          <cell r="AE23">
            <v>0</v>
          </cell>
          <cell r="AF23">
            <v>0</v>
          </cell>
          <cell r="AG23">
            <v>0</v>
          </cell>
          <cell r="AH23">
            <v>0</v>
          </cell>
          <cell r="AI23">
            <v>0</v>
          </cell>
          <cell r="AM23">
            <v>0</v>
          </cell>
          <cell r="AN23">
            <v>0</v>
          </cell>
          <cell r="AO23">
            <v>0</v>
          </cell>
          <cell r="AP23">
            <v>916397</v>
          </cell>
          <cell r="AQ23">
            <v>48274</v>
          </cell>
          <cell r="AR23">
            <v>9655</v>
          </cell>
          <cell r="AS23">
            <v>-232757</v>
          </cell>
          <cell r="AT23">
            <v>-228099</v>
          </cell>
          <cell r="AU23">
            <v>0</v>
          </cell>
          <cell r="AV23">
            <v>-4655</v>
          </cell>
          <cell r="AW23">
            <v>-465511</v>
          </cell>
          <cell r="AX23">
            <v>-2970160</v>
          </cell>
          <cell r="AY23">
            <v>-2910759</v>
          </cell>
          <cell r="AZ23">
            <v>0</v>
          </cell>
          <cell r="BA23">
            <v>-59405</v>
          </cell>
          <cell r="BB23">
            <v>-5940324</v>
          </cell>
          <cell r="BC23">
            <v>62618001</v>
          </cell>
          <cell r="BD23">
            <v>-4137817</v>
          </cell>
          <cell r="BE23">
            <v>1860457</v>
          </cell>
          <cell r="BF23">
            <v>0</v>
          </cell>
          <cell r="BG23">
            <v>-7569114</v>
          </cell>
          <cell r="BH23">
            <v>-158983</v>
          </cell>
          <cell r="BI23">
            <v>-25287</v>
          </cell>
          <cell r="BJ23">
            <v>-852</v>
          </cell>
          <cell r="BK23">
            <v>-3059203</v>
          </cell>
          <cell r="BL23">
            <v>-86069</v>
          </cell>
          <cell r="BM23">
            <v>-44483</v>
          </cell>
          <cell r="BN23">
            <v>-21426</v>
          </cell>
          <cell r="BO23">
            <v>-13205</v>
          </cell>
          <cell r="BP23">
            <v>-37077</v>
          </cell>
          <cell r="BQ23">
            <v>0</v>
          </cell>
          <cell r="BR23">
            <v>0</v>
          </cell>
          <cell r="BS23">
            <v>0</v>
          </cell>
          <cell r="BT23">
            <v>62931587</v>
          </cell>
          <cell r="BU23">
            <v>-734050</v>
          </cell>
          <cell r="BV23">
            <v>1895114</v>
          </cell>
          <cell r="BW23">
            <v>-2086122</v>
          </cell>
          <cell r="BX23">
            <v>-5998126</v>
          </cell>
          <cell r="BY23">
            <v>-4355102</v>
          </cell>
          <cell r="BZ23">
            <v>64273969</v>
          </cell>
          <cell r="CA23">
            <v>-2999063</v>
          </cell>
          <cell r="CB23">
            <v>-2939082</v>
          </cell>
          <cell r="CC23">
            <v>0</v>
          </cell>
          <cell r="CD23">
            <v>-59981</v>
          </cell>
          <cell r="CE23">
            <v>-2177551</v>
          </cell>
          <cell r="CF23">
            <v>-2134000</v>
          </cell>
          <cell r="CG23">
            <v>0</v>
          </cell>
          <cell r="CH23">
            <v>-43551</v>
          </cell>
        </row>
        <row r="24">
          <cell r="A24">
            <v>17</v>
          </cell>
          <cell r="B24" t="str">
            <v>Bedford UA</v>
          </cell>
          <cell r="C24" t="str">
            <v>E0202</v>
          </cell>
          <cell r="D24">
            <v>226153</v>
          </cell>
          <cell r="H24">
            <v>-4672669</v>
          </cell>
          <cell r="I24">
            <v>0</v>
          </cell>
          <cell r="J24">
            <v>226153</v>
          </cell>
          <cell r="K24">
            <v>0</v>
          </cell>
          <cell r="L24">
            <v>449000</v>
          </cell>
          <cell r="M24">
            <v>0</v>
          </cell>
          <cell r="N24">
            <v>0</v>
          </cell>
          <cell r="O24">
            <v>0</v>
          </cell>
          <cell r="P24">
            <v>0</v>
          </cell>
          <cell r="Q24">
            <v>0</v>
          </cell>
          <cell r="R24">
            <v>1143838</v>
          </cell>
          <cell r="S24">
            <v>0</v>
          </cell>
          <cell r="T24">
            <v>23344</v>
          </cell>
          <cell r="U24">
            <v>4728</v>
          </cell>
          <cell r="V24">
            <v>0</v>
          </cell>
          <cell r="W24">
            <v>96</v>
          </cell>
          <cell r="X24">
            <v>1276</v>
          </cell>
          <cell r="Y24">
            <v>0</v>
          </cell>
          <cell r="Z24">
            <v>26</v>
          </cell>
          <cell r="AA24">
            <v>5389</v>
          </cell>
          <cell r="AB24">
            <v>0</v>
          </cell>
          <cell r="AC24">
            <v>110</v>
          </cell>
          <cell r="AD24">
            <v>0</v>
          </cell>
          <cell r="AE24">
            <v>0</v>
          </cell>
          <cell r="AF24">
            <v>0</v>
          </cell>
          <cell r="AG24">
            <v>0</v>
          </cell>
          <cell r="AH24">
            <v>0</v>
          </cell>
          <cell r="AI24">
            <v>0</v>
          </cell>
          <cell r="AM24">
            <v>0</v>
          </cell>
          <cell r="AN24">
            <v>0</v>
          </cell>
          <cell r="AO24">
            <v>0</v>
          </cell>
          <cell r="AP24">
            <v>443296</v>
          </cell>
          <cell r="AQ24">
            <v>0</v>
          </cell>
          <cell r="AR24">
            <v>8909</v>
          </cell>
          <cell r="AS24">
            <v>-1209808</v>
          </cell>
          <cell r="AT24">
            <v>-1185611</v>
          </cell>
          <cell r="AU24">
            <v>0</v>
          </cell>
          <cell r="AV24">
            <v>-24196</v>
          </cell>
          <cell r="AW24">
            <v>-2419615</v>
          </cell>
          <cell r="AX24">
            <v>-3224608</v>
          </cell>
          <cell r="AY24">
            <v>-3160117</v>
          </cell>
          <cell r="AZ24">
            <v>0</v>
          </cell>
          <cell r="BA24">
            <v>-64492</v>
          </cell>
          <cell r="BB24">
            <v>-6449217</v>
          </cell>
          <cell r="BC24">
            <v>65896682</v>
          </cell>
          <cell r="BD24">
            <v>-3343638</v>
          </cell>
          <cell r="BE24">
            <v>1856716</v>
          </cell>
          <cell r="BF24">
            <v>0</v>
          </cell>
          <cell r="BG24">
            <v>-5381995</v>
          </cell>
          <cell r="BH24">
            <v>-149756</v>
          </cell>
          <cell r="BI24">
            <v>-42601</v>
          </cell>
          <cell r="BJ24">
            <v>0</v>
          </cell>
          <cell r="BK24">
            <v>-1855343</v>
          </cell>
          <cell r="BL24">
            <v>-121139</v>
          </cell>
          <cell r="BM24">
            <v>-30666</v>
          </cell>
          <cell r="BN24">
            <v>-1454</v>
          </cell>
          <cell r="BO24">
            <v>-35658</v>
          </cell>
          <cell r="BP24">
            <v>-26943</v>
          </cell>
          <cell r="BQ24">
            <v>0</v>
          </cell>
          <cell r="BR24">
            <v>0</v>
          </cell>
          <cell r="BS24">
            <v>0</v>
          </cell>
          <cell r="BT24">
            <v>69036366</v>
          </cell>
          <cell r="BU24">
            <v>-254880</v>
          </cell>
          <cell r="BV24">
            <v>3207041</v>
          </cell>
          <cell r="BW24">
            <v>-898353</v>
          </cell>
          <cell r="BX24">
            <v>-434903</v>
          </cell>
          <cell r="BY24">
            <v>0</v>
          </cell>
          <cell r="BZ24">
            <v>59309876</v>
          </cell>
          <cell r="CA24">
            <v>-217451</v>
          </cell>
          <cell r="CB24">
            <v>-213103</v>
          </cell>
          <cell r="CC24">
            <v>0</v>
          </cell>
          <cell r="CD24">
            <v>-4349</v>
          </cell>
          <cell r="CE24">
            <v>0</v>
          </cell>
          <cell r="CF24">
            <v>0</v>
          </cell>
          <cell r="CG24">
            <v>0</v>
          </cell>
          <cell r="CH24">
            <v>0</v>
          </cell>
        </row>
        <row r="25">
          <cell r="A25">
            <v>18</v>
          </cell>
          <cell r="B25" t="str">
            <v>Bexley</v>
          </cell>
          <cell r="C25" t="str">
            <v>E5032</v>
          </cell>
          <cell r="D25">
            <v>247577</v>
          </cell>
          <cell r="H25">
            <v>-639747</v>
          </cell>
          <cell r="I25">
            <v>0</v>
          </cell>
          <cell r="J25">
            <v>247577</v>
          </cell>
          <cell r="K25">
            <v>0</v>
          </cell>
          <cell r="L25">
            <v>0</v>
          </cell>
          <cell r="M25">
            <v>0</v>
          </cell>
          <cell r="N25">
            <v>0</v>
          </cell>
          <cell r="O25">
            <v>0</v>
          </cell>
          <cell r="P25">
            <v>0</v>
          </cell>
          <cell r="Q25">
            <v>0</v>
          </cell>
          <cell r="R25">
            <v>845889</v>
          </cell>
          <cell r="S25">
            <v>1043264</v>
          </cell>
          <cell r="T25">
            <v>0</v>
          </cell>
          <cell r="U25">
            <v>0</v>
          </cell>
          <cell r="V25">
            <v>0</v>
          </cell>
          <cell r="W25">
            <v>0</v>
          </cell>
          <cell r="X25">
            <v>0</v>
          </cell>
          <cell r="Y25">
            <v>0</v>
          </cell>
          <cell r="Z25">
            <v>0</v>
          </cell>
          <cell r="AA25">
            <v>590</v>
          </cell>
          <cell r="AB25">
            <v>728</v>
          </cell>
          <cell r="AC25">
            <v>0</v>
          </cell>
          <cell r="AD25">
            <v>0</v>
          </cell>
          <cell r="AE25">
            <v>0</v>
          </cell>
          <cell r="AF25">
            <v>0</v>
          </cell>
          <cell r="AG25">
            <v>0</v>
          </cell>
          <cell r="AH25">
            <v>0</v>
          </cell>
          <cell r="AI25">
            <v>0</v>
          </cell>
          <cell r="AM25">
            <v>0</v>
          </cell>
          <cell r="AN25">
            <v>0</v>
          </cell>
          <cell r="AO25">
            <v>0</v>
          </cell>
          <cell r="AP25">
            <v>328829</v>
          </cell>
          <cell r="AQ25">
            <v>405556</v>
          </cell>
          <cell r="AR25">
            <v>0</v>
          </cell>
          <cell r="AS25">
            <v>-823500</v>
          </cell>
          <cell r="AT25">
            <v>-494100</v>
          </cell>
          <cell r="AU25">
            <v>-329400</v>
          </cell>
          <cell r="AV25">
            <v>0</v>
          </cell>
          <cell r="AW25">
            <v>-1647000</v>
          </cell>
          <cell r="AX25">
            <v>-4464448</v>
          </cell>
          <cell r="AY25">
            <v>-2678671</v>
          </cell>
          <cell r="AZ25">
            <v>-1785780</v>
          </cell>
          <cell r="BA25">
            <v>0</v>
          </cell>
          <cell r="BB25">
            <v>-8928899</v>
          </cell>
          <cell r="BC25">
            <v>71725761</v>
          </cell>
          <cell r="BD25">
            <v>-4065796</v>
          </cell>
          <cell r="BE25">
            <v>1885533</v>
          </cell>
          <cell r="BF25">
            <v>0</v>
          </cell>
          <cell r="BG25">
            <v>-7019576</v>
          </cell>
          <cell r="BH25">
            <v>-102521</v>
          </cell>
          <cell r="BI25">
            <v>0</v>
          </cell>
          <cell r="BJ25">
            <v>-64329</v>
          </cell>
          <cell r="BK25">
            <v>-1365148</v>
          </cell>
          <cell r="BL25">
            <v>0</v>
          </cell>
          <cell r="BM25">
            <v>0</v>
          </cell>
          <cell r="BN25">
            <v>0</v>
          </cell>
          <cell r="BO25">
            <v>0</v>
          </cell>
          <cell r="BP25">
            <v>0</v>
          </cell>
          <cell r="BQ25">
            <v>0</v>
          </cell>
          <cell r="BR25">
            <v>0</v>
          </cell>
          <cell r="BS25">
            <v>0</v>
          </cell>
          <cell r="BT25">
            <v>73262633</v>
          </cell>
          <cell r="BU25">
            <v>0</v>
          </cell>
          <cell r="BV25">
            <v>1767267</v>
          </cell>
          <cell r="BW25">
            <v>-2782104</v>
          </cell>
          <cell r="BX25">
            <v>-958457</v>
          </cell>
          <cell r="BY25">
            <v>473496</v>
          </cell>
          <cell r="BZ25">
            <v>72968732</v>
          </cell>
          <cell r="CA25">
            <v>-479228</v>
          </cell>
          <cell r="CB25">
            <v>-287538</v>
          </cell>
          <cell r="CC25">
            <v>-191691</v>
          </cell>
          <cell r="CD25">
            <v>0</v>
          </cell>
          <cell r="CE25">
            <v>236748</v>
          </cell>
          <cell r="CF25">
            <v>142049</v>
          </cell>
          <cell r="CG25">
            <v>94699</v>
          </cell>
          <cell r="CH25">
            <v>0</v>
          </cell>
        </row>
        <row r="26">
          <cell r="A26">
            <v>19</v>
          </cell>
          <cell r="B26" t="str">
            <v>Birmingham</v>
          </cell>
          <cell r="C26" t="str">
            <v>E4601</v>
          </cell>
          <cell r="D26">
            <v>1893141</v>
          </cell>
          <cell r="H26">
            <v>-3428934</v>
          </cell>
          <cell r="I26">
            <v>0</v>
          </cell>
          <cell r="J26">
            <v>1893141</v>
          </cell>
          <cell r="K26">
            <v>1524577</v>
          </cell>
          <cell r="L26">
            <v>0</v>
          </cell>
          <cell r="M26">
            <v>0</v>
          </cell>
          <cell r="N26">
            <v>0</v>
          </cell>
          <cell r="O26">
            <v>0</v>
          </cell>
          <cell r="P26">
            <v>0</v>
          </cell>
          <cell r="Q26">
            <v>0</v>
          </cell>
          <cell r="R26">
            <v>17280582</v>
          </cell>
          <cell r="S26">
            <v>0</v>
          </cell>
          <cell r="T26">
            <v>171536</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M26">
            <v>0</v>
          </cell>
          <cell r="AN26">
            <v>0</v>
          </cell>
          <cell r="AO26">
            <v>0</v>
          </cell>
          <cell r="AP26">
            <v>6021003</v>
          </cell>
          <cell r="AQ26">
            <v>0</v>
          </cell>
          <cell r="AR26">
            <v>60587</v>
          </cell>
          <cell r="AS26">
            <v>-26597211</v>
          </cell>
          <cell r="AT26">
            <v>-26065269</v>
          </cell>
          <cell r="AU26">
            <v>0</v>
          </cell>
          <cell r="AV26">
            <v>-531945</v>
          </cell>
          <cell r="AW26">
            <v>-53194425</v>
          </cell>
          <cell r="AX26">
            <v>-26304407</v>
          </cell>
          <cell r="AY26">
            <v>-25778318</v>
          </cell>
          <cell r="AZ26">
            <v>0</v>
          </cell>
          <cell r="BA26">
            <v>-526088</v>
          </cell>
          <cell r="BB26">
            <v>-52608813</v>
          </cell>
          <cell r="BC26">
            <v>411407320</v>
          </cell>
          <cell r="BD26">
            <v>-24872090</v>
          </cell>
          <cell r="BE26">
            <v>12117962</v>
          </cell>
          <cell r="BF26">
            <v>0</v>
          </cell>
          <cell r="BG26">
            <v>-31041926</v>
          </cell>
          <cell r="BH26">
            <v>-131345</v>
          </cell>
          <cell r="BI26">
            <v>0</v>
          </cell>
          <cell r="BJ26">
            <v>-146141</v>
          </cell>
          <cell r="BK26">
            <v>-27630306</v>
          </cell>
          <cell r="BL26">
            <v>-53459</v>
          </cell>
          <cell r="BM26">
            <v>-842913</v>
          </cell>
          <cell r="BN26">
            <v>0</v>
          </cell>
          <cell r="BO26">
            <v>0</v>
          </cell>
          <cell r="BP26">
            <v>0</v>
          </cell>
          <cell r="BQ26">
            <v>-739983</v>
          </cell>
          <cell r="BR26">
            <v>-910956</v>
          </cell>
          <cell r="BS26">
            <v>0</v>
          </cell>
          <cell r="BT26">
            <v>429422975</v>
          </cell>
          <cell r="BU26">
            <v>-10758570</v>
          </cell>
          <cell r="BV26">
            <v>95231971</v>
          </cell>
          <cell r="BW26">
            <v>-19651025</v>
          </cell>
          <cell r="BX26">
            <v>-23874625</v>
          </cell>
          <cell r="BY26">
            <v>-20227100</v>
          </cell>
          <cell r="BZ26">
            <v>403335568</v>
          </cell>
          <cell r="CA26">
            <v>-11937312</v>
          </cell>
          <cell r="CB26">
            <v>-11698567</v>
          </cell>
          <cell r="CC26">
            <v>0</v>
          </cell>
          <cell r="CD26">
            <v>-238746</v>
          </cell>
          <cell r="CE26">
            <v>-10113550</v>
          </cell>
          <cell r="CF26">
            <v>-9911279</v>
          </cell>
          <cell r="CG26">
            <v>0</v>
          </cell>
          <cell r="CH26">
            <v>-202271</v>
          </cell>
        </row>
        <row r="27">
          <cell r="A27">
            <v>20</v>
          </cell>
          <cell r="B27" t="str">
            <v>Blaby</v>
          </cell>
          <cell r="C27" t="str">
            <v>E2431</v>
          </cell>
          <cell r="D27">
            <v>101839</v>
          </cell>
          <cell r="H27">
            <v>220792</v>
          </cell>
          <cell r="I27">
            <v>0</v>
          </cell>
          <cell r="J27">
            <v>101839</v>
          </cell>
          <cell r="K27">
            <v>0</v>
          </cell>
          <cell r="L27">
            <v>0</v>
          </cell>
          <cell r="M27">
            <v>0</v>
          </cell>
          <cell r="N27">
            <v>0</v>
          </cell>
          <cell r="O27">
            <v>0</v>
          </cell>
          <cell r="P27">
            <v>0</v>
          </cell>
          <cell r="Q27">
            <v>0</v>
          </cell>
          <cell r="R27">
            <v>343560</v>
          </cell>
          <cell r="S27">
            <v>77301</v>
          </cell>
          <cell r="T27">
            <v>8589</v>
          </cell>
          <cell r="U27">
            <v>1229</v>
          </cell>
          <cell r="V27">
            <v>277</v>
          </cell>
          <cell r="W27">
            <v>31</v>
          </cell>
          <cell r="X27">
            <v>10696</v>
          </cell>
          <cell r="Y27">
            <v>2407</v>
          </cell>
          <cell r="Z27">
            <v>267</v>
          </cell>
          <cell r="AA27">
            <v>0</v>
          </cell>
          <cell r="AB27">
            <v>0</v>
          </cell>
          <cell r="AC27">
            <v>0</v>
          </cell>
          <cell r="AD27">
            <v>0</v>
          </cell>
          <cell r="AE27">
            <v>0</v>
          </cell>
          <cell r="AF27">
            <v>0</v>
          </cell>
          <cell r="AG27">
            <v>0</v>
          </cell>
          <cell r="AH27">
            <v>0</v>
          </cell>
          <cell r="AI27">
            <v>0</v>
          </cell>
          <cell r="AM27">
            <v>0</v>
          </cell>
          <cell r="AN27">
            <v>0</v>
          </cell>
          <cell r="AO27">
            <v>0</v>
          </cell>
          <cell r="AP27">
            <v>258551</v>
          </cell>
          <cell r="AQ27">
            <v>58174</v>
          </cell>
          <cell r="AR27">
            <v>6464</v>
          </cell>
          <cell r="AS27">
            <v>-104575</v>
          </cell>
          <cell r="AT27">
            <v>-83660</v>
          </cell>
          <cell r="AU27">
            <v>-18824</v>
          </cell>
          <cell r="AV27">
            <v>-2092</v>
          </cell>
          <cell r="AW27">
            <v>-209151</v>
          </cell>
          <cell r="AX27">
            <v>-2141558</v>
          </cell>
          <cell r="AY27">
            <v>-1713245</v>
          </cell>
          <cell r="AZ27">
            <v>-385480</v>
          </cell>
          <cell r="BA27">
            <v>-42832</v>
          </cell>
          <cell r="BB27">
            <v>-4283115</v>
          </cell>
          <cell r="BC27">
            <v>43552889</v>
          </cell>
          <cell r="BD27">
            <v>-1382779</v>
          </cell>
          <cell r="BE27">
            <v>1140861</v>
          </cell>
          <cell r="BF27">
            <v>0</v>
          </cell>
          <cell r="BG27">
            <v>-973894</v>
          </cell>
          <cell r="BH27">
            <v>-45375</v>
          </cell>
          <cell r="BI27">
            <v>0</v>
          </cell>
          <cell r="BJ27">
            <v>-5206</v>
          </cell>
          <cell r="BK27">
            <v>-849447</v>
          </cell>
          <cell r="BL27">
            <v>-51194</v>
          </cell>
          <cell r="BM27">
            <v>-3531</v>
          </cell>
          <cell r="BN27">
            <v>-4651</v>
          </cell>
          <cell r="BO27">
            <v>0</v>
          </cell>
          <cell r="BP27">
            <v>0</v>
          </cell>
          <cell r="BQ27">
            <v>0</v>
          </cell>
          <cell r="BR27">
            <v>0</v>
          </cell>
          <cell r="BS27">
            <v>0</v>
          </cell>
          <cell r="BT27">
            <v>43597965</v>
          </cell>
          <cell r="BU27">
            <v>0</v>
          </cell>
          <cell r="BV27">
            <v>965553</v>
          </cell>
          <cell r="BW27">
            <v>-1176701</v>
          </cell>
          <cell r="BX27">
            <v>2578509</v>
          </cell>
          <cell r="BY27">
            <v>1582560</v>
          </cell>
          <cell r="BZ27">
            <v>43030227</v>
          </cell>
          <cell r="CA27">
            <v>1289254</v>
          </cell>
          <cell r="CB27">
            <v>1031404</v>
          </cell>
          <cell r="CC27">
            <v>232065</v>
          </cell>
          <cell r="CD27">
            <v>25786</v>
          </cell>
          <cell r="CE27">
            <v>791280</v>
          </cell>
          <cell r="CF27">
            <v>633024</v>
          </cell>
          <cell r="CG27">
            <v>142430</v>
          </cell>
          <cell r="CH27">
            <v>15826</v>
          </cell>
        </row>
        <row r="28">
          <cell r="A28">
            <v>21</v>
          </cell>
          <cell r="B28" t="str">
            <v>Blackburn with Darwen</v>
          </cell>
          <cell r="C28" t="str">
            <v>E2301</v>
          </cell>
          <cell r="D28">
            <v>247772</v>
          </cell>
          <cell r="H28">
            <v>-5000000</v>
          </cell>
          <cell r="I28">
            <v>0</v>
          </cell>
          <cell r="J28">
            <v>247772</v>
          </cell>
          <cell r="K28">
            <v>0</v>
          </cell>
          <cell r="L28">
            <v>0</v>
          </cell>
          <cell r="M28">
            <v>0</v>
          </cell>
          <cell r="N28">
            <v>0</v>
          </cell>
          <cell r="O28">
            <v>0</v>
          </cell>
          <cell r="P28">
            <v>0</v>
          </cell>
          <cell r="Q28">
            <v>0</v>
          </cell>
          <cell r="R28">
            <v>1612692</v>
          </cell>
          <cell r="S28">
            <v>0</v>
          </cell>
          <cell r="T28">
            <v>32912</v>
          </cell>
          <cell r="U28">
            <v>7461</v>
          </cell>
          <cell r="V28">
            <v>0</v>
          </cell>
          <cell r="W28">
            <v>152</v>
          </cell>
          <cell r="X28">
            <v>99472</v>
          </cell>
          <cell r="Y28">
            <v>0</v>
          </cell>
          <cell r="Z28">
            <v>2030</v>
          </cell>
          <cell r="AA28">
            <v>24868</v>
          </cell>
          <cell r="AB28">
            <v>0</v>
          </cell>
          <cell r="AC28">
            <v>508</v>
          </cell>
          <cell r="AD28">
            <v>0</v>
          </cell>
          <cell r="AE28">
            <v>0</v>
          </cell>
          <cell r="AF28">
            <v>0</v>
          </cell>
          <cell r="AG28">
            <v>0</v>
          </cell>
          <cell r="AH28">
            <v>0</v>
          </cell>
          <cell r="AI28">
            <v>0</v>
          </cell>
          <cell r="AM28">
            <v>0</v>
          </cell>
          <cell r="AN28">
            <v>0</v>
          </cell>
          <cell r="AO28">
            <v>0</v>
          </cell>
          <cell r="AP28">
            <v>289629</v>
          </cell>
          <cell r="AQ28">
            <v>0</v>
          </cell>
          <cell r="AR28">
            <v>5911</v>
          </cell>
          <cell r="AS28">
            <v>-968000</v>
          </cell>
          <cell r="AT28">
            <v>-948640</v>
          </cell>
          <cell r="AU28">
            <v>0</v>
          </cell>
          <cell r="AV28">
            <v>-19360</v>
          </cell>
          <cell r="AW28">
            <v>-1936000</v>
          </cell>
          <cell r="AX28">
            <v>-3161764</v>
          </cell>
          <cell r="AY28">
            <v>-3098531</v>
          </cell>
          <cell r="AZ28">
            <v>0</v>
          </cell>
          <cell r="BA28">
            <v>-63237</v>
          </cell>
          <cell r="BB28">
            <v>-6323532</v>
          </cell>
          <cell r="BC28">
            <v>45989784</v>
          </cell>
          <cell r="BD28">
            <v>-5584229</v>
          </cell>
          <cell r="BE28">
            <v>1378013</v>
          </cell>
          <cell r="BF28">
            <v>0</v>
          </cell>
          <cell r="BG28">
            <v>-4792298</v>
          </cell>
          <cell r="BH28">
            <v>-79814</v>
          </cell>
          <cell r="BI28">
            <v>-2348</v>
          </cell>
          <cell r="BJ28">
            <v>-85010</v>
          </cell>
          <cell r="BK28">
            <v>-2619257</v>
          </cell>
          <cell r="BL28">
            <v>-29080</v>
          </cell>
          <cell r="BM28">
            <v>-536</v>
          </cell>
          <cell r="BN28">
            <v>0</v>
          </cell>
          <cell r="BO28">
            <v>-837</v>
          </cell>
          <cell r="BP28">
            <v>0</v>
          </cell>
          <cell r="BQ28">
            <v>-57668</v>
          </cell>
          <cell r="BR28">
            <v>0</v>
          </cell>
          <cell r="BS28">
            <v>0</v>
          </cell>
          <cell r="BT28">
            <v>48691393</v>
          </cell>
          <cell r="BU28">
            <v>-308805</v>
          </cell>
          <cell r="BV28">
            <v>3273644</v>
          </cell>
          <cell r="BW28">
            <v>-943236</v>
          </cell>
          <cell r="BX28">
            <v>-2117012</v>
          </cell>
          <cell r="BY28">
            <v>-906953</v>
          </cell>
          <cell r="BZ28">
            <v>39348980</v>
          </cell>
          <cell r="CA28">
            <v>-1058506</v>
          </cell>
          <cell r="CB28">
            <v>-1037336</v>
          </cell>
          <cell r="CC28">
            <v>0</v>
          </cell>
          <cell r="CD28">
            <v>-21170</v>
          </cell>
          <cell r="CE28">
            <v>-453476</v>
          </cell>
          <cell r="CF28">
            <v>-444407</v>
          </cell>
          <cell r="CG28">
            <v>0</v>
          </cell>
          <cell r="CH28">
            <v>-9070</v>
          </cell>
        </row>
        <row r="29">
          <cell r="A29">
            <v>22</v>
          </cell>
          <cell r="B29" t="str">
            <v>Blackpool</v>
          </cell>
          <cell r="C29" t="str">
            <v>E2302</v>
          </cell>
          <cell r="D29">
            <v>261549</v>
          </cell>
          <cell r="H29">
            <v>-3823333</v>
          </cell>
          <cell r="I29">
            <v>-135660</v>
          </cell>
          <cell r="J29">
            <v>261549</v>
          </cell>
          <cell r="K29">
            <v>199308</v>
          </cell>
          <cell r="L29">
            <v>0</v>
          </cell>
          <cell r="M29">
            <v>0</v>
          </cell>
          <cell r="N29">
            <v>20508</v>
          </cell>
          <cell r="O29">
            <v>20508</v>
          </cell>
          <cell r="P29">
            <v>0</v>
          </cell>
          <cell r="Q29">
            <v>0</v>
          </cell>
          <cell r="R29">
            <v>1945650</v>
          </cell>
          <cell r="S29">
            <v>0</v>
          </cell>
          <cell r="T29">
            <v>38472</v>
          </cell>
          <cell r="U29">
            <v>2202</v>
          </cell>
          <cell r="V29">
            <v>0</v>
          </cell>
          <cell r="W29">
            <v>45</v>
          </cell>
          <cell r="X29">
            <v>0</v>
          </cell>
          <cell r="Y29">
            <v>0</v>
          </cell>
          <cell r="Z29">
            <v>0</v>
          </cell>
          <cell r="AA29">
            <v>11692</v>
          </cell>
          <cell r="AB29">
            <v>0</v>
          </cell>
          <cell r="AC29">
            <v>239</v>
          </cell>
          <cell r="AD29">
            <v>0</v>
          </cell>
          <cell r="AE29">
            <v>0</v>
          </cell>
          <cell r="AF29">
            <v>0</v>
          </cell>
          <cell r="AG29">
            <v>0</v>
          </cell>
          <cell r="AH29">
            <v>0</v>
          </cell>
          <cell r="AI29">
            <v>0</v>
          </cell>
          <cell r="AM29">
            <v>0</v>
          </cell>
          <cell r="AN29">
            <v>0</v>
          </cell>
          <cell r="AO29">
            <v>0</v>
          </cell>
          <cell r="AP29">
            <v>318160</v>
          </cell>
          <cell r="AQ29">
            <v>0</v>
          </cell>
          <cell r="AR29">
            <v>6426</v>
          </cell>
          <cell r="AS29">
            <v>-1135001</v>
          </cell>
          <cell r="AT29">
            <v>-1112300</v>
          </cell>
          <cell r="AU29">
            <v>0</v>
          </cell>
          <cell r="AV29">
            <v>-22699</v>
          </cell>
          <cell r="AW29">
            <v>-2270000</v>
          </cell>
          <cell r="AX29">
            <v>-3907250</v>
          </cell>
          <cell r="AY29">
            <v>-3829106</v>
          </cell>
          <cell r="AZ29">
            <v>0</v>
          </cell>
          <cell r="BA29">
            <v>-78145</v>
          </cell>
          <cell r="BB29">
            <v>-7814501</v>
          </cell>
          <cell r="BC29">
            <v>51002775</v>
          </cell>
          <cell r="BD29">
            <v>-6336705</v>
          </cell>
          <cell r="BE29">
            <v>1376051</v>
          </cell>
          <cell r="BF29">
            <v>0</v>
          </cell>
          <cell r="BG29">
            <v>-2679729</v>
          </cell>
          <cell r="BH29">
            <v>0</v>
          </cell>
          <cell r="BI29">
            <v>0</v>
          </cell>
          <cell r="BJ29">
            <v>0</v>
          </cell>
          <cell r="BK29">
            <v>-1957958</v>
          </cell>
          <cell r="BL29">
            <v>-4001</v>
          </cell>
          <cell r="BM29">
            <v>-25458</v>
          </cell>
          <cell r="BN29">
            <v>0</v>
          </cell>
          <cell r="BO29">
            <v>0</v>
          </cell>
          <cell r="BP29">
            <v>0</v>
          </cell>
          <cell r="BQ29">
            <v>-28344</v>
          </cell>
          <cell r="BR29">
            <v>0</v>
          </cell>
          <cell r="BS29">
            <v>-28344</v>
          </cell>
          <cell r="BT29">
            <v>53642062</v>
          </cell>
          <cell r="BU29">
            <v>-1155977</v>
          </cell>
          <cell r="BV29">
            <v>5987416</v>
          </cell>
          <cell r="BW29">
            <v>-116778</v>
          </cell>
          <cell r="BX29">
            <v>784593</v>
          </cell>
          <cell r="BY29">
            <v>-238804</v>
          </cell>
          <cell r="BZ29">
            <v>42776659</v>
          </cell>
          <cell r="CA29">
            <v>392296</v>
          </cell>
          <cell r="CB29">
            <v>384451</v>
          </cell>
          <cell r="CC29">
            <v>0</v>
          </cell>
          <cell r="CD29">
            <v>7846</v>
          </cell>
          <cell r="CE29">
            <v>-119402</v>
          </cell>
          <cell r="CF29">
            <v>-117014</v>
          </cell>
          <cell r="CG29">
            <v>0</v>
          </cell>
          <cell r="CH29">
            <v>-2388</v>
          </cell>
        </row>
        <row r="30">
          <cell r="A30">
            <v>23</v>
          </cell>
          <cell r="B30" t="str">
            <v>Bolsover</v>
          </cell>
          <cell r="C30" t="str">
            <v>E1032</v>
          </cell>
          <cell r="D30">
            <v>96880</v>
          </cell>
          <cell r="H30">
            <v>145527</v>
          </cell>
          <cell r="I30">
            <v>0</v>
          </cell>
          <cell r="J30">
            <v>96880</v>
          </cell>
          <cell r="K30">
            <v>0</v>
          </cell>
          <cell r="L30">
            <v>43541</v>
          </cell>
          <cell r="M30">
            <v>0</v>
          </cell>
          <cell r="N30">
            <v>0</v>
          </cell>
          <cell r="O30">
            <v>0</v>
          </cell>
          <cell r="P30">
            <v>0</v>
          </cell>
          <cell r="Q30">
            <v>0</v>
          </cell>
          <cell r="R30">
            <v>330352</v>
          </cell>
          <cell r="S30">
            <v>74329</v>
          </cell>
          <cell r="T30">
            <v>8259</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M30">
            <v>0</v>
          </cell>
          <cell r="AN30">
            <v>0</v>
          </cell>
          <cell r="AO30">
            <v>0</v>
          </cell>
          <cell r="AP30">
            <v>149453</v>
          </cell>
          <cell r="AQ30">
            <v>33480</v>
          </cell>
          <cell r="AR30">
            <v>3720</v>
          </cell>
          <cell r="AS30">
            <v>-81728</v>
          </cell>
          <cell r="AT30">
            <v>-65384</v>
          </cell>
          <cell r="AU30">
            <v>-14711</v>
          </cell>
          <cell r="AV30">
            <v>-1635</v>
          </cell>
          <cell r="AW30">
            <v>-163458</v>
          </cell>
          <cell r="AX30">
            <v>-1333688</v>
          </cell>
          <cell r="AY30">
            <v>-1066950</v>
          </cell>
          <cell r="AZ30">
            <v>-240063</v>
          </cell>
          <cell r="BA30">
            <v>-26674</v>
          </cell>
          <cell r="BB30">
            <v>-2667375</v>
          </cell>
          <cell r="BC30">
            <v>26392122</v>
          </cell>
          <cell r="BD30">
            <v>-1433287</v>
          </cell>
          <cell r="BE30">
            <v>653214</v>
          </cell>
          <cell r="BF30">
            <v>0</v>
          </cell>
          <cell r="BG30">
            <v>-558437</v>
          </cell>
          <cell r="BH30">
            <v>0</v>
          </cell>
          <cell r="BI30">
            <v>-8941</v>
          </cell>
          <cell r="BJ30">
            <v>-79044</v>
          </cell>
          <cell r="BK30">
            <v>-337437</v>
          </cell>
          <cell r="BL30">
            <v>0</v>
          </cell>
          <cell r="BM30">
            <v>-14807</v>
          </cell>
          <cell r="BN30">
            <v>0</v>
          </cell>
          <cell r="BO30">
            <v>0</v>
          </cell>
          <cell r="BP30">
            <v>0</v>
          </cell>
          <cell r="BQ30">
            <v>0</v>
          </cell>
          <cell r="BR30">
            <v>0</v>
          </cell>
          <cell r="BS30">
            <v>0</v>
          </cell>
          <cell r="BT30">
            <v>26270073</v>
          </cell>
          <cell r="BU30">
            <v>0</v>
          </cell>
          <cell r="BV30">
            <v>292077</v>
          </cell>
          <cell r="BW30">
            <v>-815803</v>
          </cell>
          <cell r="BX30">
            <v>2769988</v>
          </cell>
          <cell r="BY30">
            <v>2885897</v>
          </cell>
          <cell r="BZ30">
            <v>24764360</v>
          </cell>
          <cell r="CA30">
            <v>1384995</v>
          </cell>
          <cell r="CB30">
            <v>1107995</v>
          </cell>
          <cell r="CC30">
            <v>249298</v>
          </cell>
          <cell r="CD30">
            <v>27700</v>
          </cell>
          <cell r="CE30">
            <v>1442948</v>
          </cell>
          <cell r="CF30">
            <v>1154359</v>
          </cell>
          <cell r="CG30">
            <v>259731</v>
          </cell>
          <cell r="CH30">
            <v>28859</v>
          </cell>
        </row>
        <row r="31">
          <cell r="A31">
            <v>24</v>
          </cell>
          <cell r="B31" t="str">
            <v>Bolton</v>
          </cell>
          <cell r="C31" t="str">
            <v>E4201</v>
          </cell>
          <cell r="D31">
            <v>393126</v>
          </cell>
          <cell r="H31">
            <v>-5046000</v>
          </cell>
          <cell r="I31">
            <v>0</v>
          </cell>
          <cell r="J31">
            <v>393126</v>
          </cell>
          <cell r="K31">
            <v>0</v>
          </cell>
          <cell r="L31">
            <v>0</v>
          </cell>
          <cell r="M31">
            <v>0</v>
          </cell>
          <cell r="N31">
            <v>0</v>
          </cell>
          <cell r="O31">
            <v>0</v>
          </cell>
          <cell r="P31">
            <v>0</v>
          </cell>
          <cell r="Q31">
            <v>0</v>
          </cell>
          <cell r="R31">
            <v>5526792</v>
          </cell>
          <cell r="S31">
            <v>0</v>
          </cell>
          <cell r="T31">
            <v>55826</v>
          </cell>
          <cell r="U31">
            <v>0</v>
          </cell>
          <cell r="V31">
            <v>0</v>
          </cell>
          <cell r="W31">
            <v>0</v>
          </cell>
          <cell r="X31">
            <v>37180</v>
          </cell>
          <cell r="Y31">
            <v>0</v>
          </cell>
          <cell r="Z31">
            <v>376</v>
          </cell>
          <cell r="AA31">
            <v>5024</v>
          </cell>
          <cell r="AB31">
            <v>0</v>
          </cell>
          <cell r="AC31">
            <v>51</v>
          </cell>
          <cell r="AD31">
            <v>0</v>
          </cell>
          <cell r="AE31">
            <v>0</v>
          </cell>
          <cell r="AF31">
            <v>0</v>
          </cell>
          <cell r="AG31">
            <v>0</v>
          </cell>
          <cell r="AH31">
            <v>0</v>
          </cell>
          <cell r="AI31">
            <v>0</v>
          </cell>
          <cell r="AM31">
            <v>0</v>
          </cell>
          <cell r="AN31">
            <v>0</v>
          </cell>
          <cell r="AO31">
            <v>0</v>
          </cell>
          <cell r="AP31">
            <v>1150980</v>
          </cell>
          <cell r="AQ31">
            <v>0</v>
          </cell>
          <cell r="AR31">
            <v>11626</v>
          </cell>
          <cell r="AS31">
            <v>-2168088</v>
          </cell>
          <cell r="AT31">
            <v>-2124725</v>
          </cell>
          <cell r="AU31">
            <v>0</v>
          </cell>
          <cell r="AV31">
            <v>-43361</v>
          </cell>
          <cell r="AW31">
            <v>-4336174</v>
          </cell>
          <cell r="AX31">
            <v>-3432668</v>
          </cell>
          <cell r="AY31">
            <v>-3364014</v>
          </cell>
          <cell r="AZ31">
            <v>0</v>
          </cell>
          <cell r="BA31">
            <v>-68654</v>
          </cell>
          <cell r="BB31">
            <v>-6865336</v>
          </cell>
          <cell r="BC31">
            <v>87482508</v>
          </cell>
          <cell r="BD31">
            <v>-8175656</v>
          </cell>
          <cell r="BE31">
            <v>2481457</v>
          </cell>
          <cell r="BF31">
            <v>0</v>
          </cell>
          <cell r="BG31">
            <v>-6704946</v>
          </cell>
          <cell r="BH31">
            <v>-104575</v>
          </cell>
          <cell r="BI31">
            <v>0</v>
          </cell>
          <cell r="BJ31">
            <v>-68188</v>
          </cell>
          <cell r="BK31">
            <v>-4145942</v>
          </cell>
          <cell r="BL31">
            <v>-659031</v>
          </cell>
          <cell r="BM31">
            <v>-291727</v>
          </cell>
          <cell r="BN31">
            <v>-4477</v>
          </cell>
          <cell r="BO31">
            <v>0</v>
          </cell>
          <cell r="BP31">
            <v>0</v>
          </cell>
          <cell r="BQ31">
            <v>0</v>
          </cell>
          <cell r="BR31">
            <v>0</v>
          </cell>
          <cell r="BS31">
            <v>0</v>
          </cell>
          <cell r="BT31">
            <v>89189849</v>
          </cell>
          <cell r="BU31">
            <v>-2047592</v>
          </cell>
          <cell r="BV31">
            <v>7262035</v>
          </cell>
          <cell r="BW31">
            <v>-1822941</v>
          </cell>
          <cell r="BX31">
            <v>-9883657</v>
          </cell>
          <cell r="BY31">
            <v>-8958355</v>
          </cell>
          <cell r="BZ31">
            <v>77396357</v>
          </cell>
          <cell r="CA31">
            <v>-4941828</v>
          </cell>
          <cell r="CB31">
            <v>-4842992</v>
          </cell>
          <cell r="CC31">
            <v>0</v>
          </cell>
          <cell r="CD31">
            <v>-98837</v>
          </cell>
          <cell r="CE31">
            <v>-4479177</v>
          </cell>
          <cell r="CF31">
            <v>-4389594</v>
          </cell>
          <cell r="CG31">
            <v>0</v>
          </cell>
          <cell r="CH31">
            <v>-89584</v>
          </cell>
        </row>
        <row r="32">
          <cell r="A32">
            <v>25</v>
          </cell>
          <cell r="B32" t="str">
            <v>Boston</v>
          </cell>
          <cell r="C32" t="str">
            <v>E2531</v>
          </cell>
          <cell r="D32">
            <v>91296</v>
          </cell>
          <cell r="H32">
            <v>151158</v>
          </cell>
          <cell r="I32">
            <v>0</v>
          </cell>
          <cell r="J32">
            <v>91296</v>
          </cell>
          <cell r="K32">
            <v>0</v>
          </cell>
          <cell r="L32">
            <v>188057</v>
          </cell>
          <cell r="M32">
            <v>0</v>
          </cell>
          <cell r="N32">
            <v>0</v>
          </cell>
          <cell r="O32">
            <v>0</v>
          </cell>
          <cell r="P32">
            <v>0</v>
          </cell>
          <cell r="Q32">
            <v>0</v>
          </cell>
          <cell r="R32">
            <v>395470</v>
          </cell>
          <cell r="S32">
            <v>98867</v>
          </cell>
          <cell r="T32">
            <v>0</v>
          </cell>
          <cell r="U32">
            <v>1741</v>
          </cell>
          <cell r="V32">
            <v>435</v>
          </cell>
          <cell r="W32">
            <v>0</v>
          </cell>
          <cell r="X32">
            <v>0</v>
          </cell>
          <cell r="Y32">
            <v>0</v>
          </cell>
          <cell r="Z32">
            <v>0</v>
          </cell>
          <cell r="AA32">
            <v>4109</v>
          </cell>
          <cell r="AB32">
            <v>1027</v>
          </cell>
          <cell r="AC32">
            <v>0</v>
          </cell>
          <cell r="AD32">
            <v>0</v>
          </cell>
          <cell r="AE32">
            <v>0</v>
          </cell>
          <cell r="AF32">
            <v>0</v>
          </cell>
          <cell r="AG32">
            <v>0</v>
          </cell>
          <cell r="AH32">
            <v>0</v>
          </cell>
          <cell r="AI32">
            <v>0</v>
          </cell>
          <cell r="AM32">
            <v>0</v>
          </cell>
          <cell r="AN32">
            <v>0</v>
          </cell>
          <cell r="AO32">
            <v>0</v>
          </cell>
          <cell r="AP32">
            <v>117903</v>
          </cell>
          <cell r="AQ32">
            <v>28770</v>
          </cell>
          <cell r="AR32">
            <v>0</v>
          </cell>
          <cell r="AS32">
            <v>-119109</v>
          </cell>
          <cell r="AT32">
            <v>-95286</v>
          </cell>
          <cell r="AU32">
            <v>-23822</v>
          </cell>
          <cell r="AV32">
            <v>0</v>
          </cell>
          <cell r="AW32">
            <v>-238217</v>
          </cell>
          <cell r="AX32">
            <v>-1103729</v>
          </cell>
          <cell r="AY32">
            <v>-882983</v>
          </cell>
          <cell r="AZ32">
            <v>-220746</v>
          </cell>
          <cell r="BA32">
            <v>0</v>
          </cell>
          <cell r="BB32">
            <v>-2207458</v>
          </cell>
          <cell r="BC32">
            <v>19905848</v>
          </cell>
          <cell r="BD32">
            <v>-1631040</v>
          </cell>
          <cell r="BE32">
            <v>541243</v>
          </cell>
          <cell r="BF32">
            <v>0</v>
          </cell>
          <cell r="BG32">
            <v>-1475101</v>
          </cell>
          <cell r="BH32">
            <v>-61827</v>
          </cell>
          <cell r="BI32">
            <v>-20138</v>
          </cell>
          <cell r="BJ32">
            <v>0</v>
          </cell>
          <cell r="BK32">
            <v>-1120958</v>
          </cell>
          <cell r="BL32">
            <v>-46011</v>
          </cell>
          <cell r="BM32">
            <v>-22991</v>
          </cell>
          <cell r="BN32">
            <v>-11593</v>
          </cell>
          <cell r="BO32">
            <v>-1443</v>
          </cell>
          <cell r="BP32">
            <v>0</v>
          </cell>
          <cell r="BQ32">
            <v>0</v>
          </cell>
          <cell r="BR32">
            <v>0</v>
          </cell>
          <cell r="BS32">
            <v>0</v>
          </cell>
          <cell r="BT32">
            <v>20530677</v>
          </cell>
          <cell r="BU32">
            <v>-172609</v>
          </cell>
          <cell r="BV32">
            <v>592087</v>
          </cell>
          <cell r="BW32">
            <v>-887310</v>
          </cell>
          <cell r="BX32">
            <v>-374762</v>
          </cell>
          <cell r="BY32">
            <v>12606</v>
          </cell>
          <cell r="BZ32">
            <v>19152335</v>
          </cell>
          <cell r="CA32">
            <v>-187380</v>
          </cell>
          <cell r="CB32">
            <v>-149906</v>
          </cell>
          <cell r="CC32">
            <v>-37476</v>
          </cell>
          <cell r="CD32">
            <v>0</v>
          </cell>
          <cell r="CE32">
            <v>6303</v>
          </cell>
          <cell r="CF32">
            <v>5042</v>
          </cell>
          <cell r="CG32">
            <v>1261</v>
          </cell>
          <cell r="CH32">
            <v>0</v>
          </cell>
        </row>
        <row r="33">
          <cell r="A33">
            <v>26</v>
          </cell>
          <cell r="B33" t="str">
            <v>Bournemouth</v>
          </cell>
          <cell r="C33" t="str">
            <v>E1202</v>
          </cell>
          <cell r="D33">
            <v>292496</v>
          </cell>
          <cell r="H33">
            <v>-3511960.15</v>
          </cell>
          <cell r="I33">
            <v>0</v>
          </cell>
          <cell r="J33">
            <v>292496</v>
          </cell>
          <cell r="K33">
            <v>0</v>
          </cell>
          <cell r="L33">
            <v>204</v>
          </cell>
          <cell r="M33">
            <v>0</v>
          </cell>
          <cell r="N33">
            <v>0</v>
          </cell>
          <cell r="O33">
            <v>0</v>
          </cell>
          <cell r="P33">
            <v>0</v>
          </cell>
          <cell r="Q33">
            <v>0</v>
          </cell>
          <cell r="R33">
            <v>1409606</v>
          </cell>
          <cell r="S33">
            <v>0</v>
          </cell>
          <cell r="T33">
            <v>28767</v>
          </cell>
          <cell r="U33">
            <v>0</v>
          </cell>
          <cell r="V33">
            <v>0</v>
          </cell>
          <cell r="W33">
            <v>0</v>
          </cell>
          <cell r="X33">
            <v>418</v>
          </cell>
          <cell r="Y33">
            <v>0</v>
          </cell>
          <cell r="Z33">
            <v>9</v>
          </cell>
          <cell r="AA33">
            <v>5063</v>
          </cell>
          <cell r="AB33">
            <v>0</v>
          </cell>
          <cell r="AC33">
            <v>103</v>
          </cell>
          <cell r="AD33">
            <v>0</v>
          </cell>
          <cell r="AE33">
            <v>0</v>
          </cell>
          <cell r="AF33">
            <v>0</v>
          </cell>
          <cell r="AG33">
            <v>0</v>
          </cell>
          <cell r="AH33">
            <v>0</v>
          </cell>
          <cell r="AI33">
            <v>0</v>
          </cell>
          <cell r="AM33">
            <v>0</v>
          </cell>
          <cell r="AN33">
            <v>0</v>
          </cell>
          <cell r="AO33">
            <v>0</v>
          </cell>
          <cell r="AP33">
            <v>477927</v>
          </cell>
          <cell r="AQ33">
            <v>0</v>
          </cell>
          <cell r="AR33">
            <v>9754</v>
          </cell>
          <cell r="AS33">
            <v>-957030</v>
          </cell>
          <cell r="AT33">
            <v>-937888</v>
          </cell>
          <cell r="AU33">
            <v>0</v>
          </cell>
          <cell r="AV33">
            <v>-19141</v>
          </cell>
          <cell r="AW33">
            <v>-1914059</v>
          </cell>
          <cell r="AX33">
            <v>-405584</v>
          </cell>
          <cell r="AY33">
            <v>-397473</v>
          </cell>
          <cell r="AZ33">
            <v>0</v>
          </cell>
          <cell r="BA33">
            <v>-8112</v>
          </cell>
          <cell r="BB33">
            <v>-811169</v>
          </cell>
          <cell r="BC33">
            <v>67267868.890000001</v>
          </cell>
          <cell r="BD33">
            <v>-4656147</v>
          </cell>
          <cell r="BE33">
            <v>1841234</v>
          </cell>
          <cell r="BF33">
            <v>0</v>
          </cell>
          <cell r="BG33">
            <v>-5820377</v>
          </cell>
          <cell r="BH33">
            <v>-115304</v>
          </cell>
          <cell r="BI33">
            <v>0</v>
          </cell>
          <cell r="BJ33">
            <v>0</v>
          </cell>
          <cell r="BK33">
            <v>-1814279</v>
          </cell>
          <cell r="BL33">
            <v>-78970</v>
          </cell>
          <cell r="BM33">
            <v>-20586</v>
          </cell>
          <cell r="BN33">
            <v>-4000</v>
          </cell>
          <cell r="BO33">
            <v>0</v>
          </cell>
          <cell r="BP33">
            <v>0</v>
          </cell>
          <cell r="BQ33">
            <v>0</v>
          </cell>
          <cell r="BR33">
            <v>0</v>
          </cell>
          <cell r="BS33">
            <v>0</v>
          </cell>
          <cell r="BT33">
            <v>67808841.890000001</v>
          </cell>
          <cell r="BU33">
            <v>-110660</v>
          </cell>
          <cell r="BV33">
            <v>3742481</v>
          </cell>
          <cell r="BW33">
            <v>-521775</v>
          </cell>
          <cell r="BX33">
            <v>-3816517.1099999994</v>
          </cell>
          <cell r="BY33">
            <v>-1459167</v>
          </cell>
          <cell r="BZ33">
            <v>64930839</v>
          </cell>
          <cell r="CA33">
            <v>-1908259.1099999994</v>
          </cell>
          <cell r="CB33">
            <v>-1870093</v>
          </cell>
          <cell r="CC33">
            <v>0</v>
          </cell>
          <cell r="CD33">
            <v>-38165</v>
          </cell>
          <cell r="CE33">
            <v>-729583</v>
          </cell>
          <cell r="CF33">
            <v>-714992</v>
          </cell>
          <cell r="CG33">
            <v>0</v>
          </cell>
          <cell r="CH33">
            <v>-14592</v>
          </cell>
        </row>
        <row r="34">
          <cell r="A34">
            <v>27</v>
          </cell>
          <cell r="B34" t="str">
            <v>Bracknell Forest</v>
          </cell>
          <cell r="C34" t="str">
            <v>E0301</v>
          </cell>
          <cell r="D34">
            <v>144145</v>
          </cell>
          <cell r="H34">
            <v>-1910966</v>
          </cell>
          <cell r="I34">
            <v>0</v>
          </cell>
          <cell r="J34">
            <v>144145</v>
          </cell>
          <cell r="K34">
            <v>0</v>
          </cell>
          <cell r="L34">
            <v>708</v>
          </cell>
          <cell r="M34">
            <v>0</v>
          </cell>
          <cell r="N34">
            <v>0</v>
          </cell>
          <cell r="O34">
            <v>0</v>
          </cell>
          <cell r="P34">
            <v>0</v>
          </cell>
          <cell r="Q34">
            <v>0</v>
          </cell>
          <cell r="R34">
            <v>327617</v>
          </cell>
          <cell r="S34">
            <v>0</v>
          </cell>
          <cell r="T34">
            <v>6686</v>
          </cell>
          <cell r="U34">
            <v>3916</v>
          </cell>
          <cell r="V34">
            <v>0</v>
          </cell>
          <cell r="W34">
            <v>80</v>
          </cell>
          <cell r="X34">
            <v>0</v>
          </cell>
          <cell r="Y34">
            <v>0</v>
          </cell>
          <cell r="Z34">
            <v>0</v>
          </cell>
          <cell r="AA34">
            <v>735</v>
          </cell>
          <cell r="AB34">
            <v>0</v>
          </cell>
          <cell r="AC34">
            <v>15</v>
          </cell>
          <cell r="AD34">
            <v>0</v>
          </cell>
          <cell r="AE34">
            <v>0</v>
          </cell>
          <cell r="AF34">
            <v>0</v>
          </cell>
          <cell r="AG34">
            <v>0</v>
          </cell>
          <cell r="AH34">
            <v>0</v>
          </cell>
          <cell r="AI34">
            <v>0</v>
          </cell>
          <cell r="AM34">
            <v>0</v>
          </cell>
          <cell r="AN34">
            <v>0</v>
          </cell>
          <cell r="AO34">
            <v>0</v>
          </cell>
          <cell r="AP34">
            <v>448320</v>
          </cell>
          <cell r="AQ34">
            <v>0</v>
          </cell>
          <cell r="AR34">
            <v>9149</v>
          </cell>
          <cell r="AS34">
            <v>-451700</v>
          </cell>
          <cell r="AT34">
            <v>-442666</v>
          </cell>
          <cell r="AU34">
            <v>0</v>
          </cell>
          <cell r="AV34">
            <v>-9034</v>
          </cell>
          <cell r="AW34">
            <v>-903400</v>
          </cell>
          <cell r="AX34">
            <v>-6085895</v>
          </cell>
          <cell r="AY34">
            <v>-5964177</v>
          </cell>
          <cell r="AZ34">
            <v>0</v>
          </cell>
          <cell r="BA34">
            <v>-121719</v>
          </cell>
          <cell r="BB34">
            <v>-12171791</v>
          </cell>
          <cell r="BC34">
            <v>61318852</v>
          </cell>
          <cell r="BD34">
            <v>-855910</v>
          </cell>
          <cell r="BE34">
            <v>1943633</v>
          </cell>
          <cell r="BF34">
            <v>0</v>
          </cell>
          <cell r="BG34">
            <v>-2244640</v>
          </cell>
          <cell r="BH34">
            <v>-3539</v>
          </cell>
          <cell r="BI34">
            <v>0</v>
          </cell>
          <cell r="BJ34">
            <v>-52368</v>
          </cell>
          <cell r="BK34">
            <v>-4217239</v>
          </cell>
          <cell r="BL34">
            <v>-68516</v>
          </cell>
          <cell r="BM34">
            <v>-55039</v>
          </cell>
          <cell r="BN34">
            <v>0</v>
          </cell>
          <cell r="BO34">
            <v>0</v>
          </cell>
          <cell r="BP34">
            <v>0</v>
          </cell>
          <cell r="BQ34">
            <v>0</v>
          </cell>
          <cell r="BR34">
            <v>0</v>
          </cell>
          <cell r="BS34">
            <v>0</v>
          </cell>
          <cell r="BT34">
            <v>70521336</v>
          </cell>
          <cell r="BU34">
            <v>0</v>
          </cell>
          <cell r="BV34">
            <v>2344110</v>
          </cell>
          <cell r="BW34">
            <v>-3746017</v>
          </cell>
          <cell r="BX34">
            <v>10569163</v>
          </cell>
          <cell r="BY34">
            <v>18598260</v>
          </cell>
          <cell r="BZ34">
            <v>60907297</v>
          </cell>
          <cell r="CA34">
            <v>5284582</v>
          </cell>
          <cell r="CB34">
            <v>5178890</v>
          </cell>
          <cell r="CC34">
            <v>0</v>
          </cell>
          <cell r="CD34">
            <v>105691</v>
          </cell>
          <cell r="CE34">
            <v>9299130</v>
          </cell>
          <cell r="CF34">
            <v>9113147</v>
          </cell>
          <cell r="CG34">
            <v>0</v>
          </cell>
          <cell r="CH34">
            <v>185983</v>
          </cell>
        </row>
        <row r="35">
          <cell r="A35">
            <v>28</v>
          </cell>
          <cell r="B35" t="str">
            <v>Bradford</v>
          </cell>
          <cell r="C35" t="str">
            <v>E4701</v>
          </cell>
          <cell r="D35">
            <v>736622</v>
          </cell>
          <cell r="H35">
            <v>-3828219</v>
          </cell>
          <cell r="I35">
            <v>0</v>
          </cell>
          <cell r="J35">
            <v>736622</v>
          </cell>
          <cell r="K35">
            <v>0</v>
          </cell>
          <cell r="L35">
            <v>0</v>
          </cell>
          <cell r="M35">
            <v>0</v>
          </cell>
          <cell r="N35">
            <v>0</v>
          </cell>
          <cell r="O35">
            <v>0</v>
          </cell>
          <cell r="P35">
            <v>0</v>
          </cell>
          <cell r="Q35">
            <v>0</v>
          </cell>
          <cell r="R35">
            <v>5339165</v>
          </cell>
          <cell r="S35">
            <v>0</v>
          </cell>
          <cell r="T35">
            <v>108963</v>
          </cell>
          <cell r="U35">
            <v>14920</v>
          </cell>
          <cell r="V35">
            <v>0</v>
          </cell>
          <cell r="W35">
            <v>305</v>
          </cell>
          <cell r="X35">
            <v>2984</v>
          </cell>
          <cell r="Y35">
            <v>0</v>
          </cell>
          <cell r="Z35">
            <v>61</v>
          </cell>
          <cell r="AA35">
            <v>2487</v>
          </cell>
          <cell r="AB35">
            <v>0</v>
          </cell>
          <cell r="AC35">
            <v>51</v>
          </cell>
          <cell r="AD35">
            <v>0</v>
          </cell>
          <cell r="AE35">
            <v>0</v>
          </cell>
          <cell r="AF35">
            <v>0</v>
          </cell>
          <cell r="AG35">
            <v>0</v>
          </cell>
          <cell r="AH35">
            <v>0</v>
          </cell>
          <cell r="AI35">
            <v>0</v>
          </cell>
          <cell r="AM35">
            <v>0</v>
          </cell>
          <cell r="AN35">
            <v>0</v>
          </cell>
          <cell r="AO35">
            <v>0</v>
          </cell>
          <cell r="AP35">
            <v>953522</v>
          </cell>
          <cell r="AQ35">
            <v>0</v>
          </cell>
          <cell r="AR35">
            <v>19460</v>
          </cell>
          <cell r="AS35">
            <v>-2474634</v>
          </cell>
          <cell r="AT35">
            <v>-2425140</v>
          </cell>
          <cell r="AU35">
            <v>0</v>
          </cell>
          <cell r="AV35">
            <v>-49493</v>
          </cell>
          <cell r="AW35">
            <v>-4949267</v>
          </cell>
          <cell r="AX35">
            <v>-5900000</v>
          </cell>
          <cell r="AY35">
            <v>-5782000</v>
          </cell>
          <cell r="AZ35">
            <v>0</v>
          </cell>
          <cell r="BA35">
            <v>-118000</v>
          </cell>
          <cell r="BB35">
            <v>-11800000</v>
          </cell>
          <cell r="BC35">
            <v>140402399</v>
          </cell>
          <cell r="BD35">
            <v>-16087584</v>
          </cell>
          <cell r="BE35">
            <v>4088002</v>
          </cell>
          <cell r="BF35">
            <v>0</v>
          </cell>
          <cell r="BG35">
            <v>-14195844</v>
          </cell>
          <cell r="BH35">
            <v>-174159</v>
          </cell>
          <cell r="BI35">
            <v>-8020</v>
          </cell>
          <cell r="BJ35">
            <v>-346445</v>
          </cell>
          <cell r="BK35">
            <v>-8587023</v>
          </cell>
          <cell r="BL35">
            <v>-8141</v>
          </cell>
          <cell r="BM35">
            <v>-349134</v>
          </cell>
          <cell r="BN35">
            <v>0</v>
          </cell>
          <cell r="BO35">
            <v>0</v>
          </cell>
          <cell r="BP35">
            <v>-6718</v>
          </cell>
          <cell r="BQ35">
            <v>0</v>
          </cell>
          <cell r="BR35">
            <v>0</v>
          </cell>
          <cell r="BS35">
            <v>0</v>
          </cell>
          <cell r="BT35">
            <v>143883375</v>
          </cell>
          <cell r="BU35">
            <v>-3976688</v>
          </cell>
          <cell r="BV35">
            <v>9638103</v>
          </cell>
          <cell r="BW35">
            <v>-1262603</v>
          </cell>
          <cell r="BX35">
            <v>-11931397</v>
          </cell>
          <cell r="BY35">
            <v>-11962701</v>
          </cell>
          <cell r="BZ35">
            <v>129545616</v>
          </cell>
          <cell r="CA35">
            <v>-5965699</v>
          </cell>
          <cell r="CB35">
            <v>-5846384</v>
          </cell>
          <cell r="CC35">
            <v>0</v>
          </cell>
          <cell r="CD35">
            <v>-119314</v>
          </cell>
          <cell r="CE35">
            <v>-5981351</v>
          </cell>
          <cell r="CF35">
            <v>-5861723</v>
          </cell>
          <cell r="CG35">
            <v>0</v>
          </cell>
          <cell r="CH35">
            <v>-119627</v>
          </cell>
        </row>
        <row r="36">
          <cell r="A36">
            <v>29</v>
          </cell>
          <cell r="B36" t="str">
            <v>Braintree</v>
          </cell>
          <cell r="C36" t="str">
            <v>E1532</v>
          </cell>
          <cell r="D36">
            <v>192687</v>
          </cell>
          <cell r="H36">
            <v>48819</v>
          </cell>
          <cell r="I36">
            <v>0</v>
          </cell>
          <cell r="J36">
            <v>192687</v>
          </cell>
          <cell r="K36">
            <v>0</v>
          </cell>
          <cell r="L36">
            <v>84807</v>
          </cell>
          <cell r="M36">
            <v>106338</v>
          </cell>
          <cell r="N36">
            <v>0</v>
          </cell>
          <cell r="O36">
            <v>0</v>
          </cell>
          <cell r="P36">
            <v>0</v>
          </cell>
          <cell r="Q36">
            <v>0</v>
          </cell>
          <cell r="R36">
            <v>858446</v>
          </cell>
          <cell r="S36">
            <v>193150</v>
          </cell>
          <cell r="T36">
            <v>21461</v>
          </cell>
          <cell r="U36">
            <v>0</v>
          </cell>
          <cell r="V36">
            <v>0</v>
          </cell>
          <cell r="W36">
            <v>0</v>
          </cell>
          <cell r="X36">
            <v>0</v>
          </cell>
          <cell r="Y36">
            <v>0</v>
          </cell>
          <cell r="Z36">
            <v>0</v>
          </cell>
          <cell r="AA36">
            <v>1624</v>
          </cell>
          <cell r="AB36">
            <v>365</v>
          </cell>
          <cell r="AC36">
            <v>41</v>
          </cell>
          <cell r="AD36">
            <v>0</v>
          </cell>
          <cell r="AE36">
            <v>0</v>
          </cell>
          <cell r="AF36">
            <v>0</v>
          </cell>
          <cell r="AG36">
            <v>0</v>
          </cell>
          <cell r="AH36">
            <v>0</v>
          </cell>
          <cell r="AI36">
            <v>0</v>
          </cell>
          <cell r="AM36">
            <v>0</v>
          </cell>
          <cell r="AN36">
            <v>0</v>
          </cell>
          <cell r="AO36">
            <v>0</v>
          </cell>
          <cell r="AP36">
            <v>244640</v>
          </cell>
          <cell r="AQ36">
            <v>56355</v>
          </cell>
          <cell r="AR36">
            <v>6084</v>
          </cell>
          <cell r="AS36">
            <v>-69170</v>
          </cell>
          <cell r="AT36">
            <v>-55337</v>
          </cell>
          <cell r="AU36">
            <v>-12452</v>
          </cell>
          <cell r="AV36">
            <v>-1383</v>
          </cell>
          <cell r="AW36">
            <v>-138342</v>
          </cell>
          <cell r="AX36">
            <v>-1175500</v>
          </cell>
          <cell r="AY36">
            <v>-940400</v>
          </cell>
          <cell r="AZ36">
            <v>-211590</v>
          </cell>
          <cell r="BA36">
            <v>-23510</v>
          </cell>
          <cell r="BB36">
            <v>-2351000</v>
          </cell>
          <cell r="BC36">
            <v>44295128</v>
          </cell>
          <cell r="BD36">
            <v>-3411778</v>
          </cell>
          <cell r="BE36">
            <v>1124696</v>
          </cell>
          <cell r="BF36">
            <v>0</v>
          </cell>
          <cell r="BG36">
            <v>-2859196</v>
          </cell>
          <cell r="BH36">
            <v>-109748</v>
          </cell>
          <cell r="BI36">
            <v>-18375</v>
          </cell>
          <cell r="BJ36">
            <v>-29498</v>
          </cell>
          <cell r="BK36">
            <v>-1493667</v>
          </cell>
          <cell r="BL36">
            <v>-63676</v>
          </cell>
          <cell r="BM36">
            <v>-202172</v>
          </cell>
          <cell r="BN36">
            <v>-644</v>
          </cell>
          <cell r="BO36">
            <v>-3080</v>
          </cell>
          <cell r="BP36">
            <v>0</v>
          </cell>
          <cell r="BQ36">
            <v>-14662</v>
          </cell>
          <cell r="BR36">
            <v>0</v>
          </cell>
          <cell r="BS36">
            <v>0</v>
          </cell>
          <cell r="BT36">
            <v>42512954</v>
          </cell>
          <cell r="BU36">
            <v>-232388</v>
          </cell>
          <cell r="BV36">
            <v>614373</v>
          </cell>
          <cell r="BW36">
            <v>-476087</v>
          </cell>
          <cell r="BX36">
            <v>2894532</v>
          </cell>
          <cell r="BY36">
            <v>1080356</v>
          </cell>
          <cell r="BZ36">
            <v>40503049</v>
          </cell>
          <cell r="CA36">
            <v>1447268</v>
          </cell>
          <cell r="CB36">
            <v>1157812</v>
          </cell>
          <cell r="CC36">
            <v>260508</v>
          </cell>
          <cell r="CD36">
            <v>28944</v>
          </cell>
          <cell r="CE36">
            <v>540178</v>
          </cell>
          <cell r="CF36">
            <v>432142</v>
          </cell>
          <cell r="CG36">
            <v>97232</v>
          </cell>
          <cell r="CH36">
            <v>10804</v>
          </cell>
        </row>
        <row r="37">
          <cell r="A37">
            <v>30</v>
          </cell>
          <cell r="B37" t="str">
            <v>Breckland</v>
          </cell>
          <cell r="C37" t="str">
            <v>E2631</v>
          </cell>
          <cell r="D37">
            <v>163444</v>
          </cell>
          <cell r="H37">
            <v>977513</v>
          </cell>
          <cell r="I37">
            <v>0</v>
          </cell>
          <cell r="J37">
            <v>163444</v>
          </cell>
          <cell r="K37">
            <v>0</v>
          </cell>
          <cell r="L37">
            <v>413975</v>
          </cell>
          <cell r="M37">
            <v>0</v>
          </cell>
          <cell r="N37">
            <v>0</v>
          </cell>
          <cell r="O37">
            <v>0</v>
          </cell>
          <cell r="P37">
            <v>0</v>
          </cell>
          <cell r="Q37">
            <v>0</v>
          </cell>
          <cell r="R37">
            <v>819067</v>
          </cell>
          <cell r="S37">
            <v>204767</v>
          </cell>
          <cell r="T37">
            <v>0</v>
          </cell>
          <cell r="U37">
            <v>0</v>
          </cell>
          <cell r="V37">
            <v>0</v>
          </cell>
          <cell r="W37">
            <v>0</v>
          </cell>
          <cell r="X37">
            <v>0</v>
          </cell>
          <cell r="Y37">
            <v>0</v>
          </cell>
          <cell r="Z37">
            <v>0</v>
          </cell>
          <cell r="AA37">
            <v>1403</v>
          </cell>
          <cell r="AB37">
            <v>351</v>
          </cell>
          <cell r="AC37">
            <v>0</v>
          </cell>
          <cell r="AD37">
            <v>0</v>
          </cell>
          <cell r="AE37">
            <v>0</v>
          </cell>
          <cell r="AF37">
            <v>0</v>
          </cell>
          <cell r="AG37">
            <v>0</v>
          </cell>
          <cell r="AH37">
            <v>0</v>
          </cell>
          <cell r="AI37">
            <v>0</v>
          </cell>
          <cell r="AM37">
            <v>0</v>
          </cell>
          <cell r="AN37">
            <v>0</v>
          </cell>
          <cell r="AO37">
            <v>0</v>
          </cell>
          <cell r="AP37">
            <v>189022</v>
          </cell>
          <cell r="AQ37">
            <v>45701</v>
          </cell>
          <cell r="AR37">
            <v>0</v>
          </cell>
          <cell r="AS37">
            <v>-222285.54</v>
          </cell>
          <cell r="AT37">
            <v>-177828</v>
          </cell>
          <cell r="AU37">
            <v>-44457</v>
          </cell>
          <cell r="AV37">
            <v>0</v>
          </cell>
          <cell r="AW37">
            <v>-444570.54</v>
          </cell>
          <cell r="AX37">
            <v>-1212482</v>
          </cell>
          <cell r="AY37">
            <v>-969987</v>
          </cell>
          <cell r="AZ37">
            <v>-242497</v>
          </cell>
          <cell r="BA37">
            <v>0</v>
          </cell>
          <cell r="BB37">
            <v>-2424966</v>
          </cell>
          <cell r="BC37">
            <v>30500371</v>
          </cell>
          <cell r="BD37">
            <v>-3048698</v>
          </cell>
          <cell r="BE37">
            <v>779124</v>
          </cell>
          <cell r="BF37">
            <v>0</v>
          </cell>
          <cell r="BG37">
            <v>-2146206</v>
          </cell>
          <cell r="BH37">
            <v>-38281</v>
          </cell>
          <cell r="BI37">
            <v>-77400</v>
          </cell>
          <cell r="BJ37">
            <v>0</v>
          </cell>
          <cell r="BK37">
            <v>-734766</v>
          </cell>
          <cell r="BL37">
            <v>-46510</v>
          </cell>
          <cell r="BM37">
            <v>-227626</v>
          </cell>
          <cell r="BN37">
            <v>-2423</v>
          </cell>
          <cell r="BO37">
            <v>-8968</v>
          </cell>
          <cell r="BP37">
            <v>-1529</v>
          </cell>
          <cell r="BQ37">
            <v>-3082</v>
          </cell>
          <cell r="BR37">
            <v>0</v>
          </cell>
          <cell r="BS37">
            <v>0</v>
          </cell>
          <cell r="BT37">
            <v>30184441</v>
          </cell>
          <cell r="BU37">
            <v>-217850</v>
          </cell>
          <cell r="BV37">
            <v>1412640</v>
          </cell>
          <cell r="BW37">
            <v>-350911</v>
          </cell>
          <cell r="BX37">
            <v>-126016</v>
          </cell>
          <cell r="BY37">
            <v>79782</v>
          </cell>
          <cell r="BZ37">
            <v>30423796</v>
          </cell>
          <cell r="CA37">
            <v>-63007</v>
          </cell>
          <cell r="CB37">
            <v>-50407</v>
          </cell>
          <cell r="CC37">
            <v>-12602</v>
          </cell>
          <cell r="CD37">
            <v>0</v>
          </cell>
          <cell r="CE37">
            <v>39891</v>
          </cell>
          <cell r="CF37">
            <v>31913</v>
          </cell>
          <cell r="CG37">
            <v>7978</v>
          </cell>
          <cell r="CH37">
            <v>0</v>
          </cell>
        </row>
        <row r="38">
          <cell r="A38">
            <v>31</v>
          </cell>
          <cell r="B38" t="str">
            <v>Brent</v>
          </cell>
          <cell r="C38" t="str">
            <v>E5033</v>
          </cell>
          <cell r="D38">
            <v>416255</v>
          </cell>
          <cell r="H38">
            <v>3692182</v>
          </cell>
          <cell r="I38">
            <v>0</v>
          </cell>
          <cell r="J38">
            <v>416255</v>
          </cell>
          <cell r="K38">
            <v>0</v>
          </cell>
          <cell r="L38">
            <v>0</v>
          </cell>
          <cell r="M38">
            <v>0</v>
          </cell>
          <cell r="N38">
            <v>0</v>
          </cell>
          <cell r="O38">
            <v>0</v>
          </cell>
          <cell r="P38">
            <v>0</v>
          </cell>
          <cell r="Q38">
            <v>0</v>
          </cell>
          <cell r="R38">
            <v>1071955</v>
          </cell>
          <cell r="S38">
            <v>1322077</v>
          </cell>
          <cell r="T38">
            <v>0</v>
          </cell>
          <cell r="U38">
            <v>0</v>
          </cell>
          <cell r="V38">
            <v>0</v>
          </cell>
          <cell r="W38">
            <v>0</v>
          </cell>
          <cell r="X38">
            <v>0</v>
          </cell>
          <cell r="Y38">
            <v>0</v>
          </cell>
          <cell r="Z38">
            <v>0</v>
          </cell>
          <cell r="AA38">
            <v>229</v>
          </cell>
          <cell r="AB38">
            <v>282</v>
          </cell>
          <cell r="AC38">
            <v>0</v>
          </cell>
          <cell r="AD38">
            <v>0</v>
          </cell>
          <cell r="AE38">
            <v>0</v>
          </cell>
          <cell r="AF38">
            <v>0</v>
          </cell>
          <cell r="AG38">
            <v>0</v>
          </cell>
          <cell r="AH38">
            <v>0</v>
          </cell>
          <cell r="AI38">
            <v>0</v>
          </cell>
          <cell r="AM38">
            <v>0</v>
          </cell>
          <cell r="AN38">
            <v>0</v>
          </cell>
          <cell r="AO38">
            <v>0</v>
          </cell>
          <cell r="AP38">
            <v>565849</v>
          </cell>
          <cell r="AQ38">
            <v>697881</v>
          </cell>
          <cell r="AR38">
            <v>0</v>
          </cell>
          <cell r="AS38">
            <v>-549283</v>
          </cell>
          <cell r="AT38">
            <v>-329571</v>
          </cell>
          <cell r="AU38">
            <v>-219713</v>
          </cell>
          <cell r="AV38">
            <v>0</v>
          </cell>
          <cell r="AW38">
            <v>-1098567</v>
          </cell>
          <cell r="AX38">
            <v>-7074280</v>
          </cell>
          <cell r="AY38">
            <v>-4244567</v>
          </cell>
          <cell r="AZ38">
            <v>-2829711</v>
          </cell>
          <cell r="BA38">
            <v>0</v>
          </cell>
          <cell r="BB38">
            <v>-14148558</v>
          </cell>
          <cell r="BC38">
            <v>119219512</v>
          </cell>
          <cell r="BD38">
            <v>-4714358</v>
          </cell>
          <cell r="BE38">
            <v>2982252</v>
          </cell>
          <cell r="BF38">
            <v>0</v>
          </cell>
          <cell r="BG38">
            <v>-7780334</v>
          </cell>
          <cell r="BH38">
            <v>-39661</v>
          </cell>
          <cell r="BI38">
            <v>0</v>
          </cell>
          <cell r="BJ38">
            <v>-51119</v>
          </cell>
          <cell r="BK38">
            <v>-2856992</v>
          </cell>
          <cell r="BL38">
            <v>-397988</v>
          </cell>
          <cell r="BM38">
            <v>-22154</v>
          </cell>
          <cell r="BN38">
            <v>-2286</v>
          </cell>
          <cell r="BO38">
            <v>0</v>
          </cell>
          <cell r="BP38">
            <v>0</v>
          </cell>
          <cell r="BQ38">
            <v>-1497</v>
          </cell>
          <cell r="BR38">
            <v>0</v>
          </cell>
          <cell r="BS38">
            <v>0</v>
          </cell>
          <cell r="BT38">
            <v>123761524</v>
          </cell>
          <cell r="BU38">
            <v>-1807064</v>
          </cell>
          <cell r="BV38">
            <v>8398505</v>
          </cell>
          <cell r="BW38">
            <v>-6108751</v>
          </cell>
          <cell r="BX38">
            <v>-4532954</v>
          </cell>
          <cell r="BY38">
            <v>-5247282</v>
          </cell>
          <cell r="BZ38">
            <v>125564621</v>
          </cell>
          <cell r="CA38">
            <v>-2266477</v>
          </cell>
          <cell r="CB38">
            <v>-1359885</v>
          </cell>
          <cell r="CC38">
            <v>-906592</v>
          </cell>
          <cell r="CD38">
            <v>0</v>
          </cell>
          <cell r="CE38">
            <v>-2623641</v>
          </cell>
          <cell r="CF38">
            <v>-1574185</v>
          </cell>
          <cell r="CG38">
            <v>-1049456</v>
          </cell>
          <cell r="CH38">
            <v>0</v>
          </cell>
        </row>
        <row r="39">
          <cell r="A39">
            <v>32</v>
          </cell>
          <cell r="B39" t="str">
            <v>Brentwood</v>
          </cell>
          <cell r="C39" t="str">
            <v>E1533</v>
          </cell>
          <cell r="D39">
            <v>104595</v>
          </cell>
          <cell r="H39">
            <v>-1319227</v>
          </cell>
          <cell r="I39">
            <v>0</v>
          </cell>
          <cell r="J39">
            <v>104595</v>
          </cell>
          <cell r="K39">
            <v>0</v>
          </cell>
          <cell r="L39">
            <v>0</v>
          </cell>
          <cell r="M39">
            <v>0</v>
          </cell>
          <cell r="N39">
            <v>0</v>
          </cell>
          <cell r="O39">
            <v>0</v>
          </cell>
          <cell r="P39">
            <v>0</v>
          </cell>
          <cell r="Q39">
            <v>0</v>
          </cell>
          <cell r="R39">
            <v>367273</v>
          </cell>
          <cell r="S39">
            <v>82636</v>
          </cell>
          <cell r="T39">
            <v>9182</v>
          </cell>
          <cell r="U39">
            <v>0</v>
          </cell>
          <cell r="V39">
            <v>0</v>
          </cell>
          <cell r="W39">
            <v>0</v>
          </cell>
          <cell r="X39">
            <v>5773</v>
          </cell>
          <cell r="Y39">
            <v>1299</v>
          </cell>
          <cell r="Z39">
            <v>144</v>
          </cell>
          <cell r="AA39">
            <v>0</v>
          </cell>
          <cell r="AB39">
            <v>0</v>
          </cell>
          <cell r="AC39">
            <v>0</v>
          </cell>
          <cell r="AD39">
            <v>0</v>
          </cell>
          <cell r="AE39">
            <v>0</v>
          </cell>
          <cell r="AF39">
            <v>0</v>
          </cell>
          <cell r="AG39">
            <v>0</v>
          </cell>
          <cell r="AH39">
            <v>0</v>
          </cell>
          <cell r="AI39">
            <v>0</v>
          </cell>
          <cell r="AM39">
            <v>0</v>
          </cell>
          <cell r="AN39">
            <v>0</v>
          </cell>
          <cell r="AO39">
            <v>0</v>
          </cell>
          <cell r="AP39">
            <v>167535</v>
          </cell>
          <cell r="AQ39">
            <v>37695</v>
          </cell>
          <cell r="AR39">
            <v>4188</v>
          </cell>
          <cell r="AS39">
            <v>-607522</v>
          </cell>
          <cell r="AT39">
            <v>-486019</v>
          </cell>
          <cell r="AU39">
            <v>-109352</v>
          </cell>
          <cell r="AV39">
            <v>-12151</v>
          </cell>
          <cell r="AW39">
            <v>-1215044</v>
          </cell>
          <cell r="AX39">
            <v>-2431367</v>
          </cell>
          <cell r="AY39">
            <v>-1945094</v>
          </cell>
          <cell r="AZ39">
            <v>-437647</v>
          </cell>
          <cell r="BA39">
            <v>-48628</v>
          </cell>
          <cell r="BB39">
            <v>-4862736</v>
          </cell>
          <cell r="BC39">
            <v>30436957</v>
          </cell>
          <cell r="BD39">
            <v>-1262848</v>
          </cell>
          <cell r="BE39">
            <v>852926</v>
          </cell>
          <cell r="BF39">
            <v>0</v>
          </cell>
          <cell r="BG39">
            <v>-2283236</v>
          </cell>
          <cell r="BH39">
            <v>-51489</v>
          </cell>
          <cell r="BI39">
            <v>-1129</v>
          </cell>
          <cell r="BJ39">
            <v>0</v>
          </cell>
          <cell r="BK39">
            <v>-1352475</v>
          </cell>
          <cell r="BL39">
            <v>-58742</v>
          </cell>
          <cell r="BM39">
            <v>-54241</v>
          </cell>
          <cell r="BN39">
            <v>-5504</v>
          </cell>
          <cell r="BO39">
            <v>-3989</v>
          </cell>
          <cell r="BP39">
            <v>-9931</v>
          </cell>
          <cell r="BQ39">
            <v>-22956</v>
          </cell>
          <cell r="BR39">
            <v>0</v>
          </cell>
          <cell r="BS39">
            <v>0</v>
          </cell>
          <cell r="BT39">
            <v>31719937</v>
          </cell>
          <cell r="BU39">
            <v>-734618</v>
          </cell>
          <cell r="BV39">
            <v>2689187</v>
          </cell>
          <cell r="BW39">
            <v>-766609</v>
          </cell>
          <cell r="BX39">
            <v>-1106648</v>
          </cell>
          <cell r="BY39">
            <v>0</v>
          </cell>
          <cell r="BZ39">
            <v>27882667</v>
          </cell>
          <cell r="CA39">
            <v>-553325</v>
          </cell>
          <cell r="CB39">
            <v>-442659</v>
          </cell>
          <cell r="CC39">
            <v>-99599</v>
          </cell>
          <cell r="CD39">
            <v>-11065</v>
          </cell>
          <cell r="CE39">
            <v>0</v>
          </cell>
          <cell r="CF39">
            <v>0</v>
          </cell>
          <cell r="CG39">
            <v>0</v>
          </cell>
          <cell r="CH39">
            <v>0</v>
          </cell>
        </row>
        <row r="40">
          <cell r="A40">
            <v>33</v>
          </cell>
          <cell r="B40" t="str">
            <v>Brighton &amp; Hove</v>
          </cell>
          <cell r="C40" t="str">
            <v>E1401</v>
          </cell>
          <cell r="D40">
            <v>432307</v>
          </cell>
          <cell r="H40">
            <v>7476586</v>
          </cell>
          <cell r="I40">
            <v>0</v>
          </cell>
          <cell r="J40">
            <v>432307</v>
          </cell>
          <cell r="K40">
            <v>0</v>
          </cell>
          <cell r="L40">
            <v>0</v>
          </cell>
          <cell r="M40">
            <v>0</v>
          </cell>
          <cell r="N40">
            <v>0</v>
          </cell>
          <cell r="O40">
            <v>0</v>
          </cell>
          <cell r="P40">
            <v>0</v>
          </cell>
          <cell r="Q40">
            <v>0</v>
          </cell>
          <cell r="R40">
            <v>2378278</v>
          </cell>
          <cell r="S40">
            <v>0</v>
          </cell>
          <cell r="T40">
            <v>48536</v>
          </cell>
          <cell r="U40">
            <v>8320</v>
          </cell>
          <cell r="V40">
            <v>0</v>
          </cell>
          <cell r="W40">
            <v>170</v>
          </cell>
          <cell r="X40">
            <v>1791</v>
          </cell>
          <cell r="Y40">
            <v>0</v>
          </cell>
          <cell r="Z40">
            <v>37</v>
          </cell>
          <cell r="AA40">
            <v>322</v>
          </cell>
          <cell r="AB40">
            <v>0</v>
          </cell>
          <cell r="AC40">
            <v>7</v>
          </cell>
          <cell r="AD40">
            <v>0</v>
          </cell>
          <cell r="AE40">
            <v>0</v>
          </cell>
          <cell r="AF40">
            <v>0</v>
          </cell>
          <cell r="AG40">
            <v>0</v>
          </cell>
          <cell r="AH40">
            <v>0</v>
          </cell>
          <cell r="AI40">
            <v>0</v>
          </cell>
          <cell r="AM40">
            <v>0</v>
          </cell>
          <cell r="AN40">
            <v>0</v>
          </cell>
          <cell r="AO40">
            <v>0</v>
          </cell>
          <cell r="AP40">
            <v>854372</v>
          </cell>
          <cell r="AQ40">
            <v>0</v>
          </cell>
          <cell r="AR40">
            <v>17436</v>
          </cell>
          <cell r="AS40">
            <v>-1045690</v>
          </cell>
          <cell r="AT40">
            <v>-1024776</v>
          </cell>
          <cell r="AU40">
            <v>0</v>
          </cell>
          <cell r="AV40">
            <v>-20914</v>
          </cell>
          <cell r="AW40">
            <v>-2091380</v>
          </cell>
          <cell r="AX40">
            <v>-2569069</v>
          </cell>
          <cell r="AY40">
            <v>-2517688</v>
          </cell>
          <cell r="AZ40">
            <v>0</v>
          </cell>
          <cell r="BA40">
            <v>-51381</v>
          </cell>
          <cell r="BB40">
            <v>-5138138</v>
          </cell>
          <cell r="BC40">
            <v>107899884</v>
          </cell>
          <cell r="BD40">
            <v>-6790825</v>
          </cell>
          <cell r="BE40">
            <v>2906089</v>
          </cell>
          <cell r="BF40">
            <v>0</v>
          </cell>
          <cell r="BG40">
            <v>-8820862</v>
          </cell>
          <cell r="BH40">
            <v>-51976</v>
          </cell>
          <cell r="BI40">
            <v>0</v>
          </cell>
          <cell r="BJ40">
            <v>-93295</v>
          </cell>
          <cell r="BK40">
            <v>-2763952</v>
          </cell>
          <cell r="BL40">
            <v>-64472</v>
          </cell>
          <cell r="BM40">
            <v>-27626</v>
          </cell>
          <cell r="BN40">
            <v>-11433</v>
          </cell>
          <cell r="BO40">
            <v>0</v>
          </cell>
          <cell r="BP40">
            <v>0</v>
          </cell>
          <cell r="BQ40">
            <v>0</v>
          </cell>
          <cell r="BR40">
            <v>0</v>
          </cell>
          <cell r="BS40">
            <v>0</v>
          </cell>
          <cell r="BT40">
            <v>110297348</v>
          </cell>
          <cell r="BU40">
            <v>-413139</v>
          </cell>
          <cell r="BV40">
            <v>5271833</v>
          </cell>
          <cell r="BW40">
            <v>-4919474</v>
          </cell>
          <cell r="BX40">
            <v>-3543363</v>
          </cell>
          <cell r="BY40">
            <v>-3437000</v>
          </cell>
          <cell r="BZ40">
            <v>116075084</v>
          </cell>
          <cell r="CA40">
            <v>-1771682</v>
          </cell>
          <cell r="CB40">
            <v>-1736248</v>
          </cell>
          <cell r="CC40">
            <v>0</v>
          </cell>
          <cell r="CD40">
            <v>-35433</v>
          </cell>
          <cell r="CE40">
            <v>-1718500</v>
          </cell>
          <cell r="CF40">
            <v>-1684130</v>
          </cell>
          <cell r="CG40">
            <v>0</v>
          </cell>
          <cell r="CH40">
            <v>-34370</v>
          </cell>
        </row>
        <row r="41">
          <cell r="A41">
            <v>34</v>
          </cell>
          <cell r="B41" t="str">
            <v>Bristol</v>
          </cell>
          <cell r="C41" t="str">
            <v>E0102</v>
          </cell>
          <cell r="D41">
            <v>715969</v>
          </cell>
          <cell r="H41">
            <v>-6692172</v>
          </cell>
          <cell r="I41">
            <v>-239923</v>
          </cell>
          <cell r="J41">
            <v>715969</v>
          </cell>
          <cell r="K41">
            <v>4280807</v>
          </cell>
          <cell r="L41">
            <v>139958</v>
          </cell>
          <cell r="M41">
            <v>0</v>
          </cell>
          <cell r="N41">
            <v>0</v>
          </cell>
          <cell r="O41">
            <v>0</v>
          </cell>
          <cell r="P41">
            <v>0</v>
          </cell>
          <cell r="Q41">
            <v>0</v>
          </cell>
          <cell r="R41">
            <v>5511314</v>
          </cell>
          <cell r="S41">
            <v>287326</v>
          </cell>
          <cell r="T41">
            <v>57465</v>
          </cell>
          <cell r="U41">
            <v>29146</v>
          </cell>
          <cell r="V41">
            <v>1550</v>
          </cell>
          <cell r="W41">
            <v>310</v>
          </cell>
          <cell r="X41">
            <v>0</v>
          </cell>
          <cell r="Y41">
            <v>0</v>
          </cell>
          <cell r="Z41">
            <v>0</v>
          </cell>
          <cell r="AA41">
            <v>24837</v>
          </cell>
          <cell r="AB41">
            <v>1321</v>
          </cell>
          <cell r="AC41">
            <v>264</v>
          </cell>
          <cell r="AD41">
            <v>0</v>
          </cell>
          <cell r="AE41">
            <v>0</v>
          </cell>
          <cell r="AF41">
            <v>0</v>
          </cell>
          <cell r="AG41">
            <v>0</v>
          </cell>
          <cell r="AH41">
            <v>0</v>
          </cell>
          <cell r="AI41">
            <v>0</v>
          </cell>
          <cell r="AM41">
            <v>0</v>
          </cell>
          <cell r="AN41">
            <v>0</v>
          </cell>
          <cell r="AO41">
            <v>0</v>
          </cell>
          <cell r="AP41">
            <v>2956474</v>
          </cell>
          <cell r="AQ41">
            <v>153727</v>
          </cell>
          <cell r="AR41">
            <v>30745</v>
          </cell>
          <cell r="AS41">
            <v>-1074092</v>
          </cell>
          <cell r="AT41">
            <v>-1052611</v>
          </cell>
          <cell r="AU41">
            <v>0</v>
          </cell>
          <cell r="AV41">
            <v>-21482</v>
          </cell>
          <cell r="AW41">
            <v>-2148185</v>
          </cell>
          <cell r="AX41">
            <v>-11344081</v>
          </cell>
          <cell r="AY41">
            <v>-11117202</v>
          </cell>
          <cell r="AZ41">
            <v>0</v>
          </cell>
          <cell r="BA41">
            <v>-226882</v>
          </cell>
          <cell r="BB41">
            <v>-22688165</v>
          </cell>
          <cell r="BC41">
            <v>197428618</v>
          </cell>
          <cell r="BD41">
            <v>-9056013</v>
          </cell>
          <cell r="BE41">
            <v>6094483</v>
          </cell>
          <cell r="BF41">
            <v>0</v>
          </cell>
          <cell r="BG41">
            <v>-17897378</v>
          </cell>
          <cell r="BH41">
            <v>-125151</v>
          </cell>
          <cell r="BI41">
            <v>0</v>
          </cell>
          <cell r="BJ41">
            <v>-374188</v>
          </cell>
          <cell r="BK41">
            <v>-10203201</v>
          </cell>
          <cell r="BL41">
            <v>-276729</v>
          </cell>
          <cell r="BM41">
            <v>-262129</v>
          </cell>
          <cell r="BN41">
            <v>-2057</v>
          </cell>
          <cell r="BO41">
            <v>0</v>
          </cell>
          <cell r="BP41">
            <v>0</v>
          </cell>
          <cell r="BQ41">
            <v>-1106102</v>
          </cell>
          <cell r="BR41">
            <v>-1206903</v>
          </cell>
          <cell r="BS41">
            <v>0</v>
          </cell>
          <cell r="BT41">
            <v>219805763</v>
          </cell>
          <cell r="BU41">
            <v>-1545000</v>
          </cell>
          <cell r="BV41">
            <v>4263960</v>
          </cell>
          <cell r="BW41">
            <v>-2937074</v>
          </cell>
          <cell r="BX41">
            <v>-327986</v>
          </cell>
          <cell r="BY41">
            <v>13172779</v>
          </cell>
          <cell r="BZ41">
            <v>204676490</v>
          </cell>
          <cell r="CA41">
            <v>-163993</v>
          </cell>
          <cell r="CB41">
            <v>-160713</v>
          </cell>
          <cell r="CC41">
            <v>0</v>
          </cell>
          <cell r="CD41">
            <v>-3280</v>
          </cell>
          <cell r="CE41">
            <v>6586389</v>
          </cell>
          <cell r="CF41">
            <v>6454662</v>
          </cell>
          <cell r="CG41">
            <v>0</v>
          </cell>
          <cell r="CH41">
            <v>131728</v>
          </cell>
        </row>
        <row r="42">
          <cell r="A42">
            <v>35</v>
          </cell>
          <cell r="B42" t="str">
            <v>Broadland</v>
          </cell>
          <cell r="C42" t="str">
            <v>E2632</v>
          </cell>
          <cell r="D42">
            <v>139831</v>
          </cell>
          <cell r="H42">
            <v>-436237</v>
          </cell>
          <cell r="I42">
            <v>0</v>
          </cell>
          <cell r="J42">
            <v>139831</v>
          </cell>
          <cell r="K42">
            <v>0</v>
          </cell>
          <cell r="L42">
            <v>150362</v>
          </cell>
          <cell r="M42">
            <v>0</v>
          </cell>
          <cell r="N42">
            <v>0</v>
          </cell>
          <cell r="O42">
            <v>0</v>
          </cell>
          <cell r="P42">
            <v>0</v>
          </cell>
          <cell r="Q42">
            <v>0</v>
          </cell>
          <cell r="R42">
            <v>679374</v>
          </cell>
          <cell r="S42">
            <v>169843</v>
          </cell>
          <cell r="T42">
            <v>0</v>
          </cell>
          <cell r="U42">
            <v>1078</v>
          </cell>
          <cell r="V42">
            <v>270</v>
          </cell>
          <cell r="W42">
            <v>0</v>
          </cell>
          <cell r="X42">
            <v>0</v>
          </cell>
          <cell r="Y42">
            <v>0</v>
          </cell>
          <cell r="Z42">
            <v>0</v>
          </cell>
          <cell r="AA42">
            <v>0</v>
          </cell>
          <cell r="AB42">
            <v>0</v>
          </cell>
          <cell r="AC42">
            <v>0</v>
          </cell>
          <cell r="AD42">
            <v>0</v>
          </cell>
          <cell r="AE42">
            <v>0</v>
          </cell>
          <cell r="AF42">
            <v>0</v>
          </cell>
          <cell r="AG42">
            <v>0</v>
          </cell>
          <cell r="AH42">
            <v>0</v>
          </cell>
          <cell r="AI42">
            <v>0</v>
          </cell>
          <cell r="AM42">
            <v>0</v>
          </cell>
          <cell r="AN42">
            <v>0</v>
          </cell>
          <cell r="AO42">
            <v>0</v>
          </cell>
          <cell r="AP42">
            <v>179136</v>
          </cell>
          <cell r="AQ42">
            <v>44219</v>
          </cell>
          <cell r="AR42">
            <v>0</v>
          </cell>
          <cell r="AS42">
            <v>-78276</v>
          </cell>
          <cell r="AT42">
            <v>-62621</v>
          </cell>
          <cell r="AU42">
            <v>-15655</v>
          </cell>
          <cell r="AV42">
            <v>0</v>
          </cell>
          <cell r="AW42">
            <v>-156552</v>
          </cell>
          <cell r="AX42">
            <v>-1492877</v>
          </cell>
          <cell r="AY42">
            <v>-1194301</v>
          </cell>
          <cell r="AZ42">
            <v>-298575</v>
          </cell>
          <cell r="BA42">
            <v>0</v>
          </cell>
          <cell r="BB42">
            <v>-2985753</v>
          </cell>
          <cell r="BC42">
            <v>30226613</v>
          </cell>
          <cell r="BD42">
            <v>-2798168</v>
          </cell>
          <cell r="BE42">
            <v>784524</v>
          </cell>
          <cell r="BF42">
            <v>0</v>
          </cell>
          <cell r="BG42">
            <v>-1570741</v>
          </cell>
          <cell r="BH42">
            <v>-33528</v>
          </cell>
          <cell r="BI42">
            <v>-54574</v>
          </cell>
          <cell r="BJ42">
            <v>-7089</v>
          </cell>
          <cell r="BK42">
            <v>-725375</v>
          </cell>
          <cell r="BL42">
            <v>-21174</v>
          </cell>
          <cell r="BM42">
            <v>-59319</v>
          </cell>
          <cell r="BN42">
            <v>0</v>
          </cell>
          <cell r="BO42">
            <v>-54574</v>
          </cell>
          <cell r="BP42">
            <v>-9740</v>
          </cell>
          <cell r="BQ42">
            <v>-17989</v>
          </cell>
          <cell r="BR42">
            <v>0</v>
          </cell>
          <cell r="BS42">
            <v>0</v>
          </cell>
          <cell r="BT42">
            <v>30352116</v>
          </cell>
          <cell r="BU42">
            <v>-143798</v>
          </cell>
          <cell r="BV42">
            <v>338980</v>
          </cell>
          <cell r="BW42">
            <v>-699513</v>
          </cell>
          <cell r="BX42">
            <v>-1179522</v>
          </cell>
          <cell r="BY42">
            <v>-564109</v>
          </cell>
          <cell r="BZ42">
            <v>29437364</v>
          </cell>
          <cell r="CA42">
            <v>-589760</v>
          </cell>
          <cell r="CB42">
            <v>-471809</v>
          </cell>
          <cell r="CC42">
            <v>-117953</v>
          </cell>
          <cell r="CD42">
            <v>0</v>
          </cell>
          <cell r="CE42">
            <v>-282054</v>
          </cell>
          <cell r="CF42">
            <v>-225644</v>
          </cell>
          <cell r="CG42">
            <v>-56411</v>
          </cell>
          <cell r="CH42">
            <v>0</v>
          </cell>
        </row>
        <row r="43">
          <cell r="A43">
            <v>36</v>
          </cell>
          <cell r="B43" t="str">
            <v>Bromley</v>
          </cell>
          <cell r="C43" t="str">
            <v>E5034</v>
          </cell>
          <cell r="D43">
            <v>336429</v>
          </cell>
          <cell r="H43">
            <v>5959515</v>
          </cell>
          <cell r="I43">
            <v>0</v>
          </cell>
          <cell r="J43">
            <v>336429</v>
          </cell>
          <cell r="K43">
            <v>0</v>
          </cell>
          <cell r="L43">
            <v>0</v>
          </cell>
          <cell r="M43">
            <v>0</v>
          </cell>
          <cell r="N43">
            <v>0</v>
          </cell>
          <cell r="O43">
            <v>0</v>
          </cell>
          <cell r="P43">
            <v>0</v>
          </cell>
          <cell r="Q43">
            <v>0</v>
          </cell>
          <cell r="R43">
            <v>1290124</v>
          </cell>
          <cell r="S43">
            <v>1591153</v>
          </cell>
          <cell r="T43">
            <v>0</v>
          </cell>
          <cell r="U43">
            <v>0</v>
          </cell>
          <cell r="V43">
            <v>0</v>
          </cell>
          <cell r="W43">
            <v>0</v>
          </cell>
          <cell r="X43">
            <v>0</v>
          </cell>
          <cell r="Y43">
            <v>0</v>
          </cell>
          <cell r="Z43">
            <v>0</v>
          </cell>
          <cell r="AA43">
            <v>10624</v>
          </cell>
          <cell r="AB43">
            <v>13102</v>
          </cell>
          <cell r="AC43">
            <v>0</v>
          </cell>
          <cell r="AD43">
            <v>0</v>
          </cell>
          <cell r="AE43">
            <v>0</v>
          </cell>
          <cell r="AF43">
            <v>0</v>
          </cell>
          <cell r="AG43">
            <v>0</v>
          </cell>
          <cell r="AH43">
            <v>0</v>
          </cell>
          <cell r="AI43">
            <v>0</v>
          </cell>
          <cell r="AM43">
            <v>0</v>
          </cell>
          <cell r="AN43">
            <v>0</v>
          </cell>
          <cell r="AO43">
            <v>0</v>
          </cell>
          <cell r="AP43">
            <v>408626</v>
          </cell>
          <cell r="AQ43">
            <v>503972</v>
          </cell>
          <cell r="AR43">
            <v>0</v>
          </cell>
          <cell r="AS43">
            <v>-377128</v>
          </cell>
          <cell r="AT43">
            <v>-226278</v>
          </cell>
          <cell r="AU43">
            <v>-150852</v>
          </cell>
          <cell r="AV43">
            <v>0</v>
          </cell>
          <cell r="AW43">
            <v>-754258</v>
          </cell>
          <cell r="AX43">
            <v>-4823639</v>
          </cell>
          <cell r="AY43">
            <v>-2894184</v>
          </cell>
          <cell r="AZ43">
            <v>-1929456</v>
          </cell>
          <cell r="BA43">
            <v>0</v>
          </cell>
          <cell r="BB43">
            <v>-9647279</v>
          </cell>
          <cell r="BC43">
            <v>82992895</v>
          </cell>
          <cell r="BD43">
            <v>-4658165</v>
          </cell>
          <cell r="BE43">
            <v>2214562</v>
          </cell>
          <cell r="BF43">
            <v>0</v>
          </cell>
          <cell r="BG43">
            <v>-8995052</v>
          </cell>
          <cell r="BH43">
            <v>-186654</v>
          </cell>
          <cell r="BI43">
            <v>0</v>
          </cell>
          <cell r="BJ43">
            <v>-2416</v>
          </cell>
          <cell r="BK43">
            <v>-2807493</v>
          </cell>
          <cell r="BL43">
            <v>-211201</v>
          </cell>
          <cell r="BM43">
            <v>-303101</v>
          </cell>
          <cell r="BN43">
            <v>-46664</v>
          </cell>
          <cell r="BO43">
            <v>0</v>
          </cell>
          <cell r="BP43">
            <v>0</v>
          </cell>
          <cell r="BQ43">
            <v>0</v>
          </cell>
          <cell r="BR43">
            <v>0</v>
          </cell>
          <cell r="BS43">
            <v>0</v>
          </cell>
          <cell r="BT43">
            <v>86081051</v>
          </cell>
          <cell r="BU43">
            <v>-260048</v>
          </cell>
          <cell r="BV43">
            <v>2120477</v>
          </cell>
          <cell r="BW43">
            <v>-4259571</v>
          </cell>
          <cell r="BX43">
            <v>-597123.09999999963</v>
          </cell>
          <cell r="BY43">
            <v>576774</v>
          </cell>
          <cell r="BZ43">
            <v>90676111</v>
          </cell>
          <cell r="CA43">
            <v>-298561.09999999963</v>
          </cell>
          <cell r="CB43">
            <v>-179137</v>
          </cell>
          <cell r="CC43">
            <v>-119425</v>
          </cell>
          <cell r="CD43">
            <v>0</v>
          </cell>
          <cell r="CE43">
            <v>288387</v>
          </cell>
          <cell r="CF43">
            <v>173032</v>
          </cell>
          <cell r="CG43">
            <v>115355</v>
          </cell>
          <cell r="CH43">
            <v>0</v>
          </cell>
        </row>
        <row r="44">
          <cell r="A44">
            <v>37</v>
          </cell>
          <cell r="B44" t="str">
            <v>Bromsgrove</v>
          </cell>
          <cell r="C44" t="str">
            <v>E1831</v>
          </cell>
          <cell r="D44">
            <v>119076</v>
          </cell>
          <cell r="H44">
            <v>-2034695.91</v>
          </cell>
          <cell r="I44">
            <v>0</v>
          </cell>
          <cell r="J44">
            <v>119076</v>
          </cell>
          <cell r="K44">
            <v>0</v>
          </cell>
          <cell r="L44">
            <v>0</v>
          </cell>
          <cell r="M44">
            <v>0</v>
          </cell>
          <cell r="N44">
            <v>0</v>
          </cell>
          <cell r="O44">
            <v>0</v>
          </cell>
          <cell r="P44">
            <v>0</v>
          </cell>
          <cell r="Q44">
            <v>0</v>
          </cell>
          <cell r="R44">
            <v>765072</v>
          </cell>
          <cell r="S44">
            <v>172141</v>
          </cell>
          <cell r="T44">
            <v>19127</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M44">
            <v>0</v>
          </cell>
          <cell r="AN44">
            <v>0</v>
          </cell>
          <cell r="AO44">
            <v>0</v>
          </cell>
          <cell r="AP44">
            <v>134134</v>
          </cell>
          <cell r="AQ44">
            <v>30180</v>
          </cell>
          <cell r="AR44">
            <v>3353</v>
          </cell>
          <cell r="AS44">
            <v>-489008</v>
          </cell>
          <cell r="AT44">
            <v>-391203</v>
          </cell>
          <cell r="AU44">
            <v>-88021</v>
          </cell>
          <cell r="AV44">
            <v>-9779</v>
          </cell>
          <cell r="AW44">
            <v>-978011</v>
          </cell>
          <cell r="AX44">
            <v>-952878</v>
          </cell>
          <cell r="AY44">
            <v>-762301</v>
          </cell>
          <cell r="AZ44">
            <v>-171518</v>
          </cell>
          <cell r="BA44">
            <v>-19058</v>
          </cell>
          <cell r="BB44">
            <v>-1905755</v>
          </cell>
          <cell r="BC44">
            <v>26868684</v>
          </cell>
          <cell r="BD44">
            <v>-2285649</v>
          </cell>
          <cell r="BE44">
            <v>720338</v>
          </cell>
          <cell r="BF44">
            <v>0</v>
          </cell>
          <cell r="BG44">
            <v>-2161426</v>
          </cell>
          <cell r="BH44">
            <v>-15984</v>
          </cell>
          <cell r="BI44">
            <v>-1673</v>
          </cell>
          <cell r="BJ44">
            <v>-109710</v>
          </cell>
          <cell r="BK44">
            <v>-1092009</v>
          </cell>
          <cell r="BL44">
            <v>-33883</v>
          </cell>
          <cell r="BM44">
            <v>-56585</v>
          </cell>
          <cell r="BN44">
            <v>-258</v>
          </cell>
          <cell r="BO44">
            <v>-994</v>
          </cell>
          <cell r="BP44">
            <v>0</v>
          </cell>
          <cell r="BQ44">
            <v>0</v>
          </cell>
          <cell r="BR44">
            <v>0</v>
          </cell>
          <cell r="BS44">
            <v>0</v>
          </cell>
          <cell r="BT44">
            <v>27893633</v>
          </cell>
          <cell r="BU44">
            <v>-133364</v>
          </cell>
          <cell r="BV44">
            <v>2149381</v>
          </cell>
          <cell r="BW44">
            <v>-554352</v>
          </cell>
          <cell r="BX44">
            <v>-1348917</v>
          </cell>
          <cell r="BY44">
            <v>-506927</v>
          </cell>
          <cell r="BZ44">
            <v>22323665</v>
          </cell>
          <cell r="CA44">
            <v>-674460</v>
          </cell>
          <cell r="CB44">
            <v>-539566</v>
          </cell>
          <cell r="CC44">
            <v>-121402</v>
          </cell>
          <cell r="CD44">
            <v>-13489</v>
          </cell>
          <cell r="CE44">
            <v>-253464</v>
          </cell>
          <cell r="CF44">
            <v>-202771</v>
          </cell>
          <cell r="CG44">
            <v>-45623</v>
          </cell>
          <cell r="CH44">
            <v>-5069</v>
          </cell>
        </row>
        <row r="45">
          <cell r="A45">
            <v>38</v>
          </cell>
          <cell r="B45" t="str">
            <v>Broxbourne</v>
          </cell>
          <cell r="C45" t="str">
            <v>E1931</v>
          </cell>
          <cell r="D45">
            <v>111335</v>
          </cell>
          <cell r="H45">
            <v>-2038080</v>
          </cell>
          <cell r="I45">
            <v>0</v>
          </cell>
          <cell r="J45">
            <v>111335</v>
          </cell>
          <cell r="K45">
            <v>0</v>
          </cell>
          <cell r="L45">
            <v>0</v>
          </cell>
          <cell r="M45">
            <v>0</v>
          </cell>
          <cell r="N45">
            <v>0</v>
          </cell>
          <cell r="O45">
            <v>0</v>
          </cell>
          <cell r="P45">
            <v>0</v>
          </cell>
          <cell r="Q45">
            <v>0</v>
          </cell>
          <cell r="R45">
            <v>491048</v>
          </cell>
          <cell r="S45">
            <v>122762</v>
          </cell>
          <cell r="T45">
            <v>0</v>
          </cell>
          <cell r="U45">
            <v>0</v>
          </cell>
          <cell r="V45">
            <v>0</v>
          </cell>
          <cell r="W45">
            <v>0</v>
          </cell>
          <cell r="X45">
            <v>2371</v>
          </cell>
          <cell r="Y45">
            <v>593</v>
          </cell>
          <cell r="Z45">
            <v>0</v>
          </cell>
          <cell r="AA45">
            <v>877</v>
          </cell>
          <cell r="AB45">
            <v>219</v>
          </cell>
          <cell r="AC45">
            <v>0</v>
          </cell>
          <cell r="AD45">
            <v>0</v>
          </cell>
          <cell r="AE45">
            <v>0</v>
          </cell>
          <cell r="AF45">
            <v>0</v>
          </cell>
          <cell r="AG45">
            <v>0</v>
          </cell>
          <cell r="AH45">
            <v>0</v>
          </cell>
          <cell r="AI45">
            <v>0</v>
          </cell>
          <cell r="AM45">
            <v>0</v>
          </cell>
          <cell r="AN45">
            <v>0</v>
          </cell>
          <cell r="AO45">
            <v>0</v>
          </cell>
          <cell r="AP45">
            <v>236190</v>
          </cell>
          <cell r="AQ45">
            <v>59047</v>
          </cell>
          <cell r="AR45">
            <v>0</v>
          </cell>
          <cell r="AS45">
            <v>-124718.70000000001</v>
          </cell>
          <cell r="AT45">
            <v>-99773</v>
          </cell>
          <cell r="AU45">
            <v>-24944</v>
          </cell>
          <cell r="AV45">
            <v>0</v>
          </cell>
          <cell r="AW45">
            <v>-249435.7</v>
          </cell>
          <cell r="AX45">
            <v>-1254104</v>
          </cell>
          <cell r="AY45">
            <v>-1003283</v>
          </cell>
          <cell r="AZ45">
            <v>-250820</v>
          </cell>
          <cell r="BA45">
            <v>0</v>
          </cell>
          <cell r="BB45">
            <v>-2508207</v>
          </cell>
          <cell r="BC45">
            <v>40732039</v>
          </cell>
          <cell r="BD45">
            <v>-1498079</v>
          </cell>
          <cell r="BE45">
            <v>1142126</v>
          </cell>
          <cell r="BF45">
            <v>0</v>
          </cell>
          <cell r="BG45">
            <v>-2152909</v>
          </cell>
          <cell r="BH45">
            <v>-74411</v>
          </cell>
          <cell r="BI45">
            <v>0</v>
          </cell>
          <cell r="BJ45">
            <v>-125665</v>
          </cell>
          <cell r="BK45">
            <v>-417904</v>
          </cell>
          <cell r="BL45">
            <v>-57937</v>
          </cell>
          <cell r="BM45">
            <v>-7892</v>
          </cell>
          <cell r="BN45">
            <v>-16165</v>
          </cell>
          <cell r="BO45">
            <v>0</v>
          </cell>
          <cell r="BP45">
            <v>0</v>
          </cell>
          <cell r="BQ45">
            <v>0</v>
          </cell>
          <cell r="BR45">
            <v>0</v>
          </cell>
          <cell r="BS45">
            <v>0</v>
          </cell>
          <cell r="BT45">
            <v>40130750</v>
          </cell>
          <cell r="BU45">
            <v>0</v>
          </cell>
          <cell r="BV45">
            <v>3299773</v>
          </cell>
          <cell r="BW45">
            <v>-982218</v>
          </cell>
          <cell r="BX45">
            <v>-4163827.700000003</v>
          </cell>
          <cell r="BY45">
            <v>-3714898</v>
          </cell>
          <cell r="BZ45">
            <v>39308713</v>
          </cell>
          <cell r="CA45">
            <v>-2081913.700000003</v>
          </cell>
          <cell r="CB45">
            <v>-1665531</v>
          </cell>
          <cell r="CC45">
            <v>-416383</v>
          </cell>
          <cell r="CD45">
            <v>0</v>
          </cell>
          <cell r="CE45">
            <v>-1857449</v>
          </cell>
          <cell r="CF45">
            <v>-1485959</v>
          </cell>
          <cell r="CG45">
            <v>-371490</v>
          </cell>
          <cell r="CH45">
            <v>0</v>
          </cell>
        </row>
        <row r="46">
          <cell r="A46">
            <v>39</v>
          </cell>
          <cell r="B46" t="str">
            <v>Broxtowe</v>
          </cell>
          <cell r="C46" t="str">
            <v>E3033</v>
          </cell>
          <cell r="D46">
            <v>106254</v>
          </cell>
          <cell r="H46">
            <v>356910.08999999997</v>
          </cell>
          <cell r="I46">
            <v>8895.1900000000023</v>
          </cell>
          <cell r="J46">
            <v>106254</v>
          </cell>
          <cell r="K46">
            <v>0</v>
          </cell>
          <cell r="L46">
            <v>0</v>
          </cell>
          <cell r="M46">
            <v>0</v>
          </cell>
          <cell r="N46">
            <v>110000</v>
          </cell>
          <cell r="O46">
            <v>110000</v>
          </cell>
          <cell r="P46">
            <v>0</v>
          </cell>
          <cell r="Q46">
            <v>0</v>
          </cell>
          <cell r="R46">
            <v>473498</v>
          </cell>
          <cell r="S46">
            <v>106537</v>
          </cell>
          <cell r="T46">
            <v>11837</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M46">
            <v>0</v>
          </cell>
          <cell r="AN46">
            <v>0</v>
          </cell>
          <cell r="AO46">
            <v>0</v>
          </cell>
          <cell r="AP46">
            <v>160511</v>
          </cell>
          <cell r="AQ46">
            <v>35743</v>
          </cell>
          <cell r="AR46">
            <v>3971</v>
          </cell>
          <cell r="AS46">
            <v>-358000</v>
          </cell>
          <cell r="AT46">
            <v>-286400</v>
          </cell>
          <cell r="AU46">
            <v>-64440</v>
          </cell>
          <cell r="AV46">
            <v>-7160</v>
          </cell>
          <cell r="AW46">
            <v>-716000</v>
          </cell>
          <cell r="AX46">
            <v>-1511866</v>
          </cell>
          <cell r="AY46">
            <v>-1209494</v>
          </cell>
          <cell r="AZ46">
            <v>-272137</v>
          </cell>
          <cell r="BA46">
            <v>-30237</v>
          </cell>
          <cell r="BB46">
            <v>-3023734</v>
          </cell>
          <cell r="BC46">
            <v>23137167</v>
          </cell>
          <cell r="BD46">
            <v>-1748436</v>
          </cell>
          <cell r="BE46">
            <v>648625</v>
          </cell>
          <cell r="BF46">
            <v>0</v>
          </cell>
          <cell r="BG46">
            <v>-1156170</v>
          </cell>
          <cell r="BH46">
            <v>0</v>
          </cell>
          <cell r="BI46">
            <v>-1970</v>
          </cell>
          <cell r="BJ46">
            <v>-980</v>
          </cell>
          <cell r="BK46">
            <v>-828862</v>
          </cell>
          <cell r="BL46">
            <v>-70763</v>
          </cell>
          <cell r="BM46">
            <v>-12802</v>
          </cell>
          <cell r="BN46">
            <v>0</v>
          </cell>
          <cell r="BO46">
            <v>-1969</v>
          </cell>
          <cell r="BP46">
            <v>0</v>
          </cell>
          <cell r="BQ46">
            <v>-71230</v>
          </cell>
          <cell r="BR46">
            <v>-71230</v>
          </cell>
          <cell r="BS46">
            <v>0</v>
          </cell>
          <cell r="BT46">
            <v>24644155</v>
          </cell>
          <cell r="BU46">
            <v>-74622</v>
          </cell>
          <cell r="BV46">
            <v>1202659</v>
          </cell>
          <cell r="BW46">
            <v>-602981</v>
          </cell>
          <cell r="BX46">
            <v>-3337467</v>
          </cell>
          <cell r="BY46">
            <v>-1725658</v>
          </cell>
          <cell r="BZ46">
            <v>26438560</v>
          </cell>
          <cell r="CA46">
            <v>-1668735</v>
          </cell>
          <cell r="CB46">
            <v>-1334986</v>
          </cell>
          <cell r="CC46">
            <v>-300372</v>
          </cell>
          <cell r="CD46">
            <v>-33374</v>
          </cell>
          <cell r="CE46">
            <v>-862829</v>
          </cell>
          <cell r="CF46">
            <v>-690263</v>
          </cell>
          <cell r="CG46">
            <v>-155309</v>
          </cell>
          <cell r="CH46">
            <v>-17257</v>
          </cell>
        </row>
        <row r="47">
          <cell r="A47">
            <v>40</v>
          </cell>
          <cell r="B47" t="str">
            <v>Burnley</v>
          </cell>
          <cell r="C47" t="str">
            <v>E2333</v>
          </cell>
          <cell r="D47">
            <v>148995</v>
          </cell>
          <cell r="H47">
            <v>-2070334</v>
          </cell>
          <cell r="I47">
            <v>0</v>
          </cell>
          <cell r="J47">
            <v>148995</v>
          </cell>
          <cell r="K47">
            <v>0</v>
          </cell>
          <cell r="L47">
            <v>233252</v>
          </cell>
          <cell r="M47">
            <v>0</v>
          </cell>
          <cell r="N47">
            <v>0</v>
          </cell>
          <cell r="O47">
            <v>0</v>
          </cell>
          <cell r="P47">
            <v>0</v>
          </cell>
          <cell r="Q47">
            <v>0</v>
          </cell>
          <cell r="R47">
            <v>682089</v>
          </cell>
          <cell r="S47">
            <v>153470</v>
          </cell>
          <cell r="T47">
            <v>17052</v>
          </cell>
          <cell r="U47">
            <v>2857</v>
          </cell>
          <cell r="V47">
            <v>643</v>
          </cell>
          <cell r="W47">
            <v>71</v>
          </cell>
          <cell r="X47">
            <v>10150</v>
          </cell>
          <cell r="Y47">
            <v>2284</v>
          </cell>
          <cell r="Z47">
            <v>254</v>
          </cell>
          <cell r="AA47">
            <v>0</v>
          </cell>
          <cell r="AB47">
            <v>0</v>
          </cell>
          <cell r="AC47">
            <v>0</v>
          </cell>
          <cell r="AD47">
            <v>0</v>
          </cell>
          <cell r="AE47">
            <v>0</v>
          </cell>
          <cell r="AF47">
            <v>0</v>
          </cell>
          <cell r="AG47">
            <v>0</v>
          </cell>
          <cell r="AH47">
            <v>0</v>
          </cell>
          <cell r="AI47">
            <v>0</v>
          </cell>
          <cell r="AM47">
            <v>0</v>
          </cell>
          <cell r="AN47">
            <v>0</v>
          </cell>
          <cell r="AO47">
            <v>0</v>
          </cell>
          <cell r="AP47">
            <v>151698</v>
          </cell>
          <cell r="AQ47">
            <v>33344</v>
          </cell>
          <cell r="AR47">
            <v>3705</v>
          </cell>
          <cell r="AS47">
            <v>-650925.34000000008</v>
          </cell>
          <cell r="AT47">
            <v>-520740</v>
          </cell>
          <cell r="AU47">
            <v>-117166</v>
          </cell>
          <cell r="AV47">
            <v>-13019</v>
          </cell>
          <cell r="AW47">
            <v>-1301850.3399999999</v>
          </cell>
          <cell r="AX47">
            <v>-3359751</v>
          </cell>
          <cell r="AY47">
            <v>-2687800</v>
          </cell>
          <cell r="AZ47">
            <v>-604756</v>
          </cell>
          <cell r="BA47">
            <v>-67195</v>
          </cell>
          <cell r="BB47">
            <v>-6719502</v>
          </cell>
          <cell r="BC47">
            <v>29453520</v>
          </cell>
          <cell r="BD47">
            <v>-2852118</v>
          </cell>
          <cell r="BE47">
            <v>801395</v>
          </cell>
          <cell r="BF47">
            <v>0</v>
          </cell>
          <cell r="BG47">
            <v>-2252272</v>
          </cell>
          <cell r="BH47">
            <v>-27872</v>
          </cell>
          <cell r="BI47">
            <v>-2970</v>
          </cell>
          <cell r="BJ47">
            <v>0</v>
          </cell>
          <cell r="BK47">
            <v>-1288641</v>
          </cell>
          <cell r="BL47">
            <v>-91530</v>
          </cell>
          <cell r="BM47">
            <v>-102551</v>
          </cell>
          <cell r="BN47">
            <v>0</v>
          </cell>
          <cell r="BO47">
            <v>0</v>
          </cell>
          <cell r="BP47">
            <v>0</v>
          </cell>
          <cell r="BQ47">
            <v>-102773</v>
          </cell>
          <cell r="BR47">
            <v>0</v>
          </cell>
          <cell r="BS47">
            <v>0</v>
          </cell>
          <cell r="BT47">
            <v>29967611</v>
          </cell>
          <cell r="BU47">
            <v>-481603</v>
          </cell>
          <cell r="BV47">
            <v>1674209</v>
          </cell>
          <cell r="BW47">
            <v>-312768</v>
          </cell>
          <cell r="BX47">
            <v>143271</v>
          </cell>
          <cell r="BY47">
            <v>-1188846</v>
          </cell>
          <cell r="BZ47">
            <v>24663690</v>
          </cell>
          <cell r="CA47">
            <v>71635</v>
          </cell>
          <cell r="CB47">
            <v>57309</v>
          </cell>
          <cell r="CC47">
            <v>12895</v>
          </cell>
          <cell r="CD47">
            <v>1432</v>
          </cell>
          <cell r="CE47">
            <v>-594424</v>
          </cell>
          <cell r="CF47">
            <v>-475538</v>
          </cell>
          <cell r="CG47">
            <v>-106996</v>
          </cell>
          <cell r="CH47">
            <v>-11888</v>
          </cell>
        </row>
        <row r="48">
          <cell r="A48">
            <v>41</v>
          </cell>
          <cell r="B48" t="str">
            <v>Bury</v>
          </cell>
          <cell r="C48" t="str">
            <v>E4202</v>
          </cell>
          <cell r="D48">
            <v>238334</v>
          </cell>
          <cell r="H48">
            <v>-1770556</v>
          </cell>
          <cell r="I48">
            <v>0</v>
          </cell>
          <cell r="J48">
            <v>238334</v>
          </cell>
          <cell r="K48">
            <v>0</v>
          </cell>
          <cell r="L48">
            <v>0</v>
          </cell>
          <cell r="M48">
            <v>0</v>
          </cell>
          <cell r="N48">
            <v>0</v>
          </cell>
          <cell r="O48">
            <v>0</v>
          </cell>
          <cell r="P48">
            <v>0</v>
          </cell>
          <cell r="Q48">
            <v>0</v>
          </cell>
          <cell r="R48">
            <v>3098335</v>
          </cell>
          <cell r="S48">
            <v>0</v>
          </cell>
          <cell r="T48">
            <v>31296</v>
          </cell>
          <cell r="U48">
            <v>0</v>
          </cell>
          <cell r="V48">
            <v>0</v>
          </cell>
          <cell r="W48">
            <v>0</v>
          </cell>
          <cell r="X48">
            <v>106167</v>
          </cell>
          <cell r="Y48">
            <v>0</v>
          </cell>
          <cell r="Z48">
            <v>1072</v>
          </cell>
          <cell r="AA48">
            <v>0</v>
          </cell>
          <cell r="AB48">
            <v>0</v>
          </cell>
          <cell r="AC48">
            <v>0</v>
          </cell>
          <cell r="AD48">
            <v>0</v>
          </cell>
          <cell r="AE48">
            <v>0</v>
          </cell>
          <cell r="AF48">
            <v>0</v>
          </cell>
          <cell r="AG48">
            <v>0</v>
          </cell>
          <cell r="AH48">
            <v>0</v>
          </cell>
          <cell r="AI48">
            <v>0</v>
          </cell>
          <cell r="AM48">
            <v>0</v>
          </cell>
          <cell r="AN48">
            <v>0</v>
          </cell>
          <cell r="AO48">
            <v>0</v>
          </cell>
          <cell r="AP48">
            <v>694053</v>
          </cell>
          <cell r="AQ48">
            <v>0</v>
          </cell>
          <cell r="AR48">
            <v>7011</v>
          </cell>
          <cell r="AS48">
            <v>-1884570</v>
          </cell>
          <cell r="AT48">
            <v>-1846877.4</v>
          </cell>
          <cell r="AU48">
            <v>0</v>
          </cell>
          <cell r="AV48">
            <v>-37690.6</v>
          </cell>
          <cell r="AW48">
            <v>-3769138</v>
          </cell>
          <cell r="AX48">
            <v>-3709374</v>
          </cell>
          <cell r="AY48">
            <v>-3635186</v>
          </cell>
          <cell r="AZ48">
            <v>0</v>
          </cell>
          <cell r="BA48">
            <v>-74188</v>
          </cell>
          <cell r="BB48">
            <v>-7418748</v>
          </cell>
          <cell r="BC48">
            <v>48341563</v>
          </cell>
          <cell r="BD48">
            <v>-5107077</v>
          </cell>
          <cell r="BE48">
            <v>1344237</v>
          </cell>
          <cell r="BF48">
            <v>0</v>
          </cell>
          <cell r="BG48">
            <v>-2402558</v>
          </cell>
          <cell r="BH48">
            <v>-113744</v>
          </cell>
          <cell r="BI48">
            <v>-1566</v>
          </cell>
          <cell r="BJ48">
            <v>0</v>
          </cell>
          <cell r="BK48">
            <v>-1759192</v>
          </cell>
          <cell r="BL48">
            <v>-335806</v>
          </cell>
          <cell r="BM48">
            <v>-68054</v>
          </cell>
          <cell r="BN48">
            <v>-28436</v>
          </cell>
          <cell r="BO48">
            <v>-1566</v>
          </cell>
          <cell r="BP48">
            <v>0</v>
          </cell>
          <cell r="BQ48">
            <v>0</v>
          </cell>
          <cell r="BR48">
            <v>0</v>
          </cell>
          <cell r="BS48">
            <v>0</v>
          </cell>
          <cell r="BT48">
            <v>51992636</v>
          </cell>
          <cell r="BU48">
            <v>-3687850</v>
          </cell>
          <cell r="BV48">
            <v>7600201</v>
          </cell>
          <cell r="BW48">
            <v>-1397470</v>
          </cell>
          <cell r="BX48">
            <v>-2988823</v>
          </cell>
          <cell r="BY48">
            <v>-3840819</v>
          </cell>
          <cell r="BZ48">
            <v>46670809</v>
          </cell>
          <cell r="CA48">
            <v>-1494413</v>
          </cell>
          <cell r="CB48">
            <v>-1464523</v>
          </cell>
          <cell r="CC48">
            <v>0</v>
          </cell>
          <cell r="CD48">
            <v>-29887</v>
          </cell>
          <cell r="CE48">
            <v>-1920410</v>
          </cell>
          <cell r="CF48">
            <v>-1882001</v>
          </cell>
          <cell r="CG48">
            <v>0</v>
          </cell>
          <cell r="CH48">
            <v>-38408</v>
          </cell>
        </row>
        <row r="49">
          <cell r="A49">
            <v>42</v>
          </cell>
          <cell r="B49" t="str">
            <v>Calderdale</v>
          </cell>
          <cell r="C49" t="str">
            <v>E4702</v>
          </cell>
          <cell r="D49">
            <v>349888</v>
          </cell>
          <cell r="H49">
            <v>-1606035</v>
          </cell>
          <cell r="I49">
            <v>0</v>
          </cell>
          <cell r="J49">
            <v>349888</v>
          </cell>
          <cell r="K49">
            <v>0</v>
          </cell>
          <cell r="L49">
            <v>218234</v>
          </cell>
          <cell r="M49">
            <v>0</v>
          </cell>
          <cell r="N49">
            <v>0</v>
          </cell>
          <cell r="O49">
            <v>0</v>
          </cell>
          <cell r="P49">
            <v>0</v>
          </cell>
          <cell r="Q49">
            <v>0</v>
          </cell>
          <cell r="R49">
            <v>3102971</v>
          </cell>
          <cell r="S49">
            <v>0</v>
          </cell>
          <cell r="T49">
            <v>63326</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M49">
            <v>0</v>
          </cell>
          <cell r="AN49">
            <v>0</v>
          </cell>
          <cell r="AO49">
            <v>0</v>
          </cell>
          <cell r="AP49">
            <v>384983</v>
          </cell>
          <cell r="AQ49">
            <v>0</v>
          </cell>
          <cell r="AR49">
            <v>7790</v>
          </cell>
          <cell r="AS49">
            <v>-1381480</v>
          </cell>
          <cell r="AT49">
            <v>-1353849</v>
          </cell>
          <cell r="AU49">
            <v>0</v>
          </cell>
          <cell r="AV49">
            <v>-27629</v>
          </cell>
          <cell r="AW49">
            <v>-2762958</v>
          </cell>
          <cell r="AX49">
            <v>-3310238</v>
          </cell>
          <cell r="AY49">
            <v>-3244034</v>
          </cell>
          <cell r="AZ49">
            <v>0</v>
          </cell>
          <cell r="BA49">
            <v>-66205</v>
          </cell>
          <cell r="BB49">
            <v>-6620477</v>
          </cell>
          <cell r="BC49">
            <v>55248500</v>
          </cell>
          <cell r="BD49">
            <v>-7207499</v>
          </cell>
          <cell r="BE49">
            <v>1576761</v>
          </cell>
          <cell r="BF49">
            <v>0</v>
          </cell>
          <cell r="BG49">
            <v>-3934104</v>
          </cell>
          <cell r="BH49">
            <v>-183484</v>
          </cell>
          <cell r="BI49">
            <v>-9709</v>
          </cell>
          <cell r="BJ49">
            <v>0</v>
          </cell>
          <cell r="BK49">
            <v>-2942637</v>
          </cell>
          <cell r="BL49">
            <v>-196906</v>
          </cell>
          <cell r="BM49">
            <v>-217243</v>
          </cell>
          <cell r="BN49">
            <v>0</v>
          </cell>
          <cell r="BO49">
            <v>-4123</v>
          </cell>
          <cell r="BP49">
            <v>0</v>
          </cell>
          <cell r="BQ49">
            <v>-5400</v>
          </cell>
          <cell r="BR49">
            <v>0</v>
          </cell>
          <cell r="BS49">
            <v>0</v>
          </cell>
          <cell r="BT49">
            <v>59431231</v>
          </cell>
          <cell r="BU49">
            <v>-1772334</v>
          </cell>
          <cell r="BV49">
            <v>4996297</v>
          </cell>
          <cell r="BW49">
            <v>-1768326</v>
          </cell>
          <cell r="BX49">
            <v>-4988576</v>
          </cell>
          <cell r="BY49">
            <v>-6392204</v>
          </cell>
          <cell r="BZ49">
            <v>51858380</v>
          </cell>
          <cell r="CA49">
            <v>-2494289</v>
          </cell>
          <cell r="CB49">
            <v>-2444402</v>
          </cell>
          <cell r="CC49">
            <v>0</v>
          </cell>
          <cell r="CD49">
            <v>-49885</v>
          </cell>
          <cell r="CE49">
            <v>-3196102</v>
          </cell>
          <cell r="CF49">
            <v>-3132180</v>
          </cell>
          <cell r="CG49">
            <v>0</v>
          </cell>
          <cell r="CH49">
            <v>-63922</v>
          </cell>
        </row>
        <row r="50">
          <cell r="A50">
            <v>43</v>
          </cell>
          <cell r="B50" t="str">
            <v>Cambridge</v>
          </cell>
          <cell r="C50" t="str">
            <v>E0531</v>
          </cell>
          <cell r="D50">
            <v>226244</v>
          </cell>
          <cell r="H50">
            <v>618501</v>
          </cell>
          <cell r="I50">
            <v>0</v>
          </cell>
          <cell r="J50">
            <v>226244</v>
          </cell>
          <cell r="K50">
            <v>0</v>
          </cell>
          <cell r="L50">
            <v>0</v>
          </cell>
          <cell r="M50">
            <v>0</v>
          </cell>
          <cell r="N50">
            <v>0</v>
          </cell>
          <cell r="O50">
            <v>0</v>
          </cell>
          <cell r="P50">
            <v>0</v>
          </cell>
          <cell r="Q50">
            <v>0</v>
          </cell>
          <cell r="R50">
            <v>497295</v>
          </cell>
          <cell r="S50">
            <v>111891</v>
          </cell>
          <cell r="T50">
            <v>12432</v>
          </cell>
          <cell r="U50">
            <v>2030</v>
          </cell>
          <cell r="V50">
            <v>457</v>
          </cell>
          <cell r="W50">
            <v>51</v>
          </cell>
          <cell r="X50">
            <v>20300</v>
          </cell>
          <cell r="Y50">
            <v>4568</v>
          </cell>
          <cell r="Z50">
            <v>508</v>
          </cell>
          <cell r="AA50">
            <v>30451</v>
          </cell>
          <cell r="AB50">
            <v>6851</v>
          </cell>
          <cell r="AC50">
            <v>761</v>
          </cell>
          <cell r="AD50">
            <v>0</v>
          </cell>
          <cell r="AE50">
            <v>0</v>
          </cell>
          <cell r="AF50">
            <v>0</v>
          </cell>
          <cell r="AG50">
            <v>0</v>
          </cell>
          <cell r="AH50">
            <v>0</v>
          </cell>
          <cell r="AI50">
            <v>0</v>
          </cell>
          <cell r="AM50">
            <v>0</v>
          </cell>
          <cell r="AN50">
            <v>0</v>
          </cell>
          <cell r="AO50">
            <v>0</v>
          </cell>
          <cell r="AP50">
            <v>615651</v>
          </cell>
          <cell r="AQ50">
            <v>138521</v>
          </cell>
          <cell r="AR50">
            <v>15391</v>
          </cell>
          <cell r="AS50">
            <v>-335639</v>
          </cell>
          <cell r="AT50">
            <v>-268513</v>
          </cell>
          <cell r="AU50">
            <v>-60416</v>
          </cell>
          <cell r="AV50">
            <v>-6714</v>
          </cell>
          <cell r="AW50">
            <v>-671282</v>
          </cell>
          <cell r="AX50">
            <v>-4595439</v>
          </cell>
          <cell r="AY50">
            <v>-3676352</v>
          </cell>
          <cell r="AZ50">
            <v>-827181</v>
          </cell>
          <cell r="BA50">
            <v>-91908</v>
          </cell>
          <cell r="BB50">
            <v>-9190880</v>
          </cell>
          <cell r="BC50">
            <v>98996430</v>
          </cell>
          <cell r="BD50">
            <v>-1490547</v>
          </cell>
          <cell r="BE50">
            <v>3181221</v>
          </cell>
          <cell r="BF50">
            <v>0</v>
          </cell>
          <cell r="BG50">
            <v>-22625896</v>
          </cell>
          <cell r="BH50">
            <v>-15188</v>
          </cell>
          <cell r="BI50">
            <v>0</v>
          </cell>
          <cell r="BJ50">
            <v>-3622</v>
          </cell>
          <cell r="BK50">
            <v>-2108692</v>
          </cell>
          <cell r="BL50">
            <v>-146048</v>
          </cell>
          <cell r="BM50">
            <v>-1143</v>
          </cell>
          <cell r="BN50">
            <v>0</v>
          </cell>
          <cell r="BO50">
            <v>0</v>
          </cell>
          <cell r="BP50">
            <v>0</v>
          </cell>
          <cell r="BQ50">
            <v>0</v>
          </cell>
          <cell r="BR50">
            <v>0</v>
          </cell>
          <cell r="BS50">
            <v>0</v>
          </cell>
          <cell r="BT50">
            <v>99494437</v>
          </cell>
          <cell r="BU50">
            <v>-414048</v>
          </cell>
          <cell r="BV50">
            <v>1355649</v>
          </cell>
          <cell r="BW50">
            <v>-2446499</v>
          </cell>
          <cell r="BX50">
            <v>-1856415</v>
          </cell>
          <cell r="BY50">
            <v>-1888515</v>
          </cell>
          <cell r="BZ50">
            <v>102184129</v>
          </cell>
          <cell r="CA50">
            <v>-928207</v>
          </cell>
          <cell r="CB50">
            <v>-742566</v>
          </cell>
          <cell r="CC50">
            <v>-167077</v>
          </cell>
          <cell r="CD50">
            <v>-18565</v>
          </cell>
          <cell r="CE50">
            <v>-944258</v>
          </cell>
          <cell r="CF50">
            <v>-755406</v>
          </cell>
          <cell r="CG50">
            <v>-169966</v>
          </cell>
          <cell r="CH50">
            <v>-18885</v>
          </cell>
        </row>
        <row r="51">
          <cell r="A51">
            <v>44</v>
          </cell>
          <cell r="B51" t="str">
            <v>Camden</v>
          </cell>
          <cell r="C51" t="str">
            <v>E5011</v>
          </cell>
          <cell r="D51">
            <v>1258806</v>
          </cell>
          <cell r="H51">
            <v>42239009</v>
          </cell>
          <cell r="I51">
            <v>0</v>
          </cell>
          <cell r="J51">
            <v>1258806</v>
          </cell>
          <cell r="K51">
            <v>0</v>
          </cell>
          <cell r="L51">
            <v>0</v>
          </cell>
          <cell r="M51">
            <v>0</v>
          </cell>
          <cell r="N51">
            <v>0</v>
          </cell>
          <cell r="O51">
            <v>0</v>
          </cell>
          <cell r="P51">
            <v>0</v>
          </cell>
          <cell r="Q51">
            <v>0</v>
          </cell>
          <cell r="R51">
            <v>602800</v>
          </cell>
          <cell r="S51">
            <v>743453</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M51">
            <v>0</v>
          </cell>
          <cell r="AN51">
            <v>0</v>
          </cell>
          <cell r="AO51">
            <v>0</v>
          </cell>
          <cell r="AP51">
            <v>2816524</v>
          </cell>
          <cell r="AQ51">
            <v>3473712</v>
          </cell>
          <cell r="AR51">
            <v>0</v>
          </cell>
          <cell r="AS51">
            <v>-3962828</v>
          </cell>
          <cell r="AT51">
            <v>-2377698</v>
          </cell>
          <cell r="AU51">
            <v>-1585132</v>
          </cell>
          <cell r="AV51">
            <v>0</v>
          </cell>
          <cell r="AW51">
            <v>-7925658</v>
          </cell>
          <cell r="AX51">
            <v>-14422947</v>
          </cell>
          <cell r="AY51">
            <v>-8653768</v>
          </cell>
          <cell r="AZ51">
            <v>-5769179</v>
          </cell>
          <cell r="BA51">
            <v>0</v>
          </cell>
          <cell r="BB51">
            <v>-28845894</v>
          </cell>
          <cell r="BC51">
            <v>516958540</v>
          </cell>
          <cell r="BD51">
            <v>-3179572</v>
          </cell>
          <cell r="BE51">
            <v>14911145</v>
          </cell>
          <cell r="BF51">
            <v>0</v>
          </cell>
          <cell r="BG51">
            <v>-58339913</v>
          </cell>
          <cell r="BH51">
            <v>-14214</v>
          </cell>
          <cell r="BI51">
            <v>0</v>
          </cell>
          <cell r="BJ51">
            <v>-1270667</v>
          </cell>
          <cell r="BK51">
            <v>-22541781</v>
          </cell>
          <cell r="BL51">
            <v>-190918</v>
          </cell>
          <cell r="BM51">
            <v>-4000</v>
          </cell>
          <cell r="BN51">
            <v>0</v>
          </cell>
          <cell r="BO51">
            <v>0</v>
          </cell>
          <cell r="BP51">
            <v>0</v>
          </cell>
          <cell r="BQ51">
            <v>0</v>
          </cell>
          <cell r="BR51">
            <v>0</v>
          </cell>
          <cell r="BS51">
            <v>0</v>
          </cell>
          <cell r="BT51">
            <v>511053967</v>
          </cell>
          <cell r="BU51">
            <v>192673</v>
          </cell>
          <cell r="BV51">
            <v>10434670</v>
          </cell>
          <cell r="BW51">
            <v>-6692463</v>
          </cell>
          <cell r="BX51">
            <v>-7279599</v>
          </cell>
          <cell r="BY51">
            <v>41694</v>
          </cell>
          <cell r="BZ51">
            <v>625000000</v>
          </cell>
          <cell r="CA51">
            <v>-3639799</v>
          </cell>
          <cell r="CB51">
            <v>-2183880</v>
          </cell>
          <cell r="CC51">
            <v>-1455920</v>
          </cell>
          <cell r="CD51">
            <v>0</v>
          </cell>
          <cell r="CE51">
            <v>20847</v>
          </cell>
          <cell r="CF51">
            <v>12508</v>
          </cell>
          <cell r="CG51">
            <v>8339</v>
          </cell>
          <cell r="CH51">
            <v>0</v>
          </cell>
        </row>
        <row r="52">
          <cell r="A52">
            <v>45</v>
          </cell>
          <cell r="B52" t="str">
            <v>Cannock Chase</v>
          </cell>
          <cell r="C52" t="str">
            <v>E3431</v>
          </cell>
          <cell r="D52">
            <v>130851</v>
          </cell>
          <cell r="H52">
            <v>-2846788</v>
          </cell>
          <cell r="I52">
            <v>0</v>
          </cell>
          <cell r="J52">
            <v>130851</v>
          </cell>
          <cell r="K52">
            <v>0</v>
          </cell>
          <cell r="L52">
            <v>0</v>
          </cell>
          <cell r="M52">
            <v>0</v>
          </cell>
          <cell r="N52">
            <v>0</v>
          </cell>
          <cell r="O52">
            <v>0</v>
          </cell>
          <cell r="P52">
            <v>0</v>
          </cell>
          <cell r="Q52">
            <v>0</v>
          </cell>
          <cell r="R52">
            <v>731248</v>
          </cell>
          <cell r="S52">
            <v>164531</v>
          </cell>
          <cell r="T52">
            <v>18281</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M52">
            <v>0</v>
          </cell>
          <cell r="AN52">
            <v>0</v>
          </cell>
          <cell r="AO52">
            <v>0</v>
          </cell>
          <cell r="AP52">
            <v>180630</v>
          </cell>
          <cell r="AQ52">
            <v>40642</v>
          </cell>
          <cell r="AR52">
            <v>4516</v>
          </cell>
          <cell r="AS52">
            <v>-665769</v>
          </cell>
          <cell r="AT52">
            <v>-532617</v>
          </cell>
          <cell r="AU52">
            <v>-119839</v>
          </cell>
          <cell r="AV52">
            <v>-13316</v>
          </cell>
          <cell r="AW52">
            <v>-1331541</v>
          </cell>
          <cell r="AX52">
            <v>-3157688</v>
          </cell>
          <cell r="AY52">
            <v>-2526150</v>
          </cell>
          <cell r="AZ52">
            <v>-568384</v>
          </cell>
          <cell r="BA52">
            <v>-63154</v>
          </cell>
          <cell r="BB52">
            <v>-6315376</v>
          </cell>
          <cell r="BC52">
            <v>34320322</v>
          </cell>
          <cell r="BD52">
            <v>-2685014</v>
          </cell>
          <cell r="BE52">
            <v>934422</v>
          </cell>
          <cell r="BF52">
            <v>0</v>
          </cell>
          <cell r="BG52">
            <v>-1655880</v>
          </cell>
          <cell r="BH52">
            <v>-1491</v>
          </cell>
          <cell r="BI52">
            <v>0</v>
          </cell>
          <cell r="BJ52">
            <v>0</v>
          </cell>
          <cell r="BK52">
            <v>-745011</v>
          </cell>
          <cell r="BL52">
            <v>-69127</v>
          </cell>
          <cell r="BM52">
            <v>-10761</v>
          </cell>
          <cell r="BN52">
            <v>-40</v>
          </cell>
          <cell r="BO52">
            <v>0</v>
          </cell>
          <cell r="BP52">
            <v>0</v>
          </cell>
          <cell r="BQ52">
            <v>-36240</v>
          </cell>
          <cell r="BR52">
            <v>0</v>
          </cell>
          <cell r="BS52">
            <v>0</v>
          </cell>
          <cell r="BT52">
            <v>35552422</v>
          </cell>
          <cell r="BU52">
            <v>-301763</v>
          </cell>
          <cell r="BV52">
            <v>1821678</v>
          </cell>
          <cell r="BW52">
            <v>-337633</v>
          </cell>
          <cell r="BX52">
            <v>-1114539</v>
          </cell>
          <cell r="BY52">
            <v>-1494275</v>
          </cell>
          <cell r="BZ52">
            <v>30061928</v>
          </cell>
          <cell r="CA52">
            <v>-557268</v>
          </cell>
          <cell r="CB52">
            <v>-445816</v>
          </cell>
          <cell r="CC52">
            <v>-100309</v>
          </cell>
          <cell r="CD52">
            <v>-11146</v>
          </cell>
          <cell r="CE52">
            <v>-747137</v>
          </cell>
          <cell r="CF52">
            <v>-597710</v>
          </cell>
          <cell r="CG52">
            <v>-134485</v>
          </cell>
          <cell r="CH52">
            <v>-14943</v>
          </cell>
        </row>
        <row r="53">
          <cell r="A53">
            <v>46</v>
          </cell>
          <cell r="B53" t="str">
            <v>Canterbury</v>
          </cell>
          <cell r="C53" t="str">
            <v>E2232</v>
          </cell>
          <cell r="D53">
            <v>228946</v>
          </cell>
          <cell r="H53">
            <v>-2040430</v>
          </cell>
          <cell r="I53">
            <v>0</v>
          </cell>
          <cell r="J53">
            <v>228946</v>
          </cell>
          <cell r="K53">
            <v>0</v>
          </cell>
          <cell r="L53">
            <v>328566</v>
          </cell>
          <cell r="M53">
            <v>0</v>
          </cell>
          <cell r="N53">
            <v>0</v>
          </cell>
          <cell r="O53">
            <v>0</v>
          </cell>
          <cell r="P53">
            <v>0</v>
          </cell>
          <cell r="Q53">
            <v>0</v>
          </cell>
          <cell r="R53">
            <v>899616</v>
          </cell>
          <cell r="S53">
            <v>202414</v>
          </cell>
          <cell r="T53">
            <v>22490</v>
          </cell>
          <cell r="U53">
            <v>1273</v>
          </cell>
          <cell r="V53">
            <v>286</v>
          </cell>
          <cell r="W53">
            <v>32</v>
          </cell>
          <cell r="X53">
            <v>0</v>
          </cell>
          <cell r="Y53">
            <v>0</v>
          </cell>
          <cell r="Z53">
            <v>0</v>
          </cell>
          <cell r="AA53">
            <v>285</v>
          </cell>
          <cell r="AB53">
            <v>64</v>
          </cell>
          <cell r="AC53">
            <v>7</v>
          </cell>
          <cell r="AD53">
            <v>0</v>
          </cell>
          <cell r="AE53">
            <v>0</v>
          </cell>
          <cell r="AF53">
            <v>0</v>
          </cell>
          <cell r="AG53">
            <v>0</v>
          </cell>
          <cell r="AH53">
            <v>0</v>
          </cell>
          <cell r="AI53">
            <v>0</v>
          </cell>
          <cell r="AM53">
            <v>0</v>
          </cell>
          <cell r="AN53">
            <v>0</v>
          </cell>
          <cell r="AO53">
            <v>0</v>
          </cell>
          <cell r="AP53">
            <v>294527</v>
          </cell>
          <cell r="AQ53">
            <v>65158</v>
          </cell>
          <cell r="AR53">
            <v>7240</v>
          </cell>
          <cell r="AS53">
            <v>-283173</v>
          </cell>
          <cell r="AT53">
            <v>-226539</v>
          </cell>
          <cell r="AU53">
            <v>-50972</v>
          </cell>
          <cell r="AV53">
            <v>-5664</v>
          </cell>
          <cell r="AW53">
            <v>-566348</v>
          </cell>
          <cell r="AX53">
            <v>-2324624</v>
          </cell>
          <cell r="AY53">
            <v>-1859698</v>
          </cell>
          <cell r="AZ53">
            <v>-418432</v>
          </cell>
          <cell r="BA53">
            <v>-46493</v>
          </cell>
          <cell r="BB53">
            <v>-4649247</v>
          </cell>
          <cell r="BC53">
            <v>53159047</v>
          </cell>
          <cell r="BD53">
            <v>-3630065</v>
          </cell>
          <cell r="BE53">
            <v>1526806</v>
          </cell>
          <cell r="BF53">
            <v>0</v>
          </cell>
          <cell r="BG53">
            <v>-7339609</v>
          </cell>
          <cell r="BH53">
            <v>-100865</v>
          </cell>
          <cell r="BI53">
            <v>-27202</v>
          </cell>
          <cell r="BJ53">
            <v>-366</v>
          </cell>
          <cell r="BK53">
            <v>-1210188</v>
          </cell>
          <cell r="BL53">
            <v>-241403</v>
          </cell>
          <cell r="BM53">
            <v>-56594</v>
          </cell>
          <cell r="BN53">
            <v>-5044</v>
          </cell>
          <cell r="BO53">
            <v>-7544</v>
          </cell>
          <cell r="BP53">
            <v>0</v>
          </cell>
          <cell r="BQ53">
            <v>0</v>
          </cell>
          <cell r="BR53">
            <v>0</v>
          </cell>
          <cell r="BS53">
            <v>0</v>
          </cell>
          <cell r="BT53">
            <v>54154673</v>
          </cell>
          <cell r="BU53">
            <v>-492212</v>
          </cell>
          <cell r="BV53">
            <v>1483816</v>
          </cell>
          <cell r="BW53">
            <v>-1256124</v>
          </cell>
          <cell r="BX53">
            <v>4233421</v>
          </cell>
          <cell r="BY53">
            <v>2766930</v>
          </cell>
          <cell r="BZ53">
            <v>48196233</v>
          </cell>
          <cell r="CA53">
            <v>2359493</v>
          </cell>
          <cell r="CB53">
            <v>1402028</v>
          </cell>
          <cell r="CC53">
            <v>424709</v>
          </cell>
          <cell r="CD53">
            <v>47191</v>
          </cell>
          <cell r="CE53">
            <v>1383465</v>
          </cell>
          <cell r="CF53">
            <v>1106772</v>
          </cell>
          <cell r="CG53">
            <v>249024</v>
          </cell>
          <cell r="CH53">
            <v>27669</v>
          </cell>
        </row>
        <row r="54">
          <cell r="A54">
            <v>47</v>
          </cell>
          <cell r="B54" t="str">
            <v>Carlisle</v>
          </cell>
          <cell r="C54" t="str">
            <v>E0933</v>
          </cell>
          <cell r="D54">
            <v>176202</v>
          </cell>
          <cell r="H54">
            <v>-2871967</v>
          </cell>
          <cell r="I54">
            <v>-27926</v>
          </cell>
          <cell r="J54">
            <v>176202</v>
          </cell>
          <cell r="K54">
            <v>73700</v>
          </cell>
          <cell r="L54">
            <v>83705</v>
          </cell>
          <cell r="M54">
            <v>0</v>
          </cell>
          <cell r="N54">
            <v>0</v>
          </cell>
          <cell r="O54">
            <v>0</v>
          </cell>
          <cell r="P54">
            <v>0</v>
          </cell>
          <cell r="Q54">
            <v>0</v>
          </cell>
          <cell r="R54">
            <v>685084</v>
          </cell>
          <cell r="S54">
            <v>164697</v>
          </cell>
          <cell r="T54">
            <v>0</v>
          </cell>
          <cell r="U54">
            <v>21473</v>
          </cell>
          <cell r="V54">
            <v>3659</v>
          </cell>
          <cell r="W54">
            <v>0</v>
          </cell>
          <cell r="X54">
            <v>0</v>
          </cell>
          <cell r="Y54">
            <v>0</v>
          </cell>
          <cell r="Z54">
            <v>0</v>
          </cell>
          <cell r="AA54">
            <v>0</v>
          </cell>
          <cell r="AB54">
            <v>0</v>
          </cell>
          <cell r="AC54">
            <v>0</v>
          </cell>
          <cell r="AD54">
            <v>0</v>
          </cell>
          <cell r="AE54">
            <v>0</v>
          </cell>
          <cell r="AF54">
            <v>0</v>
          </cell>
          <cell r="AG54">
            <v>0</v>
          </cell>
          <cell r="AH54">
            <v>0</v>
          </cell>
          <cell r="AI54">
            <v>0</v>
          </cell>
          <cell r="AM54">
            <v>0</v>
          </cell>
          <cell r="AN54">
            <v>0</v>
          </cell>
          <cell r="AO54">
            <v>0</v>
          </cell>
          <cell r="AP54">
            <v>249965</v>
          </cell>
          <cell r="AQ54">
            <v>61900</v>
          </cell>
          <cell r="AR54">
            <v>0</v>
          </cell>
          <cell r="AS54">
            <v>-170455</v>
          </cell>
          <cell r="AT54">
            <v>-136365</v>
          </cell>
          <cell r="AU54">
            <v>-34092</v>
          </cell>
          <cell r="AV54">
            <v>0</v>
          </cell>
          <cell r="AW54">
            <v>-340912</v>
          </cell>
          <cell r="AX54">
            <v>-899001</v>
          </cell>
          <cell r="AY54">
            <v>-719201</v>
          </cell>
          <cell r="AZ54">
            <v>-179800</v>
          </cell>
          <cell r="BA54">
            <v>0</v>
          </cell>
          <cell r="BB54">
            <v>-1798002</v>
          </cell>
          <cell r="BC54">
            <v>44103290</v>
          </cell>
          <cell r="BD54">
            <v>-2690676</v>
          </cell>
          <cell r="BE54">
            <v>1195504</v>
          </cell>
          <cell r="BF54">
            <v>0</v>
          </cell>
          <cell r="BG54">
            <v>-3368551</v>
          </cell>
          <cell r="BH54">
            <v>-81498</v>
          </cell>
          <cell r="BI54">
            <v>-25969</v>
          </cell>
          <cell r="BJ54">
            <v>-67880</v>
          </cell>
          <cell r="BK54">
            <v>-1473500</v>
          </cell>
          <cell r="BL54">
            <v>-57375</v>
          </cell>
          <cell r="BM54">
            <v>-52627</v>
          </cell>
          <cell r="BN54">
            <v>-2905</v>
          </cell>
          <cell r="BO54">
            <v>0</v>
          </cell>
          <cell r="BP54">
            <v>-2609</v>
          </cell>
          <cell r="BQ54">
            <v>-56944</v>
          </cell>
          <cell r="BR54">
            <v>0</v>
          </cell>
          <cell r="BS54">
            <v>0</v>
          </cell>
          <cell r="BT54">
            <v>44175326</v>
          </cell>
          <cell r="BU54">
            <v>-102543</v>
          </cell>
          <cell r="BV54">
            <v>1126393</v>
          </cell>
          <cell r="BW54">
            <v>-889827</v>
          </cell>
          <cell r="BX54">
            <v>-622928</v>
          </cell>
          <cell r="BY54">
            <v>-247462</v>
          </cell>
          <cell r="BZ54">
            <v>41207819</v>
          </cell>
          <cell r="CA54">
            <v>-311464</v>
          </cell>
          <cell r="CB54">
            <v>-249171</v>
          </cell>
          <cell r="CC54">
            <v>-62293</v>
          </cell>
          <cell r="CD54">
            <v>0</v>
          </cell>
          <cell r="CE54">
            <v>-123731</v>
          </cell>
          <cell r="CF54">
            <v>-98985</v>
          </cell>
          <cell r="CG54">
            <v>-24746</v>
          </cell>
          <cell r="CH54">
            <v>0</v>
          </cell>
        </row>
        <row r="55">
          <cell r="A55">
            <v>48</v>
          </cell>
          <cell r="B55" t="str">
            <v>Castle Point</v>
          </cell>
          <cell r="C55" t="str">
            <v>E1534</v>
          </cell>
          <cell r="D55">
            <v>78958</v>
          </cell>
          <cell r="H55">
            <v>-359708</v>
          </cell>
          <cell r="I55">
            <v>0</v>
          </cell>
          <cell r="J55">
            <v>78958</v>
          </cell>
          <cell r="K55">
            <v>0</v>
          </cell>
          <cell r="L55">
            <v>0</v>
          </cell>
          <cell r="M55">
            <v>0</v>
          </cell>
          <cell r="N55">
            <v>0</v>
          </cell>
          <cell r="O55">
            <v>0</v>
          </cell>
          <cell r="P55">
            <v>0</v>
          </cell>
          <cell r="Q55">
            <v>0</v>
          </cell>
          <cell r="R55">
            <v>479915</v>
          </cell>
          <cell r="S55">
            <v>107981</v>
          </cell>
          <cell r="T55">
            <v>11998</v>
          </cell>
          <cell r="U55">
            <v>1126</v>
          </cell>
          <cell r="V55">
            <v>254</v>
          </cell>
          <cell r="W55">
            <v>28</v>
          </cell>
          <cell r="X55">
            <v>0</v>
          </cell>
          <cell r="Y55">
            <v>0</v>
          </cell>
          <cell r="Z55">
            <v>0</v>
          </cell>
          <cell r="AA55">
            <v>2007</v>
          </cell>
          <cell r="AB55">
            <v>451</v>
          </cell>
          <cell r="AC55">
            <v>50</v>
          </cell>
          <cell r="AD55">
            <v>0</v>
          </cell>
          <cell r="AE55">
            <v>0</v>
          </cell>
          <cell r="AF55">
            <v>0</v>
          </cell>
          <cell r="AG55">
            <v>0</v>
          </cell>
          <cell r="AH55">
            <v>0</v>
          </cell>
          <cell r="AI55">
            <v>0</v>
          </cell>
          <cell r="AM55">
            <v>0</v>
          </cell>
          <cell r="AN55">
            <v>0</v>
          </cell>
          <cell r="AO55">
            <v>0</v>
          </cell>
          <cell r="AP55">
            <v>83662</v>
          </cell>
          <cell r="AQ55">
            <v>18824</v>
          </cell>
          <cell r="AR55">
            <v>2092</v>
          </cell>
          <cell r="AS55">
            <v>-71762</v>
          </cell>
          <cell r="AT55">
            <v>-57412</v>
          </cell>
          <cell r="AU55">
            <v>-12918</v>
          </cell>
          <cell r="AV55">
            <v>-1436</v>
          </cell>
          <cell r="AW55">
            <v>-143528</v>
          </cell>
          <cell r="AX55">
            <v>-1215000</v>
          </cell>
          <cell r="AY55">
            <v>-972000</v>
          </cell>
          <cell r="AZ55">
            <v>-218700</v>
          </cell>
          <cell r="BA55">
            <v>-24300</v>
          </cell>
          <cell r="BB55">
            <v>-2430000</v>
          </cell>
          <cell r="BC55">
            <v>15151795</v>
          </cell>
          <cell r="BD55">
            <v>-1890116</v>
          </cell>
          <cell r="BE55">
            <v>389694</v>
          </cell>
          <cell r="BF55">
            <v>0</v>
          </cell>
          <cell r="BG55">
            <v>-1611324</v>
          </cell>
          <cell r="BH55">
            <v>-9423</v>
          </cell>
          <cell r="BI55">
            <v>0</v>
          </cell>
          <cell r="BJ55">
            <v>0</v>
          </cell>
          <cell r="BK55">
            <v>-333527</v>
          </cell>
          <cell r="BL55">
            <v>-65565</v>
          </cell>
          <cell r="BM55">
            <v>-41582</v>
          </cell>
          <cell r="BN55">
            <v>-2356</v>
          </cell>
          <cell r="BO55">
            <v>0</v>
          </cell>
          <cell r="BP55">
            <v>0</v>
          </cell>
          <cell r="BQ55">
            <v>0</v>
          </cell>
          <cell r="BR55">
            <v>0</v>
          </cell>
          <cell r="BS55">
            <v>0</v>
          </cell>
          <cell r="BT55">
            <v>14804856</v>
          </cell>
          <cell r="BU55">
            <v>-87931</v>
          </cell>
          <cell r="BV55">
            <v>240677</v>
          </cell>
          <cell r="BW55">
            <v>-298808</v>
          </cell>
          <cell r="BX55">
            <v>21798</v>
          </cell>
          <cell r="BY55">
            <v>7251</v>
          </cell>
          <cell r="BZ55">
            <v>13923764</v>
          </cell>
          <cell r="CA55">
            <v>10899</v>
          </cell>
          <cell r="CB55">
            <v>8719</v>
          </cell>
          <cell r="CC55">
            <v>1962</v>
          </cell>
          <cell r="CD55">
            <v>218</v>
          </cell>
          <cell r="CE55">
            <v>3625</v>
          </cell>
          <cell r="CF55">
            <v>2900</v>
          </cell>
          <cell r="CG55">
            <v>653</v>
          </cell>
          <cell r="CH55">
            <v>73</v>
          </cell>
        </row>
        <row r="56">
          <cell r="A56">
            <v>49</v>
          </cell>
          <cell r="B56" t="str">
            <v>Central Bedfordshire UA</v>
          </cell>
          <cell r="C56" t="str">
            <v>E0203</v>
          </cell>
          <cell r="D56">
            <v>305867</v>
          </cell>
          <cell r="H56">
            <v>-2260917</v>
          </cell>
          <cell r="I56">
            <v>0</v>
          </cell>
          <cell r="J56">
            <v>305867</v>
          </cell>
          <cell r="K56">
            <v>0</v>
          </cell>
          <cell r="L56">
            <v>294539</v>
          </cell>
          <cell r="M56">
            <v>0</v>
          </cell>
          <cell r="N56">
            <v>0</v>
          </cell>
          <cell r="O56">
            <v>0</v>
          </cell>
          <cell r="P56">
            <v>0</v>
          </cell>
          <cell r="Q56">
            <v>0</v>
          </cell>
          <cell r="R56">
            <v>1735794</v>
          </cell>
          <cell r="S56">
            <v>0</v>
          </cell>
          <cell r="T56">
            <v>35424</v>
          </cell>
          <cell r="U56">
            <v>0</v>
          </cell>
          <cell r="V56">
            <v>0</v>
          </cell>
          <cell r="W56">
            <v>0</v>
          </cell>
          <cell r="X56">
            <v>17432</v>
          </cell>
          <cell r="Y56">
            <v>0</v>
          </cell>
          <cell r="Z56">
            <v>356</v>
          </cell>
          <cell r="AA56">
            <v>1833</v>
          </cell>
          <cell r="AB56">
            <v>0</v>
          </cell>
          <cell r="AC56">
            <v>37</v>
          </cell>
          <cell r="AD56">
            <v>0</v>
          </cell>
          <cell r="AE56">
            <v>0</v>
          </cell>
          <cell r="AF56">
            <v>0</v>
          </cell>
          <cell r="AG56">
            <v>0</v>
          </cell>
          <cell r="AH56">
            <v>0</v>
          </cell>
          <cell r="AI56">
            <v>0</v>
          </cell>
          <cell r="AM56">
            <v>0</v>
          </cell>
          <cell r="AN56">
            <v>0</v>
          </cell>
          <cell r="AO56">
            <v>0</v>
          </cell>
          <cell r="AP56">
            <v>600776</v>
          </cell>
          <cell r="AQ56">
            <v>0</v>
          </cell>
          <cell r="AR56">
            <v>12170</v>
          </cell>
          <cell r="AS56">
            <v>-220267</v>
          </cell>
          <cell r="AT56">
            <v>-215862</v>
          </cell>
          <cell r="AU56">
            <v>0</v>
          </cell>
          <cell r="AV56">
            <v>-4404</v>
          </cell>
          <cell r="AW56">
            <v>-440533</v>
          </cell>
          <cell r="AX56">
            <v>-2172622</v>
          </cell>
          <cell r="AY56">
            <v>-2129169</v>
          </cell>
          <cell r="AZ56">
            <v>0</v>
          </cell>
          <cell r="BA56">
            <v>-43451</v>
          </cell>
          <cell r="BB56">
            <v>-4345242</v>
          </cell>
          <cell r="BC56">
            <v>83285549</v>
          </cell>
          <cell r="BD56">
            <v>-4920022</v>
          </cell>
          <cell r="BE56">
            <v>2288157</v>
          </cell>
          <cell r="BF56">
            <v>0</v>
          </cell>
          <cell r="BG56">
            <v>-6602461</v>
          </cell>
          <cell r="BH56">
            <v>-61211</v>
          </cell>
          <cell r="BI56">
            <v>-33099</v>
          </cell>
          <cell r="BJ56">
            <v>-69720</v>
          </cell>
          <cell r="BK56">
            <v>-2505327</v>
          </cell>
          <cell r="BL56">
            <v>-266889</v>
          </cell>
          <cell r="BM56">
            <v>-515818</v>
          </cell>
          <cell r="BN56">
            <v>-3327</v>
          </cell>
          <cell r="BO56">
            <v>-18574</v>
          </cell>
          <cell r="BP56">
            <v>0</v>
          </cell>
          <cell r="BQ56">
            <v>0</v>
          </cell>
          <cell r="BR56">
            <v>0</v>
          </cell>
          <cell r="BS56">
            <v>0</v>
          </cell>
          <cell r="BT56">
            <v>85200060</v>
          </cell>
          <cell r="BU56">
            <v>-691575</v>
          </cell>
          <cell r="BV56">
            <v>3544924</v>
          </cell>
          <cell r="BW56">
            <v>-587695</v>
          </cell>
          <cell r="BX56">
            <v>-3884857</v>
          </cell>
          <cell r="BY56">
            <v>-1193000</v>
          </cell>
          <cell r="BZ56">
            <v>81020415</v>
          </cell>
          <cell r="CA56">
            <v>-1942428</v>
          </cell>
          <cell r="CB56">
            <v>-1903580</v>
          </cell>
          <cell r="CC56">
            <v>0</v>
          </cell>
          <cell r="CD56">
            <v>-38849</v>
          </cell>
          <cell r="CE56">
            <v>-596500</v>
          </cell>
          <cell r="CF56">
            <v>-584570</v>
          </cell>
          <cell r="CG56">
            <v>0</v>
          </cell>
          <cell r="CH56">
            <v>-11930</v>
          </cell>
        </row>
        <row r="57">
          <cell r="A57">
            <v>50</v>
          </cell>
          <cell r="B57" t="str">
            <v>Charnwood</v>
          </cell>
          <cell r="C57" t="str">
            <v>E2432</v>
          </cell>
          <cell r="D57">
            <v>193360</v>
          </cell>
          <cell r="H57">
            <v>1035179</v>
          </cell>
          <cell r="I57">
            <v>8996</v>
          </cell>
          <cell r="J57">
            <v>193360</v>
          </cell>
          <cell r="K57">
            <v>80</v>
          </cell>
          <cell r="L57">
            <v>151810</v>
          </cell>
          <cell r="M57">
            <v>0</v>
          </cell>
          <cell r="N57">
            <v>0</v>
          </cell>
          <cell r="O57">
            <v>0</v>
          </cell>
          <cell r="P57">
            <v>0</v>
          </cell>
          <cell r="Q57">
            <v>0</v>
          </cell>
          <cell r="R57">
            <v>1018427</v>
          </cell>
          <cell r="S57">
            <v>229146</v>
          </cell>
          <cell r="T57">
            <v>25461</v>
          </cell>
          <cell r="U57">
            <v>1643</v>
          </cell>
          <cell r="V57">
            <v>370</v>
          </cell>
          <cell r="W57">
            <v>41</v>
          </cell>
          <cell r="X57">
            <v>605</v>
          </cell>
          <cell r="Y57">
            <v>136</v>
          </cell>
          <cell r="Z57">
            <v>15</v>
          </cell>
          <cell r="AA57">
            <v>140</v>
          </cell>
          <cell r="AB57">
            <v>32</v>
          </cell>
          <cell r="AC57">
            <v>4</v>
          </cell>
          <cell r="AD57">
            <v>0</v>
          </cell>
          <cell r="AE57">
            <v>0</v>
          </cell>
          <cell r="AF57">
            <v>0</v>
          </cell>
          <cell r="AG57">
            <v>0</v>
          </cell>
          <cell r="AH57">
            <v>0</v>
          </cell>
          <cell r="AI57">
            <v>0</v>
          </cell>
          <cell r="AM57">
            <v>0</v>
          </cell>
          <cell r="AN57">
            <v>0</v>
          </cell>
          <cell r="AO57">
            <v>0</v>
          </cell>
          <cell r="AP57">
            <v>272844</v>
          </cell>
          <cell r="AQ57">
            <v>60877</v>
          </cell>
          <cell r="AR57">
            <v>6764</v>
          </cell>
          <cell r="AS57">
            <v>-149019</v>
          </cell>
          <cell r="AT57">
            <v>-119217</v>
          </cell>
          <cell r="AU57">
            <v>-26824</v>
          </cell>
          <cell r="AV57">
            <v>-2981</v>
          </cell>
          <cell r="AW57">
            <v>-298041</v>
          </cell>
          <cell r="AX57">
            <v>-2125000</v>
          </cell>
          <cell r="AY57">
            <v>-1700000</v>
          </cell>
          <cell r="AZ57">
            <v>-382500</v>
          </cell>
          <cell r="BA57">
            <v>-42500</v>
          </cell>
          <cell r="BB57">
            <v>-4250000</v>
          </cell>
          <cell r="BC57">
            <v>45182510</v>
          </cell>
          <cell r="BD57">
            <v>-3385908</v>
          </cell>
          <cell r="BE57">
            <v>1249683</v>
          </cell>
          <cell r="BF57">
            <v>0</v>
          </cell>
          <cell r="BG57">
            <v>-6127868</v>
          </cell>
          <cell r="BH57">
            <v>-19820</v>
          </cell>
          <cell r="BI57">
            <v>-1665</v>
          </cell>
          <cell r="BJ57">
            <v>-461</v>
          </cell>
          <cell r="BK57">
            <v>-925020</v>
          </cell>
          <cell r="BL57">
            <v>-68607</v>
          </cell>
          <cell r="BM57">
            <v>-177626</v>
          </cell>
          <cell r="BN57">
            <v>-425</v>
          </cell>
          <cell r="BO57">
            <v>0</v>
          </cell>
          <cell r="BP57">
            <v>0</v>
          </cell>
          <cell r="BQ57">
            <v>-64553</v>
          </cell>
          <cell r="BR57">
            <v>0</v>
          </cell>
          <cell r="BS57">
            <v>0</v>
          </cell>
          <cell r="BT57">
            <v>45860783</v>
          </cell>
          <cell r="BU57">
            <v>-290538</v>
          </cell>
          <cell r="BV57">
            <v>860016</v>
          </cell>
          <cell r="BW57">
            <v>-607343</v>
          </cell>
          <cell r="BX57">
            <v>-1950961</v>
          </cell>
          <cell r="BY57">
            <v>-1200823</v>
          </cell>
          <cell r="BZ57">
            <v>45029387</v>
          </cell>
          <cell r="CA57">
            <v>-975479</v>
          </cell>
          <cell r="CB57">
            <v>-780385</v>
          </cell>
          <cell r="CC57">
            <v>-175587</v>
          </cell>
          <cell r="CD57">
            <v>-19510</v>
          </cell>
          <cell r="CE57">
            <v>-600412</v>
          </cell>
          <cell r="CF57">
            <v>-480329</v>
          </cell>
          <cell r="CG57">
            <v>-108074</v>
          </cell>
          <cell r="CH57">
            <v>-12008</v>
          </cell>
        </row>
        <row r="58">
          <cell r="A58">
            <v>51</v>
          </cell>
          <cell r="B58" t="str">
            <v>Chelmsford</v>
          </cell>
          <cell r="C58" t="str">
            <v>E1535</v>
          </cell>
          <cell r="D58">
            <v>217330</v>
          </cell>
          <cell r="H58">
            <v>-4126045</v>
          </cell>
          <cell r="I58">
            <v>0</v>
          </cell>
          <cell r="J58">
            <v>217330</v>
          </cell>
          <cell r="K58">
            <v>0</v>
          </cell>
          <cell r="L58">
            <v>0</v>
          </cell>
          <cell r="M58">
            <v>0</v>
          </cell>
          <cell r="N58">
            <v>0</v>
          </cell>
          <cell r="O58">
            <v>0</v>
          </cell>
          <cell r="P58">
            <v>0</v>
          </cell>
          <cell r="Q58">
            <v>0</v>
          </cell>
          <cell r="R58">
            <v>826697</v>
          </cell>
          <cell r="S58">
            <v>186007</v>
          </cell>
          <cell r="T58">
            <v>20667</v>
          </cell>
          <cell r="U58">
            <v>0</v>
          </cell>
          <cell r="V58">
            <v>0</v>
          </cell>
          <cell r="W58">
            <v>0</v>
          </cell>
          <cell r="X58">
            <v>605</v>
          </cell>
          <cell r="Y58">
            <v>136</v>
          </cell>
          <cell r="Z58">
            <v>15</v>
          </cell>
          <cell r="AA58">
            <v>381</v>
          </cell>
          <cell r="AB58">
            <v>86</v>
          </cell>
          <cell r="AC58">
            <v>10</v>
          </cell>
          <cell r="AD58">
            <v>0</v>
          </cell>
          <cell r="AE58">
            <v>0</v>
          </cell>
          <cell r="AF58">
            <v>0</v>
          </cell>
          <cell r="AG58">
            <v>0</v>
          </cell>
          <cell r="AH58">
            <v>0</v>
          </cell>
          <cell r="AI58">
            <v>0</v>
          </cell>
          <cell r="AM58">
            <v>0</v>
          </cell>
          <cell r="AN58">
            <v>0</v>
          </cell>
          <cell r="AO58">
            <v>0</v>
          </cell>
          <cell r="AP58">
            <v>460343</v>
          </cell>
          <cell r="AQ58">
            <v>103577</v>
          </cell>
          <cell r="AR58">
            <v>11509</v>
          </cell>
          <cell r="AS58">
            <v>-436938.65</v>
          </cell>
          <cell r="AT58">
            <v>-349549</v>
          </cell>
          <cell r="AU58">
            <v>-78649</v>
          </cell>
          <cell r="AV58">
            <v>-8738</v>
          </cell>
          <cell r="AW58">
            <v>-873874.65</v>
          </cell>
          <cell r="AX58">
            <v>-5394203</v>
          </cell>
          <cell r="AY58">
            <v>-4315363</v>
          </cell>
          <cell r="AZ58">
            <v>-970958</v>
          </cell>
          <cell r="BA58">
            <v>-107884</v>
          </cell>
          <cell r="BB58">
            <v>-10788408</v>
          </cell>
          <cell r="BC58">
            <v>81654359</v>
          </cell>
          <cell r="BD58">
            <v>-2889975</v>
          </cell>
          <cell r="BE58">
            <v>2171334</v>
          </cell>
          <cell r="BF58">
            <v>0</v>
          </cell>
          <cell r="BG58">
            <v>-4784853</v>
          </cell>
          <cell r="BH58">
            <v>-33796</v>
          </cell>
          <cell r="BI58">
            <v>-8122</v>
          </cell>
          <cell r="BJ58">
            <v>-63610</v>
          </cell>
          <cell r="BK58">
            <v>-3047676</v>
          </cell>
          <cell r="BL58">
            <v>-8347</v>
          </cell>
          <cell r="BM58">
            <v>-102570</v>
          </cell>
          <cell r="BN58">
            <v>0</v>
          </cell>
          <cell r="BO58">
            <v>-1602</v>
          </cell>
          <cell r="BP58">
            <v>-8308</v>
          </cell>
          <cell r="BQ58">
            <v>0</v>
          </cell>
          <cell r="BR58">
            <v>0</v>
          </cell>
          <cell r="BS58">
            <v>0</v>
          </cell>
          <cell r="BT58">
            <v>79261260</v>
          </cell>
          <cell r="BU58">
            <v>0</v>
          </cell>
          <cell r="BV58">
            <v>2929075</v>
          </cell>
          <cell r="BW58">
            <v>-1985982</v>
          </cell>
          <cell r="BX58">
            <v>3810436</v>
          </cell>
          <cell r="BY58">
            <v>2993810</v>
          </cell>
          <cell r="BZ58">
            <v>76614174</v>
          </cell>
          <cell r="CA58">
            <v>1905218</v>
          </cell>
          <cell r="CB58">
            <v>1524174</v>
          </cell>
          <cell r="CC58">
            <v>342939</v>
          </cell>
          <cell r="CD58">
            <v>38105</v>
          </cell>
          <cell r="CE58">
            <v>1496905</v>
          </cell>
          <cell r="CF58">
            <v>1197524</v>
          </cell>
          <cell r="CG58">
            <v>269443</v>
          </cell>
          <cell r="CH58">
            <v>29938</v>
          </cell>
        </row>
        <row r="59">
          <cell r="A59">
            <v>52</v>
          </cell>
          <cell r="B59" t="str">
            <v>Cheltenham</v>
          </cell>
          <cell r="C59" t="str">
            <v>E1631</v>
          </cell>
          <cell r="D59">
            <v>174255</v>
          </cell>
          <cell r="H59">
            <v>-2158783</v>
          </cell>
          <cell r="I59">
            <v>0</v>
          </cell>
          <cell r="J59">
            <v>174255</v>
          </cell>
          <cell r="K59">
            <v>0</v>
          </cell>
          <cell r="L59">
            <v>0</v>
          </cell>
          <cell r="M59">
            <v>0</v>
          </cell>
          <cell r="N59">
            <v>0</v>
          </cell>
          <cell r="O59">
            <v>0</v>
          </cell>
          <cell r="P59">
            <v>0</v>
          </cell>
          <cell r="Q59">
            <v>0</v>
          </cell>
          <cell r="R59">
            <v>620605</v>
          </cell>
          <cell r="S59">
            <v>155151</v>
          </cell>
          <cell r="T59">
            <v>0</v>
          </cell>
          <cell r="U59">
            <v>0</v>
          </cell>
          <cell r="V59">
            <v>0</v>
          </cell>
          <cell r="W59">
            <v>0</v>
          </cell>
          <cell r="X59">
            <v>0</v>
          </cell>
          <cell r="Y59">
            <v>0</v>
          </cell>
          <cell r="Z59">
            <v>0</v>
          </cell>
          <cell r="AA59">
            <v>406</v>
          </cell>
          <cell r="AB59">
            <v>102</v>
          </cell>
          <cell r="AC59">
            <v>0</v>
          </cell>
          <cell r="AD59">
            <v>0</v>
          </cell>
          <cell r="AE59">
            <v>0</v>
          </cell>
          <cell r="AF59">
            <v>0</v>
          </cell>
          <cell r="AG59">
            <v>0</v>
          </cell>
          <cell r="AH59">
            <v>0</v>
          </cell>
          <cell r="AI59">
            <v>0</v>
          </cell>
          <cell r="AM59">
            <v>0</v>
          </cell>
          <cell r="AN59">
            <v>0</v>
          </cell>
          <cell r="AO59">
            <v>0</v>
          </cell>
          <cell r="AP59">
            <v>322515</v>
          </cell>
          <cell r="AQ59">
            <v>80629</v>
          </cell>
          <cell r="AR59">
            <v>0</v>
          </cell>
          <cell r="AS59">
            <v>-212982</v>
          </cell>
          <cell r="AT59">
            <v>-170386</v>
          </cell>
          <cell r="AU59">
            <v>-42596</v>
          </cell>
          <cell r="AV59">
            <v>0</v>
          </cell>
          <cell r="AW59">
            <v>-425964</v>
          </cell>
          <cell r="AX59">
            <v>-1255322</v>
          </cell>
          <cell r="AY59">
            <v>-1004258</v>
          </cell>
          <cell r="AZ59">
            <v>-251065</v>
          </cell>
          <cell r="BA59">
            <v>0</v>
          </cell>
          <cell r="BB59">
            <v>-2510645</v>
          </cell>
          <cell r="BC59">
            <v>54900106</v>
          </cell>
          <cell r="BD59">
            <v>-2421078</v>
          </cell>
          <cell r="BE59">
            <v>1515209</v>
          </cell>
          <cell r="BF59">
            <v>0</v>
          </cell>
          <cell r="BG59">
            <v>-4125295</v>
          </cell>
          <cell r="BH59">
            <v>-53199</v>
          </cell>
          <cell r="BI59">
            <v>0</v>
          </cell>
          <cell r="BJ59">
            <v>-26447</v>
          </cell>
          <cell r="BK59">
            <v>-1764183</v>
          </cell>
          <cell r="BL59">
            <v>-26985</v>
          </cell>
          <cell r="BM59">
            <v>-13164</v>
          </cell>
          <cell r="BN59">
            <v>0</v>
          </cell>
          <cell r="BO59">
            <v>0</v>
          </cell>
          <cell r="BP59">
            <v>0</v>
          </cell>
          <cell r="BQ59">
            <v>0</v>
          </cell>
          <cell r="BR59">
            <v>0</v>
          </cell>
          <cell r="BS59">
            <v>0</v>
          </cell>
          <cell r="BT59">
            <v>54756699</v>
          </cell>
          <cell r="BU59">
            <v>-303912</v>
          </cell>
          <cell r="BV59">
            <v>1139011</v>
          </cell>
          <cell r="BW59">
            <v>-4937533</v>
          </cell>
          <cell r="BX59">
            <v>-1699770</v>
          </cell>
          <cell r="BY59">
            <v>-1111062</v>
          </cell>
          <cell r="BZ59">
            <v>53675636</v>
          </cell>
          <cell r="CA59">
            <v>-849885</v>
          </cell>
          <cell r="CB59">
            <v>-679908</v>
          </cell>
          <cell r="CC59">
            <v>-169977</v>
          </cell>
          <cell r="CD59">
            <v>0</v>
          </cell>
          <cell r="CE59">
            <v>-555531</v>
          </cell>
          <cell r="CF59">
            <v>-444425</v>
          </cell>
          <cell r="CG59">
            <v>-111106</v>
          </cell>
          <cell r="CH59">
            <v>0</v>
          </cell>
        </row>
        <row r="60">
          <cell r="A60">
            <v>53</v>
          </cell>
          <cell r="B60" t="str">
            <v>Cherwell</v>
          </cell>
          <cell r="C60" t="str">
            <v>E3131</v>
          </cell>
          <cell r="D60">
            <v>227866</v>
          </cell>
          <cell r="H60">
            <v>6941903</v>
          </cell>
          <cell r="I60">
            <v>0</v>
          </cell>
          <cell r="J60">
            <v>227866</v>
          </cell>
          <cell r="K60">
            <v>0</v>
          </cell>
          <cell r="L60">
            <v>202114</v>
          </cell>
          <cell r="M60">
            <v>245727</v>
          </cell>
          <cell r="N60">
            <v>0</v>
          </cell>
          <cell r="O60">
            <v>0</v>
          </cell>
          <cell r="P60">
            <v>0</v>
          </cell>
          <cell r="Q60">
            <v>0</v>
          </cell>
          <cell r="R60">
            <v>649184</v>
          </cell>
          <cell r="S60">
            <v>162296</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M60">
            <v>0</v>
          </cell>
          <cell r="AN60">
            <v>0</v>
          </cell>
          <cell r="AO60">
            <v>0</v>
          </cell>
          <cell r="AP60">
            <v>514936</v>
          </cell>
          <cell r="AQ60">
            <v>131666</v>
          </cell>
          <cell r="AR60">
            <v>0</v>
          </cell>
          <cell r="AS60">
            <v>-116152</v>
          </cell>
          <cell r="AT60">
            <v>-92924</v>
          </cell>
          <cell r="AU60">
            <v>-23231</v>
          </cell>
          <cell r="AV60">
            <v>0</v>
          </cell>
          <cell r="AW60">
            <v>-232307</v>
          </cell>
          <cell r="AX60">
            <v>-2389239</v>
          </cell>
          <cell r="AY60">
            <v>-1911390</v>
          </cell>
          <cell r="AZ60">
            <v>-477848</v>
          </cell>
          <cell r="BA60">
            <v>0</v>
          </cell>
          <cell r="BB60">
            <v>-4778477</v>
          </cell>
          <cell r="BC60">
            <v>74855878</v>
          </cell>
          <cell r="BD60">
            <v>-2322067</v>
          </cell>
          <cell r="BE60">
            <v>2007549</v>
          </cell>
          <cell r="BF60">
            <v>0</v>
          </cell>
          <cell r="BG60">
            <v>-3246462</v>
          </cell>
          <cell r="BH60">
            <v>-62244</v>
          </cell>
          <cell r="BI60">
            <v>-34829</v>
          </cell>
          <cell r="BJ60">
            <v>-2912</v>
          </cell>
          <cell r="BK60">
            <v>-2463450</v>
          </cell>
          <cell r="BL60">
            <v>-35680</v>
          </cell>
          <cell r="BM60">
            <v>-64292</v>
          </cell>
          <cell r="BN60">
            <v>0</v>
          </cell>
          <cell r="BO60">
            <v>-17354</v>
          </cell>
          <cell r="BP60">
            <v>-12351</v>
          </cell>
          <cell r="BQ60">
            <v>0</v>
          </cell>
          <cell r="BR60">
            <v>0</v>
          </cell>
          <cell r="BS60">
            <v>0</v>
          </cell>
          <cell r="BT60">
            <v>74621790</v>
          </cell>
          <cell r="BU60">
            <v>0</v>
          </cell>
          <cell r="BV60">
            <v>973499</v>
          </cell>
          <cell r="BW60">
            <v>-2000326</v>
          </cell>
          <cell r="BX60">
            <v>-4383274</v>
          </cell>
          <cell r="BY60">
            <v>-1571193</v>
          </cell>
          <cell r="BZ60">
            <v>85194826</v>
          </cell>
          <cell r="CA60">
            <v>-2191637</v>
          </cell>
          <cell r="CB60">
            <v>-1753310</v>
          </cell>
          <cell r="CC60">
            <v>-438327</v>
          </cell>
          <cell r="CD60">
            <v>0</v>
          </cell>
          <cell r="CE60">
            <v>-785597</v>
          </cell>
          <cell r="CF60">
            <v>-628477</v>
          </cell>
          <cell r="CG60">
            <v>-157119</v>
          </cell>
          <cell r="CH60">
            <v>0</v>
          </cell>
        </row>
        <row r="61">
          <cell r="A61">
            <v>54</v>
          </cell>
          <cell r="B61" t="str">
            <v>Cheshire East UA</v>
          </cell>
          <cell r="C61" t="str">
            <v>E0603</v>
          </cell>
          <cell r="D61">
            <v>563725</v>
          </cell>
          <cell r="H61">
            <v>-3673053</v>
          </cell>
          <cell r="I61">
            <v>-221003</v>
          </cell>
          <cell r="J61">
            <v>563725</v>
          </cell>
          <cell r="K61">
            <v>368442</v>
          </cell>
          <cell r="L61">
            <v>68439</v>
          </cell>
          <cell r="M61">
            <v>0</v>
          </cell>
          <cell r="N61">
            <v>44846</v>
          </cell>
          <cell r="O61">
            <v>44846</v>
          </cell>
          <cell r="P61">
            <v>0</v>
          </cell>
          <cell r="Q61">
            <v>0</v>
          </cell>
          <cell r="R61">
            <v>2820831</v>
          </cell>
          <cell r="S61">
            <v>0</v>
          </cell>
          <cell r="T61">
            <v>57491</v>
          </cell>
          <cell r="U61">
            <v>41972</v>
          </cell>
          <cell r="V61">
            <v>0</v>
          </cell>
          <cell r="W61">
            <v>857</v>
          </cell>
          <cell r="X61">
            <v>0</v>
          </cell>
          <cell r="Y61">
            <v>0</v>
          </cell>
          <cell r="Z61">
            <v>0</v>
          </cell>
          <cell r="AA61">
            <v>42729</v>
          </cell>
          <cell r="AB61">
            <v>0</v>
          </cell>
          <cell r="AC61">
            <v>872</v>
          </cell>
          <cell r="AD61">
            <v>0</v>
          </cell>
          <cell r="AE61">
            <v>0</v>
          </cell>
          <cell r="AF61">
            <v>0</v>
          </cell>
          <cell r="AG61">
            <v>0</v>
          </cell>
          <cell r="AH61">
            <v>0</v>
          </cell>
          <cell r="AI61">
            <v>0</v>
          </cell>
          <cell r="AM61">
            <v>0</v>
          </cell>
          <cell r="AN61">
            <v>0</v>
          </cell>
          <cell r="AO61">
            <v>0</v>
          </cell>
          <cell r="AP61">
            <v>976064</v>
          </cell>
          <cell r="AQ61">
            <v>0</v>
          </cell>
          <cell r="AR61">
            <v>19772</v>
          </cell>
          <cell r="AS61">
            <v>-899542</v>
          </cell>
          <cell r="AT61">
            <v>-881554</v>
          </cell>
          <cell r="AU61">
            <v>0</v>
          </cell>
          <cell r="AV61">
            <v>-17991</v>
          </cell>
          <cell r="AW61">
            <v>-1799087</v>
          </cell>
          <cell r="AX61">
            <v>-7086182</v>
          </cell>
          <cell r="AY61">
            <v>-6944460</v>
          </cell>
          <cell r="AZ61">
            <v>0</v>
          </cell>
          <cell r="BA61">
            <v>-141724</v>
          </cell>
          <cell r="BB61">
            <v>-14172366</v>
          </cell>
          <cell r="BC61">
            <v>144370539</v>
          </cell>
          <cell r="BD61">
            <v>-9095594</v>
          </cell>
          <cell r="BE61">
            <v>3784457</v>
          </cell>
          <cell r="BF61">
            <v>0</v>
          </cell>
          <cell r="BG61">
            <v>-7670892</v>
          </cell>
          <cell r="BH61">
            <v>-121915</v>
          </cell>
          <cell r="BI61">
            <v>-17432</v>
          </cell>
          <cell r="BJ61">
            <v>-21601</v>
          </cell>
          <cell r="BK61">
            <v>-4249985</v>
          </cell>
          <cell r="BL61">
            <v>-227613</v>
          </cell>
          <cell r="BM61">
            <v>-77386</v>
          </cell>
          <cell r="BN61">
            <v>-5488</v>
          </cell>
          <cell r="BO61">
            <v>-16115</v>
          </cell>
          <cell r="BP61">
            <v>-14117</v>
          </cell>
          <cell r="BQ61">
            <v>-5288</v>
          </cell>
          <cell r="BR61">
            <v>-5288</v>
          </cell>
          <cell r="BS61">
            <v>0</v>
          </cell>
          <cell r="BT61">
            <v>146475571</v>
          </cell>
          <cell r="BU61">
            <v>-1836970</v>
          </cell>
          <cell r="BV61">
            <v>6632131</v>
          </cell>
          <cell r="BW61">
            <v>-579611</v>
          </cell>
          <cell r="BX61">
            <v>-3141174</v>
          </cell>
          <cell r="BY61">
            <v>-4476180</v>
          </cell>
          <cell r="BZ61">
            <v>131624993</v>
          </cell>
          <cell r="CA61">
            <v>-1570586</v>
          </cell>
          <cell r="CB61">
            <v>-1539175</v>
          </cell>
          <cell r="CC61">
            <v>0</v>
          </cell>
          <cell r="CD61">
            <v>-31413</v>
          </cell>
          <cell r="CE61">
            <v>-2238090</v>
          </cell>
          <cell r="CF61">
            <v>-2193328</v>
          </cell>
          <cell r="CG61">
            <v>0</v>
          </cell>
          <cell r="CH61">
            <v>-44762</v>
          </cell>
        </row>
        <row r="62">
          <cell r="A62">
            <v>55</v>
          </cell>
          <cell r="B62" t="str">
            <v>Cheshire West &amp; Chester UA</v>
          </cell>
          <cell r="C62" t="str">
            <v>E0604</v>
          </cell>
          <cell r="D62">
            <v>480131</v>
          </cell>
          <cell r="H62">
            <v>-11814530</v>
          </cell>
          <cell r="I62">
            <v>-3793</v>
          </cell>
          <cell r="J62">
            <v>480131</v>
          </cell>
          <cell r="K62">
            <v>15118</v>
          </cell>
          <cell r="L62">
            <v>0</v>
          </cell>
          <cell r="M62">
            <v>0</v>
          </cell>
          <cell r="N62">
            <v>55000</v>
          </cell>
          <cell r="O62">
            <v>55000</v>
          </cell>
          <cell r="P62">
            <v>0</v>
          </cell>
          <cell r="Q62">
            <v>0</v>
          </cell>
          <cell r="R62">
            <v>2586275</v>
          </cell>
          <cell r="S62">
            <v>0</v>
          </cell>
          <cell r="T62">
            <v>52781</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M62">
            <v>0</v>
          </cell>
          <cell r="AN62">
            <v>0</v>
          </cell>
          <cell r="AO62">
            <v>0</v>
          </cell>
          <cell r="AP62">
            <v>1012424</v>
          </cell>
          <cell r="AQ62">
            <v>0</v>
          </cell>
          <cell r="AR62">
            <v>20640</v>
          </cell>
          <cell r="AS62">
            <v>-1476882</v>
          </cell>
          <cell r="AT62">
            <v>-1447344</v>
          </cell>
          <cell r="AU62">
            <v>0</v>
          </cell>
          <cell r="AV62">
            <v>-29537</v>
          </cell>
          <cell r="AW62">
            <v>-2953763</v>
          </cell>
          <cell r="AX62">
            <v>-6573234</v>
          </cell>
          <cell r="AY62">
            <v>-6441768</v>
          </cell>
          <cell r="AZ62">
            <v>0</v>
          </cell>
          <cell r="BA62">
            <v>-131465</v>
          </cell>
          <cell r="BB62">
            <v>-13146467</v>
          </cell>
          <cell r="BC62">
            <v>164368138</v>
          </cell>
          <cell r="BD62">
            <v>-6744865</v>
          </cell>
          <cell r="BE62">
            <v>4576631</v>
          </cell>
          <cell r="BF62">
            <v>0</v>
          </cell>
          <cell r="BG62">
            <v>-8628427</v>
          </cell>
          <cell r="BH62">
            <v>-56578</v>
          </cell>
          <cell r="BI62">
            <v>-59263</v>
          </cell>
          <cell r="BJ62">
            <v>-53843</v>
          </cell>
          <cell r="BK62">
            <v>-6673605</v>
          </cell>
          <cell r="BL62">
            <v>-831620</v>
          </cell>
          <cell r="BM62">
            <v>-1227968</v>
          </cell>
          <cell r="BN62">
            <v>-13669</v>
          </cell>
          <cell r="BO62">
            <v>-59263</v>
          </cell>
          <cell r="BP62">
            <v>-24294</v>
          </cell>
          <cell r="BQ62">
            <v>-89591</v>
          </cell>
          <cell r="BR62">
            <v>-28921</v>
          </cell>
          <cell r="BS62">
            <v>0</v>
          </cell>
          <cell r="BT62">
            <v>167309366</v>
          </cell>
          <cell r="BU62">
            <v>-795694</v>
          </cell>
          <cell r="BV62">
            <v>4407865</v>
          </cell>
          <cell r="BW62">
            <v>-4470983</v>
          </cell>
          <cell r="BX62">
            <v>7794523</v>
          </cell>
          <cell r="BY62">
            <v>0</v>
          </cell>
          <cell r="BZ62">
            <v>137404924</v>
          </cell>
          <cell r="CA62">
            <v>3897261</v>
          </cell>
          <cell r="CB62">
            <v>3819317</v>
          </cell>
          <cell r="CC62">
            <v>0</v>
          </cell>
          <cell r="CD62">
            <v>77945</v>
          </cell>
          <cell r="CE62">
            <v>0</v>
          </cell>
          <cell r="CF62">
            <v>0</v>
          </cell>
          <cell r="CG62">
            <v>0</v>
          </cell>
          <cell r="CH62">
            <v>0</v>
          </cell>
        </row>
        <row r="63">
          <cell r="A63">
            <v>56</v>
          </cell>
          <cell r="B63" t="str">
            <v>Chesterfield</v>
          </cell>
          <cell r="C63" t="str">
            <v>E1033</v>
          </cell>
          <cell r="D63">
            <v>163817</v>
          </cell>
          <cell r="H63">
            <v>153135</v>
          </cell>
          <cell r="I63">
            <v>-22006</v>
          </cell>
          <cell r="J63">
            <v>163817</v>
          </cell>
          <cell r="K63">
            <v>700059</v>
          </cell>
          <cell r="L63">
            <v>55900</v>
          </cell>
          <cell r="M63">
            <v>0</v>
          </cell>
          <cell r="N63">
            <v>0</v>
          </cell>
          <cell r="O63">
            <v>0</v>
          </cell>
          <cell r="P63">
            <v>0</v>
          </cell>
          <cell r="Q63">
            <v>0</v>
          </cell>
          <cell r="R63">
            <v>747434</v>
          </cell>
          <cell r="S63">
            <v>168173</v>
          </cell>
          <cell r="T63">
            <v>18686</v>
          </cell>
          <cell r="U63">
            <v>4318</v>
          </cell>
          <cell r="V63">
            <v>972</v>
          </cell>
          <cell r="W63">
            <v>108</v>
          </cell>
          <cell r="X63">
            <v>0</v>
          </cell>
          <cell r="Y63">
            <v>0</v>
          </cell>
          <cell r="Z63">
            <v>0</v>
          </cell>
          <cell r="AA63">
            <v>0</v>
          </cell>
          <cell r="AB63">
            <v>0</v>
          </cell>
          <cell r="AC63">
            <v>0</v>
          </cell>
          <cell r="AD63">
            <v>0</v>
          </cell>
          <cell r="AE63">
            <v>0</v>
          </cell>
          <cell r="AF63">
            <v>0</v>
          </cell>
          <cell r="AG63">
            <v>0</v>
          </cell>
          <cell r="AH63">
            <v>0</v>
          </cell>
          <cell r="AI63">
            <v>0</v>
          </cell>
          <cell r="AM63">
            <v>0</v>
          </cell>
          <cell r="AN63">
            <v>0</v>
          </cell>
          <cell r="AO63">
            <v>0</v>
          </cell>
          <cell r="AP63">
            <v>233227</v>
          </cell>
          <cell r="AQ63">
            <v>49921</v>
          </cell>
          <cell r="AR63">
            <v>5547</v>
          </cell>
          <cell r="AS63">
            <v>-348049</v>
          </cell>
          <cell r="AT63">
            <v>-278441</v>
          </cell>
          <cell r="AU63">
            <v>-62650</v>
          </cell>
          <cell r="AV63">
            <v>-6961</v>
          </cell>
          <cell r="AW63">
            <v>-696101</v>
          </cell>
          <cell r="AX63">
            <v>-2257319</v>
          </cell>
          <cell r="AY63">
            <v>-1805856</v>
          </cell>
          <cell r="AZ63">
            <v>-406318</v>
          </cell>
          <cell r="BA63">
            <v>-45148</v>
          </cell>
          <cell r="BB63">
            <v>-4514641</v>
          </cell>
          <cell r="BC63">
            <v>36600740</v>
          </cell>
          <cell r="BD63">
            <v>-2988435</v>
          </cell>
          <cell r="BE63">
            <v>963454</v>
          </cell>
          <cell r="BF63">
            <v>0</v>
          </cell>
          <cell r="BG63">
            <v>-1761641</v>
          </cell>
          <cell r="BH63">
            <v>-31202</v>
          </cell>
          <cell r="BI63">
            <v>-3231</v>
          </cell>
          <cell r="BJ63">
            <v>0</v>
          </cell>
          <cell r="BK63">
            <v>-1522720</v>
          </cell>
          <cell r="BL63">
            <v>-40809</v>
          </cell>
          <cell r="BM63">
            <v>-37911</v>
          </cell>
          <cell r="BN63">
            <v>-1267</v>
          </cell>
          <cell r="BO63">
            <v>0</v>
          </cell>
          <cell r="BP63">
            <v>0</v>
          </cell>
          <cell r="BQ63">
            <v>0</v>
          </cell>
          <cell r="BR63">
            <v>0</v>
          </cell>
          <cell r="BS63">
            <v>0</v>
          </cell>
          <cell r="BT63">
            <v>37630410</v>
          </cell>
          <cell r="BU63">
            <v>-452651</v>
          </cell>
          <cell r="BV63">
            <v>966325</v>
          </cell>
          <cell r="BW63">
            <v>-841910</v>
          </cell>
          <cell r="BX63">
            <v>-992034</v>
          </cell>
          <cell r="BY63">
            <v>-266065</v>
          </cell>
          <cell r="BZ63">
            <v>36925752</v>
          </cell>
          <cell r="CA63">
            <v>-496017</v>
          </cell>
          <cell r="CB63">
            <v>-396814</v>
          </cell>
          <cell r="CC63">
            <v>-89283</v>
          </cell>
          <cell r="CD63">
            <v>-9920</v>
          </cell>
          <cell r="CE63">
            <v>-133032</v>
          </cell>
          <cell r="CF63">
            <v>-106426</v>
          </cell>
          <cell r="CG63">
            <v>-23946</v>
          </cell>
          <cell r="CH63">
            <v>-2661</v>
          </cell>
        </row>
        <row r="64">
          <cell r="A64">
            <v>57</v>
          </cell>
          <cell r="B64" t="str">
            <v>Chichester</v>
          </cell>
          <cell r="C64" t="str">
            <v>E3833</v>
          </cell>
          <cell r="D64">
            <v>197628</v>
          </cell>
          <cell r="H64">
            <v>1519770</v>
          </cell>
          <cell r="I64">
            <v>0</v>
          </cell>
          <cell r="J64">
            <v>197628</v>
          </cell>
          <cell r="K64">
            <v>0</v>
          </cell>
          <cell r="L64">
            <v>92994</v>
          </cell>
          <cell r="M64">
            <v>16879</v>
          </cell>
          <cell r="N64">
            <v>0</v>
          </cell>
          <cell r="O64">
            <v>0</v>
          </cell>
          <cell r="P64">
            <v>0</v>
          </cell>
          <cell r="Q64">
            <v>0</v>
          </cell>
          <cell r="R64">
            <v>889542</v>
          </cell>
          <cell r="S64">
            <v>222385</v>
          </cell>
          <cell r="T64">
            <v>0</v>
          </cell>
          <cell r="U64">
            <v>11130</v>
          </cell>
          <cell r="V64">
            <v>2782</v>
          </cell>
          <cell r="W64">
            <v>0</v>
          </cell>
          <cell r="X64">
            <v>0</v>
          </cell>
          <cell r="Y64">
            <v>0</v>
          </cell>
          <cell r="Z64">
            <v>0</v>
          </cell>
          <cell r="AA64">
            <v>0</v>
          </cell>
          <cell r="AB64">
            <v>0</v>
          </cell>
          <cell r="AC64">
            <v>0</v>
          </cell>
          <cell r="AD64">
            <v>0</v>
          </cell>
          <cell r="AE64">
            <v>0</v>
          </cell>
          <cell r="AF64">
            <v>0</v>
          </cell>
          <cell r="AG64">
            <v>0</v>
          </cell>
          <cell r="AH64">
            <v>0</v>
          </cell>
          <cell r="AI64">
            <v>0</v>
          </cell>
          <cell r="AM64">
            <v>0</v>
          </cell>
          <cell r="AN64">
            <v>0</v>
          </cell>
          <cell r="AO64">
            <v>0</v>
          </cell>
          <cell r="AP64">
            <v>279337</v>
          </cell>
          <cell r="AQ64">
            <v>69739</v>
          </cell>
          <cell r="AR64">
            <v>0</v>
          </cell>
          <cell r="AS64">
            <v>-448427.27</v>
          </cell>
          <cell r="AT64">
            <v>-358742</v>
          </cell>
          <cell r="AU64">
            <v>-89685</v>
          </cell>
          <cell r="AV64">
            <v>0</v>
          </cell>
          <cell r="AW64">
            <v>-896854.27</v>
          </cell>
          <cell r="AX64">
            <v>-1682582</v>
          </cell>
          <cell r="AY64">
            <v>-1346064</v>
          </cell>
          <cell r="AZ64">
            <v>-336516</v>
          </cell>
          <cell r="BA64">
            <v>0</v>
          </cell>
          <cell r="BB64">
            <v>-3365162</v>
          </cell>
          <cell r="BC64">
            <v>44313749</v>
          </cell>
          <cell r="BD64">
            <v>-3408307</v>
          </cell>
          <cell r="BE64">
            <v>1198290</v>
          </cell>
          <cell r="BF64">
            <v>0</v>
          </cell>
          <cell r="BG64">
            <v>-3966591</v>
          </cell>
          <cell r="BH64">
            <v>-38354</v>
          </cell>
          <cell r="BI64">
            <v>-41283</v>
          </cell>
          <cell r="BJ64">
            <v>-1924</v>
          </cell>
          <cell r="BK64">
            <v>-1328984</v>
          </cell>
          <cell r="BL64">
            <v>0</v>
          </cell>
          <cell r="BM64">
            <v>-6353</v>
          </cell>
          <cell r="BN64">
            <v>0</v>
          </cell>
          <cell r="BO64">
            <v>-40599</v>
          </cell>
          <cell r="BP64">
            <v>-12543</v>
          </cell>
          <cell r="BQ64">
            <v>0</v>
          </cell>
          <cell r="BR64">
            <v>0</v>
          </cell>
          <cell r="BS64">
            <v>0</v>
          </cell>
          <cell r="BT64">
            <v>44889277</v>
          </cell>
          <cell r="BU64">
            <v>-82696</v>
          </cell>
          <cell r="BV64">
            <v>1781490</v>
          </cell>
          <cell r="BW64">
            <v>-986733</v>
          </cell>
          <cell r="BX64">
            <v>-3796398</v>
          </cell>
          <cell r="BY64">
            <v>-3493459</v>
          </cell>
          <cell r="BZ64">
            <v>46257221</v>
          </cell>
          <cell r="CA64">
            <v>-1898199</v>
          </cell>
          <cell r="CB64">
            <v>-1518559</v>
          </cell>
          <cell r="CC64">
            <v>-379640</v>
          </cell>
          <cell r="CD64">
            <v>0</v>
          </cell>
          <cell r="CE64">
            <v>-1746729</v>
          </cell>
          <cell r="CF64">
            <v>-1397384</v>
          </cell>
          <cell r="CG64">
            <v>-349346</v>
          </cell>
          <cell r="CH64">
            <v>0</v>
          </cell>
        </row>
        <row r="65">
          <cell r="A65">
            <v>58</v>
          </cell>
          <cell r="B65" t="str">
            <v>Chiltern</v>
          </cell>
          <cell r="C65" t="str">
            <v>E0432</v>
          </cell>
          <cell r="D65">
            <v>112028</v>
          </cell>
          <cell r="H65">
            <v>833084</v>
          </cell>
          <cell r="I65">
            <v>0</v>
          </cell>
          <cell r="J65">
            <v>112028</v>
          </cell>
          <cell r="K65">
            <v>0</v>
          </cell>
          <cell r="L65">
            <v>0</v>
          </cell>
          <cell r="M65">
            <v>0</v>
          </cell>
          <cell r="N65">
            <v>0</v>
          </cell>
          <cell r="O65">
            <v>0</v>
          </cell>
          <cell r="P65">
            <v>0</v>
          </cell>
          <cell r="Q65">
            <v>0</v>
          </cell>
          <cell r="R65">
            <v>465222</v>
          </cell>
          <cell r="S65">
            <v>104675</v>
          </cell>
          <cell r="T65">
            <v>11631</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M65">
            <v>0</v>
          </cell>
          <cell r="AN65">
            <v>0</v>
          </cell>
          <cell r="AO65">
            <v>0</v>
          </cell>
          <cell r="AP65">
            <v>131650</v>
          </cell>
          <cell r="AQ65">
            <v>29621</v>
          </cell>
          <cell r="AR65">
            <v>3291</v>
          </cell>
          <cell r="AS65">
            <v>-158407</v>
          </cell>
          <cell r="AT65">
            <v>-126722</v>
          </cell>
          <cell r="AU65">
            <v>-28513</v>
          </cell>
          <cell r="AV65">
            <v>-3167</v>
          </cell>
          <cell r="AW65">
            <v>-316809</v>
          </cell>
          <cell r="AX65">
            <v>-1165347</v>
          </cell>
          <cell r="AY65">
            <v>-932278</v>
          </cell>
          <cell r="AZ65">
            <v>-209761</v>
          </cell>
          <cell r="BA65">
            <v>-23308</v>
          </cell>
          <cell r="BB65">
            <v>-2330694</v>
          </cell>
          <cell r="BC65">
            <v>21637824</v>
          </cell>
          <cell r="BD65">
            <v>-1649209</v>
          </cell>
          <cell r="BE65">
            <v>545329</v>
          </cell>
          <cell r="BF65">
            <v>0</v>
          </cell>
          <cell r="BG65">
            <v>-2375915</v>
          </cell>
          <cell r="BH65">
            <v>-36743</v>
          </cell>
          <cell r="BI65">
            <v>-15882</v>
          </cell>
          <cell r="BJ65">
            <v>-9068</v>
          </cell>
          <cell r="BK65">
            <v>-730558</v>
          </cell>
          <cell r="BL65">
            <v>-123428</v>
          </cell>
          <cell r="BM65">
            <v>-33639</v>
          </cell>
          <cell r="BN65">
            <v>-1407</v>
          </cell>
          <cell r="BO65">
            <v>-3374</v>
          </cell>
          <cell r="BP65">
            <v>0</v>
          </cell>
          <cell r="BQ65">
            <v>0</v>
          </cell>
          <cell r="BR65">
            <v>0</v>
          </cell>
          <cell r="BS65">
            <v>0</v>
          </cell>
          <cell r="BT65">
            <v>20439432</v>
          </cell>
          <cell r="BU65">
            <v>-89147</v>
          </cell>
          <cell r="BV65">
            <v>588308</v>
          </cell>
          <cell r="BW65">
            <v>-690079</v>
          </cell>
          <cell r="BX65">
            <v>240613</v>
          </cell>
          <cell r="BY65">
            <v>1610288</v>
          </cell>
          <cell r="BZ65">
            <v>21910399</v>
          </cell>
          <cell r="CA65">
            <v>120306</v>
          </cell>
          <cell r="CB65">
            <v>96246</v>
          </cell>
          <cell r="CC65">
            <v>21655</v>
          </cell>
          <cell r="CD65">
            <v>2406</v>
          </cell>
          <cell r="CE65">
            <v>805144</v>
          </cell>
          <cell r="CF65">
            <v>644115</v>
          </cell>
          <cell r="CG65">
            <v>144926</v>
          </cell>
          <cell r="CH65">
            <v>16103</v>
          </cell>
        </row>
        <row r="66">
          <cell r="A66">
            <v>59</v>
          </cell>
          <cell r="B66" t="str">
            <v>Chorley</v>
          </cell>
          <cell r="C66" t="str">
            <v>E2334</v>
          </cell>
          <cell r="D66">
            <v>132804</v>
          </cell>
          <cell r="H66">
            <v>-2328610</v>
          </cell>
          <cell r="I66">
            <v>0</v>
          </cell>
          <cell r="J66">
            <v>132804</v>
          </cell>
          <cell r="K66">
            <v>0</v>
          </cell>
          <cell r="L66">
            <v>0</v>
          </cell>
          <cell r="M66">
            <v>0</v>
          </cell>
          <cell r="N66">
            <v>0</v>
          </cell>
          <cell r="O66">
            <v>0</v>
          </cell>
          <cell r="P66">
            <v>0</v>
          </cell>
          <cell r="Q66">
            <v>0</v>
          </cell>
          <cell r="R66">
            <v>620172</v>
          </cell>
          <cell r="S66">
            <v>139538</v>
          </cell>
          <cell r="T66">
            <v>15504</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M66">
            <v>0</v>
          </cell>
          <cell r="AN66">
            <v>0</v>
          </cell>
          <cell r="AO66">
            <v>0</v>
          </cell>
          <cell r="AP66">
            <v>149147</v>
          </cell>
          <cell r="AQ66">
            <v>33558</v>
          </cell>
          <cell r="AR66">
            <v>3729</v>
          </cell>
          <cell r="AS66">
            <v>-336091</v>
          </cell>
          <cell r="AT66">
            <v>-268873</v>
          </cell>
          <cell r="AU66">
            <v>-60496</v>
          </cell>
          <cell r="AV66">
            <v>-6722</v>
          </cell>
          <cell r="AW66">
            <v>-672182</v>
          </cell>
          <cell r="AX66">
            <v>-825000</v>
          </cell>
          <cell r="AY66">
            <v>-660000</v>
          </cell>
          <cell r="AZ66">
            <v>-148500</v>
          </cell>
          <cell r="BA66">
            <v>-16500</v>
          </cell>
          <cell r="BB66">
            <v>-1650000</v>
          </cell>
          <cell r="BC66">
            <v>29608485</v>
          </cell>
          <cell r="BD66">
            <v>-2629232</v>
          </cell>
          <cell r="BE66">
            <v>756692</v>
          </cell>
          <cell r="BF66">
            <v>0</v>
          </cell>
          <cell r="BG66">
            <v>-1994679</v>
          </cell>
          <cell r="BH66">
            <v>-31623</v>
          </cell>
          <cell r="BI66">
            <v>-5560</v>
          </cell>
          <cell r="BJ66">
            <v>-12294</v>
          </cell>
          <cell r="BK66">
            <v>-704779</v>
          </cell>
          <cell r="BL66">
            <v>-12030</v>
          </cell>
          <cell r="BM66">
            <v>0</v>
          </cell>
          <cell r="BN66">
            <v>0</v>
          </cell>
          <cell r="BO66">
            <v>0</v>
          </cell>
          <cell r="BP66">
            <v>0</v>
          </cell>
          <cell r="BQ66">
            <v>0</v>
          </cell>
          <cell r="BR66">
            <v>0</v>
          </cell>
          <cell r="BS66">
            <v>0</v>
          </cell>
          <cell r="BT66">
            <v>29076539</v>
          </cell>
          <cell r="BU66">
            <v>-312332</v>
          </cell>
          <cell r="BV66">
            <v>988073</v>
          </cell>
          <cell r="BW66">
            <v>-707942</v>
          </cell>
          <cell r="BX66">
            <v>-1435607</v>
          </cell>
          <cell r="BY66">
            <v>-1213671</v>
          </cell>
          <cell r="BZ66">
            <v>24822269</v>
          </cell>
          <cell r="CA66">
            <v>-717805</v>
          </cell>
          <cell r="CB66">
            <v>-574242</v>
          </cell>
          <cell r="CC66">
            <v>-129204</v>
          </cell>
          <cell r="CD66">
            <v>-14356</v>
          </cell>
          <cell r="CE66">
            <v>-606836</v>
          </cell>
          <cell r="CF66">
            <v>-485468</v>
          </cell>
          <cell r="CG66">
            <v>-109230</v>
          </cell>
          <cell r="CH66">
            <v>-12137</v>
          </cell>
        </row>
        <row r="67">
          <cell r="A67">
            <v>60</v>
          </cell>
          <cell r="B67" t="str">
            <v>Christchurch</v>
          </cell>
          <cell r="C67" t="str">
            <v>E1232</v>
          </cell>
          <cell r="D67">
            <v>74395</v>
          </cell>
          <cell r="H67">
            <v>196574</v>
          </cell>
          <cell r="I67">
            <v>0</v>
          </cell>
          <cell r="J67">
            <v>74395</v>
          </cell>
          <cell r="K67">
            <v>0</v>
          </cell>
          <cell r="L67">
            <v>285495</v>
          </cell>
          <cell r="M67">
            <v>0</v>
          </cell>
          <cell r="N67">
            <v>0</v>
          </cell>
          <cell r="O67">
            <v>0</v>
          </cell>
          <cell r="P67">
            <v>0</v>
          </cell>
          <cell r="Q67">
            <v>0</v>
          </cell>
          <cell r="R67">
            <v>336616</v>
          </cell>
          <cell r="S67">
            <v>75738</v>
          </cell>
          <cell r="T67">
            <v>8415</v>
          </cell>
          <cell r="U67">
            <v>804</v>
          </cell>
          <cell r="V67">
            <v>181</v>
          </cell>
          <cell r="W67">
            <v>20</v>
          </cell>
          <cell r="X67">
            <v>0</v>
          </cell>
          <cell r="Y67">
            <v>0</v>
          </cell>
          <cell r="Z67">
            <v>0</v>
          </cell>
          <cell r="AA67">
            <v>0</v>
          </cell>
          <cell r="AB67">
            <v>0</v>
          </cell>
          <cell r="AC67">
            <v>0</v>
          </cell>
          <cell r="AD67">
            <v>0</v>
          </cell>
          <cell r="AE67">
            <v>0</v>
          </cell>
          <cell r="AF67">
            <v>0</v>
          </cell>
          <cell r="AG67">
            <v>0</v>
          </cell>
          <cell r="AH67">
            <v>0</v>
          </cell>
          <cell r="AI67">
            <v>0</v>
          </cell>
          <cell r="AM67">
            <v>0</v>
          </cell>
          <cell r="AN67">
            <v>0</v>
          </cell>
          <cell r="AO67">
            <v>0</v>
          </cell>
          <cell r="AP67">
            <v>119762</v>
          </cell>
          <cell r="AQ67">
            <v>25981</v>
          </cell>
          <cell r="AR67">
            <v>2887</v>
          </cell>
          <cell r="AS67">
            <v>-145276.49</v>
          </cell>
          <cell r="AT67">
            <v>-116220</v>
          </cell>
          <cell r="AU67">
            <v>-26151</v>
          </cell>
          <cell r="AV67">
            <v>-2905</v>
          </cell>
          <cell r="AW67">
            <v>-290552.49</v>
          </cell>
          <cell r="AX67">
            <v>-770661</v>
          </cell>
          <cell r="AY67">
            <v>-616528</v>
          </cell>
          <cell r="AZ67">
            <v>-138718</v>
          </cell>
          <cell r="BA67">
            <v>-15412</v>
          </cell>
          <cell r="BB67">
            <v>-1541319</v>
          </cell>
          <cell r="BC67">
            <v>18969773</v>
          </cell>
          <cell r="BD67">
            <v>-1250885</v>
          </cell>
          <cell r="BE67">
            <v>499650</v>
          </cell>
          <cell r="BF67">
            <v>0</v>
          </cell>
          <cell r="BG67">
            <v>-756561</v>
          </cell>
          <cell r="BH67">
            <v>-31669</v>
          </cell>
          <cell r="BI67">
            <v>-1743</v>
          </cell>
          <cell r="BJ67">
            <v>-8325</v>
          </cell>
          <cell r="BK67">
            <v>-663141</v>
          </cell>
          <cell r="BL67">
            <v>-5478</v>
          </cell>
          <cell r="BM67">
            <v>-4296</v>
          </cell>
          <cell r="BN67">
            <v>-1590</v>
          </cell>
          <cell r="BO67">
            <v>0</v>
          </cell>
          <cell r="BP67">
            <v>0</v>
          </cell>
          <cell r="BQ67">
            <v>0</v>
          </cell>
          <cell r="BR67">
            <v>0</v>
          </cell>
          <cell r="BS67">
            <v>0</v>
          </cell>
          <cell r="BT67">
            <v>19246091</v>
          </cell>
          <cell r="BU67">
            <v>-82655</v>
          </cell>
          <cell r="BV67">
            <v>510530</v>
          </cell>
          <cell r="BW67">
            <v>-229401</v>
          </cell>
          <cell r="BX67">
            <v>-209500</v>
          </cell>
          <cell r="BY67">
            <v>-238377</v>
          </cell>
          <cell r="BZ67">
            <v>19218055</v>
          </cell>
          <cell r="CA67">
            <v>-104750</v>
          </cell>
          <cell r="CB67">
            <v>-83801</v>
          </cell>
          <cell r="CC67">
            <v>-18854</v>
          </cell>
          <cell r="CD67">
            <v>-2095</v>
          </cell>
          <cell r="CE67">
            <v>-119188</v>
          </cell>
          <cell r="CF67">
            <v>-95351</v>
          </cell>
          <cell r="CG67">
            <v>-21454</v>
          </cell>
          <cell r="CH67">
            <v>-2384</v>
          </cell>
        </row>
        <row r="68">
          <cell r="A68">
            <v>61</v>
          </cell>
          <cell r="B68" t="str">
            <v>City of London</v>
          </cell>
          <cell r="C68" t="str">
            <v>E5010</v>
          </cell>
          <cell r="D68">
            <v>1959373</v>
          </cell>
          <cell r="H68">
            <v>25492287</v>
          </cell>
          <cell r="I68">
            <v>0</v>
          </cell>
          <cell r="J68">
            <v>1959373</v>
          </cell>
          <cell r="K68">
            <v>0</v>
          </cell>
          <cell r="L68">
            <v>0</v>
          </cell>
          <cell r="M68">
            <v>0</v>
          </cell>
          <cell r="N68">
            <v>0</v>
          </cell>
          <cell r="O68">
            <v>0</v>
          </cell>
          <cell r="P68">
            <v>0</v>
          </cell>
          <cell r="Q68">
            <v>0</v>
          </cell>
          <cell r="R68">
            <v>84560</v>
          </cell>
          <cell r="S68">
            <v>104290</v>
          </cell>
          <cell r="T68">
            <v>0</v>
          </cell>
          <cell r="U68">
            <v>0</v>
          </cell>
          <cell r="V68">
            <v>0</v>
          </cell>
          <cell r="W68">
            <v>0</v>
          </cell>
          <cell r="X68">
            <v>0</v>
          </cell>
          <cell r="Y68">
            <v>0</v>
          </cell>
          <cell r="Z68">
            <v>0</v>
          </cell>
          <cell r="AA68">
            <v>12617</v>
          </cell>
          <cell r="AB68">
            <v>15561</v>
          </cell>
          <cell r="AC68">
            <v>0</v>
          </cell>
          <cell r="AD68">
            <v>0</v>
          </cell>
          <cell r="AE68">
            <v>0</v>
          </cell>
          <cell r="AF68">
            <v>0</v>
          </cell>
          <cell r="AG68">
            <v>0</v>
          </cell>
          <cell r="AH68">
            <v>0</v>
          </cell>
          <cell r="AI68">
            <v>0</v>
          </cell>
          <cell r="AM68">
            <v>0</v>
          </cell>
          <cell r="AN68">
            <v>0</v>
          </cell>
          <cell r="AO68">
            <v>0</v>
          </cell>
          <cell r="AP68">
            <v>4947572</v>
          </cell>
          <cell r="AQ68">
            <v>5893267</v>
          </cell>
          <cell r="AR68">
            <v>0</v>
          </cell>
          <cell r="AS68">
            <v>-5049419</v>
          </cell>
          <cell r="AT68">
            <v>-3029651</v>
          </cell>
          <cell r="AU68">
            <v>-2019767</v>
          </cell>
          <cell r="AV68">
            <v>0</v>
          </cell>
          <cell r="AW68">
            <v>-10098837</v>
          </cell>
          <cell r="AX68">
            <v>-133622543</v>
          </cell>
          <cell r="AY68">
            <v>-80173526</v>
          </cell>
          <cell r="AZ68">
            <v>-53449016</v>
          </cell>
          <cell r="BA68">
            <v>0</v>
          </cell>
          <cell r="BB68">
            <v>-267245085</v>
          </cell>
          <cell r="BC68">
            <v>772639491</v>
          </cell>
          <cell r="BD68">
            <v>-438825</v>
          </cell>
          <cell r="BE68">
            <v>24788002</v>
          </cell>
          <cell r="BF68">
            <v>0</v>
          </cell>
          <cell r="BG68">
            <v>-12645514</v>
          </cell>
          <cell r="BH68">
            <v>0</v>
          </cell>
          <cell r="BI68">
            <v>0</v>
          </cell>
          <cell r="BJ68">
            <v>-979943</v>
          </cell>
          <cell r="BK68">
            <v>-39251019</v>
          </cell>
          <cell r="BL68">
            <v>-148881</v>
          </cell>
          <cell r="BM68">
            <v>-77873</v>
          </cell>
          <cell r="BN68">
            <v>0</v>
          </cell>
          <cell r="BO68">
            <v>0</v>
          </cell>
          <cell r="BP68">
            <v>0</v>
          </cell>
          <cell r="BQ68">
            <v>0</v>
          </cell>
          <cell r="BR68">
            <v>0</v>
          </cell>
          <cell r="BS68">
            <v>0</v>
          </cell>
          <cell r="BT68">
            <v>902837837</v>
          </cell>
          <cell r="BU68">
            <v>-993667</v>
          </cell>
          <cell r="BV68">
            <v>17955125</v>
          </cell>
          <cell r="BW68">
            <v>-69304803</v>
          </cell>
          <cell r="BX68">
            <v>-574053</v>
          </cell>
          <cell r="BY68">
            <v>52951930</v>
          </cell>
          <cell r="BZ68">
            <v>1060333023</v>
          </cell>
          <cell r="CA68">
            <v>-287026</v>
          </cell>
          <cell r="CB68">
            <v>-172216</v>
          </cell>
          <cell r="CC68">
            <v>-114811</v>
          </cell>
          <cell r="CD68">
            <v>0</v>
          </cell>
          <cell r="CE68">
            <v>26475965</v>
          </cell>
          <cell r="CF68">
            <v>15885579</v>
          </cell>
          <cell r="CG68">
            <v>10590386</v>
          </cell>
          <cell r="CH68">
            <v>0</v>
          </cell>
        </row>
        <row r="69">
          <cell r="A69">
            <v>62</v>
          </cell>
          <cell r="B69" t="str">
            <v>Colchester</v>
          </cell>
          <cell r="C69" t="str">
            <v>E1536</v>
          </cell>
          <cell r="D69">
            <v>239982</v>
          </cell>
          <cell r="H69">
            <v>-777695</v>
          </cell>
          <cell r="I69">
            <v>0</v>
          </cell>
          <cell r="J69">
            <v>239982</v>
          </cell>
          <cell r="K69">
            <v>0</v>
          </cell>
          <cell r="L69">
            <v>0</v>
          </cell>
          <cell r="M69">
            <v>0</v>
          </cell>
          <cell r="N69">
            <v>0</v>
          </cell>
          <cell r="O69">
            <v>0</v>
          </cell>
          <cell r="P69">
            <v>0</v>
          </cell>
          <cell r="Q69">
            <v>0</v>
          </cell>
          <cell r="R69">
            <v>1044179</v>
          </cell>
          <cell r="S69">
            <v>234940</v>
          </cell>
          <cell r="T69">
            <v>26104</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M69">
            <v>0</v>
          </cell>
          <cell r="AN69">
            <v>0</v>
          </cell>
          <cell r="AO69">
            <v>0</v>
          </cell>
          <cell r="AP69">
            <v>364326</v>
          </cell>
          <cell r="AQ69">
            <v>81973</v>
          </cell>
          <cell r="AR69">
            <v>9108</v>
          </cell>
          <cell r="AS69">
            <v>-652480</v>
          </cell>
          <cell r="AT69">
            <v>-521984</v>
          </cell>
          <cell r="AU69">
            <v>-117445</v>
          </cell>
          <cell r="AV69">
            <v>-13050</v>
          </cell>
          <cell r="AW69">
            <v>-1304959</v>
          </cell>
          <cell r="AX69">
            <v>-2247321</v>
          </cell>
          <cell r="AY69">
            <v>-1797857</v>
          </cell>
          <cell r="AZ69">
            <v>-404518</v>
          </cell>
          <cell r="BA69">
            <v>-44945</v>
          </cell>
          <cell r="BB69">
            <v>-4494641</v>
          </cell>
          <cell r="BC69">
            <v>65647643</v>
          </cell>
          <cell r="BD69">
            <v>-3322390</v>
          </cell>
          <cell r="BE69">
            <v>1751374</v>
          </cell>
          <cell r="BF69">
            <v>0</v>
          </cell>
          <cell r="BG69">
            <v>-5160595</v>
          </cell>
          <cell r="BH69">
            <v>-58069</v>
          </cell>
          <cell r="BI69">
            <v>-12625</v>
          </cell>
          <cell r="BJ69">
            <v>-15716</v>
          </cell>
          <cell r="BK69">
            <v>-2136583</v>
          </cell>
          <cell r="BL69">
            <v>-171589</v>
          </cell>
          <cell r="BM69">
            <v>0</v>
          </cell>
          <cell r="BN69">
            <v>-14010</v>
          </cell>
          <cell r="BO69">
            <v>0</v>
          </cell>
          <cell r="BP69">
            <v>0</v>
          </cell>
          <cell r="BQ69">
            <v>0</v>
          </cell>
          <cell r="BR69">
            <v>0</v>
          </cell>
          <cell r="BS69">
            <v>0</v>
          </cell>
          <cell r="BT69">
            <v>64363077</v>
          </cell>
          <cell r="BU69">
            <v>-314795</v>
          </cell>
          <cell r="BV69">
            <v>2807195</v>
          </cell>
          <cell r="BW69">
            <v>-1952951</v>
          </cell>
          <cell r="BX69">
            <v>607793</v>
          </cell>
          <cell r="BY69">
            <v>-2395546</v>
          </cell>
          <cell r="BZ69">
            <v>60634272</v>
          </cell>
          <cell r="CA69">
            <v>303897</v>
          </cell>
          <cell r="CB69">
            <v>243117</v>
          </cell>
          <cell r="CC69">
            <v>54702</v>
          </cell>
          <cell r="CD69">
            <v>6077</v>
          </cell>
          <cell r="CE69">
            <v>-1197774</v>
          </cell>
          <cell r="CF69">
            <v>-958218</v>
          </cell>
          <cell r="CG69">
            <v>-215599</v>
          </cell>
          <cell r="CH69">
            <v>-23955</v>
          </cell>
        </row>
        <row r="70">
          <cell r="A70">
            <v>63</v>
          </cell>
          <cell r="B70" t="str">
            <v>Copeland</v>
          </cell>
          <cell r="C70" t="str">
            <v>E0934</v>
          </cell>
          <cell r="D70">
            <v>101141</v>
          </cell>
          <cell r="H70">
            <v>-6881743</v>
          </cell>
          <cell r="I70">
            <v>0</v>
          </cell>
          <cell r="J70">
            <v>101141</v>
          </cell>
          <cell r="K70">
            <v>0</v>
          </cell>
          <cell r="L70">
            <v>185613</v>
          </cell>
          <cell r="M70">
            <v>0</v>
          </cell>
          <cell r="N70">
            <v>0</v>
          </cell>
          <cell r="O70">
            <v>0</v>
          </cell>
          <cell r="P70">
            <v>0</v>
          </cell>
          <cell r="Q70">
            <v>0</v>
          </cell>
          <cell r="R70">
            <v>349168</v>
          </cell>
          <cell r="S70">
            <v>87292</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M70">
            <v>0</v>
          </cell>
          <cell r="AN70">
            <v>0</v>
          </cell>
          <cell r="AO70">
            <v>0</v>
          </cell>
          <cell r="AP70">
            <v>199472</v>
          </cell>
          <cell r="AQ70">
            <v>49171</v>
          </cell>
          <cell r="AR70">
            <v>0</v>
          </cell>
          <cell r="AS70">
            <v>-87500</v>
          </cell>
          <cell r="AT70">
            <v>-70000</v>
          </cell>
          <cell r="AU70">
            <v>-17500</v>
          </cell>
          <cell r="AV70">
            <v>0</v>
          </cell>
          <cell r="AW70">
            <v>-175000</v>
          </cell>
          <cell r="AX70">
            <v>-555475</v>
          </cell>
          <cell r="AY70">
            <v>-444379</v>
          </cell>
          <cell r="AZ70">
            <v>-111095</v>
          </cell>
          <cell r="BA70">
            <v>0</v>
          </cell>
          <cell r="BB70">
            <v>-1110949</v>
          </cell>
          <cell r="BC70">
            <v>42114075</v>
          </cell>
          <cell r="BD70">
            <v>-1491070</v>
          </cell>
          <cell r="BE70">
            <v>1078818</v>
          </cell>
          <cell r="BF70">
            <v>0</v>
          </cell>
          <cell r="BG70">
            <v>-1266456</v>
          </cell>
          <cell r="BH70">
            <v>-65423</v>
          </cell>
          <cell r="BI70">
            <v>-21282</v>
          </cell>
          <cell r="BJ70">
            <v>0</v>
          </cell>
          <cell r="BK70">
            <v>-361706</v>
          </cell>
          <cell r="BL70">
            <v>0</v>
          </cell>
          <cell r="BM70">
            <v>0</v>
          </cell>
          <cell r="BN70">
            <v>0</v>
          </cell>
          <cell r="BO70">
            <v>0</v>
          </cell>
          <cell r="BP70">
            <v>0</v>
          </cell>
          <cell r="BQ70">
            <v>0</v>
          </cell>
          <cell r="BR70">
            <v>0</v>
          </cell>
          <cell r="BS70">
            <v>0</v>
          </cell>
          <cell r="BT70">
            <v>42795255</v>
          </cell>
          <cell r="BU70">
            <v>-18390</v>
          </cell>
          <cell r="BV70">
            <v>790422</v>
          </cell>
          <cell r="BW70">
            <v>-2143420</v>
          </cell>
          <cell r="BX70">
            <v>2997105</v>
          </cell>
          <cell r="BY70">
            <v>631433</v>
          </cell>
          <cell r="BZ70">
            <v>32733855</v>
          </cell>
          <cell r="CA70">
            <v>1498552</v>
          </cell>
          <cell r="CB70">
            <v>1198842</v>
          </cell>
          <cell r="CC70">
            <v>299711</v>
          </cell>
          <cell r="CD70">
            <v>0</v>
          </cell>
          <cell r="CE70">
            <v>315717</v>
          </cell>
          <cell r="CF70">
            <v>252573</v>
          </cell>
          <cell r="CG70">
            <v>63143</v>
          </cell>
          <cell r="CH70">
            <v>0</v>
          </cell>
        </row>
        <row r="71">
          <cell r="A71">
            <v>64</v>
          </cell>
          <cell r="B71" t="str">
            <v>Corby</v>
          </cell>
          <cell r="C71" t="str">
            <v>E2831</v>
          </cell>
          <cell r="D71">
            <v>87948</v>
          </cell>
          <cell r="H71">
            <v>-232805</v>
          </cell>
          <cell r="I71">
            <v>0</v>
          </cell>
          <cell r="J71">
            <v>87948</v>
          </cell>
          <cell r="K71">
            <v>0</v>
          </cell>
          <cell r="L71">
            <v>0</v>
          </cell>
          <cell r="M71">
            <v>0</v>
          </cell>
          <cell r="N71">
            <v>0</v>
          </cell>
          <cell r="O71">
            <v>0</v>
          </cell>
          <cell r="P71">
            <v>0</v>
          </cell>
          <cell r="Q71">
            <v>0</v>
          </cell>
          <cell r="R71">
            <v>338170</v>
          </cell>
          <cell r="S71">
            <v>84543</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M71">
            <v>0</v>
          </cell>
          <cell r="AN71">
            <v>0</v>
          </cell>
          <cell r="AO71">
            <v>0</v>
          </cell>
          <cell r="AP71">
            <v>205153</v>
          </cell>
          <cell r="AQ71">
            <v>51288</v>
          </cell>
          <cell r="AR71">
            <v>0</v>
          </cell>
          <cell r="AS71">
            <v>-428910.69999999995</v>
          </cell>
          <cell r="AT71">
            <v>-343128</v>
          </cell>
          <cell r="AU71">
            <v>-85782</v>
          </cell>
          <cell r="AV71">
            <v>0</v>
          </cell>
          <cell r="AW71">
            <v>-857820.7</v>
          </cell>
          <cell r="AX71">
            <v>-1981336</v>
          </cell>
          <cell r="AY71">
            <v>-1585072</v>
          </cell>
          <cell r="AZ71">
            <v>-396267</v>
          </cell>
          <cell r="BA71">
            <v>0</v>
          </cell>
          <cell r="BB71">
            <v>-3962675</v>
          </cell>
          <cell r="BC71">
            <v>33403923</v>
          </cell>
          <cell r="BD71">
            <v>-1232766</v>
          </cell>
          <cell r="BE71">
            <v>993119</v>
          </cell>
          <cell r="BF71">
            <v>0</v>
          </cell>
          <cell r="BG71">
            <v>-1939273</v>
          </cell>
          <cell r="BH71">
            <v>0</v>
          </cell>
          <cell r="BI71">
            <v>-546</v>
          </cell>
          <cell r="BJ71">
            <v>-326401</v>
          </cell>
          <cell r="BK71">
            <v>-1213146</v>
          </cell>
          <cell r="BL71">
            <v>-27079</v>
          </cell>
          <cell r="BM71">
            <v>-499837</v>
          </cell>
          <cell r="BN71">
            <v>0</v>
          </cell>
          <cell r="BO71">
            <v>0</v>
          </cell>
          <cell r="BP71">
            <v>0</v>
          </cell>
          <cell r="BQ71">
            <v>0</v>
          </cell>
          <cell r="BR71">
            <v>0</v>
          </cell>
          <cell r="BS71">
            <v>0</v>
          </cell>
          <cell r="BT71">
            <v>34868583</v>
          </cell>
          <cell r="BU71">
            <v>-214713</v>
          </cell>
          <cell r="BV71">
            <v>2570345</v>
          </cell>
          <cell r="BW71">
            <v>-689290</v>
          </cell>
          <cell r="BX71">
            <v>-1288392</v>
          </cell>
          <cell r="BY71">
            <v>-230068</v>
          </cell>
          <cell r="BZ71">
            <v>34143256</v>
          </cell>
          <cell r="CA71">
            <v>-644196</v>
          </cell>
          <cell r="CB71">
            <v>-515357</v>
          </cell>
          <cell r="CC71">
            <v>-128839</v>
          </cell>
          <cell r="CD71">
            <v>0</v>
          </cell>
          <cell r="CE71">
            <v>-115034</v>
          </cell>
          <cell r="CF71">
            <v>-92027</v>
          </cell>
          <cell r="CG71">
            <v>-23007</v>
          </cell>
          <cell r="CH71">
            <v>0</v>
          </cell>
        </row>
        <row r="72">
          <cell r="A72">
            <v>65</v>
          </cell>
          <cell r="B72" t="str">
            <v>Cornwall UA</v>
          </cell>
          <cell r="C72" t="str">
            <v>E0801</v>
          </cell>
          <cell r="D72">
            <v>1124892</v>
          </cell>
          <cell r="H72">
            <v>-493226</v>
          </cell>
          <cell r="I72">
            <v>8497</v>
          </cell>
          <cell r="J72">
            <v>1124892</v>
          </cell>
          <cell r="K72">
            <v>148239</v>
          </cell>
          <cell r="L72">
            <v>1449994</v>
          </cell>
          <cell r="M72">
            <v>0</v>
          </cell>
          <cell r="N72">
            <v>0</v>
          </cell>
          <cell r="O72">
            <v>0</v>
          </cell>
          <cell r="P72">
            <v>0</v>
          </cell>
          <cell r="Q72">
            <v>0</v>
          </cell>
          <cell r="R72">
            <v>15653198</v>
          </cell>
          <cell r="S72">
            <v>0</v>
          </cell>
          <cell r="T72">
            <v>0</v>
          </cell>
          <cell r="U72">
            <v>63463</v>
          </cell>
          <cell r="V72">
            <v>0</v>
          </cell>
          <cell r="W72">
            <v>0</v>
          </cell>
          <cell r="X72">
            <v>2508</v>
          </cell>
          <cell r="Y72">
            <v>0</v>
          </cell>
          <cell r="Z72">
            <v>0</v>
          </cell>
          <cell r="AA72">
            <v>8978</v>
          </cell>
          <cell r="AB72">
            <v>0</v>
          </cell>
          <cell r="AC72">
            <v>0</v>
          </cell>
          <cell r="AD72">
            <v>0</v>
          </cell>
          <cell r="AE72">
            <v>0</v>
          </cell>
          <cell r="AF72">
            <v>0</v>
          </cell>
          <cell r="AG72">
            <v>0</v>
          </cell>
          <cell r="AH72">
            <v>0</v>
          </cell>
          <cell r="AI72">
            <v>0</v>
          </cell>
          <cell r="AM72">
            <v>0</v>
          </cell>
          <cell r="AN72">
            <v>0</v>
          </cell>
          <cell r="AO72">
            <v>0</v>
          </cell>
          <cell r="AP72">
            <v>2130221</v>
          </cell>
          <cell r="AQ72">
            <v>0</v>
          </cell>
          <cell r="AR72">
            <v>0</v>
          </cell>
          <cell r="AS72">
            <v>-1232382</v>
          </cell>
          <cell r="AT72">
            <v>-1232382</v>
          </cell>
          <cell r="AU72">
            <v>0</v>
          </cell>
          <cell r="AV72">
            <v>0</v>
          </cell>
          <cell r="AW72">
            <v>-2464764</v>
          </cell>
          <cell r="AX72">
            <v>-10088500</v>
          </cell>
          <cell r="AY72">
            <v>-10088500</v>
          </cell>
          <cell r="AZ72">
            <v>0</v>
          </cell>
          <cell r="BA72">
            <v>0</v>
          </cell>
          <cell r="BB72">
            <v>-20177000</v>
          </cell>
          <cell r="BC72">
            <v>154418435</v>
          </cell>
          <cell r="BD72">
            <v>-25898292</v>
          </cell>
          <cell r="BE72">
            <v>4077846</v>
          </cell>
          <cell r="BF72">
            <v>0</v>
          </cell>
          <cell r="BG72">
            <v>-16349241</v>
          </cell>
          <cell r="BH72">
            <v>-208698</v>
          </cell>
          <cell r="BI72">
            <v>-212762</v>
          </cell>
          <cell r="BJ72">
            <v>-38175</v>
          </cell>
          <cell r="BK72">
            <v>-3447212</v>
          </cell>
          <cell r="BL72">
            <v>-705336</v>
          </cell>
          <cell r="BM72">
            <v>-327383</v>
          </cell>
          <cell r="BN72">
            <v>-7339</v>
          </cell>
          <cell r="BO72">
            <v>-108610</v>
          </cell>
          <cell r="BP72">
            <v>-16450</v>
          </cell>
          <cell r="BQ72">
            <v>-278957</v>
          </cell>
          <cell r="BR72">
            <v>-283677</v>
          </cell>
          <cell r="BS72">
            <v>0</v>
          </cell>
          <cell r="BT72">
            <v>158090880</v>
          </cell>
          <cell r="BU72">
            <v>-1178946</v>
          </cell>
          <cell r="BV72">
            <v>6619843</v>
          </cell>
          <cell r="BW72">
            <v>-4411763</v>
          </cell>
          <cell r="BX72">
            <v>2449021</v>
          </cell>
          <cell r="BY72">
            <v>2000512</v>
          </cell>
          <cell r="BZ72">
            <v>140213620</v>
          </cell>
          <cell r="CA72">
            <v>1224510</v>
          </cell>
          <cell r="CB72">
            <v>1224511</v>
          </cell>
          <cell r="CC72">
            <v>0</v>
          </cell>
          <cell r="CD72">
            <v>0</v>
          </cell>
          <cell r="CE72">
            <v>1000256</v>
          </cell>
          <cell r="CF72">
            <v>1000256</v>
          </cell>
          <cell r="CG72">
            <v>0</v>
          </cell>
          <cell r="CH72">
            <v>0</v>
          </cell>
        </row>
        <row r="73">
          <cell r="A73">
            <v>66</v>
          </cell>
          <cell r="B73" t="str">
            <v>Cotswold</v>
          </cell>
          <cell r="C73" t="str">
            <v>E1632</v>
          </cell>
          <cell r="D73">
            <v>179930</v>
          </cell>
          <cell r="H73">
            <v>2090912</v>
          </cell>
          <cell r="I73">
            <v>0</v>
          </cell>
          <cell r="J73">
            <v>179930</v>
          </cell>
          <cell r="K73">
            <v>0</v>
          </cell>
          <cell r="L73">
            <v>135070</v>
          </cell>
          <cell r="M73">
            <v>0</v>
          </cell>
          <cell r="N73">
            <v>0</v>
          </cell>
          <cell r="O73">
            <v>0</v>
          </cell>
          <cell r="P73">
            <v>0</v>
          </cell>
          <cell r="Q73">
            <v>0</v>
          </cell>
          <cell r="R73">
            <v>322054</v>
          </cell>
          <cell r="S73">
            <v>80513</v>
          </cell>
          <cell r="T73">
            <v>0</v>
          </cell>
          <cell r="U73">
            <v>3452</v>
          </cell>
          <cell r="V73">
            <v>863</v>
          </cell>
          <cell r="W73">
            <v>0</v>
          </cell>
          <cell r="X73">
            <v>0</v>
          </cell>
          <cell r="Y73">
            <v>0</v>
          </cell>
          <cell r="Z73">
            <v>0</v>
          </cell>
          <cell r="AA73">
            <v>3525</v>
          </cell>
          <cell r="AB73">
            <v>881</v>
          </cell>
          <cell r="AC73">
            <v>0</v>
          </cell>
          <cell r="AD73">
            <v>0</v>
          </cell>
          <cell r="AE73">
            <v>0</v>
          </cell>
          <cell r="AF73">
            <v>0</v>
          </cell>
          <cell r="AG73">
            <v>0</v>
          </cell>
          <cell r="AH73">
            <v>0</v>
          </cell>
          <cell r="AI73">
            <v>0</v>
          </cell>
          <cell r="AM73">
            <v>0</v>
          </cell>
          <cell r="AN73">
            <v>0</v>
          </cell>
          <cell r="AO73">
            <v>0</v>
          </cell>
          <cell r="AP73">
            <v>213473</v>
          </cell>
          <cell r="AQ73">
            <v>52861</v>
          </cell>
          <cell r="AR73">
            <v>0</v>
          </cell>
          <cell r="AS73">
            <v>-146062</v>
          </cell>
          <cell r="AT73">
            <v>-116851</v>
          </cell>
          <cell r="AU73">
            <v>-29212</v>
          </cell>
          <cell r="AV73">
            <v>0</v>
          </cell>
          <cell r="AW73">
            <v>-292125</v>
          </cell>
          <cell r="AX73">
            <v>-946240</v>
          </cell>
          <cell r="AY73">
            <v>-756992</v>
          </cell>
          <cell r="AZ73">
            <v>-189248</v>
          </cell>
          <cell r="BA73">
            <v>0</v>
          </cell>
          <cell r="BB73">
            <v>-1892480</v>
          </cell>
          <cell r="BC73">
            <v>30990257</v>
          </cell>
          <cell r="BD73">
            <v>-2988595</v>
          </cell>
          <cell r="BE73">
            <v>763542</v>
          </cell>
          <cell r="BF73">
            <v>0</v>
          </cell>
          <cell r="BG73">
            <v>-2143297</v>
          </cell>
          <cell r="BH73">
            <v>-46173</v>
          </cell>
          <cell r="BI73">
            <v>-31726</v>
          </cell>
          <cell r="BJ73">
            <v>-7687</v>
          </cell>
          <cell r="BK73">
            <v>-955453</v>
          </cell>
          <cell r="BL73">
            <v>-81060</v>
          </cell>
          <cell r="BM73">
            <v>-11967</v>
          </cell>
          <cell r="BN73">
            <v>-79</v>
          </cell>
          <cell r="BO73">
            <v>-8752</v>
          </cell>
          <cell r="BP73">
            <v>0</v>
          </cell>
          <cell r="BQ73">
            <v>0</v>
          </cell>
          <cell r="BR73">
            <v>0</v>
          </cell>
          <cell r="BS73">
            <v>0</v>
          </cell>
          <cell r="BT73">
            <v>31062427</v>
          </cell>
          <cell r="BU73">
            <v>-94015</v>
          </cell>
          <cell r="BV73">
            <v>1142343</v>
          </cell>
          <cell r="BW73">
            <v>-252437</v>
          </cell>
          <cell r="BX73">
            <v>833452</v>
          </cell>
          <cell r="BY73">
            <v>517600</v>
          </cell>
          <cell r="BZ73">
            <v>35190337</v>
          </cell>
          <cell r="CA73">
            <v>416725</v>
          </cell>
          <cell r="CB73">
            <v>333381</v>
          </cell>
          <cell r="CC73">
            <v>83346</v>
          </cell>
          <cell r="CD73">
            <v>0</v>
          </cell>
          <cell r="CE73">
            <v>258800</v>
          </cell>
          <cell r="CF73">
            <v>207040</v>
          </cell>
          <cell r="CG73">
            <v>51760</v>
          </cell>
          <cell r="CH73">
            <v>0</v>
          </cell>
        </row>
        <row r="74">
          <cell r="A74">
            <v>67</v>
          </cell>
          <cell r="B74" t="str">
            <v>Coventry</v>
          </cell>
          <cell r="C74" t="str">
            <v>E4602</v>
          </cell>
          <cell r="D74">
            <v>373014</v>
          </cell>
          <cell r="H74">
            <v>-3818850</v>
          </cell>
          <cell r="I74">
            <v>0</v>
          </cell>
          <cell r="J74">
            <v>373014</v>
          </cell>
          <cell r="K74">
            <v>0</v>
          </cell>
          <cell r="L74">
            <v>0</v>
          </cell>
          <cell r="M74">
            <v>0</v>
          </cell>
          <cell r="N74">
            <v>0</v>
          </cell>
          <cell r="O74">
            <v>0</v>
          </cell>
          <cell r="P74">
            <v>0</v>
          </cell>
          <cell r="Q74">
            <v>0</v>
          </cell>
          <cell r="R74">
            <v>3669535</v>
          </cell>
          <cell r="S74">
            <v>0</v>
          </cell>
          <cell r="T74">
            <v>37066</v>
          </cell>
          <cell r="U74">
            <v>1639</v>
          </cell>
          <cell r="V74">
            <v>0</v>
          </cell>
          <cell r="W74">
            <v>17</v>
          </cell>
          <cell r="X74">
            <v>345939</v>
          </cell>
          <cell r="Y74">
            <v>0</v>
          </cell>
          <cell r="Z74">
            <v>3494</v>
          </cell>
          <cell r="AA74">
            <v>22033</v>
          </cell>
          <cell r="AB74">
            <v>0</v>
          </cell>
          <cell r="AC74">
            <v>223</v>
          </cell>
          <cell r="AD74">
            <v>0</v>
          </cell>
          <cell r="AE74">
            <v>0</v>
          </cell>
          <cell r="AF74">
            <v>0</v>
          </cell>
          <cell r="AG74">
            <v>0</v>
          </cell>
          <cell r="AH74">
            <v>0</v>
          </cell>
          <cell r="AI74">
            <v>0</v>
          </cell>
          <cell r="AM74">
            <v>0</v>
          </cell>
          <cell r="AN74">
            <v>0</v>
          </cell>
          <cell r="AO74">
            <v>0</v>
          </cell>
          <cell r="AP74">
            <v>1717331</v>
          </cell>
          <cell r="AQ74">
            <v>0</v>
          </cell>
          <cell r="AR74">
            <v>17347</v>
          </cell>
          <cell r="AS74">
            <v>-1355803</v>
          </cell>
          <cell r="AT74">
            <v>-1328687</v>
          </cell>
          <cell r="AU74">
            <v>0</v>
          </cell>
          <cell r="AV74">
            <v>-27116</v>
          </cell>
          <cell r="AW74">
            <v>-2711606</v>
          </cell>
          <cell r="AX74">
            <v>-3644405</v>
          </cell>
          <cell r="AY74">
            <v>-3571516</v>
          </cell>
          <cell r="AZ74">
            <v>0</v>
          </cell>
          <cell r="BA74">
            <v>-72887</v>
          </cell>
          <cell r="BB74">
            <v>-7288808</v>
          </cell>
          <cell r="BC74">
            <v>123265176</v>
          </cell>
          <cell r="BD74">
            <v>-5720048</v>
          </cell>
          <cell r="BE74">
            <v>3489213</v>
          </cell>
          <cell r="BF74">
            <v>0</v>
          </cell>
          <cell r="BG74">
            <v>-13660876</v>
          </cell>
          <cell r="BH74">
            <v>-59560</v>
          </cell>
          <cell r="BI74">
            <v>0</v>
          </cell>
          <cell r="BJ74">
            <v>-70540</v>
          </cell>
          <cell r="BK74">
            <v>-3044396</v>
          </cell>
          <cell r="BL74">
            <v>-355280</v>
          </cell>
          <cell r="BM74">
            <v>-18596</v>
          </cell>
          <cell r="BN74">
            <v>0</v>
          </cell>
          <cell r="BO74">
            <v>0</v>
          </cell>
          <cell r="BP74">
            <v>0</v>
          </cell>
          <cell r="BQ74">
            <v>0</v>
          </cell>
          <cell r="BR74">
            <v>0</v>
          </cell>
          <cell r="BS74">
            <v>0</v>
          </cell>
          <cell r="BT74">
            <v>123104630</v>
          </cell>
          <cell r="BU74">
            <v>-998264</v>
          </cell>
          <cell r="BV74">
            <v>5547447</v>
          </cell>
          <cell r="BW74">
            <v>-2470555</v>
          </cell>
          <cell r="BX74">
            <v>2658308</v>
          </cell>
          <cell r="BY74">
            <v>2510428</v>
          </cell>
          <cell r="BZ74">
            <v>115479993</v>
          </cell>
          <cell r="CA74">
            <v>1329155</v>
          </cell>
          <cell r="CB74">
            <v>1302570</v>
          </cell>
          <cell r="CC74">
            <v>0</v>
          </cell>
          <cell r="CD74">
            <v>26583</v>
          </cell>
          <cell r="CE74">
            <v>1255214</v>
          </cell>
          <cell r="CF74">
            <v>1230110</v>
          </cell>
          <cell r="CG74">
            <v>0</v>
          </cell>
          <cell r="CH74">
            <v>25104</v>
          </cell>
        </row>
        <row r="75">
          <cell r="A75">
            <v>68</v>
          </cell>
          <cell r="B75" t="str">
            <v>Craven</v>
          </cell>
          <cell r="C75" t="str">
            <v>E2731</v>
          </cell>
          <cell r="D75">
            <v>118120</v>
          </cell>
          <cell r="H75">
            <v>321764</v>
          </cell>
          <cell r="I75">
            <v>0</v>
          </cell>
          <cell r="J75">
            <v>118120</v>
          </cell>
          <cell r="K75">
            <v>0</v>
          </cell>
          <cell r="L75">
            <v>0</v>
          </cell>
          <cell r="M75">
            <v>0</v>
          </cell>
          <cell r="N75">
            <v>0</v>
          </cell>
          <cell r="O75">
            <v>0</v>
          </cell>
          <cell r="P75">
            <v>0</v>
          </cell>
          <cell r="Q75">
            <v>0</v>
          </cell>
          <cell r="R75">
            <v>616987</v>
          </cell>
          <cell r="S75">
            <v>138822</v>
          </cell>
          <cell r="T75">
            <v>15425</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M75">
            <v>0</v>
          </cell>
          <cell r="AN75">
            <v>0</v>
          </cell>
          <cell r="AO75">
            <v>0</v>
          </cell>
          <cell r="AP75">
            <v>109797</v>
          </cell>
          <cell r="AQ75">
            <v>24704</v>
          </cell>
          <cell r="AR75">
            <v>2745</v>
          </cell>
          <cell r="AS75">
            <v>-69374</v>
          </cell>
          <cell r="AT75">
            <v>-55500</v>
          </cell>
          <cell r="AU75">
            <v>-12488</v>
          </cell>
          <cell r="AV75">
            <v>-1388</v>
          </cell>
          <cell r="AW75">
            <v>-138750</v>
          </cell>
          <cell r="AX75">
            <v>-872150</v>
          </cell>
          <cell r="AY75">
            <v>-697720</v>
          </cell>
          <cell r="AZ75">
            <v>-156986</v>
          </cell>
          <cell r="BA75">
            <v>-17444</v>
          </cell>
          <cell r="BB75">
            <v>-1744300</v>
          </cell>
          <cell r="BC75">
            <v>18444092</v>
          </cell>
          <cell r="BD75">
            <v>-2457018</v>
          </cell>
          <cell r="BE75">
            <v>460542</v>
          </cell>
          <cell r="BF75">
            <v>0</v>
          </cell>
          <cell r="BG75">
            <v>-1101468</v>
          </cell>
          <cell r="BH75">
            <v>-24413</v>
          </cell>
          <cell r="BI75">
            <v>-30460</v>
          </cell>
          <cell r="BJ75">
            <v>-2578</v>
          </cell>
          <cell r="BK75">
            <v>-687082</v>
          </cell>
          <cell r="BL75">
            <v>-22131</v>
          </cell>
          <cell r="BM75">
            <v>-11759</v>
          </cell>
          <cell r="BN75">
            <v>0</v>
          </cell>
          <cell r="BO75">
            <v>-24253</v>
          </cell>
          <cell r="BP75">
            <v>0</v>
          </cell>
          <cell r="BQ75">
            <v>0</v>
          </cell>
          <cell r="BR75">
            <v>0</v>
          </cell>
          <cell r="BS75">
            <v>0</v>
          </cell>
          <cell r="BT75">
            <v>18446226</v>
          </cell>
          <cell r="BU75">
            <v>-120375</v>
          </cell>
          <cell r="BV75">
            <v>374729</v>
          </cell>
          <cell r="BW75">
            <v>-157382</v>
          </cell>
          <cell r="BX75">
            <v>-1259250</v>
          </cell>
          <cell r="BY75">
            <v>-1209206</v>
          </cell>
          <cell r="BZ75">
            <v>18273284</v>
          </cell>
          <cell r="CA75">
            <v>-629627</v>
          </cell>
          <cell r="CB75">
            <v>-503699</v>
          </cell>
          <cell r="CC75">
            <v>-113332</v>
          </cell>
          <cell r="CD75">
            <v>-12592</v>
          </cell>
          <cell r="CE75">
            <v>-604603</v>
          </cell>
          <cell r="CF75">
            <v>-483682</v>
          </cell>
          <cell r="CG75">
            <v>-108829</v>
          </cell>
          <cell r="CH75">
            <v>-12092</v>
          </cell>
        </row>
        <row r="76">
          <cell r="A76">
            <v>69</v>
          </cell>
          <cell r="B76" t="str">
            <v>Crawley</v>
          </cell>
          <cell r="C76" t="str">
            <v>E3834</v>
          </cell>
          <cell r="D76">
            <v>201502</v>
          </cell>
          <cell r="H76">
            <v>-3975713</v>
          </cell>
          <cell r="I76">
            <v>0</v>
          </cell>
          <cell r="J76">
            <v>201502</v>
          </cell>
          <cell r="K76">
            <v>0</v>
          </cell>
          <cell r="L76">
            <v>4660</v>
          </cell>
          <cell r="M76">
            <v>0</v>
          </cell>
          <cell r="N76">
            <v>0</v>
          </cell>
          <cell r="O76">
            <v>0</v>
          </cell>
          <cell r="P76">
            <v>0</v>
          </cell>
          <cell r="Q76">
            <v>0</v>
          </cell>
          <cell r="R76">
            <v>302303</v>
          </cell>
          <cell r="S76">
            <v>75576</v>
          </cell>
          <cell r="T76">
            <v>0</v>
          </cell>
          <cell r="U76">
            <v>1214</v>
          </cell>
          <cell r="V76">
            <v>304</v>
          </cell>
          <cell r="W76">
            <v>0</v>
          </cell>
          <cell r="X76">
            <v>0</v>
          </cell>
          <cell r="Y76">
            <v>0</v>
          </cell>
          <cell r="Z76">
            <v>0</v>
          </cell>
          <cell r="AA76">
            <v>26</v>
          </cell>
          <cell r="AB76">
            <v>6</v>
          </cell>
          <cell r="AC76">
            <v>0</v>
          </cell>
          <cell r="AD76">
            <v>0</v>
          </cell>
          <cell r="AE76">
            <v>0</v>
          </cell>
          <cell r="AF76">
            <v>0</v>
          </cell>
          <cell r="AG76">
            <v>0</v>
          </cell>
          <cell r="AH76">
            <v>0</v>
          </cell>
          <cell r="AI76">
            <v>0</v>
          </cell>
          <cell r="AM76">
            <v>0</v>
          </cell>
          <cell r="AN76">
            <v>0</v>
          </cell>
          <cell r="AO76">
            <v>0</v>
          </cell>
          <cell r="AP76">
            <v>699687</v>
          </cell>
          <cell r="AQ76">
            <v>174904</v>
          </cell>
          <cell r="AR76">
            <v>0</v>
          </cell>
          <cell r="AS76">
            <v>-779591</v>
          </cell>
          <cell r="AT76">
            <v>-623672</v>
          </cell>
          <cell r="AU76">
            <v>-155917</v>
          </cell>
          <cell r="AV76">
            <v>0</v>
          </cell>
          <cell r="AW76">
            <v>-1559180</v>
          </cell>
          <cell r="AX76">
            <v>-2689798</v>
          </cell>
          <cell r="AY76">
            <v>-2151837</v>
          </cell>
          <cell r="AZ76">
            <v>-537959</v>
          </cell>
          <cell r="BA76">
            <v>0</v>
          </cell>
          <cell r="BB76">
            <v>-5379594</v>
          </cell>
          <cell r="BC76">
            <v>120569501</v>
          </cell>
          <cell r="BD76">
            <v>-829698</v>
          </cell>
          <cell r="BE76">
            <v>3221290</v>
          </cell>
          <cell r="BF76">
            <v>0</v>
          </cell>
          <cell r="BG76">
            <v>-2947007</v>
          </cell>
          <cell r="BH76">
            <v>-29259</v>
          </cell>
          <cell r="BI76">
            <v>0</v>
          </cell>
          <cell r="BJ76">
            <v>-15327</v>
          </cell>
          <cell r="BK76">
            <v>-3108420</v>
          </cell>
          <cell r="BL76">
            <v>-303755</v>
          </cell>
          <cell r="BM76">
            <v>-121231</v>
          </cell>
          <cell r="BN76">
            <v>-1696</v>
          </cell>
          <cell r="BO76">
            <v>0</v>
          </cell>
          <cell r="BP76">
            <v>0</v>
          </cell>
          <cell r="BQ76">
            <v>0</v>
          </cell>
          <cell r="BR76">
            <v>0</v>
          </cell>
          <cell r="BS76">
            <v>0</v>
          </cell>
          <cell r="BT76">
            <v>118646104</v>
          </cell>
          <cell r="BU76">
            <v>-359937</v>
          </cell>
          <cell r="BV76">
            <v>2912506</v>
          </cell>
          <cell r="BW76">
            <v>-3503684</v>
          </cell>
          <cell r="BX76">
            <v>-2590272</v>
          </cell>
          <cell r="BY76">
            <v>-5906904</v>
          </cell>
          <cell r="BZ76">
            <v>116436242</v>
          </cell>
          <cell r="CA76">
            <v>-1295136</v>
          </cell>
          <cell r="CB76">
            <v>-1036109</v>
          </cell>
          <cell r="CC76">
            <v>-259027</v>
          </cell>
          <cell r="CD76">
            <v>0</v>
          </cell>
          <cell r="CE76">
            <v>-2953452</v>
          </cell>
          <cell r="CF76">
            <v>-2362762</v>
          </cell>
          <cell r="CG76">
            <v>-590690</v>
          </cell>
          <cell r="CH76">
            <v>0</v>
          </cell>
        </row>
        <row r="77">
          <cell r="A77">
            <v>70</v>
          </cell>
          <cell r="B77" t="str">
            <v>Croydon</v>
          </cell>
          <cell r="C77" t="str">
            <v>E5035</v>
          </cell>
          <cell r="D77">
            <v>429856</v>
          </cell>
          <cell r="H77">
            <v>4441356</v>
          </cell>
          <cell r="I77">
            <v>0</v>
          </cell>
          <cell r="J77">
            <v>429856</v>
          </cell>
          <cell r="K77">
            <v>0</v>
          </cell>
          <cell r="L77">
            <v>0</v>
          </cell>
          <cell r="M77">
            <v>0</v>
          </cell>
          <cell r="N77">
            <v>0</v>
          </cell>
          <cell r="O77">
            <v>0</v>
          </cell>
          <cell r="P77">
            <v>0</v>
          </cell>
          <cell r="Q77">
            <v>0</v>
          </cell>
          <cell r="R77">
            <v>1010834</v>
          </cell>
          <cell r="S77">
            <v>1246694</v>
          </cell>
          <cell r="T77">
            <v>0</v>
          </cell>
          <cell r="U77">
            <v>0</v>
          </cell>
          <cell r="V77">
            <v>0</v>
          </cell>
          <cell r="W77">
            <v>0</v>
          </cell>
          <cell r="X77">
            <v>0</v>
          </cell>
          <cell r="Y77">
            <v>0</v>
          </cell>
          <cell r="Z77">
            <v>0</v>
          </cell>
          <cell r="AA77">
            <v>390</v>
          </cell>
          <cell r="AB77">
            <v>480</v>
          </cell>
          <cell r="AC77">
            <v>0</v>
          </cell>
          <cell r="AD77">
            <v>0</v>
          </cell>
          <cell r="AE77">
            <v>0</v>
          </cell>
          <cell r="AF77">
            <v>0</v>
          </cell>
          <cell r="AG77">
            <v>0</v>
          </cell>
          <cell r="AH77">
            <v>0</v>
          </cell>
          <cell r="AI77">
            <v>0</v>
          </cell>
          <cell r="AM77">
            <v>0</v>
          </cell>
          <cell r="AN77">
            <v>0</v>
          </cell>
          <cell r="AO77">
            <v>0</v>
          </cell>
          <cell r="AP77">
            <v>530342</v>
          </cell>
          <cell r="AQ77">
            <v>654089</v>
          </cell>
          <cell r="AR77">
            <v>0</v>
          </cell>
          <cell r="AS77">
            <v>-5607771</v>
          </cell>
          <cell r="AT77">
            <v>-3364664</v>
          </cell>
          <cell r="AU77">
            <v>-2243109</v>
          </cell>
          <cell r="AV77">
            <v>0</v>
          </cell>
          <cell r="AW77">
            <v>-11215544</v>
          </cell>
          <cell r="AX77">
            <v>-5750000</v>
          </cell>
          <cell r="AY77">
            <v>-3450000</v>
          </cell>
          <cell r="AZ77">
            <v>-2300000</v>
          </cell>
          <cell r="BA77">
            <v>0</v>
          </cell>
          <cell r="BB77">
            <v>-11500000</v>
          </cell>
          <cell r="BC77">
            <v>123704855</v>
          </cell>
          <cell r="BD77">
            <v>-6026615</v>
          </cell>
          <cell r="BE77">
            <v>31987</v>
          </cell>
          <cell r="BF77">
            <v>0</v>
          </cell>
          <cell r="BG77">
            <v>-9290531</v>
          </cell>
          <cell r="BH77">
            <v>-189329</v>
          </cell>
          <cell r="BI77">
            <v>0</v>
          </cell>
          <cell r="BJ77">
            <v>-737757</v>
          </cell>
          <cell r="BK77">
            <v>-9235370</v>
          </cell>
          <cell r="BL77">
            <v>-127045</v>
          </cell>
          <cell r="BM77">
            <v>-38990</v>
          </cell>
          <cell r="BN77">
            <v>0</v>
          </cell>
          <cell r="BO77">
            <v>0</v>
          </cell>
          <cell r="BP77">
            <v>0</v>
          </cell>
          <cell r="BQ77">
            <v>-52328</v>
          </cell>
          <cell r="BR77">
            <v>0</v>
          </cell>
          <cell r="BS77">
            <v>-3043</v>
          </cell>
          <cell r="BT77">
            <v>112017249</v>
          </cell>
          <cell r="BU77">
            <v>-2125258</v>
          </cell>
          <cell r="BV77">
            <v>11510642</v>
          </cell>
          <cell r="BW77">
            <v>-4452655</v>
          </cell>
          <cell r="BX77">
            <v>5018154</v>
          </cell>
          <cell r="BY77">
            <v>-7259734</v>
          </cell>
          <cell r="BZ77">
            <v>117685441</v>
          </cell>
          <cell r="CA77">
            <v>2509076</v>
          </cell>
          <cell r="CB77">
            <v>1505447</v>
          </cell>
          <cell r="CC77">
            <v>1003631</v>
          </cell>
          <cell r="CD77">
            <v>0</v>
          </cell>
          <cell r="CE77">
            <v>-3629867</v>
          </cell>
          <cell r="CF77">
            <v>-2177920</v>
          </cell>
          <cell r="CG77">
            <v>-1451947</v>
          </cell>
          <cell r="CH77">
            <v>0</v>
          </cell>
        </row>
        <row r="78">
          <cell r="A78">
            <v>71</v>
          </cell>
          <cell r="B78" t="str">
            <v>Dacorum</v>
          </cell>
          <cell r="C78" t="str">
            <v>E1932</v>
          </cell>
          <cell r="D78">
            <v>207475</v>
          </cell>
          <cell r="H78">
            <v>389953</v>
          </cell>
          <cell r="I78">
            <v>4701</v>
          </cell>
          <cell r="J78">
            <v>207475</v>
          </cell>
          <cell r="K78">
            <v>0</v>
          </cell>
          <cell r="L78">
            <v>0</v>
          </cell>
          <cell r="M78">
            <v>0</v>
          </cell>
          <cell r="N78">
            <v>0</v>
          </cell>
          <cell r="O78">
            <v>0</v>
          </cell>
          <cell r="P78">
            <v>0</v>
          </cell>
          <cell r="Q78">
            <v>0</v>
          </cell>
          <cell r="R78">
            <v>613178</v>
          </cell>
          <cell r="S78">
            <v>153295</v>
          </cell>
          <cell r="T78">
            <v>0</v>
          </cell>
          <cell r="U78">
            <v>0</v>
          </cell>
          <cell r="V78">
            <v>0</v>
          </cell>
          <cell r="W78">
            <v>0</v>
          </cell>
          <cell r="X78">
            <v>17454</v>
          </cell>
          <cell r="Y78">
            <v>4363</v>
          </cell>
          <cell r="Z78">
            <v>0</v>
          </cell>
          <cell r="AA78">
            <v>3248</v>
          </cell>
          <cell r="AB78">
            <v>812</v>
          </cell>
          <cell r="AC78">
            <v>0</v>
          </cell>
          <cell r="AD78">
            <v>0</v>
          </cell>
          <cell r="AE78">
            <v>0</v>
          </cell>
          <cell r="AF78">
            <v>0</v>
          </cell>
          <cell r="AG78">
            <v>0</v>
          </cell>
          <cell r="AH78">
            <v>0</v>
          </cell>
          <cell r="AI78">
            <v>0</v>
          </cell>
          <cell r="AM78">
            <v>0</v>
          </cell>
          <cell r="AN78">
            <v>0</v>
          </cell>
          <cell r="AO78">
            <v>0</v>
          </cell>
          <cell r="AP78">
            <v>348198</v>
          </cell>
          <cell r="AQ78">
            <v>87049</v>
          </cell>
          <cell r="AR78">
            <v>0</v>
          </cell>
          <cell r="AS78">
            <v>-363509</v>
          </cell>
          <cell r="AT78">
            <v>-290808</v>
          </cell>
          <cell r="AU78">
            <v>-72703</v>
          </cell>
          <cell r="AV78">
            <v>0</v>
          </cell>
          <cell r="AW78">
            <v>-727020</v>
          </cell>
          <cell r="AX78">
            <v>-4551158.5999999996</v>
          </cell>
          <cell r="AY78">
            <v>-3640926</v>
          </cell>
          <cell r="AZ78">
            <v>-910231</v>
          </cell>
          <cell r="BA78">
            <v>0</v>
          </cell>
          <cell r="BB78">
            <v>-9102315</v>
          </cell>
          <cell r="BC78">
            <v>62196279</v>
          </cell>
          <cell r="BD78">
            <v>-2148895</v>
          </cell>
          <cell r="BE78">
            <v>1721549</v>
          </cell>
          <cell r="BF78">
            <v>0</v>
          </cell>
          <cell r="BG78">
            <v>-4362362</v>
          </cell>
          <cell r="BH78">
            <v>-84241</v>
          </cell>
          <cell r="BI78">
            <v>-4125</v>
          </cell>
          <cell r="BJ78">
            <v>-143345</v>
          </cell>
          <cell r="BK78">
            <v>-1977526</v>
          </cell>
          <cell r="BL78">
            <v>-271091</v>
          </cell>
          <cell r="BM78">
            <v>-1851</v>
          </cell>
          <cell r="BN78">
            <v>0</v>
          </cell>
          <cell r="BO78">
            <v>-1125</v>
          </cell>
          <cell r="BP78">
            <v>-888</v>
          </cell>
          <cell r="BQ78">
            <v>0</v>
          </cell>
          <cell r="BR78">
            <v>0</v>
          </cell>
          <cell r="BS78">
            <v>0</v>
          </cell>
          <cell r="BT78">
            <v>62592295</v>
          </cell>
          <cell r="BU78">
            <v>-461891</v>
          </cell>
          <cell r="BV78">
            <v>2694014</v>
          </cell>
          <cell r="BW78">
            <v>-1562440</v>
          </cell>
          <cell r="BX78">
            <v>-1652648</v>
          </cell>
          <cell r="BY78">
            <v>-521318</v>
          </cell>
          <cell r="BZ78">
            <v>57950038</v>
          </cell>
          <cell r="CA78">
            <v>-826324</v>
          </cell>
          <cell r="CB78">
            <v>-661059</v>
          </cell>
          <cell r="CC78">
            <v>-165265</v>
          </cell>
          <cell r="CD78">
            <v>0</v>
          </cell>
          <cell r="CE78">
            <v>-260659</v>
          </cell>
          <cell r="CF78">
            <v>-208527</v>
          </cell>
          <cell r="CG78">
            <v>-52132</v>
          </cell>
          <cell r="CH78">
            <v>0</v>
          </cell>
        </row>
        <row r="79">
          <cell r="A79">
            <v>72</v>
          </cell>
          <cell r="B79" t="str">
            <v>Darlington</v>
          </cell>
          <cell r="C79" t="str">
            <v>E1301</v>
          </cell>
          <cell r="D79">
            <v>143297</v>
          </cell>
          <cell r="H79">
            <v>-3678725</v>
          </cell>
          <cell r="I79">
            <v>-12096</v>
          </cell>
          <cell r="J79">
            <v>143297</v>
          </cell>
          <cell r="K79">
            <v>221036</v>
          </cell>
          <cell r="L79">
            <v>0</v>
          </cell>
          <cell r="M79">
            <v>0</v>
          </cell>
          <cell r="N79">
            <v>16520</v>
          </cell>
          <cell r="O79">
            <v>16520</v>
          </cell>
          <cell r="P79">
            <v>0</v>
          </cell>
          <cell r="Q79">
            <v>0</v>
          </cell>
          <cell r="R79">
            <v>780129</v>
          </cell>
          <cell r="S79">
            <v>0</v>
          </cell>
          <cell r="T79">
            <v>15592</v>
          </cell>
          <cell r="U79">
            <v>3618</v>
          </cell>
          <cell r="V79">
            <v>0</v>
          </cell>
          <cell r="W79">
            <v>74</v>
          </cell>
          <cell r="X79">
            <v>53089</v>
          </cell>
          <cell r="Y79">
            <v>0</v>
          </cell>
          <cell r="Z79">
            <v>1036</v>
          </cell>
          <cell r="AA79">
            <v>12301</v>
          </cell>
          <cell r="AB79">
            <v>0</v>
          </cell>
          <cell r="AC79">
            <v>251</v>
          </cell>
          <cell r="AD79">
            <v>0</v>
          </cell>
          <cell r="AE79">
            <v>0</v>
          </cell>
          <cell r="AF79">
            <v>0</v>
          </cell>
          <cell r="AG79">
            <v>0</v>
          </cell>
          <cell r="AH79">
            <v>0</v>
          </cell>
          <cell r="AI79">
            <v>0</v>
          </cell>
          <cell r="AM79">
            <v>0</v>
          </cell>
          <cell r="AN79">
            <v>0</v>
          </cell>
          <cell r="AO79">
            <v>0</v>
          </cell>
          <cell r="AP79">
            <v>221361</v>
          </cell>
          <cell r="AQ79">
            <v>0</v>
          </cell>
          <cell r="AR79">
            <v>4445</v>
          </cell>
          <cell r="AS79">
            <v>-181220</v>
          </cell>
          <cell r="AT79">
            <v>-177595</v>
          </cell>
          <cell r="AU79">
            <v>0</v>
          </cell>
          <cell r="AV79">
            <v>-3625</v>
          </cell>
          <cell r="AW79">
            <v>-362440</v>
          </cell>
          <cell r="AX79">
            <v>-529889</v>
          </cell>
          <cell r="AY79">
            <v>-519290</v>
          </cell>
          <cell r="AZ79">
            <v>0</v>
          </cell>
          <cell r="BA79">
            <v>-10599</v>
          </cell>
          <cell r="BB79">
            <v>-1059778</v>
          </cell>
          <cell r="BC79">
            <v>33546353</v>
          </cell>
          <cell r="BD79">
            <v>-2545405</v>
          </cell>
          <cell r="BE79">
            <v>966697</v>
          </cell>
          <cell r="BF79">
            <v>0</v>
          </cell>
          <cell r="BG79">
            <v>-2612725</v>
          </cell>
          <cell r="BH79">
            <v>-53566</v>
          </cell>
          <cell r="BI79">
            <v>-335</v>
          </cell>
          <cell r="BJ79">
            <v>-9421</v>
          </cell>
          <cell r="BK79">
            <v>-1512550</v>
          </cell>
          <cell r="BL79">
            <v>-40934</v>
          </cell>
          <cell r="BM79">
            <v>0</v>
          </cell>
          <cell r="BN79">
            <v>0</v>
          </cell>
          <cell r="BO79">
            <v>0</v>
          </cell>
          <cell r="BP79">
            <v>0</v>
          </cell>
          <cell r="BQ79">
            <v>-14298</v>
          </cell>
          <cell r="BR79">
            <v>-14298</v>
          </cell>
          <cell r="BS79">
            <v>0</v>
          </cell>
          <cell r="BT79">
            <v>34831495</v>
          </cell>
          <cell r="BU79">
            <v>-373716</v>
          </cell>
          <cell r="BV79">
            <v>1448378</v>
          </cell>
          <cell r="BW79">
            <v>-467631</v>
          </cell>
          <cell r="BX79">
            <v>-2482880</v>
          </cell>
          <cell r="BY79">
            <v>-2363574</v>
          </cell>
          <cell r="BZ79">
            <v>29589332</v>
          </cell>
          <cell r="CA79">
            <v>-1241441</v>
          </cell>
          <cell r="CB79">
            <v>-1216611</v>
          </cell>
          <cell r="CC79">
            <v>0</v>
          </cell>
          <cell r="CD79">
            <v>-24828</v>
          </cell>
          <cell r="CE79">
            <v>-1181787</v>
          </cell>
          <cell r="CF79">
            <v>-1158151</v>
          </cell>
          <cell r="CG79">
            <v>0</v>
          </cell>
          <cell r="CH79">
            <v>-23636</v>
          </cell>
        </row>
        <row r="80">
          <cell r="A80">
            <v>73</v>
          </cell>
          <cell r="B80" t="str">
            <v>Dartford</v>
          </cell>
          <cell r="C80" t="str">
            <v>E2233</v>
          </cell>
          <cell r="D80">
            <v>168218</v>
          </cell>
          <cell r="H80">
            <v>-4455256</v>
          </cell>
          <cell r="I80">
            <v>0</v>
          </cell>
          <cell r="J80">
            <v>168218</v>
          </cell>
          <cell r="K80">
            <v>0</v>
          </cell>
          <cell r="L80">
            <v>0</v>
          </cell>
          <cell r="M80">
            <v>0</v>
          </cell>
          <cell r="N80">
            <v>0</v>
          </cell>
          <cell r="O80">
            <v>0</v>
          </cell>
          <cell r="P80">
            <v>0</v>
          </cell>
          <cell r="Q80">
            <v>0</v>
          </cell>
          <cell r="R80">
            <v>529308</v>
          </cell>
          <cell r="S80">
            <v>119094</v>
          </cell>
          <cell r="T80">
            <v>13233</v>
          </cell>
          <cell r="U80">
            <v>4295</v>
          </cell>
          <cell r="V80">
            <v>966</v>
          </cell>
          <cell r="W80">
            <v>107</v>
          </cell>
          <cell r="X80">
            <v>0</v>
          </cell>
          <cell r="Y80">
            <v>0</v>
          </cell>
          <cell r="Z80">
            <v>0</v>
          </cell>
          <cell r="AA80">
            <v>0</v>
          </cell>
          <cell r="AB80">
            <v>0</v>
          </cell>
          <cell r="AC80">
            <v>0</v>
          </cell>
          <cell r="AD80">
            <v>0</v>
          </cell>
          <cell r="AE80">
            <v>0</v>
          </cell>
          <cell r="AF80">
            <v>0</v>
          </cell>
          <cell r="AG80">
            <v>0</v>
          </cell>
          <cell r="AH80">
            <v>0</v>
          </cell>
          <cell r="AI80">
            <v>0</v>
          </cell>
          <cell r="AM80">
            <v>0</v>
          </cell>
          <cell r="AN80">
            <v>0</v>
          </cell>
          <cell r="AO80">
            <v>0</v>
          </cell>
          <cell r="AP80">
            <v>475913</v>
          </cell>
          <cell r="AQ80">
            <v>107081</v>
          </cell>
          <cell r="AR80">
            <v>11898</v>
          </cell>
          <cell r="AS80">
            <v>-671885</v>
          </cell>
          <cell r="AT80">
            <v>-537512</v>
          </cell>
          <cell r="AU80">
            <v>-120941</v>
          </cell>
          <cell r="AV80">
            <v>-13439</v>
          </cell>
          <cell r="AW80">
            <v>-1343777</v>
          </cell>
          <cell r="AX80">
            <v>-6186874</v>
          </cell>
          <cell r="AY80">
            <v>-4949498</v>
          </cell>
          <cell r="AZ80">
            <v>-1113637</v>
          </cell>
          <cell r="BA80">
            <v>-123737</v>
          </cell>
          <cell r="BB80">
            <v>-12373746</v>
          </cell>
          <cell r="BC80">
            <v>88351909</v>
          </cell>
          <cell r="BD80">
            <v>-1509070</v>
          </cell>
          <cell r="BE80">
            <v>2403648</v>
          </cell>
          <cell r="BF80">
            <v>0</v>
          </cell>
          <cell r="BG80">
            <v>-2796576</v>
          </cell>
          <cell r="BH80">
            <v>-52257</v>
          </cell>
          <cell r="BI80">
            <v>0</v>
          </cell>
          <cell r="BJ80">
            <v>-95630</v>
          </cell>
          <cell r="BK80">
            <v>-2074603</v>
          </cell>
          <cell r="BL80">
            <v>-39964</v>
          </cell>
          <cell r="BM80">
            <v>-134053</v>
          </cell>
          <cell r="BN80">
            <v>-8051</v>
          </cell>
          <cell r="BO80">
            <v>0</v>
          </cell>
          <cell r="BP80">
            <v>-2319</v>
          </cell>
          <cell r="BQ80">
            <v>-2500</v>
          </cell>
          <cell r="BR80">
            <v>0</v>
          </cell>
          <cell r="BS80">
            <v>0</v>
          </cell>
          <cell r="BT80">
            <v>89101483</v>
          </cell>
          <cell r="BU80">
            <v>-235745</v>
          </cell>
          <cell r="BV80">
            <v>1200798</v>
          </cell>
          <cell r="BW80">
            <v>-3262725</v>
          </cell>
          <cell r="BX80">
            <v>1940286</v>
          </cell>
          <cell r="BY80">
            <v>1178002</v>
          </cell>
          <cell r="BZ80">
            <v>79205588</v>
          </cell>
          <cell r="CA80">
            <v>970142</v>
          </cell>
          <cell r="CB80">
            <v>776115</v>
          </cell>
          <cell r="CC80">
            <v>174626</v>
          </cell>
          <cell r="CD80">
            <v>19403</v>
          </cell>
          <cell r="CE80">
            <v>589001</v>
          </cell>
          <cell r="CF80">
            <v>471201</v>
          </cell>
          <cell r="CG80">
            <v>106020</v>
          </cell>
          <cell r="CH80">
            <v>11780</v>
          </cell>
        </row>
        <row r="81">
          <cell r="A81">
            <v>74</v>
          </cell>
          <cell r="B81" t="str">
            <v>Daventry</v>
          </cell>
          <cell r="C81" t="str">
            <v>E2832</v>
          </cell>
          <cell r="D81">
            <v>119376</v>
          </cell>
          <cell r="H81">
            <v>-766314</v>
          </cell>
          <cell r="I81">
            <v>0</v>
          </cell>
          <cell r="J81">
            <v>119376</v>
          </cell>
          <cell r="K81">
            <v>0</v>
          </cell>
          <cell r="L81">
            <v>799514</v>
          </cell>
          <cell r="M81">
            <v>0.13999999989755452</v>
          </cell>
          <cell r="N81">
            <v>0</v>
          </cell>
          <cell r="O81">
            <v>0</v>
          </cell>
          <cell r="P81">
            <v>0</v>
          </cell>
          <cell r="Q81">
            <v>0</v>
          </cell>
          <cell r="R81">
            <v>465155</v>
          </cell>
          <cell r="S81">
            <v>116289</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M81">
            <v>0</v>
          </cell>
          <cell r="AN81">
            <v>0</v>
          </cell>
          <cell r="AO81">
            <v>0</v>
          </cell>
          <cell r="AP81">
            <v>278083</v>
          </cell>
          <cell r="AQ81">
            <v>66518</v>
          </cell>
          <cell r="AR81">
            <v>0</v>
          </cell>
          <cell r="AS81">
            <v>-104597</v>
          </cell>
          <cell r="AT81">
            <v>-83678</v>
          </cell>
          <cell r="AU81">
            <v>-20921</v>
          </cell>
          <cell r="AV81">
            <v>0</v>
          </cell>
          <cell r="AW81">
            <v>-209196</v>
          </cell>
          <cell r="AX81">
            <v>-1201507</v>
          </cell>
          <cell r="AY81">
            <v>-961204</v>
          </cell>
          <cell r="AZ81">
            <v>-240300</v>
          </cell>
          <cell r="BA81">
            <v>0</v>
          </cell>
          <cell r="BB81">
            <v>-2403011</v>
          </cell>
          <cell r="BC81">
            <v>46229102</v>
          </cell>
          <cell r="BD81">
            <v>-1789296</v>
          </cell>
          <cell r="BE81">
            <v>1198941</v>
          </cell>
          <cell r="BF81">
            <v>0</v>
          </cell>
          <cell r="BG81">
            <v>-1769794</v>
          </cell>
          <cell r="BH81">
            <v>-36788</v>
          </cell>
          <cell r="BI81">
            <v>-40093</v>
          </cell>
          <cell r="BJ81">
            <v>-264034</v>
          </cell>
          <cell r="BK81">
            <v>-1230100</v>
          </cell>
          <cell r="BL81">
            <v>-40185</v>
          </cell>
          <cell r="BM81">
            <v>-12709</v>
          </cell>
          <cell r="BN81">
            <v>-393</v>
          </cell>
          <cell r="BO81">
            <v>-7748</v>
          </cell>
          <cell r="BP81">
            <v>0</v>
          </cell>
          <cell r="BQ81">
            <v>0</v>
          </cell>
          <cell r="BR81">
            <v>0</v>
          </cell>
          <cell r="BS81">
            <v>0</v>
          </cell>
          <cell r="BT81">
            <v>45449158</v>
          </cell>
          <cell r="BU81">
            <v>-105924</v>
          </cell>
          <cell r="BV81">
            <v>366398</v>
          </cell>
          <cell r="BW81">
            <v>-350415</v>
          </cell>
          <cell r="BX81">
            <v>2718600</v>
          </cell>
          <cell r="BY81">
            <v>2502573</v>
          </cell>
          <cell r="BZ81">
            <v>44282179</v>
          </cell>
          <cell r="CA81">
            <v>1359300</v>
          </cell>
          <cell r="CB81">
            <v>1087440</v>
          </cell>
          <cell r="CC81">
            <v>271860</v>
          </cell>
          <cell r="CD81">
            <v>0</v>
          </cell>
          <cell r="CE81">
            <v>1251287</v>
          </cell>
          <cell r="CF81">
            <v>1001029</v>
          </cell>
          <cell r="CG81">
            <v>250257</v>
          </cell>
          <cell r="CH81">
            <v>0</v>
          </cell>
        </row>
        <row r="82">
          <cell r="A82">
            <v>75</v>
          </cell>
          <cell r="B82" t="str">
            <v>Derby</v>
          </cell>
          <cell r="C82" t="str">
            <v>E1001</v>
          </cell>
          <cell r="D82">
            <v>314953</v>
          </cell>
          <cell r="H82">
            <v>1496192</v>
          </cell>
          <cell r="I82">
            <v>0</v>
          </cell>
          <cell r="J82">
            <v>314953</v>
          </cell>
          <cell r="K82">
            <v>137025</v>
          </cell>
          <cell r="L82">
            <v>740000</v>
          </cell>
          <cell r="M82">
            <v>0</v>
          </cell>
          <cell r="N82">
            <v>0</v>
          </cell>
          <cell r="O82">
            <v>0</v>
          </cell>
          <cell r="P82">
            <v>0</v>
          </cell>
          <cell r="Q82">
            <v>0</v>
          </cell>
          <cell r="R82">
            <v>1329085</v>
          </cell>
          <cell r="S82">
            <v>0</v>
          </cell>
          <cell r="T82">
            <v>27124</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M82">
            <v>0</v>
          </cell>
          <cell r="AN82">
            <v>0</v>
          </cell>
          <cell r="AO82">
            <v>0</v>
          </cell>
          <cell r="AP82">
            <v>671889</v>
          </cell>
          <cell r="AQ82">
            <v>0</v>
          </cell>
          <cell r="AR82">
            <v>13443</v>
          </cell>
          <cell r="AS82">
            <v>-2181475</v>
          </cell>
          <cell r="AT82">
            <v>-2137845</v>
          </cell>
          <cell r="AU82">
            <v>0</v>
          </cell>
          <cell r="AV82">
            <v>-43630</v>
          </cell>
          <cell r="AW82">
            <v>-4362950</v>
          </cell>
          <cell r="AX82">
            <v>-4036602</v>
          </cell>
          <cell r="AY82">
            <v>-3955868</v>
          </cell>
          <cell r="AZ82">
            <v>0</v>
          </cell>
          <cell r="BA82">
            <v>-80733</v>
          </cell>
          <cell r="BB82">
            <v>-8073203</v>
          </cell>
          <cell r="BC82">
            <v>87358749</v>
          </cell>
          <cell r="BD82">
            <v>-4395297</v>
          </cell>
          <cell r="BE82">
            <v>2461047</v>
          </cell>
          <cell r="BF82">
            <v>0</v>
          </cell>
          <cell r="BG82">
            <v>-5802038</v>
          </cell>
          <cell r="BH82">
            <v>-37096</v>
          </cell>
          <cell r="BI82">
            <v>0</v>
          </cell>
          <cell r="BJ82">
            <v>-303138</v>
          </cell>
          <cell r="BK82">
            <v>-2841120</v>
          </cell>
          <cell r="BL82">
            <v>-65364</v>
          </cell>
          <cell r="BM82">
            <v>-166370</v>
          </cell>
          <cell r="BN82">
            <v>-8697</v>
          </cell>
          <cell r="BO82">
            <v>0</v>
          </cell>
          <cell r="BP82">
            <v>0</v>
          </cell>
          <cell r="BQ82">
            <v>-22066</v>
          </cell>
          <cell r="BR82">
            <v>-22066</v>
          </cell>
          <cell r="BS82">
            <v>0</v>
          </cell>
          <cell r="BT82">
            <v>89826047</v>
          </cell>
          <cell r="BU82">
            <v>-570081</v>
          </cell>
          <cell r="BV82">
            <v>7095088</v>
          </cell>
          <cell r="BW82">
            <v>-479770</v>
          </cell>
          <cell r="BX82">
            <v>-5373791</v>
          </cell>
          <cell r="BY82">
            <v>-1208083</v>
          </cell>
          <cell r="BZ82">
            <v>89493062</v>
          </cell>
          <cell r="CA82">
            <v>-2686895</v>
          </cell>
          <cell r="CB82">
            <v>-2633157</v>
          </cell>
          <cell r="CC82">
            <v>0</v>
          </cell>
          <cell r="CD82">
            <v>-53739</v>
          </cell>
          <cell r="CE82">
            <v>-604041</v>
          </cell>
          <cell r="CF82">
            <v>-591961</v>
          </cell>
          <cell r="CG82">
            <v>0</v>
          </cell>
          <cell r="CH82">
            <v>-12081</v>
          </cell>
        </row>
        <row r="83">
          <cell r="A83">
            <v>76</v>
          </cell>
          <cell r="B83" t="str">
            <v>Derbyshire Dales</v>
          </cell>
          <cell r="C83" t="str">
            <v>E1035</v>
          </cell>
          <cell r="D83">
            <v>147507</v>
          </cell>
          <cell r="H83">
            <v>2122714</v>
          </cell>
          <cell r="I83">
            <v>0</v>
          </cell>
          <cell r="J83">
            <v>147507</v>
          </cell>
          <cell r="K83">
            <v>0</v>
          </cell>
          <cell r="L83">
            <v>166647</v>
          </cell>
          <cell r="M83">
            <v>0</v>
          </cell>
          <cell r="N83">
            <v>0</v>
          </cell>
          <cell r="O83">
            <v>0</v>
          </cell>
          <cell r="P83">
            <v>0</v>
          </cell>
          <cell r="Q83">
            <v>0</v>
          </cell>
          <cell r="R83">
            <v>698650</v>
          </cell>
          <cell r="S83">
            <v>157196</v>
          </cell>
          <cell r="T83">
            <v>17466</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M83">
            <v>0</v>
          </cell>
          <cell r="AN83">
            <v>0</v>
          </cell>
          <cell r="AO83">
            <v>0</v>
          </cell>
          <cell r="AP83">
            <v>119748</v>
          </cell>
          <cell r="AQ83">
            <v>26380</v>
          </cell>
          <cell r="AR83">
            <v>2931</v>
          </cell>
          <cell r="AS83">
            <v>-82500</v>
          </cell>
          <cell r="AT83">
            <v>-66000</v>
          </cell>
          <cell r="AU83">
            <v>-14850</v>
          </cell>
          <cell r="AV83">
            <v>-1650</v>
          </cell>
          <cell r="AW83">
            <v>-165000</v>
          </cell>
          <cell r="AX83">
            <v>-318000</v>
          </cell>
          <cell r="AY83">
            <v>-254400</v>
          </cell>
          <cell r="AZ83">
            <v>-57239</v>
          </cell>
          <cell r="BA83">
            <v>-6361</v>
          </cell>
          <cell r="BB83">
            <v>-636000</v>
          </cell>
          <cell r="BC83">
            <v>16387341</v>
          </cell>
          <cell r="BD83">
            <v>-2875862</v>
          </cell>
          <cell r="BE83">
            <v>409716</v>
          </cell>
          <cell r="BF83">
            <v>0</v>
          </cell>
          <cell r="BG83">
            <v>-1067524</v>
          </cell>
          <cell r="BH83">
            <v>-20476</v>
          </cell>
          <cell r="BI83">
            <v>-61968</v>
          </cell>
          <cell r="BJ83">
            <v>-1157</v>
          </cell>
          <cell r="BK83">
            <v>-357563</v>
          </cell>
          <cell r="BL83">
            <v>-116607</v>
          </cell>
          <cell r="BM83">
            <v>-125572</v>
          </cell>
          <cell r="BN83">
            <v>-3578</v>
          </cell>
          <cell r="BO83">
            <v>-61968</v>
          </cell>
          <cell r="BP83">
            <v>-9414</v>
          </cell>
          <cell r="BQ83">
            <v>0</v>
          </cell>
          <cell r="BR83">
            <v>0</v>
          </cell>
          <cell r="BS83">
            <v>0</v>
          </cell>
          <cell r="BT83">
            <v>17103372</v>
          </cell>
          <cell r="BU83">
            <v>-525492</v>
          </cell>
          <cell r="BV83">
            <v>790685</v>
          </cell>
          <cell r="BW83">
            <v>-276247</v>
          </cell>
          <cell r="BX83">
            <v>-1503270</v>
          </cell>
          <cell r="BY83">
            <v>-156743</v>
          </cell>
          <cell r="BZ83">
            <v>19512848</v>
          </cell>
          <cell r="CA83">
            <v>-751633</v>
          </cell>
          <cell r="CB83">
            <v>-601309</v>
          </cell>
          <cell r="CC83">
            <v>-135295</v>
          </cell>
          <cell r="CD83">
            <v>-15033</v>
          </cell>
          <cell r="CE83">
            <v>-78372</v>
          </cell>
          <cell r="CF83">
            <v>-62697</v>
          </cell>
          <cell r="CG83">
            <v>-14107</v>
          </cell>
          <cell r="CH83">
            <v>-1567</v>
          </cell>
        </row>
        <row r="84">
          <cell r="A84">
            <v>77</v>
          </cell>
          <cell r="B84" t="str">
            <v>Doncaster</v>
          </cell>
          <cell r="C84" t="str">
            <v>E4402</v>
          </cell>
          <cell r="D84">
            <v>371344</v>
          </cell>
          <cell r="H84">
            <v>-4276330</v>
          </cell>
          <cell r="I84">
            <v>0</v>
          </cell>
          <cell r="J84">
            <v>371344</v>
          </cell>
          <cell r="K84">
            <v>0</v>
          </cell>
          <cell r="L84">
            <v>171341</v>
          </cell>
          <cell r="M84">
            <v>0</v>
          </cell>
          <cell r="N84">
            <v>0</v>
          </cell>
          <cell r="O84">
            <v>0</v>
          </cell>
          <cell r="P84">
            <v>0</v>
          </cell>
          <cell r="Q84">
            <v>0</v>
          </cell>
          <cell r="R84">
            <v>1863538</v>
          </cell>
          <cell r="S84">
            <v>0</v>
          </cell>
          <cell r="T84">
            <v>38031</v>
          </cell>
          <cell r="U84">
            <v>25806</v>
          </cell>
          <cell r="V84">
            <v>0</v>
          </cell>
          <cell r="W84">
            <v>527</v>
          </cell>
          <cell r="X84">
            <v>70887</v>
          </cell>
          <cell r="Y84">
            <v>0</v>
          </cell>
          <cell r="Z84">
            <v>1447</v>
          </cell>
          <cell r="AA84">
            <v>0</v>
          </cell>
          <cell r="AB84">
            <v>0</v>
          </cell>
          <cell r="AC84">
            <v>0</v>
          </cell>
          <cell r="AD84">
            <v>0</v>
          </cell>
          <cell r="AE84">
            <v>0</v>
          </cell>
          <cell r="AF84">
            <v>0</v>
          </cell>
          <cell r="AG84">
            <v>0</v>
          </cell>
          <cell r="AH84">
            <v>0</v>
          </cell>
          <cell r="AI84">
            <v>0</v>
          </cell>
          <cell r="AM84">
            <v>0</v>
          </cell>
          <cell r="AN84">
            <v>0</v>
          </cell>
          <cell r="AO84">
            <v>0</v>
          </cell>
          <cell r="AP84">
            <v>669210</v>
          </cell>
          <cell r="AQ84">
            <v>0</v>
          </cell>
          <cell r="AR84">
            <v>13605</v>
          </cell>
          <cell r="AS84">
            <v>-1687563</v>
          </cell>
          <cell r="AT84">
            <v>-1653811</v>
          </cell>
          <cell r="AU84">
            <v>0</v>
          </cell>
          <cell r="AV84">
            <v>-33751</v>
          </cell>
          <cell r="AW84">
            <v>-3375125</v>
          </cell>
          <cell r="AX84">
            <v>-3396396</v>
          </cell>
          <cell r="AY84">
            <v>-3328472</v>
          </cell>
          <cell r="AZ84">
            <v>0</v>
          </cell>
          <cell r="BA84">
            <v>-67929</v>
          </cell>
          <cell r="BB84">
            <v>-6792797</v>
          </cell>
          <cell r="BC84">
            <v>94741667</v>
          </cell>
          <cell r="BD84">
            <v>-6421985</v>
          </cell>
          <cell r="BE84">
            <v>2602422</v>
          </cell>
          <cell r="BF84">
            <v>0</v>
          </cell>
          <cell r="BG84">
            <v>-6129111</v>
          </cell>
          <cell r="BH84">
            <v>-50730</v>
          </cell>
          <cell r="BI84">
            <v>-9282</v>
          </cell>
          <cell r="BJ84">
            <v>-73720</v>
          </cell>
          <cell r="BK84">
            <v>-3340997</v>
          </cell>
          <cell r="BL84">
            <v>-337347</v>
          </cell>
          <cell r="BM84">
            <v>-179346</v>
          </cell>
          <cell r="BN84">
            <v>0</v>
          </cell>
          <cell r="BO84">
            <v>-1273</v>
          </cell>
          <cell r="BP84">
            <v>0</v>
          </cell>
          <cell r="BQ84">
            <v>0</v>
          </cell>
          <cell r="BR84">
            <v>0</v>
          </cell>
          <cell r="BS84">
            <v>0</v>
          </cell>
          <cell r="BT84">
            <v>95035771</v>
          </cell>
          <cell r="BU84">
            <v>-2412554</v>
          </cell>
          <cell r="BV84">
            <v>7031614</v>
          </cell>
          <cell r="BW84">
            <v>-1680589</v>
          </cell>
          <cell r="BX84">
            <v>-2340394</v>
          </cell>
          <cell r="BY84">
            <v>-995680</v>
          </cell>
          <cell r="BZ84">
            <v>90569233</v>
          </cell>
          <cell r="CA84">
            <v>-1170198</v>
          </cell>
          <cell r="CB84">
            <v>-1146793</v>
          </cell>
          <cell r="CC84">
            <v>0</v>
          </cell>
          <cell r="CD84">
            <v>-23403</v>
          </cell>
          <cell r="CE84">
            <v>-497840</v>
          </cell>
          <cell r="CF84">
            <v>-487883</v>
          </cell>
          <cell r="CG84">
            <v>0</v>
          </cell>
          <cell r="CH84">
            <v>-9957</v>
          </cell>
        </row>
        <row r="85">
          <cell r="A85">
            <v>78</v>
          </cell>
          <cell r="B85" t="str">
            <v>Dover</v>
          </cell>
          <cell r="C85" t="str">
            <v>E2234</v>
          </cell>
          <cell r="D85">
            <v>164215</v>
          </cell>
          <cell r="H85">
            <v>4615286</v>
          </cell>
          <cell r="I85">
            <v>0</v>
          </cell>
          <cell r="J85">
            <v>164215</v>
          </cell>
          <cell r="K85">
            <v>0</v>
          </cell>
          <cell r="L85">
            <v>39656</v>
          </cell>
          <cell r="M85">
            <v>0</v>
          </cell>
          <cell r="N85">
            <v>1327000</v>
          </cell>
          <cell r="O85">
            <v>1061600</v>
          </cell>
          <cell r="P85">
            <v>238860</v>
          </cell>
          <cell r="Q85">
            <v>26540</v>
          </cell>
          <cell r="R85">
            <v>859688</v>
          </cell>
          <cell r="S85">
            <v>193430</v>
          </cell>
          <cell r="T85">
            <v>21492</v>
          </cell>
          <cell r="U85">
            <v>739</v>
          </cell>
          <cell r="V85">
            <v>166</v>
          </cell>
          <cell r="W85">
            <v>18</v>
          </cell>
          <cell r="X85">
            <v>0</v>
          </cell>
          <cell r="Y85">
            <v>0</v>
          </cell>
          <cell r="Z85">
            <v>0</v>
          </cell>
          <cell r="AA85">
            <v>271</v>
          </cell>
          <cell r="AB85">
            <v>61</v>
          </cell>
          <cell r="AC85">
            <v>7</v>
          </cell>
          <cell r="AD85">
            <v>0</v>
          </cell>
          <cell r="AE85">
            <v>0</v>
          </cell>
          <cell r="AF85">
            <v>0</v>
          </cell>
          <cell r="AG85">
            <v>0</v>
          </cell>
          <cell r="AH85">
            <v>0</v>
          </cell>
          <cell r="AI85">
            <v>0</v>
          </cell>
          <cell r="AM85">
            <v>0</v>
          </cell>
          <cell r="AN85">
            <v>0</v>
          </cell>
          <cell r="AO85">
            <v>0</v>
          </cell>
          <cell r="AP85">
            <v>246503</v>
          </cell>
          <cell r="AQ85">
            <v>55329</v>
          </cell>
          <cell r="AR85">
            <v>6148</v>
          </cell>
          <cell r="AS85">
            <v>-880768</v>
          </cell>
          <cell r="AT85">
            <v>-704617</v>
          </cell>
          <cell r="AU85">
            <v>-158539</v>
          </cell>
          <cell r="AV85">
            <v>-17616</v>
          </cell>
          <cell r="AW85">
            <v>-1761540</v>
          </cell>
          <cell r="AX85">
            <v>-1203000</v>
          </cell>
          <cell r="AY85">
            <v>-962400</v>
          </cell>
          <cell r="AZ85">
            <v>-216540</v>
          </cell>
          <cell r="BA85">
            <v>-24060</v>
          </cell>
          <cell r="BB85">
            <v>-2406000</v>
          </cell>
          <cell r="BC85">
            <v>35013793</v>
          </cell>
          <cell r="BD85">
            <v>-2660732</v>
          </cell>
          <cell r="BE85">
            <v>971236</v>
          </cell>
          <cell r="BF85">
            <v>0</v>
          </cell>
          <cell r="BG85">
            <v>-2407067</v>
          </cell>
          <cell r="BH85">
            <v>-36718</v>
          </cell>
          <cell r="BI85">
            <v>-27028</v>
          </cell>
          <cell r="BJ85">
            <v>0</v>
          </cell>
          <cell r="BK85">
            <v>-1038459</v>
          </cell>
          <cell r="BL85">
            <v>-146065</v>
          </cell>
          <cell r="BM85">
            <v>-24352</v>
          </cell>
          <cell r="BN85">
            <v>0</v>
          </cell>
          <cell r="BO85">
            <v>0</v>
          </cell>
          <cell r="BP85">
            <v>0</v>
          </cell>
          <cell r="BQ85">
            <v>-2708889</v>
          </cell>
          <cell r="BR85">
            <v>0</v>
          </cell>
          <cell r="BS85">
            <v>-2750260</v>
          </cell>
          <cell r="BT85">
            <v>34842167</v>
          </cell>
          <cell r="BU85">
            <v>-228710</v>
          </cell>
          <cell r="BV85">
            <v>2218812</v>
          </cell>
          <cell r="BW85">
            <v>-659002</v>
          </cell>
          <cell r="BX85">
            <v>-1298484</v>
          </cell>
          <cell r="BY85">
            <v>-1820018</v>
          </cell>
          <cell r="BZ85">
            <v>38272000</v>
          </cell>
          <cell r="CA85">
            <v>-649241</v>
          </cell>
          <cell r="CB85">
            <v>-519394</v>
          </cell>
          <cell r="CC85">
            <v>-116864</v>
          </cell>
          <cell r="CD85">
            <v>-12985</v>
          </cell>
          <cell r="CE85">
            <v>-910009</v>
          </cell>
          <cell r="CF85">
            <v>-728007</v>
          </cell>
          <cell r="CG85">
            <v>-163802</v>
          </cell>
          <cell r="CH85">
            <v>-18200</v>
          </cell>
        </row>
        <row r="86">
          <cell r="A86">
            <v>79</v>
          </cell>
          <cell r="B86" t="str">
            <v>Dudley</v>
          </cell>
          <cell r="C86" t="str">
            <v>E4603</v>
          </cell>
          <cell r="D86">
            <v>417732</v>
          </cell>
          <cell r="H86">
            <v>-4574788</v>
          </cell>
          <cell r="I86">
            <v>-2338</v>
          </cell>
          <cell r="J86">
            <v>417732</v>
          </cell>
          <cell r="K86">
            <v>0</v>
          </cell>
          <cell r="L86">
            <v>0</v>
          </cell>
          <cell r="M86">
            <v>0</v>
          </cell>
          <cell r="N86">
            <v>0</v>
          </cell>
          <cell r="O86">
            <v>0</v>
          </cell>
          <cell r="P86">
            <v>0</v>
          </cell>
          <cell r="Q86">
            <v>0</v>
          </cell>
          <cell r="R86">
            <v>4626557</v>
          </cell>
          <cell r="S86">
            <v>0</v>
          </cell>
          <cell r="T86">
            <v>46710</v>
          </cell>
          <cell r="U86">
            <v>7934</v>
          </cell>
          <cell r="V86">
            <v>0</v>
          </cell>
          <cell r="W86">
            <v>80</v>
          </cell>
          <cell r="X86">
            <v>0</v>
          </cell>
          <cell r="Y86">
            <v>0</v>
          </cell>
          <cell r="Z86">
            <v>0</v>
          </cell>
          <cell r="AA86">
            <v>18287</v>
          </cell>
          <cell r="AB86">
            <v>0</v>
          </cell>
          <cell r="AC86">
            <v>185</v>
          </cell>
          <cell r="AD86">
            <v>0</v>
          </cell>
          <cell r="AE86">
            <v>0</v>
          </cell>
          <cell r="AF86">
            <v>0</v>
          </cell>
          <cell r="AG86">
            <v>0</v>
          </cell>
          <cell r="AH86">
            <v>0</v>
          </cell>
          <cell r="AI86">
            <v>0</v>
          </cell>
          <cell r="AM86">
            <v>0</v>
          </cell>
          <cell r="AN86">
            <v>0</v>
          </cell>
          <cell r="AO86">
            <v>0</v>
          </cell>
          <cell r="AP86">
            <v>1255799</v>
          </cell>
          <cell r="AQ86">
            <v>0</v>
          </cell>
          <cell r="AR86">
            <v>12685</v>
          </cell>
          <cell r="AS86">
            <v>-2405000</v>
          </cell>
          <cell r="AT86">
            <v>-2356900</v>
          </cell>
          <cell r="AU86">
            <v>0</v>
          </cell>
          <cell r="AV86">
            <v>-48100</v>
          </cell>
          <cell r="AW86">
            <v>-4810000</v>
          </cell>
          <cell r="AX86">
            <v>-7250000</v>
          </cell>
          <cell r="AY86">
            <v>-7105000</v>
          </cell>
          <cell r="AZ86">
            <v>0</v>
          </cell>
          <cell r="BA86">
            <v>-145000</v>
          </cell>
          <cell r="BB86">
            <v>-14500000</v>
          </cell>
          <cell r="BC86">
            <v>90278607</v>
          </cell>
          <cell r="BD86">
            <v>-7445205</v>
          </cell>
          <cell r="BE86">
            <v>2623952</v>
          </cell>
          <cell r="BF86">
            <v>0</v>
          </cell>
          <cell r="BG86">
            <v>-5157660</v>
          </cell>
          <cell r="BH86">
            <v>-36162</v>
          </cell>
          <cell r="BI86">
            <v>0</v>
          </cell>
          <cell r="BJ86">
            <v>-25222</v>
          </cell>
          <cell r="BK86">
            <v>-4838327</v>
          </cell>
          <cell r="BL86">
            <v>-501390</v>
          </cell>
          <cell r="BM86">
            <v>-96855</v>
          </cell>
          <cell r="BN86">
            <v>-9040</v>
          </cell>
          <cell r="BO86">
            <v>0</v>
          </cell>
          <cell r="BP86">
            <v>0</v>
          </cell>
          <cell r="BQ86">
            <v>-30729</v>
          </cell>
          <cell r="BR86">
            <v>0</v>
          </cell>
          <cell r="BS86">
            <v>0</v>
          </cell>
          <cell r="BT86">
            <v>98603426</v>
          </cell>
          <cell r="BU86">
            <v>-1573196</v>
          </cell>
          <cell r="BV86">
            <v>7805788</v>
          </cell>
          <cell r="BW86">
            <v>-645370</v>
          </cell>
          <cell r="BX86">
            <v>-1195770</v>
          </cell>
          <cell r="BY86">
            <v>-1373428</v>
          </cell>
          <cell r="BZ86">
            <v>84444787</v>
          </cell>
          <cell r="CA86">
            <v>-597884</v>
          </cell>
          <cell r="CB86">
            <v>-585928</v>
          </cell>
          <cell r="CC86">
            <v>0</v>
          </cell>
          <cell r="CD86">
            <v>-11958</v>
          </cell>
          <cell r="CE86">
            <v>-686714</v>
          </cell>
          <cell r="CF86">
            <v>-672980</v>
          </cell>
          <cell r="CG86">
            <v>0</v>
          </cell>
          <cell r="CH86">
            <v>-13734</v>
          </cell>
        </row>
        <row r="87">
          <cell r="A87">
            <v>80</v>
          </cell>
          <cell r="B87" t="str">
            <v>Durham UA</v>
          </cell>
          <cell r="C87" t="str">
            <v>E1302</v>
          </cell>
          <cell r="D87">
            <v>589560</v>
          </cell>
          <cell r="H87">
            <v>-4826243</v>
          </cell>
          <cell r="I87">
            <v>0</v>
          </cell>
          <cell r="J87">
            <v>589560</v>
          </cell>
          <cell r="K87">
            <v>0</v>
          </cell>
          <cell r="L87">
            <v>86069</v>
          </cell>
          <cell r="M87">
            <v>0</v>
          </cell>
          <cell r="N87">
            <v>0</v>
          </cell>
          <cell r="O87">
            <v>0</v>
          </cell>
          <cell r="P87">
            <v>0</v>
          </cell>
          <cell r="Q87">
            <v>0</v>
          </cell>
          <cell r="R87">
            <v>3299520</v>
          </cell>
          <cell r="S87">
            <v>0</v>
          </cell>
          <cell r="T87">
            <v>67337</v>
          </cell>
          <cell r="U87">
            <v>6724</v>
          </cell>
          <cell r="V87">
            <v>0</v>
          </cell>
          <cell r="W87">
            <v>137</v>
          </cell>
          <cell r="X87">
            <v>5504</v>
          </cell>
          <cell r="Y87">
            <v>0</v>
          </cell>
          <cell r="Z87">
            <v>112</v>
          </cell>
          <cell r="AA87">
            <v>12883</v>
          </cell>
          <cell r="AB87">
            <v>0</v>
          </cell>
          <cell r="AC87">
            <v>263</v>
          </cell>
          <cell r="AD87">
            <v>0</v>
          </cell>
          <cell r="AE87">
            <v>0</v>
          </cell>
          <cell r="AF87">
            <v>0</v>
          </cell>
          <cell r="AG87">
            <v>0</v>
          </cell>
          <cell r="AH87">
            <v>0</v>
          </cell>
          <cell r="AI87">
            <v>0</v>
          </cell>
          <cell r="AM87">
            <v>0</v>
          </cell>
          <cell r="AN87">
            <v>0</v>
          </cell>
          <cell r="AO87">
            <v>0</v>
          </cell>
          <cell r="AP87">
            <v>732133</v>
          </cell>
          <cell r="AQ87">
            <v>0</v>
          </cell>
          <cell r="AR87">
            <v>14915</v>
          </cell>
          <cell r="AS87">
            <v>-2079461</v>
          </cell>
          <cell r="AT87">
            <v>-2037873</v>
          </cell>
          <cell r="AU87">
            <v>0</v>
          </cell>
          <cell r="AV87">
            <v>-41589</v>
          </cell>
          <cell r="AW87">
            <v>-4158923</v>
          </cell>
          <cell r="AX87">
            <v>-9100722</v>
          </cell>
          <cell r="AY87">
            <v>-8918709</v>
          </cell>
          <cell r="AZ87">
            <v>0</v>
          </cell>
          <cell r="BA87">
            <v>-182014</v>
          </cell>
          <cell r="BB87">
            <v>-18201445</v>
          </cell>
          <cell r="BC87">
            <v>116541364</v>
          </cell>
          <cell r="BD87">
            <v>-10200374</v>
          </cell>
          <cell r="BE87">
            <v>3306652</v>
          </cell>
          <cell r="BF87">
            <v>0</v>
          </cell>
          <cell r="BG87">
            <v>-10736733</v>
          </cell>
          <cell r="BH87">
            <v>-226838</v>
          </cell>
          <cell r="BI87">
            <v>-94507</v>
          </cell>
          <cell r="BJ87">
            <v>-669858</v>
          </cell>
          <cell r="BK87">
            <v>-5258814</v>
          </cell>
          <cell r="BL87">
            <v>-556643</v>
          </cell>
          <cell r="BM87">
            <v>-180320</v>
          </cell>
          <cell r="BN87">
            <v>0</v>
          </cell>
          <cell r="BO87">
            <v>-77321</v>
          </cell>
          <cell r="BP87">
            <v>-2118</v>
          </cell>
          <cell r="BQ87">
            <v>0</v>
          </cell>
          <cell r="BR87">
            <v>0</v>
          </cell>
          <cell r="BS87">
            <v>0</v>
          </cell>
          <cell r="BT87">
            <v>118332349</v>
          </cell>
          <cell r="BU87">
            <v>-1891132</v>
          </cell>
          <cell r="BV87">
            <v>5838403</v>
          </cell>
          <cell r="BW87">
            <v>-2263434</v>
          </cell>
          <cell r="BX87">
            <v>3706361</v>
          </cell>
          <cell r="BY87">
            <v>1695918</v>
          </cell>
          <cell r="BZ87">
            <v>99292047</v>
          </cell>
          <cell r="CA87">
            <v>1853181</v>
          </cell>
          <cell r="CB87">
            <v>1816116</v>
          </cell>
          <cell r="CC87">
            <v>0</v>
          </cell>
          <cell r="CD87">
            <v>37064</v>
          </cell>
          <cell r="CE87">
            <v>847959</v>
          </cell>
          <cell r="CF87">
            <v>831000</v>
          </cell>
          <cell r="CG87">
            <v>0</v>
          </cell>
          <cell r="CH87">
            <v>16959</v>
          </cell>
        </row>
        <row r="88">
          <cell r="A88">
            <v>81</v>
          </cell>
          <cell r="B88" t="str">
            <v>Ealing</v>
          </cell>
          <cell r="C88" t="str">
            <v>E5036</v>
          </cell>
          <cell r="D88">
            <v>495725</v>
          </cell>
          <cell r="H88">
            <v>5528699</v>
          </cell>
          <cell r="I88">
            <v>0</v>
          </cell>
          <cell r="J88">
            <v>495725</v>
          </cell>
          <cell r="K88">
            <v>0</v>
          </cell>
          <cell r="L88">
            <v>0</v>
          </cell>
          <cell r="M88">
            <v>0</v>
          </cell>
          <cell r="N88">
            <v>0</v>
          </cell>
          <cell r="O88">
            <v>0</v>
          </cell>
          <cell r="P88">
            <v>0</v>
          </cell>
          <cell r="Q88">
            <v>0</v>
          </cell>
          <cell r="R88">
            <v>1116225</v>
          </cell>
          <cell r="S88">
            <v>1376678</v>
          </cell>
          <cell r="T88">
            <v>0</v>
          </cell>
          <cell r="U88">
            <v>0</v>
          </cell>
          <cell r="V88">
            <v>0</v>
          </cell>
          <cell r="W88">
            <v>0</v>
          </cell>
          <cell r="X88">
            <v>25871</v>
          </cell>
          <cell r="Y88">
            <v>31908</v>
          </cell>
          <cell r="Z88">
            <v>0</v>
          </cell>
          <cell r="AA88">
            <v>6323</v>
          </cell>
          <cell r="AB88">
            <v>7798</v>
          </cell>
          <cell r="AC88">
            <v>0</v>
          </cell>
          <cell r="AD88">
            <v>0</v>
          </cell>
          <cell r="AE88">
            <v>0</v>
          </cell>
          <cell r="AF88">
            <v>0</v>
          </cell>
          <cell r="AG88">
            <v>0</v>
          </cell>
          <cell r="AH88">
            <v>0</v>
          </cell>
          <cell r="AI88">
            <v>0</v>
          </cell>
          <cell r="AM88">
            <v>0</v>
          </cell>
          <cell r="AN88">
            <v>0</v>
          </cell>
          <cell r="AO88">
            <v>0</v>
          </cell>
          <cell r="AP88">
            <v>677240</v>
          </cell>
          <cell r="AQ88">
            <v>835263</v>
          </cell>
          <cell r="AR88">
            <v>0</v>
          </cell>
          <cell r="AS88">
            <v>-4842619.4950000001</v>
          </cell>
          <cell r="AT88">
            <v>-2905570.7390000001</v>
          </cell>
          <cell r="AU88">
            <v>-1937047.8260000004</v>
          </cell>
          <cell r="AV88">
            <v>0</v>
          </cell>
          <cell r="AW88">
            <v>-9685238.0600000005</v>
          </cell>
          <cell r="AX88">
            <v>-8547112</v>
          </cell>
          <cell r="AY88">
            <v>-5128265</v>
          </cell>
          <cell r="AZ88">
            <v>-3418846</v>
          </cell>
          <cell r="BA88">
            <v>0</v>
          </cell>
          <cell r="BB88">
            <v>-17094223</v>
          </cell>
          <cell r="BC88">
            <v>145553894</v>
          </cell>
          <cell r="BD88">
            <v>-5179140</v>
          </cell>
          <cell r="BE88">
            <v>3805532</v>
          </cell>
          <cell r="BF88">
            <v>0</v>
          </cell>
          <cell r="BG88">
            <v>-7750340</v>
          </cell>
          <cell r="BH88">
            <v>-26039</v>
          </cell>
          <cell r="BI88">
            <v>0</v>
          </cell>
          <cell r="BJ88">
            <v>0</v>
          </cell>
          <cell r="BK88">
            <v>-5841417</v>
          </cell>
          <cell r="BL88">
            <v>-169591</v>
          </cell>
          <cell r="BM88">
            <v>-341604</v>
          </cell>
          <cell r="BN88">
            <v>0</v>
          </cell>
          <cell r="BO88">
            <v>0</v>
          </cell>
          <cell r="BP88">
            <v>0</v>
          </cell>
          <cell r="BQ88">
            <v>-56146</v>
          </cell>
          <cell r="BR88">
            <v>0</v>
          </cell>
          <cell r="BS88">
            <v>0</v>
          </cell>
          <cell r="BT88">
            <v>148818123</v>
          </cell>
          <cell r="BU88">
            <v>-3178306</v>
          </cell>
          <cell r="BV88">
            <v>18132520</v>
          </cell>
          <cell r="BW88">
            <v>-9190952</v>
          </cell>
          <cell r="BX88">
            <v>6557034</v>
          </cell>
          <cell r="BY88">
            <v>5477000</v>
          </cell>
          <cell r="BZ88">
            <v>150282821</v>
          </cell>
          <cell r="CA88">
            <v>3278517</v>
          </cell>
          <cell r="CB88">
            <v>1967110</v>
          </cell>
          <cell r="CC88">
            <v>1311407</v>
          </cell>
          <cell r="CD88">
            <v>0</v>
          </cell>
          <cell r="CE88">
            <v>2738500</v>
          </cell>
          <cell r="CF88">
            <v>1643100</v>
          </cell>
          <cell r="CG88">
            <v>1095400</v>
          </cell>
          <cell r="CH88">
            <v>0</v>
          </cell>
        </row>
        <row r="89">
          <cell r="A89">
            <v>82</v>
          </cell>
          <cell r="B89" t="str">
            <v>East Cambridgeshire</v>
          </cell>
          <cell r="C89" t="str">
            <v>E0532</v>
          </cell>
          <cell r="D89">
            <v>94945</v>
          </cell>
          <cell r="H89">
            <v>967665</v>
          </cell>
          <cell r="I89">
            <v>0</v>
          </cell>
          <cell r="J89">
            <v>94945</v>
          </cell>
          <cell r="K89">
            <v>0</v>
          </cell>
          <cell r="L89">
            <v>348576</v>
          </cell>
          <cell r="M89">
            <v>0</v>
          </cell>
          <cell r="N89">
            <v>0</v>
          </cell>
          <cell r="O89">
            <v>0</v>
          </cell>
          <cell r="P89">
            <v>0</v>
          </cell>
          <cell r="Q89">
            <v>0</v>
          </cell>
          <cell r="R89">
            <v>460251</v>
          </cell>
          <cell r="S89">
            <v>103557</v>
          </cell>
          <cell r="T89">
            <v>11506</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M89">
            <v>0</v>
          </cell>
          <cell r="AN89">
            <v>0</v>
          </cell>
          <cell r="AO89">
            <v>0</v>
          </cell>
          <cell r="AP89">
            <v>126520</v>
          </cell>
          <cell r="AQ89">
            <v>27289</v>
          </cell>
          <cell r="AR89">
            <v>3032</v>
          </cell>
          <cell r="AS89">
            <v>-113320.47</v>
          </cell>
          <cell r="AT89">
            <v>-90658</v>
          </cell>
          <cell r="AU89">
            <v>-20398</v>
          </cell>
          <cell r="AV89">
            <v>-2268</v>
          </cell>
          <cell r="AW89">
            <v>-226644.47</v>
          </cell>
          <cell r="AX89">
            <v>-458981</v>
          </cell>
          <cell r="AY89">
            <v>-367183</v>
          </cell>
          <cell r="AZ89">
            <v>-82616</v>
          </cell>
          <cell r="BA89">
            <v>-9181</v>
          </cell>
          <cell r="BB89">
            <v>-917961</v>
          </cell>
          <cell r="BC89">
            <v>19635225</v>
          </cell>
          <cell r="BD89">
            <v>-1651384</v>
          </cell>
          <cell r="BE89">
            <v>498602</v>
          </cell>
          <cell r="BF89">
            <v>0</v>
          </cell>
          <cell r="BG89">
            <v>-1647101</v>
          </cell>
          <cell r="BH89">
            <v>-23796</v>
          </cell>
          <cell r="BI89">
            <v>-36638</v>
          </cell>
          <cell r="BJ89">
            <v>0</v>
          </cell>
          <cell r="BK89">
            <v>-455751</v>
          </cell>
          <cell r="BL89">
            <v>-34014</v>
          </cell>
          <cell r="BM89">
            <v>-13812</v>
          </cell>
          <cell r="BN89">
            <v>-4893</v>
          </cell>
          <cell r="BO89">
            <v>-8089</v>
          </cell>
          <cell r="BP89">
            <v>0</v>
          </cell>
          <cell r="BQ89">
            <v>0</v>
          </cell>
          <cell r="BR89">
            <v>0</v>
          </cell>
          <cell r="BS89">
            <v>0</v>
          </cell>
          <cell r="BT89">
            <v>19895157</v>
          </cell>
          <cell r="BU89">
            <v>-51323</v>
          </cell>
          <cell r="BV89">
            <v>763306</v>
          </cell>
          <cell r="BW89">
            <v>-287349</v>
          </cell>
          <cell r="BX89">
            <v>430436</v>
          </cell>
          <cell r="BY89">
            <v>626677</v>
          </cell>
          <cell r="BZ89">
            <v>19596300</v>
          </cell>
          <cell r="CA89">
            <v>215218</v>
          </cell>
          <cell r="CB89">
            <v>172174</v>
          </cell>
          <cell r="CC89">
            <v>38739</v>
          </cell>
          <cell r="CD89">
            <v>4305</v>
          </cell>
          <cell r="CE89">
            <v>313338</v>
          </cell>
          <cell r="CF89">
            <v>250671</v>
          </cell>
          <cell r="CG89">
            <v>56401</v>
          </cell>
          <cell r="CH89">
            <v>6267</v>
          </cell>
        </row>
        <row r="90">
          <cell r="A90">
            <v>83</v>
          </cell>
          <cell r="B90" t="str">
            <v>East Devon</v>
          </cell>
          <cell r="C90" t="str">
            <v>E1131</v>
          </cell>
          <cell r="D90">
            <v>228268</v>
          </cell>
          <cell r="H90">
            <v>-226724</v>
          </cell>
          <cell r="I90">
            <v>-11413</v>
          </cell>
          <cell r="J90">
            <v>228268</v>
          </cell>
          <cell r="K90">
            <v>0</v>
          </cell>
          <cell r="L90">
            <v>199062</v>
          </cell>
          <cell r="M90">
            <v>0</v>
          </cell>
          <cell r="N90">
            <v>136305</v>
          </cell>
          <cell r="O90">
            <v>136305</v>
          </cell>
          <cell r="P90">
            <v>0</v>
          </cell>
          <cell r="Q90">
            <v>0</v>
          </cell>
          <cell r="R90">
            <v>1216278</v>
          </cell>
          <cell r="S90">
            <v>270209</v>
          </cell>
          <cell r="T90">
            <v>30023</v>
          </cell>
          <cell r="U90">
            <v>0</v>
          </cell>
          <cell r="V90">
            <v>0</v>
          </cell>
          <cell r="W90">
            <v>0</v>
          </cell>
          <cell r="X90">
            <v>25635</v>
          </cell>
          <cell r="Y90">
            <v>5768</v>
          </cell>
          <cell r="Z90">
            <v>641</v>
          </cell>
          <cell r="AA90">
            <v>0</v>
          </cell>
          <cell r="AB90">
            <v>0</v>
          </cell>
          <cell r="AC90">
            <v>0</v>
          </cell>
          <cell r="AD90">
            <v>0</v>
          </cell>
          <cell r="AE90">
            <v>0</v>
          </cell>
          <cell r="AF90">
            <v>0</v>
          </cell>
          <cell r="AG90">
            <v>0</v>
          </cell>
          <cell r="AH90">
            <v>0</v>
          </cell>
          <cell r="AI90">
            <v>0</v>
          </cell>
          <cell r="AM90">
            <v>0</v>
          </cell>
          <cell r="AN90">
            <v>0</v>
          </cell>
          <cell r="AO90">
            <v>0</v>
          </cell>
          <cell r="AP90">
            <v>210031</v>
          </cell>
          <cell r="AQ90">
            <v>46124</v>
          </cell>
          <cell r="AR90">
            <v>5125</v>
          </cell>
          <cell r="AS90">
            <v>-154037</v>
          </cell>
          <cell r="AT90">
            <v>-123230</v>
          </cell>
          <cell r="AU90">
            <v>-27727</v>
          </cell>
          <cell r="AV90">
            <v>-3081</v>
          </cell>
          <cell r="AW90">
            <v>-308075</v>
          </cell>
          <cell r="AX90">
            <v>-776380</v>
          </cell>
          <cell r="AY90">
            <v>-621101</v>
          </cell>
          <cell r="AZ90">
            <v>-139747</v>
          </cell>
          <cell r="BA90">
            <v>-15527</v>
          </cell>
          <cell r="BB90">
            <v>-1552755</v>
          </cell>
          <cell r="BC90">
            <v>34342080</v>
          </cell>
          <cell r="BD90">
            <v>-4630316</v>
          </cell>
          <cell r="BE90">
            <v>855349</v>
          </cell>
          <cell r="BF90">
            <v>0</v>
          </cell>
          <cell r="BG90">
            <v>-2525399</v>
          </cell>
          <cell r="BH90">
            <v>-444173</v>
          </cell>
          <cell r="BI90">
            <v>-44797</v>
          </cell>
          <cell r="BJ90">
            <v>-5909</v>
          </cell>
          <cell r="BK90">
            <v>-1254115</v>
          </cell>
          <cell r="BL90">
            <v>-111482</v>
          </cell>
          <cell r="BM90">
            <v>-339</v>
          </cell>
          <cell r="BN90">
            <v>-82374</v>
          </cell>
          <cell r="BO90">
            <v>-15061</v>
          </cell>
          <cell r="BP90">
            <v>0</v>
          </cell>
          <cell r="BQ90">
            <v>0</v>
          </cell>
          <cell r="BR90">
            <v>0</v>
          </cell>
          <cell r="BS90">
            <v>0</v>
          </cell>
          <cell r="BT90">
            <v>33402076</v>
          </cell>
          <cell r="BU90">
            <v>-82862</v>
          </cell>
          <cell r="BV90">
            <v>1113465</v>
          </cell>
          <cell r="BW90">
            <v>-539442</v>
          </cell>
          <cell r="BX90">
            <v>750805</v>
          </cell>
          <cell r="BY90">
            <v>73470</v>
          </cell>
          <cell r="BZ90">
            <v>34116805</v>
          </cell>
          <cell r="CA90">
            <v>375402</v>
          </cell>
          <cell r="CB90">
            <v>300323</v>
          </cell>
          <cell r="CC90">
            <v>67572</v>
          </cell>
          <cell r="CD90">
            <v>7508</v>
          </cell>
          <cell r="CE90">
            <v>36735</v>
          </cell>
          <cell r="CF90">
            <v>29388</v>
          </cell>
          <cell r="CG90">
            <v>6612</v>
          </cell>
          <cell r="CH90">
            <v>735</v>
          </cell>
        </row>
        <row r="91">
          <cell r="A91">
            <v>84</v>
          </cell>
          <cell r="B91" t="str">
            <v>East Dorset</v>
          </cell>
          <cell r="C91" t="str">
            <v>E1233</v>
          </cell>
          <cell r="D91">
            <v>108647</v>
          </cell>
          <cell r="H91">
            <v>451131</v>
          </cell>
          <cell r="I91">
            <v>0</v>
          </cell>
          <cell r="J91">
            <v>108647</v>
          </cell>
          <cell r="K91">
            <v>0</v>
          </cell>
          <cell r="L91">
            <v>202519</v>
          </cell>
          <cell r="M91">
            <v>0</v>
          </cell>
          <cell r="N91">
            <v>0</v>
          </cell>
          <cell r="O91">
            <v>0</v>
          </cell>
          <cell r="P91">
            <v>0</v>
          </cell>
          <cell r="Q91">
            <v>0</v>
          </cell>
          <cell r="R91">
            <v>588372</v>
          </cell>
          <cell r="S91">
            <v>132384</v>
          </cell>
          <cell r="T91">
            <v>14709</v>
          </cell>
          <cell r="U91">
            <v>0</v>
          </cell>
          <cell r="V91">
            <v>0</v>
          </cell>
          <cell r="W91">
            <v>0</v>
          </cell>
          <cell r="X91">
            <v>9296</v>
          </cell>
          <cell r="Y91">
            <v>2092</v>
          </cell>
          <cell r="Z91">
            <v>232</v>
          </cell>
          <cell r="AA91">
            <v>0</v>
          </cell>
          <cell r="AB91">
            <v>0</v>
          </cell>
          <cell r="AC91">
            <v>0</v>
          </cell>
          <cell r="AD91">
            <v>0</v>
          </cell>
          <cell r="AE91">
            <v>0</v>
          </cell>
          <cell r="AF91">
            <v>0</v>
          </cell>
          <cell r="AG91">
            <v>0</v>
          </cell>
          <cell r="AH91">
            <v>0</v>
          </cell>
          <cell r="AI91">
            <v>0</v>
          </cell>
          <cell r="AM91">
            <v>0</v>
          </cell>
          <cell r="AN91">
            <v>0</v>
          </cell>
          <cell r="AO91">
            <v>0</v>
          </cell>
          <cell r="AP91">
            <v>138402</v>
          </cell>
          <cell r="AQ91">
            <v>30456</v>
          </cell>
          <cell r="AR91">
            <v>3384</v>
          </cell>
          <cell r="AS91">
            <v>-156876.00000000003</v>
          </cell>
          <cell r="AT91">
            <v>-125502</v>
          </cell>
          <cell r="AU91">
            <v>-28239</v>
          </cell>
          <cell r="AV91">
            <v>-3137</v>
          </cell>
          <cell r="AW91">
            <v>-313754</v>
          </cell>
          <cell r="AX91">
            <v>-490904.4</v>
          </cell>
          <cell r="AY91">
            <v>-392724</v>
          </cell>
          <cell r="AZ91">
            <v>-88363</v>
          </cell>
          <cell r="BA91">
            <v>-9818</v>
          </cell>
          <cell r="BB91">
            <v>-981809.39999999991</v>
          </cell>
          <cell r="BC91">
            <v>22338117</v>
          </cell>
          <cell r="BD91">
            <v>-2140656</v>
          </cell>
          <cell r="BE91">
            <v>541756</v>
          </cell>
          <cell r="BF91">
            <v>0</v>
          </cell>
          <cell r="BG91">
            <v>-1323247</v>
          </cell>
          <cell r="BH91">
            <v>-38044</v>
          </cell>
          <cell r="BI91">
            <v>-13028</v>
          </cell>
          <cell r="BJ91">
            <v>-46160</v>
          </cell>
          <cell r="BK91">
            <v>-591809</v>
          </cell>
          <cell r="BL91">
            <v>-27272</v>
          </cell>
          <cell r="BM91">
            <v>-7336</v>
          </cell>
          <cell r="BN91">
            <v>0</v>
          </cell>
          <cell r="BO91">
            <v>-6871</v>
          </cell>
          <cell r="BP91">
            <v>0</v>
          </cell>
          <cell r="BQ91">
            <v>0</v>
          </cell>
          <cell r="BR91">
            <v>0</v>
          </cell>
          <cell r="BS91">
            <v>0</v>
          </cell>
          <cell r="BT91">
            <v>21705210</v>
          </cell>
          <cell r="BU91">
            <v>-117882</v>
          </cell>
          <cell r="BV91">
            <v>502389</v>
          </cell>
          <cell r="BW91">
            <v>-160596</v>
          </cell>
          <cell r="BX91">
            <v>-73995.730000000447</v>
          </cell>
          <cell r="BY91">
            <v>-106725</v>
          </cell>
          <cell r="BZ91">
            <v>22527754</v>
          </cell>
          <cell r="CA91">
            <v>-36998.730000000447</v>
          </cell>
          <cell r="CB91">
            <v>-29598</v>
          </cell>
          <cell r="CC91">
            <v>-6659</v>
          </cell>
          <cell r="CD91">
            <v>-740</v>
          </cell>
          <cell r="CE91">
            <v>-53363</v>
          </cell>
          <cell r="CF91">
            <v>-42690</v>
          </cell>
          <cell r="CG91">
            <v>-9605</v>
          </cell>
          <cell r="CH91">
            <v>-1067</v>
          </cell>
        </row>
        <row r="92">
          <cell r="A92">
            <v>85</v>
          </cell>
          <cell r="B92" t="str">
            <v>East Hampshire</v>
          </cell>
          <cell r="C92" t="str">
            <v>E1732</v>
          </cell>
          <cell r="D92">
            <v>155157</v>
          </cell>
          <cell r="H92">
            <v>1544553.1400000001</v>
          </cell>
          <cell r="I92">
            <v>0</v>
          </cell>
          <cell r="J92">
            <v>155157</v>
          </cell>
          <cell r="K92">
            <v>29680</v>
          </cell>
          <cell r="L92">
            <v>0</v>
          </cell>
          <cell r="M92">
            <v>0</v>
          </cell>
          <cell r="N92">
            <v>0</v>
          </cell>
          <cell r="O92">
            <v>0</v>
          </cell>
          <cell r="P92">
            <v>0</v>
          </cell>
          <cell r="Q92">
            <v>0</v>
          </cell>
          <cell r="R92">
            <v>677354</v>
          </cell>
          <cell r="S92">
            <v>152405</v>
          </cell>
          <cell r="T92">
            <v>16934</v>
          </cell>
          <cell r="U92">
            <v>14318</v>
          </cell>
          <cell r="V92">
            <v>3221</v>
          </cell>
          <cell r="W92">
            <v>358</v>
          </cell>
          <cell r="X92">
            <v>0</v>
          </cell>
          <cell r="Y92">
            <v>0</v>
          </cell>
          <cell r="Z92">
            <v>0</v>
          </cell>
          <cell r="AA92">
            <v>3128</v>
          </cell>
          <cell r="AB92">
            <v>704</v>
          </cell>
          <cell r="AC92">
            <v>78</v>
          </cell>
          <cell r="AD92">
            <v>0</v>
          </cell>
          <cell r="AE92">
            <v>0</v>
          </cell>
          <cell r="AF92">
            <v>0</v>
          </cell>
          <cell r="AG92">
            <v>0</v>
          </cell>
          <cell r="AH92">
            <v>0</v>
          </cell>
          <cell r="AI92">
            <v>0</v>
          </cell>
          <cell r="AM92">
            <v>0</v>
          </cell>
          <cell r="AN92">
            <v>0</v>
          </cell>
          <cell r="AO92">
            <v>0</v>
          </cell>
          <cell r="AP92">
            <v>197545</v>
          </cell>
          <cell r="AQ92">
            <v>44347</v>
          </cell>
          <cell r="AR92">
            <v>4927</v>
          </cell>
          <cell r="AS92">
            <v>-216094</v>
          </cell>
          <cell r="AT92">
            <v>-172874</v>
          </cell>
          <cell r="AU92">
            <v>-38896</v>
          </cell>
          <cell r="AV92">
            <v>-4322</v>
          </cell>
          <cell r="AW92">
            <v>-432186</v>
          </cell>
          <cell r="AX92">
            <v>-1227731</v>
          </cell>
          <cell r="AY92">
            <v>-982184</v>
          </cell>
          <cell r="AZ92">
            <v>-220992</v>
          </cell>
          <cell r="BA92">
            <v>-24555</v>
          </cell>
          <cell r="BB92">
            <v>-2455462</v>
          </cell>
          <cell r="BC92">
            <v>27329786</v>
          </cell>
          <cell r="BD92">
            <v>-2666720</v>
          </cell>
          <cell r="BE92">
            <v>772538</v>
          </cell>
          <cell r="BF92">
            <v>0</v>
          </cell>
          <cell r="BG92">
            <v>-2573443</v>
          </cell>
          <cell r="BH92">
            <v>-32891</v>
          </cell>
          <cell r="BI92">
            <v>-29794</v>
          </cell>
          <cell r="BJ92">
            <v>-284548</v>
          </cell>
          <cell r="BK92">
            <v>-804863</v>
          </cell>
          <cell r="BL92">
            <v>-128698</v>
          </cell>
          <cell r="BM92">
            <v>-2278</v>
          </cell>
          <cell r="BN92">
            <v>-4111</v>
          </cell>
          <cell r="BO92">
            <v>-29794</v>
          </cell>
          <cell r="BP92">
            <v>0</v>
          </cell>
          <cell r="BQ92">
            <v>0</v>
          </cell>
          <cell r="BR92">
            <v>0</v>
          </cell>
          <cell r="BS92">
            <v>0</v>
          </cell>
          <cell r="BT92">
            <v>29038921</v>
          </cell>
          <cell r="BU92">
            <v>-211308</v>
          </cell>
          <cell r="BV92">
            <v>1434039</v>
          </cell>
          <cell r="BW92">
            <v>-1163381</v>
          </cell>
          <cell r="BX92">
            <v>-2032360</v>
          </cell>
          <cell r="BY92">
            <v>-110232</v>
          </cell>
          <cell r="BZ92">
            <v>32803008</v>
          </cell>
          <cell r="CA92">
            <v>-1016180</v>
          </cell>
          <cell r="CB92">
            <v>-812944</v>
          </cell>
          <cell r="CC92">
            <v>-182913</v>
          </cell>
          <cell r="CD92">
            <v>-20323</v>
          </cell>
          <cell r="CE92">
            <v>-55116</v>
          </cell>
          <cell r="CF92">
            <v>-44093</v>
          </cell>
          <cell r="CG92">
            <v>-9921</v>
          </cell>
          <cell r="CH92">
            <v>-1102</v>
          </cell>
        </row>
        <row r="93">
          <cell r="A93">
            <v>86</v>
          </cell>
          <cell r="B93" t="str">
            <v>East Hertfordshire</v>
          </cell>
          <cell r="C93" t="str">
            <v>E1933</v>
          </cell>
          <cell r="D93">
            <v>193979</v>
          </cell>
          <cell r="H93">
            <v>196431</v>
          </cell>
          <cell r="I93">
            <v>0</v>
          </cell>
          <cell r="J93">
            <v>193979</v>
          </cell>
          <cell r="K93">
            <v>0</v>
          </cell>
          <cell r="L93">
            <v>0</v>
          </cell>
          <cell r="M93">
            <v>0</v>
          </cell>
          <cell r="N93">
            <v>0</v>
          </cell>
          <cell r="O93">
            <v>0</v>
          </cell>
          <cell r="P93">
            <v>0</v>
          </cell>
          <cell r="Q93">
            <v>0</v>
          </cell>
          <cell r="R93">
            <v>876234</v>
          </cell>
          <cell r="S93">
            <v>219058</v>
          </cell>
          <cell r="T93">
            <v>0</v>
          </cell>
          <cell r="U93">
            <v>0</v>
          </cell>
          <cell r="V93">
            <v>0</v>
          </cell>
          <cell r="W93">
            <v>0</v>
          </cell>
          <cell r="X93">
            <v>13535</v>
          </cell>
          <cell r="Y93">
            <v>3384</v>
          </cell>
          <cell r="Z93">
            <v>0</v>
          </cell>
          <cell r="AA93">
            <v>2701</v>
          </cell>
          <cell r="AB93">
            <v>675</v>
          </cell>
          <cell r="AC93">
            <v>0</v>
          </cell>
          <cell r="AD93">
            <v>0</v>
          </cell>
          <cell r="AE93">
            <v>0</v>
          </cell>
          <cell r="AF93">
            <v>0</v>
          </cell>
          <cell r="AG93">
            <v>0</v>
          </cell>
          <cell r="AH93">
            <v>0</v>
          </cell>
          <cell r="AI93">
            <v>0</v>
          </cell>
          <cell r="AM93">
            <v>0</v>
          </cell>
          <cell r="AN93">
            <v>0</v>
          </cell>
          <cell r="AO93">
            <v>0</v>
          </cell>
          <cell r="AP93">
            <v>247148</v>
          </cell>
          <cell r="AQ93">
            <v>61787</v>
          </cell>
          <cell r="AR93">
            <v>0</v>
          </cell>
          <cell r="AS93">
            <v>-502240</v>
          </cell>
          <cell r="AT93">
            <v>-401790</v>
          </cell>
          <cell r="AU93">
            <v>-100447</v>
          </cell>
          <cell r="AV93">
            <v>0</v>
          </cell>
          <cell r="AW93">
            <v>-1004477</v>
          </cell>
          <cell r="AX93">
            <v>-3395443</v>
          </cell>
          <cell r="AY93">
            <v>-2716355</v>
          </cell>
          <cell r="AZ93">
            <v>-679089</v>
          </cell>
          <cell r="BA93">
            <v>0</v>
          </cell>
          <cell r="BB93">
            <v>-6790887</v>
          </cell>
          <cell r="BC93">
            <v>44137693</v>
          </cell>
          <cell r="BD93">
            <v>-2806318</v>
          </cell>
          <cell r="BE93">
            <v>1220329</v>
          </cell>
          <cell r="BF93">
            <v>0</v>
          </cell>
          <cell r="BG93">
            <v>-4162099</v>
          </cell>
          <cell r="BH93">
            <v>-68338</v>
          </cell>
          <cell r="BI93">
            <v>-49365</v>
          </cell>
          <cell r="BJ93">
            <v>-51129</v>
          </cell>
          <cell r="BK93">
            <v>-1866095</v>
          </cell>
          <cell r="BL93">
            <v>-174005</v>
          </cell>
          <cell r="BM93">
            <v>-48607</v>
          </cell>
          <cell r="BN93">
            <v>0</v>
          </cell>
          <cell r="BO93">
            <v>-20226</v>
          </cell>
          <cell r="BP93">
            <v>-3721</v>
          </cell>
          <cell r="BQ93">
            <v>0</v>
          </cell>
          <cell r="BR93">
            <v>0</v>
          </cell>
          <cell r="BS93">
            <v>0</v>
          </cell>
          <cell r="BT93">
            <v>45562496</v>
          </cell>
          <cell r="BU93">
            <v>-585605</v>
          </cell>
          <cell r="BV93">
            <v>1776110</v>
          </cell>
          <cell r="BW93">
            <v>-666828</v>
          </cell>
          <cell r="BX93">
            <v>-501120</v>
          </cell>
          <cell r="BY93">
            <v>-1149424</v>
          </cell>
          <cell r="BZ93">
            <v>41132484</v>
          </cell>
          <cell r="CA93">
            <v>-250559</v>
          </cell>
          <cell r="CB93">
            <v>-200448</v>
          </cell>
          <cell r="CC93">
            <v>-50113</v>
          </cell>
          <cell r="CD93">
            <v>0</v>
          </cell>
          <cell r="CE93">
            <v>-574712</v>
          </cell>
          <cell r="CF93">
            <v>-459770</v>
          </cell>
          <cell r="CG93">
            <v>-114942</v>
          </cell>
          <cell r="CH93">
            <v>0</v>
          </cell>
        </row>
        <row r="94">
          <cell r="A94">
            <v>87</v>
          </cell>
          <cell r="B94" t="str">
            <v>East Lindsey</v>
          </cell>
          <cell r="C94" t="str">
            <v>E2532</v>
          </cell>
          <cell r="D94">
            <v>267225</v>
          </cell>
          <cell r="H94">
            <v>1033802</v>
          </cell>
          <cell r="I94">
            <v>0</v>
          </cell>
          <cell r="J94">
            <v>267225</v>
          </cell>
          <cell r="K94">
            <v>0</v>
          </cell>
          <cell r="L94">
            <v>464613</v>
          </cell>
          <cell r="M94">
            <v>69490</v>
          </cell>
          <cell r="N94">
            <v>0</v>
          </cell>
          <cell r="O94">
            <v>0</v>
          </cell>
          <cell r="P94">
            <v>0</v>
          </cell>
          <cell r="Q94">
            <v>0</v>
          </cell>
          <cell r="R94">
            <v>1247785</v>
          </cell>
          <cell r="S94">
            <v>311946</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M94">
            <v>0</v>
          </cell>
          <cell r="AN94">
            <v>0</v>
          </cell>
          <cell r="AO94">
            <v>0</v>
          </cell>
          <cell r="AP94">
            <v>214160</v>
          </cell>
          <cell r="AQ94">
            <v>52839</v>
          </cell>
          <cell r="AR94">
            <v>0</v>
          </cell>
          <cell r="AS94">
            <v>-607500</v>
          </cell>
          <cell r="AT94">
            <v>-485998</v>
          </cell>
          <cell r="AU94">
            <v>-121500</v>
          </cell>
          <cell r="AV94">
            <v>0</v>
          </cell>
          <cell r="AW94">
            <v>-1214998</v>
          </cell>
          <cell r="AX94">
            <v>-1450432</v>
          </cell>
          <cell r="AY94">
            <v>-1160347</v>
          </cell>
          <cell r="AZ94">
            <v>-290086</v>
          </cell>
          <cell r="BA94">
            <v>0</v>
          </cell>
          <cell r="BB94">
            <v>-2900865</v>
          </cell>
          <cell r="BC94">
            <v>34925756</v>
          </cell>
          <cell r="BD94">
            <v>-4907206</v>
          </cell>
          <cell r="BE94">
            <v>875474</v>
          </cell>
          <cell r="BF94">
            <v>0</v>
          </cell>
          <cell r="BG94">
            <v>-2643330</v>
          </cell>
          <cell r="BH94">
            <v>-81641</v>
          </cell>
          <cell r="BI94">
            <v>-117818</v>
          </cell>
          <cell r="BJ94">
            <v>0</v>
          </cell>
          <cell r="BK94">
            <v>-646631</v>
          </cell>
          <cell r="BL94">
            <v>-79880</v>
          </cell>
          <cell r="BM94">
            <v>-6202</v>
          </cell>
          <cell r="BN94">
            <v>-9846</v>
          </cell>
          <cell r="BO94">
            <v>-26130</v>
          </cell>
          <cell r="BP94">
            <v>0</v>
          </cell>
          <cell r="BQ94">
            <v>0</v>
          </cell>
          <cell r="BR94">
            <v>0</v>
          </cell>
          <cell r="BS94">
            <v>0</v>
          </cell>
          <cell r="BT94">
            <v>36217142</v>
          </cell>
          <cell r="BU94">
            <v>-514777</v>
          </cell>
          <cell r="BV94">
            <v>2870466</v>
          </cell>
          <cell r="BW94">
            <v>-749479</v>
          </cell>
          <cell r="BX94">
            <v>1342973</v>
          </cell>
          <cell r="BY94">
            <v>2204585</v>
          </cell>
          <cell r="BZ94">
            <v>34480869</v>
          </cell>
          <cell r="CA94">
            <v>671486</v>
          </cell>
          <cell r="CB94">
            <v>537189</v>
          </cell>
          <cell r="CC94">
            <v>134298</v>
          </cell>
          <cell r="CD94">
            <v>0</v>
          </cell>
          <cell r="CE94">
            <v>1102292</v>
          </cell>
          <cell r="CF94">
            <v>881834</v>
          </cell>
          <cell r="CG94">
            <v>220459</v>
          </cell>
          <cell r="CH94">
            <v>0</v>
          </cell>
        </row>
        <row r="95">
          <cell r="A95">
            <v>88</v>
          </cell>
          <cell r="B95" t="str">
            <v>East Northamptonshire</v>
          </cell>
          <cell r="C95" t="str">
            <v>E2833</v>
          </cell>
          <cell r="D95">
            <v>99517</v>
          </cell>
          <cell r="H95">
            <v>-679568</v>
          </cell>
          <cell r="I95">
            <v>0</v>
          </cell>
          <cell r="J95">
            <v>99517</v>
          </cell>
          <cell r="K95">
            <v>0</v>
          </cell>
          <cell r="L95">
            <v>287400</v>
          </cell>
          <cell r="M95">
            <v>0</v>
          </cell>
          <cell r="N95">
            <v>0</v>
          </cell>
          <cell r="O95">
            <v>0</v>
          </cell>
          <cell r="P95">
            <v>0</v>
          </cell>
          <cell r="Q95">
            <v>0</v>
          </cell>
          <cell r="R95">
            <v>505226</v>
          </cell>
          <cell r="S95">
            <v>126307</v>
          </cell>
          <cell r="T95">
            <v>0</v>
          </cell>
          <cell r="U95">
            <v>2758</v>
          </cell>
          <cell r="V95">
            <v>690</v>
          </cell>
          <cell r="W95">
            <v>0</v>
          </cell>
          <cell r="X95">
            <v>0</v>
          </cell>
          <cell r="Y95">
            <v>0</v>
          </cell>
          <cell r="Z95">
            <v>0</v>
          </cell>
          <cell r="AA95">
            <v>0</v>
          </cell>
          <cell r="AB95">
            <v>0</v>
          </cell>
          <cell r="AC95">
            <v>0</v>
          </cell>
          <cell r="AD95">
            <v>0</v>
          </cell>
          <cell r="AE95">
            <v>0</v>
          </cell>
          <cell r="AF95">
            <v>0</v>
          </cell>
          <cell r="AG95">
            <v>0</v>
          </cell>
          <cell r="AH95">
            <v>0</v>
          </cell>
          <cell r="AI95">
            <v>0</v>
          </cell>
          <cell r="AM95">
            <v>0</v>
          </cell>
          <cell r="AN95">
            <v>0</v>
          </cell>
          <cell r="AO95">
            <v>0</v>
          </cell>
          <cell r="AP95">
            <v>159137</v>
          </cell>
          <cell r="AQ95">
            <v>38705</v>
          </cell>
          <cell r="AR95">
            <v>0</v>
          </cell>
          <cell r="AS95">
            <v>-66378</v>
          </cell>
          <cell r="AT95">
            <v>-53101</v>
          </cell>
          <cell r="AU95">
            <v>-13275</v>
          </cell>
          <cell r="AV95">
            <v>0</v>
          </cell>
          <cell r="AW95">
            <v>-132754</v>
          </cell>
          <cell r="AX95">
            <v>-1325881</v>
          </cell>
          <cell r="AY95">
            <v>-1060704</v>
          </cell>
          <cell r="AZ95">
            <v>-265176</v>
          </cell>
          <cell r="BA95">
            <v>0</v>
          </cell>
          <cell r="BB95">
            <v>-2651761</v>
          </cell>
          <cell r="BC95">
            <v>22998431</v>
          </cell>
          <cell r="BD95">
            <v>-1998550</v>
          </cell>
          <cell r="BE95">
            <v>686928</v>
          </cell>
          <cell r="BF95">
            <v>0</v>
          </cell>
          <cell r="BG95">
            <v>-1796881</v>
          </cell>
          <cell r="BH95">
            <v>-15397</v>
          </cell>
          <cell r="BI95">
            <v>-36066</v>
          </cell>
          <cell r="BJ95">
            <v>-34477</v>
          </cell>
          <cell r="BK95">
            <v>-853755</v>
          </cell>
          <cell r="BL95">
            <v>-88163</v>
          </cell>
          <cell r="BM95">
            <v>-66807</v>
          </cell>
          <cell r="BN95">
            <v>-3849</v>
          </cell>
          <cell r="BO95">
            <v>-20189</v>
          </cell>
          <cell r="BP95">
            <v>-56439</v>
          </cell>
          <cell r="BQ95">
            <v>0</v>
          </cell>
          <cell r="BR95">
            <v>0</v>
          </cell>
          <cell r="BS95">
            <v>0</v>
          </cell>
          <cell r="BT95">
            <v>24357790</v>
          </cell>
          <cell r="BU95">
            <v>-86351</v>
          </cell>
          <cell r="BV95">
            <v>269553</v>
          </cell>
          <cell r="BW95">
            <v>-297527</v>
          </cell>
          <cell r="BX95">
            <v>-288923</v>
          </cell>
          <cell r="BY95">
            <v>-53873</v>
          </cell>
          <cell r="BZ95">
            <v>25766406</v>
          </cell>
          <cell r="CA95">
            <v>-144462</v>
          </cell>
          <cell r="CB95">
            <v>-115569</v>
          </cell>
          <cell r="CC95">
            <v>-28892</v>
          </cell>
          <cell r="CD95">
            <v>0</v>
          </cell>
          <cell r="CE95">
            <v>-26937</v>
          </cell>
          <cell r="CF95">
            <v>-21549</v>
          </cell>
          <cell r="CG95">
            <v>-5387</v>
          </cell>
          <cell r="CH95">
            <v>0</v>
          </cell>
        </row>
        <row r="96">
          <cell r="A96">
            <v>89</v>
          </cell>
          <cell r="B96" t="str">
            <v>East Riding of Yorkshire</v>
          </cell>
          <cell r="C96" t="str">
            <v>E2001</v>
          </cell>
          <cell r="D96">
            <v>431637</v>
          </cell>
          <cell r="H96">
            <v>-8761964</v>
          </cell>
          <cell r="I96">
            <v>0</v>
          </cell>
          <cell r="J96">
            <v>431637</v>
          </cell>
          <cell r="K96">
            <v>0</v>
          </cell>
          <cell r="L96">
            <v>4455733</v>
          </cell>
          <cell r="M96">
            <v>0</v>
          </cell>
          <cell r="N96">
            <v>116081.5</v>
          </cell>
          <cell r="O96">
            <v>114620.5</v>
          </cell>
          <cell r="P96">
            <v>0</v>
          </cell>
          <cell r="Q96">
            <v>1461</v>
          </cell>
          <cell r="R96">
            <v>3013836</v>
          </cell>
          <cell r="S96">
            <v>0</v>
          </cell>
          <cell r="T96">
            <v>61507</v>
          </cell>
          <cell r="U96">
            <v>0</v>
          </cell>
          <cell r="V96">
            <v>0</v>
          </cell>
          <cell r="W96">
            <v>0</v>
          </cell>
          <cell r="X96">
            <v>0</v>
          </cell>
          <cell r="Y96">
            <v>0</v>
          </cell>
          <cell r="Z96">
            <v>0</v>
          </cell>
          <cell r="AA96">
            <v>8628</v>
          </cell>
          <cell r="AB96">
            <v>0</v>
          </cell>
          <cell r="AC96">
            <v>176</v>
          </cell>
          <cell r="AD96">
            <v>0</v>
          </cell>
          <cell r="AE96">
            <v>0</v>
          </cell>
          <cell r="AF96">
            <v>0</v>
          </cell>
          <cell r="AG96">
            <v>0</v>
          </cell>
          <cell r="AH96">
            <v>0</v>
          </cell>
          <cell r="AI96">
            <v>0</v>
          </cell>
          <cell r="AM96">
            <v>0</v>
          </cell>
          <cell r="AN96">
            <v>0</v>
          </cell>
          <cell r="AO96">
            <v>0</v>
          </cell>
          <cell r="AP96">
            <v>737826</v>
          </cell>
          <cell r="AQ96">
            <v>0</v>
          </cell>
          <cell r="AR96">
            <v>13679</v>
          </cell>
          <cell r="AS96">
            <v>-954149</v>
          </cell>
          <cell r="AT96">
            <v>-935065</v>
          </cell>
          <cell r="AU96">
            <v>0</v>
          </cell>
          <cell r="AV96">
            <v>-19083</v>
          </cell>
          <cell r="AW96">
            <v>-1908297</v>
          </cell>
          <cell r="AX96">
            <v>-2136846</v>
          </cell>
          <cell r="AY96">
            <v>-2094107</v>
          </cell>
          <cell r="AZ96">
            <v>0</v>
          </cell>
          <cell r="BA96">
            <v>-42737</v>
          </cell>
          <cell r="BB96">
            <v>-4273690</v>
          </cell>
          <cell r="BC96">
            <v>105634164</v>
          </cell>
          <cell r="BD96">
            <v>-8451385</v>
          </cell>
          <cell r="BE96">
            <v>2776544</v>
          </cell>
          <cell r="BF96">
            <v>0</v>
          </cell>
          <cell r="BG96">
            <v>-3416063</v>
          </cell>
          <cell r="BH96">
            <v>-43406</v>
          </cell>
          <cell r="BI96">
            <v>-108100</v>
          </cell>
          <cell r="BJ96">
            <v>-96820</v>
          </cell>
          <cell r="BK96">
            <v>-2490571</v>
          </cell>
          <cell r="BL96">
            <v>-121663</v>
          </cell>
          <cell r="BM96">
            <v>-413082</v>
          </cell>
          <cell r="BN96">
            <v>-9517</v>
          </cell>
          <cell r="BO96">
            <v>-36540</v>
          </cell>
          <cell r="BP96">
            <v>-53582</v>
          </cell>
          <cell r="BQ96">
            <v>-208216</v>
          </cell>
          <cell r="BR96">
            <v>0</v>
          </cell>
          <cell r="BS96">
            <v>-191231</v>
          </cell>
          <cell r="BT96">
            <v>109898498</v>
          </cell>
          <cell r="BU96">
            <v>-375897</v>
          </cell>
          <cell r="BV96">
            <v>3761183</v>
          </cell>
          <cell r="BW96">
            <v>-2254454</v>
          </cell>
          <cell r="BX96">
            <v>-1349492</v>
          </cell>
          <cell r="BY96">
            <v>-1671018</v>
          </cell>
          <cell r="BZ96">
            <v>90913789</v>
          </cell>
          <cell r="CA96">
            <v>-674745</v>
          </cell>
          <cell r="CB96">
            <v>-661252</v>
          </cell>
          <cell r="CC96">
            <v>0</v>
          </cell>
          <cell r="CD96">
            <v>-13495</v>
          </cell>
          <cell r="CE96">
            <v>-835509</v>
          </cell>
          <cell r="CF96">
            <v>-818799</v>
          </cell>
          <cell r="CG96">
            <v>0</v>
          </cell>
          <cell r="CH96">
            <v>-16710</v>
          </cell>
        </row>
        <row r="97">
          <cell r="A97">
            <v>90</v>
          </cell>
          <cell r="B97" t="str">
            <v>East Staffordshire</v>
          </cell>
          <cell r="C97" t="str">
            <v>E3432</v>
          </cell>
          <cell r="D97">
            <v>175258</v>
          </cell>
          <cell r="H97">
            <v>-922055</v>
          </cell>
          <cell r="I97">
            <v>0</v>
          </cell>
          <cell r="J97">
            <v>175258</v>
          </cell>
          <cell r="K97">
            <v>0</v>
          </cell>
          <cell r="L97">
            <v>0</v>
          </cell>
          <cell r="M97">
            <v>0</v>
          </cell>
          <cell r="N97">
            <v>0</v>
          </cell>
          <cell r="O97">
            <v>0</v>
          </cell>
          <cell r="P97">
            <v>0</v>
          </cell>
          <cell r="Q97">
            <v>0</v>
          </cell>
          <cell r="R97">
            <v>706741</v>
          </cell>
          <cell r="S97">
            <v>159016</v>
          </cell>
          <cell r="T97">
            <v>17668</v>
          </cell>
          <cell r="U97">
            <v>1078</v>
          </cell>
          <cell r="V97">
            <v>243</v>
          </cell>
          <cell r="W97">
            <v>27</v>
          </cell>
          <cell r="X97">
            <v>1343</v>
          </cell>
          <cell r="Y97">
            <v>302</v>
          </cell>
          <cell r="Z97">
            <v>34</v>
          </cell>
          <cell r="AA97">
            <v>0</v>
          </cell>
          <cell r="AB97">
            <v>0</v>
          </cell>
          <cell r="AC97">
            <v>0</v>
          </cell>
          <cell r="AD97">
            <v>0</v>
          </cell>
          <cell r="AE97">
            <v>0</v>
          </cell>
          <cell r="AF97">
            <v>0</v>
          </cell>
          <cell r="AG97">
            <v>0</v>
          </cell>
          <cell r="AH97">
            <v>0</v>
          </cell>
          <cell r="AI97">
            <v>0</v>
          </cell>
          <cell r="AM97">
            <v>0</v>
          </cell>
          <cell r="AN97">
            <v>0</v>
          </cell>
          <cell r="AO97">
            <v>0</v>
          </cell>
          <cell r="AP97">
            <v>313510</v>
          </cell>
          <cell r="AQ97">
            <v>70540</v>
          </cell>
          <cell r="AR97">
            <v>7838</v>
          </cell>
          <cell r="AS97">
            <v>-295787</v>
          </cell>
          <cell r="AT97">
            <v>-236632</v>
          </cell>
          <cell r="AU97">
            <v>-53243</v>
          </cell>
          <cell r="AV97">
            <v>-5916</v>
          </cell>
          <cell r="AW97">
            <v>-591578</v>
          </cell>
          <cell r="AX97">
            <v>-2699503</v>
          </cell>
          <cell r="AY97">
            <v>-2159603</v>
          </cell>
          <cell r="AZ97">
            <v>-485912</v>
          </cell>
          <cell r="BA97">
            <v>-53991</v>
          </cell>
          <cell r="BB97">
            <v>-5399009</v>
          </cell>
          <cell r="BC97">
            <v>56810035</v>
          </cell>
          <cell r="BD97">
            <v>-2820981</v>
          </cell>
          <cell r="BE97">
            <v>1530643</v>
          </cell>
          <cell r="BF97">
            <v>0</v>
          </cell>
          <cell r="BG97">
            <v>-2000007</v>
          </cell>
          <cell r="BH97">
            <v>-58825</v>
          </cell>
          <cell r="BI97">
            <v>-4075</v>
          </cell>
          <cell r="BJ97">
            <v>-40080</v>
          </cell>
          <cell r="BK97">
            <v>-2240773</v>
          </cell>
          <cell r="BL97">
            <v>-68018</v>
          </cell>
          <cell r="BM97">
            <v>-28130</v>
          </cell>
          <cell r="BN97">
            <v>-5718</v>
          </cell>
          <cell r="BO97">
            <v>0</v>
          </cell>
          <cell r="BP97">
            <v>0</v>
          </cell>
          <cell r="BQ97">
            <v>0</v>
          </cell>
          <cell r="BR97">
            <v>0</v>
          </cell>
          <cell r="BS97">
            <v>0</v>
          </cell>
          <cell r="BT97">
            <v>57400930</v>
          </cell>
          <cell r="BU97">
            <v>-356338</v>
          </cell>
          <cell r="BV97">
            <v>1995558</v>
          </cell>
          <cell r="BW97">
            <v>-1951253</v>
          </cell>
          <cell r="BX97">
            <v>3092684</v>
          </cell>
          <cell r="BY97">
            <v>876671</v>
          </cell>
          <cell r="BZ97">
            <v>52177000</v>
          </cell>
          <cell r="CA97">
            <v>1546343</v>
          </cell>
          <cell r="CB97">
            <v>1237073</v>
          </cell>
          <cell r="CC97">
            <v>278341</v>
          </cell>
          <cell r="CD97">
            <v>30927</v>
          </cell>
          <cell r="CE97">
            <v>438336</v>
          </cell>
          <cell r="CF97">
            <v>350668</v>
          </cell>
          <cell r="CG97">
            <v>78900</v>
          </cell>
          <cell r="CH97">
            <v>8767</v>
          </cell>
        </row>
        <row r="98">
          <cell r="A98">
            <v>91</v>
          </cell>
          <cell r="B98" t="str">
            <v>Eastbourne</v>
          </cell>
          <cell r="C98" t="str">
            <v>E1432</v>
          </cell>
          <cell r="D98">
            <v>125525</v>
          </cell>
          <cell r="H98">
            <v>748643</v>
          </cell>
          <cell r="I98">
            <v>0</v>
          </cell>
          <cell r="J98">
            <v>125525</v>
          </cell>
          <cell r="K98">
            <v>0</v>
          </cell>
          <cell r="L98">
            <v>0</v>
          </cell>
          <cell r="M98">
            <v>0</v>
          </cell>
          <cell r="N98">
            <v>0</v>
          </cell>
          <cell r="O98">
            <v>0</v>
          </cell>
          <cell r="P98">
            <v>0</v>
          </cell>
          <cell r="Q98">
            <v>0</v>
          </cell>
          <cell r="R98">
            <v>567532</v>
          </cell>
          <cell r="S98">
            <v>127695</v>
          </cell>
          <cell r="T98">
            <v>14188</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M98">
            <v>0</v>
          </cell>
          <cell r="AN98">
            <v>0</v>
          </cell>
          <cell r="AO98">
            <v>0</v>
          </cell>
          <cell r="AP98">
            <v>214691</v>
          </cell>
          <cell r="AQ98">
            <v>48305</v>
          </cell>
          <cell r="AR98">
            <v>5367</v>
          </cell>
          <cell r="AS98">
            <v>-244644</v>
          </cell>
          <cell r="AT98">
            <v>-195716</v>
          </cell>
          <cell r="AU98">
            <v>-44036</v>
          </cell>
          <cell r="AV98">
            <v>-4892</v>
          </cell>
          <cell r="AW98">
            <v>-489288</v>
          </cell>
          <cell r="AX98">
            <v>-702682</v>
          </cell>
          <cell r="AY98">
            <v>-562148</v>
          </cell>
          <cell r="AZ98">
            <v>-126483</v>
          </cell>
          <cell r="BA98">
            <v>-14054</v>
          </cell>
          <cell r="BB98">
            <v>-1405367</v>
          </cell>
          <cell r="BC98">
            <v>32468161</v>
          </cell>
          <cell r="BD98">
            <v>-2120638</v>
          </cell>
          <cell r="BE98">
            <v>916833</v>
          </cell>
          <cell r="BF98">
            <v>0</v>
          </cell>
          <cell r="BG98">
            <v>-2922345</v>
          </cell>
          <cell r="BH98">
            <v>-121318</v>
          </cell>
          <cell r="BI98">
            <v>0</v>
          </cell>
          <cell r="BJ98">
            <v>0</v>
          </cell>
          <cell r="BK98">
            <v>-827799</v>
          </cell>
          <cell r="BL98">
            <v>-49495</v>
          </cell>
          <cell r="BM98">
            <v>-38989</v>
          </cell>
          <cell r="BN98">
            <v>0</v>
          </cell>
          <cell r="BO98">
            <v>0</v>
          </cell>
          <cell r="BP98">
            <v>0</v>
          </cell>
          <cell r="BQ98">
            <v>0</v>
          </cell>
          <cell r="BR98">
            <v>0</v>
          </cell>
          <cell r="BS98">
            <v>0</v>
          </cell>
          <cell r="BT98">
            <v>32645246</v>
          </cell>
          <cell r="BU98">
            <v>130525</v>
          </cell>
          <cell r="BV98">
            <v>1930966</v>
          </cell>
          <cell r="BW98">
            <v>-2807277</v>
          </cell>
          <cell r="BX98">
            <v>-2377045</v>
          </cell>
          <cell r="BY98">
            <v>-853666</v>
          </cell>
          <cell r="BZ98">
            <v>35730666</v>
          </cell>
          <cell r="CA98">
            <v>-1188522</v>
          </cell>
          <cell r="CB98">
            <v>-950819</v>
          </cell>
          <cell r="CC98">
            <v>-213934</v>
          </cell>
          <cell r="CD98">
            <v>-23770</v>
          </cell>
          <cell r="CE98">
            <v>-426833</v>
          </cell>
          <cell r="CF98">
            <v>-341466</v>
          </cell>
          <cell r="CG98">
            <v>-76830</v>
          </cell>
          <cell r="CH98">
            <v>-8537</v>
          </cell>
        </row>
        <row r="99">
          <cell r="A99">
            <v>92</v>
          </cell>
          <cell r="B99" t="str">
            <v>Eastleigh</v>
          </cell>
          <cell r="C99" t="str">
            <v>E1733</v>
          </cell>
          <cell r="D99">
            <v>145309</v>
          </cell>
          <cell r="H99">
            <v>-2311413</v>
          </cell>
          <cell r="I99">
            <v>0</v>
          </cell>
          <cell r="J99">
            <v>145309</v>
          </cell>
          <cell r="K99">
            <v>0</v>
          </cell>
          <cell r="L99">
            <v>0</v>
          </cell>
          <cell r="M99">
            <v>0</v>
          </cell>
          <cell r="N99">
            <v>0</v>
          </cell>
          <cell r="O99">
            <v>0</v>
          </cell>
          <cell r="P99">
            <v>0</v>
          </cell>
          <cell r="Q99">
            <v>0</v>
          </cell>
          <cell r="R99">
            <v>528320</v>
          </cell>
          <cell r="S99">
            <v>118872</v>
          </cell>
          <cell r="T99">
            <v>13208</v>
          </cell>
          <cell r="U99">
            <v>0</v>
          </cell>
          <cell r="V99">
            <v>0</v>
          </cell>
          <cell r="W99">
            <v>0</v>
          </cell>
          <cell r="X99">
            <v>0</v>
          </cell>
          <cell r="Y99">
            <v>0</v>
          </cell>
          <cell r="Z99">
            <v>0</v>
          </cell>
          <cell r="AA99">
            <v>1537</v>
          </cell>
          <cell r="AB99">
            <v>346</v>
          </cell>
          <cell r="AC99">
            <v>38</v>
          </cell>
          <cell r="AD99">
            <v>0</v>
          </cell>
          <cell r="AE99">
            <v>0</v>
          </cell>
          <cell r="AF99">
            <v>0</v>
          </cell>
          <cell r="AG99">
            <v>0</v>
          </cell>
          <cell r="AH99">
            <v>0</v>
          </cell>
          <cell r="AI99">
            <v>0</v>
          </cell>
          <cell r="AM99">
            <v>0</v>
          </cell>
          <cell r="AN99">
            <v>0</v>
          </cell>
          <cell r="AO99">
            <v>0</v>
          </cell>
          <cell r="AP99">
            <v>336146</v>
          </cell>
          <cell r="AQ99">
            <v>75633</v>
          </cell>
          <cell r="AR99">
            <v>8404</v>
          </cell>
          <cell r="AS99">
            <v>-237071</v>
          </cell>
          <cell r="AT99">
            <v>-189659</v>
          </cell>
          <cell r="AU99">
            <v>-42674</v>
          </cell>
          <cell r="AV99">
            <v>-4742</v>
          </cell>
          <cell r="AW99">
            <v>-474146</v>
          </cell>
          <cell r="AX99">
            <v>-2834233</v>
          </cell>
          <cell r="AY99">
            <v>-2267385</v>
          </cell>
          <cell r="AZ99">
            <v>-510162</v>
          </cell>
          <cell r="BA99">
            <v>-56685</v>
          </cell>
          <cell r="BB99">
            <v>-5668465</v>
          </cell>
          <cell r="BC99">
            <v>58663150</v>
          </cell>
          <cell r="BD99">
            <v>-1767835</v>
          </cell>
          <cell r="BE99">
            <v>1571401</v>
          </cell>
          <cell r="BF99">
            <v>0</v>
          </cell>
          <cell r="BG99">
            <v>-2199995</v>
          </cell>
          <cell r="BH99">
            <v>0</v>
          </cell>
          <cell r="BI99">
            <v>0</v>
          </cell>
          <cell r="BJ99">
            <v>-3830</v>
          </cell>
          <cell r="BK99">
            <v>-983077</v>
          </cell>
          <cell r="BL99">
            <v>-47954</v>
          </cell>
          <cell r="BM99">
            <v>-135184</v>
          </cell>
          <cell r="BN99">
            <v>0</v>
          </cell>
          <cell r="BO99">
            <v>0</v>
          </cell>
          <cell r="BP99">
            <v>0</v>
          </cell>
          <cell r="BQ99">
            <v>0</v>
          </cell>
          <cell r="BR99">
            <v>0</v>
          </cell>
          <cell r="BS99">
            <v>0</v>
          </cell>
          <cell r="BT99">
            <v>59533718</v>
          </cell>
          <cell r="BU99">
            <v>-445226</v>
          </cell>
          <cell r="BV99">
            <v>1019966</v>
          </cell>
          <cell r="BW99">
            <v>-1044033</v>
          </cell>
          <cell r="BX99">
            <v>-1609738</v>
          </cell>
          <cell r="BY99">
            <v>-2073759</v>
          </cell>
          <cell r="BZ99">
            <v>55944250</v>
          </cell>
          <cell r="CA99">
            <v>-804871</v>
          </cell>
          <cell r="CB99">
            <v>-643895</v>
          </cell>
          <cell r="CC99">
            <v>-144875</v>
          </cell>
          <cell r="CD99">
            <v>-16097</v>
          </cell>
          <cell r="CE99">
            <v>-1036879</v>
          </cell>
          <cell r="CF99">
            <v>-829504</v>
          </cell>
          <cell r="CG99">
            <v>-186638</v>
          </cell>
          <cell r="CH99">
            <v>-20738</v>
          </cell>
        </row>
        <row r="100">
          <cell r="A100">
            <v>93</v>
          </cell>
          <cell r="B100" t="str">
            <v>Eden</v>
          </cell>
          <cell r="C100" t="str">
            <v>E0935</v>
          </cell>
          <cell r="D100">
            <v>125987</v>
          </cell>
          <cell r="H100">
            <v>320990</v>
          </cell>
          <cell r="I100">
            <v>0</v>
          </cell>
          <cell r="J100">
            <v>125987</v>
          </cell>
          <cell r="K100">
            <v>0</v>
          </cell>
          <cell r="L100">
            <v>0</v>
          </cell>
          <cell r="M100">
            <v>0</v>
          </cell>
          <cell r="N100">
            <v>0</v>
          </cell>
          <cell r="O100">
            <v>0</v>
          </cell>
          <cell r="P100">
            <v>0</v>
          </cell>
          <cell r="Q100">
            <v>0</v>
          </cell>
          <cell r="R100">
            <v>662764</v>
          </cell>
          <cell r="S100">
            <v>165691</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M100">
            <v>0</v>
          </cell>
          <cell r="AN100">
            <v>0</v>
          </cell>
          <cell r="AO100">
            <v>0</v>
          </cell>
          <cell r="AP100">
            <v>125416</v>
          </cell>
          <cell r="AQ100">
            <v>31354</v>
          </cell>
          <cell r="AR100">
            <v>0</v>
          </cell>
          <cell r="AS100">
            <v>-77787</v>
          </cell>
          <cell r="AT100">
            <v>-62229</v>
          </cell>
          <cell r="AU100">
            <v>-15557</v>
          </cell>
          <cell r="AV100">
            <v>0</v>
          </cell>
          <cell r="AW100">
            <v>-155573</v>
          </cell>
          <cell r="AX100">
            <v>-155045.04000000004</v>
          </cell>
          <cell r="AY100">
            <v>-124035</v>
          </cell>
          <cell r="AZ100">
            <v>-31009</v>
          </cell>
          <cell r="BA100">
            <v>0</v>
          </cell>
          <cell r="BB100">
            <v>-310089</v>
          </cell>
          <cell r="BC100">
            <v>19888399</v>
          </cell>
          <cell r="BD100">
            <v>-2341524</v>
          </cell>
          <cell r="BE100">
            <v>531030</v>
          </cell>
          <cell r="BF100">
            <v>0</v>
          </cell>
          <cell r="BG100">
            <v>-1313659</v>
          </cell>
          <cell r="BH100">
            <v>-79384</v>
          </cell>
          <cell r="BI100">
            <v>-70770</v>
          </cell>
          <cell r="BJ100">
            <v>0</v>
          </cell>
          <cell r="BK100">
            <v>-544222</v>
          </cell>
          <cell r="BL100">
            <v>-50559</v>
          </cell>
          <cell r="BM100">
            <v>-35375</v>
          </cell>
          <cell r="BN100">
            <v>-1558</v>
          </cell>
          <cell r="BO100">
            <v>-34305</v>
          </cell>
          <cell r="BP100">
            <v>-3209</v>
          </cell>
          <cell r="BQ100">
            <v>0</v>
          </cell>
          <cell r="BR100">
            <v>0</v>
          </cell>
          <cell r="BS100">
            <v>0</v>
          </cell>
          <cell r="BT100">
            <v>18378392</v>
          </cell>
          <cell r="BU100">
            <v>-109335</v>
          </cell>
          <cell r="BV100">
            <v>711017</v>
          </cell>
          <cell r="BW100">
            <v>-100690</v>
          </cell>
          <cell r="BX100">
            <v>-2932676</v>
          </cell>
          <cell r="BY100">
            <v>-3027463</v>
          </cell>
          <cell r="BZ100">
            <v>20872730</v>
          </cell>
          <cell r="CA100">
            <v>-1466338</v>
          </cell>
          <cell r="CB100">
            <v>-1173070</v>
          </cell>
          <cell r="CC100">
            <v>-293268</v>
          </cell>
          <cell r="CD100">
            <v>0</v>
          </cell>
          <cell r="CE100">
            <v>-1513732</v>
          </cell>
          <cell r="CF100">
            <v>-1210985</v>
          </cell>
          <cell r="CG100">
            <v>-302746</v>
          </cell>
          <cell r="CH100">
            <v>0</v>
          </cell>
        </row>
        <row r="101">
          <cell r="A101">
            <v>94</v>
          </cell>
          <cell r="B101" t="str">
            <v>Elmbridge</v>
          </cell>
          <cell r="C101" t="str">
            <v>E3631</v>
          </cell>
          <cell r="D101">
            <v>183674</v>
          </cell>
          <cell r="H101">
            <v>5062654</v>
          </cell>
          <cell r="I101">
            <v>0</v>
          </cell>
          <cell r="J101">
            <v>183674</v>
          </cell>
          <cell r="K101">
            <v>0</v>
          </cell>
          <cell r="L101">
            <v>22549</v>
          </cell>
          <cell r="M101">
            <v>0</v>
          </cell>
          <cell r="N101">
            <v>0</v>
          </cell>
          <cell r="O101">
            <v>0</v>
          </cell>
          <cell r="P101">
            <v>0</v>
          </cell>
          <cell r="Q101">
            <v>0</v>
          </cell>
          <cell r="R101">
            <v>513906</v>
          </cell>
          <cell r="S101">
            <v>128477</v>
          </cell>
          <cell r="T101">
            <v>0</v>
          </cell>
          <cell r="U101">
            <v>405</v>
          </cell>
          <cell r="V101">
            <v>101</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M101">
            <v>0</v>
          </cell>
          <cell r="AN101">
            <v>0</v>
          </cell>
          <cell r="AO101">
            <v>0</v>
          </cell>
          <cell r="AP101">
            <v>382101</v>
          </cell>
          <cell r="AQ101">
            <v>95441</v>
          </cell>
          <cell r="AR101">
            <v>0</v>
          </cell>
          <cell r="AS101">
            <v>-167500</v>
          </cell>
          <cell r="AT101">
            <v>-134000</v>
          </cell>
          <cell r="AU101">
            <v>-33500</v>
          </cell>
          <cell r="AV101">
            <v>0</v>
          </cell>
          <cell r="AW101">
            <v>-335000</v>
          </cell>
          <cell r="AX101">
            <v>-2828412</v>
          </cell>
          <cell r="AY101">
            <v>-2262729</v>
          </cell>
          <cell r="AZ101">
            <v>-565683</v>
          </cell>
          <cell r="BA101">
            <v>0</v>
          </cell>
          <cell r="BB101">
            <v>-5656824</v>
          </cell>
          <cell r="BC101">
            <v>54037980</v>
          </cell>
          <cell r="BD101">
            <v>-2011536</v>
          </cell>
          <cell r="BE101">
            <v>1553160</v>
          </cell>
          <cell r="BF101">
            <v>0</v>
          </cell>
          <cell r="BG101">
            <v>-3715716</v>
          </cell>
          <cell r="BH101">
            <v>-54312</v>
          </cell>
          <cell r="BI101">
            <v>0</v>
          </cell>
          <cell r="BJ101">
            <v>-128273</v>
          </cell>
          <cell r="BK101">
            <v>-1774993</v>
          </cell>
          <cell r="BL101">
            <v>-107105</v>
          </cell>
          <cell r="BM101">
            <v>-327149</v>
          </cell>
          <cell r="BN101">
            <v>0</v>
          </cell>
          <cell r="BO101">
            <v>0</v>
          </cell>
          <cell r="BP101">
            <v>0</v>
          </cell>
          <cell r="BQ101">
            <v>0</v>
          </cell>
          <cell r="BR101">
            <v>0</v>
          </cell>
          <cell r="BS101">
            <v>0</v>
          </cell>
          <cell r="BT101">
            <v>57569306</v>
          </cell>
          <cell r="BU101">
            <v>-232501</v>
          </cell>
          <cell r="BV101">
            <v>622712</v>
          </cell>
          <cell r="BW101">
            <v>-1820847</v>
          </cell>
          <cell r="BX101">
            <v>268582</v>
          </cell>
          <cell r="BY101">
            <v>333496</v>
          </cell>
          <cell r="BZ101">
            <v>63536140</v>
          </cell>
          <cell r="CA101">
            <v>134291</v>
          </cell>
          <cell r="CB101">
            <v>107432</v>
          </cell>
          <cell r="CC101">
            <v>26859</v>
          </cell>
          <cell r="CD101">
            <v>0</v>
          </cell>
          <cell r="CE101">
            <v>166748</v>
          </cell>
          <cell r="CF101">
            <v>133398</v>
          </cell>
          <cell r="CG101">
            <v>33350</v>
          </cell>
          <cell r="CH101">
            <v>0</v>
          </cell>
        </row>
        <row r="102">
          <cell r="A102">
            <v>95</v>
          </cell>
          <cell r="B102" t="str">
            <v>Enfield</v>
          </cell>
          <cell r="C102" t="str">
            <v>E5037</v>
          </cell>
          <cell r="D102">
            <v>339782</v>
          </cell>
          <cell r="H102">
            <v>0</v>
          </cell>
          <cell r="I102">
            <v>0</v>
          </cell>
          <cell r="J102">
            <v>339782</v>
          </cell>
          <cell r="K102">
            <v>0</v>
          </cell>
          <cell r="L102">
            <v>0</v>
          </cell>
          <cell r="M102">
            <v>0</v>
          </cell>
          <cell r="N102">
            <v>0</v>
          </cell>
          <cell r="O102">
            <v>0</v>
          </cell>
          <cell r="P102">
            <v>0</v>
          </cell>
          <cell r="Q102">
            <v>0</v>
          </cell>
          <cell r="R102">
            <v>942111</v>
          </cell>
          <cell r="S102">
            <v>1161938</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M102">
            <v>0</v>
          </cell>
          <cell r="AN102">
            <v>0</v>
          </cell>
          <cell r="AO102">
            <v>0</v>
          </cell>
          <cell r="AP102">
            <v>514483</v>
          </cell>
          <cell r="AQ102">
            <v>634529</v>
          </cell>
          <cell r="AR102">
            <v>0</v>
          </cell>
          <cell r="AS102">
            <v>-1955768</v>
          </cell>
          <cell r="AT102">
            <v>-1173459</v>
          </cell>
          <cell r="AU102">
            <v>-782307</v>
          </cell>
          <cell r="AV102">
            <v>0</v>
          </cell>
          <cell r="AW102">
            <v>-3911534</v>
          </cell>
          <cell r="AX102">
            <v>-4038000.5</v>
          </cell>
          <cell r="AY102">
            <v>-2422799</v>
          </cell>
          <cell r="AZ102">
            <v>-1615200</v>
          </cell>
          <cell r="BA102">
            <v>0</v>
          </cell>
          <cell r="BB102">
            <v>-8075999.5</v>
          </cell>
          <cell r="BC102">
            <v>115566113</v>
          </cell>
          <cell r="BD102">
            <v>-3941858</v>
          </cell>
          <cell r="BE102">
            <v>2762918</v>
          </cell>
          <cell r="BF102">
            <v>0</v>
          </cell>
          <cell r="BG102">
            <v>-5709166</v>
          </cell>
          <cell r="BH102">
            <v>-117391</v>
          </cell>
          <cell r="BI102">
            <v>0</v>
          </cell>
          <cell r="BJ102">
            <v>0</v>
          </cell>
          <cell r="BK102">
            <v>-3272089</v>
          </cell>
          <cell r="BL102">
            <v>-212411</v>
          </cell>
          <cell r="BM102">
            <v>-193749</v>
          </cell>
          <cell r="BN102">
            <v>0</v>
          </cell>
          <cell r="BO102">
            <v>0</v>
          </cell>
          <cell r="BP102">
            <v>0</v>
          </cell>
          <cell r="BQ102">
            <v>0</v>
          </cell>
          <cell r="BR102">
            <v>0</v>
          </cell>
          <cell r="BS102">
            <v>0</v>
          </cell>
          <cell r="BT102">
            <v>111518565</v>
          </cell>
          <cell r="BU102">
            <v>-1074869</v>
          </cell>
          <cell r="BV102">
            <v>5824679</v>
          </cell>
          <cell r="BW102">
            <v>-3730370</v>
          </cell>
          <cell r="BX102">
            <v>2136913</v>
          </cell>
          <cell r="BY102">
            <v>-2542858</v>
          </cell>
          <cell r="BZ102">
            <v>114166246</v>
          </cell>
          <cell r="CA102">
            <v>1068457</v>
          </cell>
          <cell r="CB102">
            <v>641074</v>
          </cell>
          <cell r="CC102">
            <v>427382</v>
          </cell>
          <cell r="CD102">
            <v>0</v>
          </cell>
          <cell r="CE102">
            <v>-1271429</v>
          </cell>
          <cell r="CF102">
            <v>-762857</v>
          </cell>
          <cell r="CG102">
            <v>-508572</v>
          </cell>
          <cell r="CH102">
            <v>0</v>
          </cell>
        </row>
        <row r="103">
          <cell r="A103">
            <v>96</v>
          </cell>
          <cell r="B103" t="str">
            <v>Epping Forest</v>
          </cell>
          <cell r="C103" t="str">
            <v>E1537</v>
          </cell>
          <cell r="D103">
            <v>172654</v>
          </cell>
          <cell r="H103">
            <v>981919</v>
          </cell>
          <cell r="I103">
            <v>0</v>
          </cell>
          <cell r="J103">
            <v>172654</v>
          </cell>
          <cell r="K103">
            <v>0</v>
          </cell>
          <cell r="L103">
            <v>0</v>
          </cell>
          <cell r="M103">
            <v>0</v>
          </cell>
          <cell r="N103">
            <v>0</v>
          </cell>
          <cell r="O103">
            <v>0</v>
          </cell>
          <cell r="P103">
            <v>0</v>
          </cell>
          <cell r="Q103">
            <v>0</v>
          </cell>
          <cell r="R103">
            <v>799161</v>
          </cell>
          <cell r="S103">
            <v>179811</v>
          </cell>
          <cell r="T103">
            <v>19979</v>
          </cell>
          <cell r="U103">
            <v>1186</v>
          </cell>
          <cell r="V103">
            <v>267</v>
          </cell>
          <cell r="W103">
            <v>30</v>
          </cell>
          <cell r="X103">
            <v>0</v>
          </cell>
          <cell r="Y103">
            <v>0</v>
          </cell>
          <cell r="Z103">
            <v>0</v>
          </cell>
          <cell r="AA103">
            <v>0</v>
          </cell>
          <cell r="AB103">
            <v>0</v>
          </cell>
          <cell r="AC103">
            <v>0</v>
          </cell>
          <cell r="AD103">
            <v>0</v>
          </cell>
          <cell r="AE103">
            <v>0</v>
          </cell>
          <cell r="AF103">
            <v>0</v>
          </cell>
          <cell r="AG103">
            <v>0</v>
          </cell>
          <cell r="AH103">
            <v>0</v>
          </cell>
          <cell r="AI103">
            <v>0</v>
          </cell>
          <cell r="AM103">
            <v>0</v>
          </cell>
          <cell r="AN103">
            <v>0</v>
          </cell>
          <cell r="AO103">
            <v>0</v>
          </cell>
          <cell r="AP103">
            <v>208568</v>
          </cell>
          <cell r="AQ103">
            <v>46928</v>
          </cell>
          <cell r="AR103">
            <v>5214</v>
          </cell>
          <cell r="AS103">
            <v>-135474</v>
          </cell>
          <cell r="AT103">
            <v>-108378</v>
          </cell>
          <cell r="AU103">
            <v>-24386</v>
          </cell>
          <cell r="AV103">
            <v>-2710</v>
          </cell>
          <cell r="AW103">
            <v>-270948</v>
          </cell>
          <cell r="AX103">
            <v>-1754506</v>
          </cell>
          <cell r="AY103">
            <v>-1403607</v>
          </cell>
          <cell r="AZ103">
            <v>-315811</v>
          </cell>
          <cell r="BA103">
            <v>-35091</v>
          </cell>
          <cell r="BB103">
            <v>-3509015</v>
          </cell>
          <cell r="BC103">
            <v>35802219</v>
          </cell>
          <cell r="BD103">
            <v>-2726041</v>
          </cell>
          <cell r="BE103">
            <v>864671</v>
          </cell>
          <cell r="BF103">
            <v>0</v>
          </cell>
          <cell r="BG103">
            <v>-2363249</v>
          </cell>
          <cell r="BH103">
            <v>-33836</v>
          </cell>
          <cell r="BI103">
            <v>-9294</v>
          </cell>
          <cell r="BJ103">
            <v>0</v>
          </cell>
          <cell r="BK103">
            <v>-781463</v>
          </cell>
          <cell r="BL103">
            <v>-18054</v>
          </cell>
          <cell r="BM103">
            <v>-56452</v>
          </cell>
          <cell r="BN103">
            <v>0</v>
          </cell>
          <cell r="BO103">
            <v>-5576</v>
          </cell>
          <cell r="BP103">
            <v>-12235</v>
          </cell>
          <cell r="BQ103">
            <v>0</v>
          </cell>
          <cell r="BR103">
            <v>0</v>
          </cell>
          <cell r="BS103">
            <v>0</v>
          </cell>
          <cell r="BT103">
            <v>36181619</v>
          </cell>
          <cell r="BU103">
            <v>-290399</v>
          </cell>
          <cell r="BV103">
            <v>1112962</v>
          </cell>
          <cell r="BW103">
            <v>-1316220</v>
          </cell>
          <cell r="BX103">
            <v>-86994</v>
          </cell>
          <cell r="BY103">
            <v>-500341</v>
          </cell>
          <cell r="BZ103">
            <v>34711694</v>
          </cell>
          <cell r="CA103">
            <v>-43498</v>
          </cell>
          <cell r="CB103">
            <v>-34797</v>
          </cell>
          <cell r="CC103">
            <v>-7829</v>
          </cell>
          <cell r="CD103">
            <v>-870</v>
          </cell>
          <cell r="CE103">
            <v>-250171</v>
          </cell>
          <cell r="CF103">
            <v>-200136</v>
          </cell>
          <cell r="CG103">
            <v>-45031</v>
          </cell>
          <cell r="CH103">
            <v>-5003</v>
          </cell>
        </row>
        <row r="104">
          <cell r="A104">
            <v>97</v>
          </cell>
          <cell r="B104" t="str">
            <v>Epsom &amp; Ewell</v>
          </cell>
          <cell r="C104" t="str">
            <v>E3632</v>
          </cell>
          <cell r="D104">
            <v>83437</v>
          </cell>
          <cell r="H104">
            <v>277933</v>
          </cell>
          <cell r="I104">
            <v>0</v>
          </cell>
          <cell r="J104">
            <v>83437</v>
          </cell>
          <cell r="K104">
            <v>0</v>
          </cell>
          <cell r="L104">
            <v>0</v>
          </cell>
          <cell r="M104">
            <v>0</v>
          </cell>
          <cell r="N104">
            <v>0</v>
          </cell>
          <cell r="O104">
            <v>0</v>
          </cell>
          <cell r="P104">
            <v>0</v>
          </cell>
          <cell r="Q104">
            <v>0</v>
          </cell>
          <cell r="R104">
            <v>289507</v>
          </cell>
          <cell r="S104">
            <v>72377</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M104">
            <v>0</v>
          </cell>
          <cell r="AN104">
            <v>0</v>
          </cell>
          <cell r="AO104">
            <v>0</v>
          </cell>
          <cell r="AP104">
            <v>148262</v>
          </cell>
          <cell r="AQ104">
            <v>37065</v>
          </cell>
          <cell r="AR104">
            <v>0</v>
          </cell>
          <cell r="AS104">
            <v>-45511</v>
          </cell>
          <cell r="AT104">
            <v>-36408</v>
          </cell>
          <cell r="AU104">
            <v>-9101</v>
          </cell>
          <cell r="AV104">
            <v>0</v>
          </cell>
          <cell r="AW104">
            <v>-91020</v>
          </cell>
          <cell r="AX104">
            <v>-1062818</v>
          </cell>
          <cell r="AY104">
            <v>-850254</v>
          </cell>
          <cell r="AZ104">
            <v>-212565</v>
          </cell>
          <cell r="BA104">
            <v>0</v>
          </cell>
          <cell r="BB104">
            <v>-2125637</v>
          </cell>
          <cell r="BC104">
            <v>23193578</v>
          </cell>
          <cell r="BD104">
            <v>-1119399</v>
          </cell>
          <cell r="BE104">
            <v>668384</v>
          </cell>
          <cell r="BF104">
            <v>0</v>
          </cell>
          <cell r="BG104">
            <v>-2862916</v>
          </cell>
          <cell r="BH104">
            <v>-50296</v>
          </cell>
          <cell r="BI104">
            <v>0</v>
          </cell>
          <cell r="BJ104">
            <v>-11517</v>
          </cell>
          <cell r="BK104">
            <v>-851867</v>
          </cell>
          <cell r="BL104">
            <v>-89892</v>
          </cell>
          <cell r="BM104">
            <v>-590</v>
          </cell>
          <cell r="BN104">
            <v>-8817</v>
          </cell>
          <cell r="BO104">
            <v>0</v>
          </cell>
          <cell r="BP104">
            <v>0</v>
          </cell>
          <cell r="BQ104">
            <v>0</v>
          </cell>
          <cell r="BR104">
            <v>0</v>
          </cell>
          <cell r="BS104">
            <v>0</v>
          </cell>
          <cell r="BT104">
            <v>23580931</v>
          </cell>
          <cell r="BU104">
            <v>-81109</v>
          </cell>
          <cell r="BV104">
            <v>161385</v>
          </cell>
          <cell r="BW104">
            <v>-108894</v>
          </cell>
          <cell r="BX104">
            <v>-1032036</v>
          </cell>
          <cell r="BY104">
            <v>-341773</v>
          </cell>
          <cell r="BZ104">
            <v>24675012</v>
          </cell>
          <cell r="CA104">
            <v>-516019</v>
          </cell>
          <cell r="CB104">
            <v>-412814</v>
          </cell>
          <cell r="CC104">
            <v>-103203</v>
          </cell>
          <cell r="CD104">
            <v>0</v>
          </cell>
          <cell r="CE104">
            <v>-170887</v>
          </cell>
          <cell r="CF104">
            <v>-136709</v>
          </cell>
          <cell r="CG104">
            <v>-34177</v>
          </cell>
          <cell r="CH104">
            <v>0</v>
          </cell>
        </row>
        <row r="105">
          <cell r="A105">
            <v>98</v>
          </cell>
          <cell r="B105" t="str">
            <v>Erewash</v>
          </cell>
          <cell r="C105" t="str">
            <v>E1036</v>
          </cell>
          <cell r="D105">
            <v>134458</v>
          </cell>
          <cell r="H105">
            <v>-342248</v>
          </cell>
          <cell r="I105">
            <v>0</v>
          </cell>
          <cell r="J105">
            <v>134458</v>
          </cell>
          <cell r="K105">
            <v>0</v>
          </cell>
          <cell r="L105">
            <v>0</v>
          </cell>
          <cell r="M105">
            <v>0</v>
          </cell>
          <cell r="N105">
            <v>0</v>
          </cell>
          <cell r="O105">
            <v>0</v>
          </cell>
          <cell r="P105">
            <v>0</v>
          </cell>
          <cell r="Q105">
            <v>0</v>
          </cell>
          <cell r="R105">
            <v>834944</v>
          </cell>
          <cell r="S105">
            <v>187862</v>
          </cell>
          <cell r="T105">
            <v>20874</v>
          </cell>
          <cell r="U105">
            <v>609</v>
          </cell>
          <cell r="V105">
            <v>137</v>
          </cell>
          <cell r="W105">
            <v>15</v>
          </cell>
          <cell r="X105">
            <v>0</v>
          </cell>
          <cell r="Y105">
            <v>0</v>
          </cell>
          <cell r="Z105">
            <v>0</v>
          </cell>
          <cell r="AA105">
            <v>211</v>
          </cell>
          <cell r="AB105">
            <v>48</v>
          </cell>
          <cell r="AC105">
            <v>5</v>
          </cell>
          <cell r="AD105">
            <v>0</v>
          </cell>
          <cell r="AE105">
            <v>0</v>
          </cell>
          <cell r="AF105">
            <v>0</v>
          </cell>
          <cell r="AG105">
            <v>0</v>
          </cell>
          <cell r="AH105">
            <v>0</v>
          </cell>
          <cell r="AI105">
            <v>0</v>
          </cell>
          <cell r="AM105">
            <v>0</v>
          </cell>
          <cell r="AN105">
            <v>0</v>
          </cell>
          <cell r="AO105">
            <v>0</v>
          </cell>
          <cell r="AP105">
            <v>146851</v>
          </cell>
          <cell r="AQ105">
            <v>33042</v>
          </cell>
          <cell r="AR105">
            <v>3671</v>
          </cell>
          <cell r="AS105">
            <v>-343250</v>
          </cell>
          <cell r="AT105">
            <v>-274600</v>
          </cell>
          <cell r="AU105">
            <v>-61785</v>
          </cell>
          <cell r="AV105">
            <v>-6865</v>
          </cell>
          <cell r="AW105">
            <v>-686500</v>
          </cell>
          <cell r="AX105">
            <v>-508850</v>
          </cell>
          <cell r="AY105">
            <v>-407080</v>
          </cell>
          <cell r="AZ105">
            <v>-91593</v>
          </cell>
          <cell r="BA105">
            <v>-10177</v>
          </cell>
          <cell r="BB105">
            <v>-1017700</v>
          </cell>
          <cell r="BC105">
            <v>23846391</v>
          </cell>
          <cell r="BD105">
            <v>-2602214</v>
          </cell>
          <cell r="BE105">
            <v>639434</v>
          </cell>
          <cell r="BF105">
            <v>0</v>
          </cell>
          <cell r="BG105">
            <v>-1739482</v>
          </cell>
          <cell r="BH105">
            <v>-60892</v>
          </cell>
          <cell r="BI105">
            <v>-1230</v>
          </cell>
          <cell r="BJ105">
            <v>-3408</v>
          </cell>
          <cell r="BK105">
            <v>-662025</v>
          </cell>
          <cell r="BL105">
            <v>-18819</v>
          </cell>
          <cell r="BM105">
            <v>-37439</v>
          </cell>
          <cell r="BN105">
            <v>0</v>
          </cell>
          <cell r="BO105">
            <v>-1230</v>
          </cell>
          <cell r="BP105">
            <v>0</v>
          </cell>
          <cell r="BQ105">
            <v>0</v>
          </cell>
          <cell r="BR105">
            <v>0</v>
          </cell>
          <cell r="BS105">
            <v>0</v>
          </cell>
          <cell r="BT105">
            <v>24514648</v>
          </cell>
          <cell r="BU105">
            <v>-299675</v>
          </cell>
          <cell r="BV105">
            <v>1145410</v>
          </cell>
          <cell r="BW105">
            <v>-867561</v>
          </cell>
          <cell r="BX105">
            <v>-3297570</v>
          </cell>
          <cell r="BY105">
            <v>-2143695</v>
          </cell>
          <cell r="BZ105">
            <v>24440275</v>
          </cell>
          <cell r="CA105">
            <v>-1648785</v>
          </cell>
          <cell r="CB105">
            <v>-1319029</v>
          </cell>
          <cell r="CC105">
            <v>-296781</v>
          </cell>
          <cell r="CD105">
            <v>-32975</v>
          </cell>
          <cell r="CE105">
            <v>-1071847</v>
          </cell>
          <cell r="CF105">
            <v>-857478</v>
          </cell>
          <cell r="CG105">
            <v>-192933</v>
          </cell>
          <cell r="CH105">
            <v>-21437</v>
          </cell>
        </row>
        <row r="106">
          <cell r="A106">
            <v>99</v>
          </cell>
          <cell r="B106" t="str">
            <v>Exeter</v>
          </cell>
          <cell r="C106" t="str">
            <v>E1132</v>
          </cell>
          <cell r="D106">
            <v>215774</v>
          </cell>
          <cell r="H106">
            <v>-5394536</v>
          </cell>
          <cell r="I106">
            <v>0</v>
          </cell>
          <cell r="J106">
            <v>215774</v>
          </cell>
          <cell r="K106">
            <v>0</v>
          </cell>
          <cell r="L106">
            <v>0</v>
          </cell>
          <cell r="M106">
            <v>0</v>
          </cell>
          <cell r="N106">
            <v>0</v>
          </cell>
          <cell r="O106">
            <v>0</v>
          </cell>
          <cell r="P106">
            <v>0</v>
          </cell>
          <cell r="Q106">
            <v>0</v>
          </cell>
          <cell r="R106">
            <v>628227</v>
          </cell>
          <cell r="S106">
            <v>141351</v>
          </cell>
          <cell r="T106">
            <v>15706</v>
          </cell>
          <cell r="U106">
            <v>9451</v>
          </cell>
          <cell r="V106">
            <v>2126</v>
          </cell>
          <cell r="W106">
            <v>236</v>
          </cell>
          <cell r="X106">
            <v>0</v>
          </cell>
          <cell r="Y106">
            <v>0</v>
          </cell>
          <cell r="Z106">
            <v>0</v>
          </cell>
          <cell r="AA106">
            <v>1584</v>
          </cell>
          <cell r="AB106">
            <v>357</v>
          </cell>
          <cell r="AC106">
            <v>40</v>
          </cell>
          <cell r="AD106">
            <v>0</v>
          </cell>
          <cell r="AE106">
            <v>0</v>
          </cell>
          <cell r="AF106">
            <v>0</v>
          </cell>
          <cell r="AG106">
            <v>0</v>
          </cell>
          <cell r="AH106">
            <v>0</v>
          </cell>
          <cell r="AI106">
            <v>0</v>
          </cell>
          <cell r="AM106">
            <v>0</v>
          </cell>
          <cell r="AN106">
            <v>0</v>
          </cell>
          <cell r="AO106">
            <v>0</v>
          </cell>
          <cell r="AP106">
            <v>440057</v>
          </cell>
          <cell r="AQ106">
            <v>99013</v>
          </cell>
          <cell r="AR106">
            <v>11001</v>
          </cell>
          <cell r="AS106">
            <v>-105000</v>
          </cell>
          <cell r="AT106">
            <v>-84000</v>
          </cell>
          <cell r="AU106">
            <v>-18900</v>
          </cell>
          <cell r="AV106">
            <v>-2100</v>
          </cell>
          <cell r="AW106">
            <v>-210000</v>
          </cell>
          <cell r="AX106">
            <v>-573624</v>
          </cell>
          <cell r="AY106">
            <v>-458897</v>
          </cell>
          <cell r="AZ106">
            <v>-103253</v>
          </cell>
          <cell r="BA106">
            <v>-11472</v>
          </cell>
          <cell r="BB106">
            <v>-1147246</v>
          </cell>
          <cell r="BC106">
            <v>78330157</v>
          </cell>
          <cell r="BD106">
            <v>-2307494</v>
          </cell>
          <cell r="BE106">
            <v>2204525</v>
          </cell>
          <cell r="BF106">
            <v>0</v>
          </cell>
          <cell r="BG106">
            <v>-6459583</v>
          </cell>
          <cell r="BH106">
            <v>-36271</v>
          </cell>
          <cell r="BI106">
            <v>0</v>
          </cell>
          <cell r="BJ106">
            <v>-10533</v>
          </cell>
          <cell r="BK106">
            <v>-1971284</v>
          </cell>
          <cell r="BL106">
            <v>-234740</v>
          </cell>
          <cell r="BM106">
            <v>-56887</v>
          </cell>
          <cell r="BN106">
            <v>-3412</v>
          </cell>
          <cell r="BO106">
            <v>0</v>
          </cell>
          <cell r="BP106">
            <v>0</v>
          </cell>
          <cell r="BQ106">
            <v>0</v>
          </cell>
          <cell r="BR106">
            <v>0</v>
          </cell>
          <cell r="BS106">
            <v>0</v>
          </cell>
          <cell r="BT106">
            <v>78528933</v>
          </cell>
          <cell r="BU106">
            <v>0</v>
          </cell>
          <cell r="BV106">
            <v>2965661</v>
          </cell>
          <cell r="BW106">
            <v>-1470008</v>
          </cell>
          <cell r="BX106">
            <v>-833851</v>
          </cell>
          <cell r="BY106">
            <v>79877</v>
          </cell>
          <cell r="BZ106">
            <v>73238075</v>
          </cell>
          <cell r="CA106">
            <v>-416927</v>
          </cell>
          <cell r="CB106">
            <v>-333540</v>
          </cell>
          <cell r="CC106">
            <v>-75046</v>
          </cell>
          <cell r="CD106">
            <v>-8338</v>
          </cell>
          <cell r="CE106">
            <v>39938</v>
          </cell>
          <cell r="CF106">
            <v>31951</v>
          </cell>
          <cell r="CG106">
            <v>7189</v>
          </cell>
          <cell r="CH106">
            <v>799</v>
          </cell>
        </row>
        <row r="107">
          <cell r="A107">
            <v>100</v>
          </cell>
          <cell r="B107" t="str">
            <v>Fareham</v>
          </cell>
          <cell r="C107" t="str">
            <v>E1734</v>
          </cell>
          <cell r="D107">
            <v>138082</v>
          </cell>
          <cell r="H107">
            <v>-1955487</v>
          </cell>
          <cell r="I107">
            <v>49</v>
          </cell>
          <cell r="J107">
            <v>138082</v>
          </cell>
          <cell r="K107">
            <v>206050</v>
          </cell>
          <cell r="L107">
            <v>75611</v>
          </cell>
          <cell r="M107">
            <v>0</v>
          </cell>
          <cell r="N107">
            <v>318655</v>
          </cell>
          <cell r="O107">
            <v>318655</v>
          </cell>
          <cell r="P107">
            <v>0</v>
          </cell>
          <cell r="Q107">
            <v>0</v>
          </cell>
          <cell r="R107">
            <v>549811</v>
          </cell>
          <cell r="S107">
            <v>123708</v>
          </cell>
          <cell r="T107">
            <v>13745</v>
          </cell>
          <cell r="U107">
            <v>3123</v>
          </cell>
          <cell r="V107">
            <v>702</v>
          </cell>
          <cell r="W107">
            <v>78</v>
          </cell>
          <cell r="X107">
            <v>1219</v>
          </cell>
          <cell r="Y107">
            <v>274</v>
          </cell>
          <cell r="Z107">
            <v>30</v>
          </cell>
          <cell r="AA107">
            <v>1406</v>
          </cell>
          <cell r="AB107">
            <v>316</v>
          </cell>
          <cell r="AC107">
            <v>35</v>
          </cell>
          <cell r="AD107">
            <v>0</v>
          </cell>
          <cell r="AE107">
            <v>0</v>
          </cell>
          <cell r="AF107">
            <v>0</v>
          </cell>
          <cell r="AG107">
            <v>0</v>
          </cell>
          <cell r="AH107">
            <v>0</v>
          </cell>
          <cell r="AI107">
            <v>0</v>
          </cell>
          <cell r="AM107">
            <v>0</v>
          </cell>
          <cell r="AN107">
            <v>0</v>
          </cell>
          <cell r="AO107">
            <v>0</v>
          </cell>
          <cell r="AP107">
            <v>232435</v>
          </cell>
          <cell r="AQ107">
            <v>50269</v>
          </cell>
          <cell r="AR107">
            <v>5585</v>
          </cell>
          <cell r="AS107">
            <v>-192930.49</v>
          </cell>
          <cell r="AT107">
            <v>-154344</v>
          </cell>
          <cell r="AU107">
            <v>-34728</v>
          </cell>
          <cell r="AV107">
            <v>-3859</v>
          </cell>
          <cell r="AW107">
            <v>-385861.49</v>
          </cell>
          <cell r="AX107">
            <v>-3390586</v>
          </cell>
          <cell r="AY107">
            <v>-2712468</v>
          </cell>
          <cell r="AZ107">
            <v>-610304</v>
          </cell>
          <cell r="BA107">
            <v>-67811</v>
          </cell>
          <cell r="BB107">
            <v>-6781169</v>
          </cell>
          <cell r="BC107">
            <v>43021475</v>
          </cell>
          <cell r="BD107">
            <v>-1838648</v>
          </cell>
          <cell r="BE107">
            <v>1130956</v>
          </cell>
          <cell r="BF107">
            <v>0</v>
          </cell>
          <cell r="BG107">
            <v>-2767427</v>
          </cell>
          <cell r="BH107">
            <v>0</v>
          </cell>
          <cell r="BI107">
            <v>0</v>
          </cell>
          <cell r="BJ107">
            <v>-3251</v>
          </cell>
          <cell r="BK107">
            <v>-1028846</v>
          </cell>
          <cell r="BL107">
            <v>-149848</v>
          </cell>
          <cell r="BM107">
            <v>-478338</v>
          </cell>
          <cell r="BN107">
            <v>0</v>
          </cell>
          <cell r="BO107">
            <v>0</v>
          </cell>
          <cell r="BP107">
            <v>0</v>
          </cell>
          <cell r="BQ107">
            <v>-305159</v>
          </cell>
          <cell r="BR107">
            <v>-320123</v>
          </cell>
          <cell r="BS107">
            <v>0</v>
          </cell>
          <cell r="BT107">
            <v>40876479</v>
          </cell>
          <cell r="BU107">
            <v>-89982</v>
          </cell>
          <cell r="BV107">
            <v>908760</v>
          </cell>
          <cell r="BW107">
            <v>-1302986</v>
          </cell>
          <cell r="BX107">
            <v>-1058217</v>
          </cell>
          <cell r="BY107">
            <v>-1842311</v>
          </cell>
          <cell r="BZ107">
            <v>37183072</v>
          </cell>
          <cell r="CA107">
            <v>-529110</v>
          </cell>
          <cell r="CB107">
            <v>-423287</v>
          </cell>
          <cell r="CC107">
            <v>-95238</v>
          </cell>
          <cell r="CD107">
            <v>-10582</v>
          </cell>
          <cell r="CE107">
            <v>-921156</v>
          </cell>
          <cell r="CF107">
            <v>-736924</v>
          </cell>
          <cell r="CG107">
            <v>-165808</v>
          </cell>
          <cell r="CH107">
            <v>-18423</v>
          </cell>
        </row>
        <row r="108">
          <cell r="A108">
            <v>101</v>
          </cell>
          <cell r="B108" t="str">
            <v>Fenland</v>
          </cell>
          <cell r="C108" t="str">
            <v>E0533</v>
          </cell>
          <cell r="D108">
            <v>124366</v>
          </cell>
          <cell r="H108">
            <v>-441276</v>
          </cell>
          <cell r="I108">
            <v>0</v>
          </cell>
          <cell r="J108">
            <v>124366</v>
          </cell>
          <cell r="K108">
            <v>0</v>
          </cell>
          <cell r="L108">
            <v>253074</v>
          </cell>
          <cell r="M108">
            <v>0</v>
          </cell>
          <cell r="N108">
            <v>0</v>
          </cell>
          <cell r="O108">
            <v>0</v>
          </cell>
          <cell r="P108">
            <v>0</v>
          </cell>
          <cell r="Q108">
            <v>0</v>
          </cell>
          <cell r="R108">
            <v>656002</v>
          </cell>
          <cell r="S108">
            <v>147600</v>
          </cell>
          <cell r="T108">
            <v>16400</v>
          </cell>
          <cell r="U108">
            <v>521</v>
          </cell>
          <cell r="V108">
            <v>117</v>
          </cell>
          <cell r="W108">
            <v>13</v>
          </cell>
          <cell r="X108">
            <v>0</v>
          </cell>
          <cell r="Y108">
            <v>0</v>
          </cell>
          <cell r="Z108">
            <v>0</v>
          </cell>
          <cell r="AA108">
            <v>0</v>
          </cell>
          <cell r="AB108">
            <v>0</v>
          </cell>
          <cell r="AC108">
            <v>0</v>
          </cell>
          <cell r="AD108">
            <v>0</v>
          </cell>
          <cell r="AE108">
            <v>0</v>
          </cell>
          <cell r="AF108">
            <v>0</v>
          </cell>
          <cell r="AG108">
            <v>0</v>
          </cell>
          <cell r="AH108">
            <v>0</v>
          </cell>
          <cell r="AI108">
            <v>0</v>
          </cell>
          <cell r="AM108">
            <v>0</v>
          </cell>
          <cell r="AN108">
            <v>0</v>
          </cell>
          <cell r="AO108">
            <v>0</v>
          </cell>
          <cell r="AP108">
            <v>148788</v>
          </cell>
          <cell r="AQ108">
            <v>32622</v>
          </cell>
          <cell r="AR108">
            <v>3625</v>
          </cell>
          <cell r="AS108">
            <v>-362896.53</v>
          </cell>
          <cell r="AT108">
            <v>-290318</v>
          </cell>
          <cell r="AU108">
            <v>-65322</v>
          </cell>
          <cell r="AV108">
            <v>-7257</v>
          </cell>
          <cell r="AW108">
            <v>-725793.53</v>
          </cell>
          <cell r="AX108">
            <v>-1301573</v>
          </cell>
          <cell r="AY108">
            <v>-1041259</v>
          </cell>
          <cell r="AZ108">
            <v>-234284</v>
          </cell>
          <cell r="BA108">
            <v>-26033</v>
          </cell>
          <cell r="BB108">
            <v>-2603149</v>
          </cell>
          <cell r="BC108">
            <v>25352406</v>
          </cell>
          <cell r="BD108">
            <v>-2503813</v>
          </cell>
          <cell r="BE108">
            <v>688077</v>
          </cell>
          <cell r="BF108">
            <v>0</v>
          </cell>
          <cell r="BG108">
            <v>-1999520</v>
          </cell>
          <cell r="BH108">
            <v>-34154</v>
          </cell>
          <cell r="BI108">
            <v>-29715</v>
          </cell>
          <cell r="BJ108">
            <v>0</v>
          </cell>
          <cell r="BK108">
            <v>-552925</v>
          </cell>
          <cell r="BL108">
            <v>-28920</v>
          </cell>
          <cell r="BM108">
            <v>-65636</v>
          </cell>
          <cell r="BN108">
            <v>-1068</v>
          </cell>
          <cell r="BO108">
            <v>-23184</v>
          </cell>
          <cell r="BP108">
            <v>-16803</v>
          </cell>
          <cell r="BQ108">
            <v>0</v>
          </cell>
          <cell r="BR108">
            <v>0</v>
          </cell>
          <cell r="BS108">
            <v>0</v>
          </cell>
          <cell r="BT108">
            <v>25781187</v>
          </cell>
          <cell r="BU108">
            <v>-11370</v>
          </cell>
          <cell r="BV108">
            <v>1485217</v>
          </cell>
          <cell r="BW108">
            <v>-250806</v>
          </cell>
          <cell r="BX108">
            <v>-385693</v>
          </cell>
          <cell r="BY108">
            <v>-252629</v>
          </cell>
          <cell r="BZ108">
            <v>24086734</v>
          </cell>
          <cell r="CA108">
            <v>-192846</v>
          </cell>
          <cell r="CB108">
            <v>-154277</v>
          </cell>
          <cell r="CC108">
            <v>-34712</v>
          </cell>
          <cell r="CD108">
            <v>-3858</v>
          </cell>
          <cell r="CE108">
            <v>-126314</v>
          </cell>
          <cell r="CF108">
            <v>-101052</v>
          </cell>
          <cell r="CG108">
            <v>-22737</v>
          </cell>
          <cell r="CH108">
            <v>-2526</v>
          </cell>
        </row>
        <row r="109">
          <cell r="A109">
            <v>102</v>
          </cell>
          <cell r="B109" t="str">
            <v>Forest Heath</v>
          </cell>
          <cell r="C109" t="str">
            <v>E3532</v>
          </cell>
          <cell r="D109">
            <v>90908</v>
          </cell>
          <cell r="H109">
            <v>962712</v>
          </cell>
          <cell r="I109">
            <v>0</v>
          </cell>
          <cell r="J109">
            <v>90908</v>
          </cell>
          <cell r="K109">
            <v>0</v>
          </cell>
          <cell r="L109">
            <v>97797</v>
          </cell>
          <cell r="M109">
            <v>0</v>
          </cell>
          <cell r="N109">
            <v>0</v>
          </cell>
          <cell r="O109">
            <v>0</v>
          </cell>
          <cell r="P109">
            <v>0</v>
          </cell>
          <cell r="Q109">
            <v>0</v>
          </cell>
          <cell r="R109">
            <v>394037</v>
          </cell>
          <cell r="S109">
            <v>98509</v>
          </cell>
          <cell r="T109">
            <v>0</v>
          </cell>
          <cell r="U109">
            <v>537</v>
          </cell>
          <cell r="V109">
            <v>134</v>
          </cell>
          <cell r="W109">
            <v>0</v>
          </cell>
          <cell r="X109">
            <v>0</v>
          </cell>
          <cell r="Y109">
            <v>0</v>
          </cell>
          <cell r="Z109">
            <v>0</v>
          </cell>
          <cell r="AA109">
            <v>4172</v>
          </cell>
          <cell r="AB109">
            <v>1043</v>
          </cell>
          <cell r="AC109">
            <v>0</v>
          </cell>
          <cell r="AD109">
            <v>0</v>
          </cell>
          <cell r="AE109">
            <v>0</v>
          </cell>
          <cell r="AF109">
            <v>0</v>
          </cell>
          <cell r="AG109">
            <v>0</v>
          </cell>
          <cell r="AH109">
            <v>0</v>
          </cell>
          <cell r="AI109">
            <v>0</v>
          </cell>
          <cell r="AM109">
            <v>0</v>
          </cell>
          <cell r="AN109">
            <v>0</v>
          </cell>
          <cell r="AO109">
            <v>0</v>
          </cell>
          <cell r="AP109">
            <v>148722</v>
          </cell>
          <cell r="AQ109">
            <v>36813</v>
          </cell>
          <cell r="AR109">
            <v>0</v>
          </cell>
          <cell r="AS109">
            <v>-126108.6</v>
          </cell>
          <cell r="AT109">
            <v>-100885</v>
          </cell>
          <cell r="AU109">
            <v>-25220</v>
          </cell>
          <cell r="AV109">
            <v>0</v>
          </cell>
          <cell r="AW109">
            <v>-252213.59999999998</v>
          </cell>
          <cell r="AX109">
            <v>-474369</v>
          </cell>
          <cell r="AY109">
            <v>-379497</v>
          </cell>
          <cell r="AZ109">
            <v>-94873</v>
          </cell>
          <cell r="BA109">
            <v>0</v>
          </cell>
          <cell r="BB109">
            <v>-948739</v>
          </cell>
          <cell r="BC109">
            <v>23606981</v>
          </cell>
          <cell r="BD109">
            <v>-1452888</v>
          </cell>
          <cell r="BE109">
            <v>598844</v>
          </cell>
          <cell r="BF109">
            <v>0</v>
          </cell>
          <cell r="BG109">
            <v>-1151782</v>
          </cell>
          <cell r="BH109">
            <v>-13039</v>
          </cell>
          <cell r="BI109">
            <v>-13291</v>
          </cell>
          <cell r="BJ109">
            <v>-20950</v>
          </cell>
          <cell r="BK109">
            <v>-374510</v>
          </cell>
          <cell r="BL109">
            <v>-15143</v>
          </cell>
          <cell r="BM109">
            <v>-636</v>
          </cell>
          <cell r="BN109">
            <v>-579</v>
          </cell>
          <cell r="BO109">
            <v>-3575</v>
          </cell>
          <cell r="BP109">
            <v>0</v>
          </cell>
          <cell r="BQ109">
            <v>-1920</v>
          </cell>
          <cell r="BR109">
            <v>0</v>
          </cell>
          <cell r="BS109">
            <v>0</v>
          </cell>
          <cell r="BT109">
            <v>23847898</v>
          </cell>
          <cell r="BU109">
            <v>-181446</v>
          </cell>
          <cell r="BV109">
            <v>793300</v>
          </cell>
          <cell r="BW109">
            <v>-334673</v>
          </cell>
          <cell r="BX109">
            <v>2348480</v>
          </cell>
          <cell r="BY109">
            <v>1843030</v>
          </cell>
          <cell r="BZ109">
            <v>24507067</v>
          </cell>
          <cell r="CA109">
            <v>1174241</v>
          </cell>
          <cell r="CB109">
            <v>939391</v>
          </cell>
          <cell r="CC109">
            <v>234848</v>
          </cell>
          <cell r="CD109">
            <v>0</v>
          </cell>
          <cell r="CE109">
            <v>921515</v>
          </cell>
          <cell r="CF109">
            <v>737212</v>
          </cell>
          <cell r="CG109">
            <v>184303</v>
          </cell>
          <cell r="CH109">
            <v>0</v>
          </cell>
        </row>
        <row r="110">
          <cell r="A110">
            <v>103</v>
          </cell>
          <cell r="B110" t="str">
            <v>Forest of Dean</v>
          </cell>
          <cell r="C110" t="str">
            <v>E1633</v>
          </cell>
          <cell r="D110">
            <v>119111</v>
          </cell>
          <cell r="H110">
            <v>811542</v>
          </cell>
          <cell r="I110">
            <v>0</v>
          </cell>
          <cell r="J110">
            <v>119111</v>
          </cell>
          <cell r="K110">
            <v>0</v>
          </cell>
          <cell r="L110">
            <v>73768</v>
          </cell>
          <cell r="M110">
            <v>0</v>
          </cell>
          <cell r="N110">
            <v>0</v>
          </cell>
          <cell r="O110">
            <v>0</v>
          </cell>
          <cell r="P110">
            <v>0</v>
          </cell>
          <cell r="Q110">
            <v>0</v>
          </cell>
          <cell r="R110">
            <v>592151</v>
          </cell>
          <cell r="S110">
            <v>148038</v>
          </cell>
          <cell r="T110">
            <v>0</v>
          </cell>
          <cell r="U110">
            <v>1918</v>
          </cell>
          <cell r="V110">
            <v>479</v>
          </cell>
          <cell r="W110">
            <v>0</v>
          </cell>
          <cell r="X110">
            <v>812</v>
          </cell>
          <cell r="Y110">
            <v>203</v>
          </cell>
          <cell r="Z110">
            <v>0</v>
          </cell>
          <cell r="AA110">
            <v>0</v>
          </cell>
          <cell r="AB110">
            <v>0</v>
          </cell>
          <cell r="AC110">
            <v>0</v>
          </cell>
          <cell r="AD110">
            <v>0</v>
          </cell>
          <cell r="AE110">
            <v>0</v>
          </cell>
          <cell r="AF110">
            <v>0</v>
          </cell>
          <cell r="AG110">
            <v>0</v>
          </cell>
          <cell r="AH110">
            <v>0</v>
          </cell>
          <cell r="AI110">
            <v>0</v>
          </cell>
          <cell r="AM110">
            <v>0</v>
          </cell>
          <cell r="AN110">
            <v>0</v>
          </cell>
          <cell r="AO110">
            <v>0</v>
          </cell>
          <cell r="AP110">
            <v>76352</v>
          </cell>
          <cell r="AQ110">
            <v>18811</v>
          </cell>
          <cell r="AR110">
            <v>0</v>
          </cell>
          <cell r="AS110">
            <v>-135000</v>
          </cell>
          <cell r="AT110">
            <v>-107999</v>
          </cell>
          <cell r="AU110">
            <v>-27001</v>
          </cell>
          <cell r="AV110">
            <v>0</v>
          </cell>
          <cell r="AW110">
            <v>-270000</v>
          </cell>
          <cell r="AX110">
            <v>-253554</v>
          </cell>
          <cell r="AY110">
            <v>-202844</v>
          </cell>
          <cell r="AZ110">
            <v>-50712</v>
          </cell>
          <cell r="BA110">
            <v>0</v>
          </cell>
          <cell r="BB110">
            <v>-507110</v>
          </cell>
          <cell r="BC110">
            <v>12001499</v>
          </cell>
          <cell r="BD110">
            <v>-2511643</v>
          </cell>
          <cell r="BE110">
            <v>313745</v>
          </cell>
          <cell r="BF110">
            <v>0</v>
          </cell>
          <cell r="BG110">
            <v>-1612685</v>
          </cell>
          <cell r="BH110">
            <v>-6505</v>
          </cell>
          <cell r="BI110">
            <v>-49094</v>
          </cell>
          <cell r="BJ110">
            <v>-3121</v>
          </cell>
          <cell r="BK110">
            <v>-373414</v>
          </cell>
          <cell r="BL110">
            <v>-30296</v>
          </cell>
          <cell r="BM110">
            <v>-26661</v>
          </cell>
          <cell r="BN110">
            <v>-162</v>
          </cell>
          <cell r="BO110">
            <v>-12177</v>
          </cell>
          <cell r="BP110">
            <v>0</v>
          </cell>
          <cell r="BQ110">
            <v>0</v>
          </cell>
          <cell r="BR110">
            <v>0</v>
          </cell>
          <cell r="BS110">
            <v>0</v>
          </cell>
          <cell r="BT110">
            <v>11910268</v>
          </cell>
          <cell r="BU110">
            <v>-187463</v>
          </cell>
          <cell r="BV110">
            <v>410612</v>
          </cell>
          <cell r="BW110">
            <v>-134067</v>
          </cell>
          <cell r="BX110">
            <v>-437374</v>
          </cell>
          <cell r="BY110">
            <v>-286992</v>
          </cell>
          <cell r="BZ110">
            <v>12522675</v>
          </cell>
          <cell r="CA110">
            <v>-218688</v>
          </cell>
          <cell r="CB110">
            <v>-174949</v>
          </cell>
          <cell r="CC110">
            <v>-43737</v>
          </cell>
          <cell r="CD110">
            <v>0</v>
          </cell>
          <cell r="CE110">
            <v>-143496</v>
          </cell>
          <cell r="CF110">
            <v>-114797</v>
          </cell>
          <cell r="CG110">
            <v>-28699</v>
          </cell>
          <cell r="CH110">
            <v>0</v>
          </cell>
        </row>
        <row r="111">
          <cell r="A111">
            <v>104</v>
          </cell>
          <cell r="B111" t="str">
            <v>Fylde</v>
          </cell>
          <cell r="C111" t="str">
            <v>E2335</v>
          </cell>
          <cell r="D111">
            <v>112715</v>
          </cell>
          <cell r="H111">
            <v>-555386</v>
          </cell>
          <cell r="I111">
            <v>-119259</v>
          </cell>
          <cell r="J111">
            <v>112715</v>
          </cell>
          <cell r="K111">
            <v>0</v>
          </cell>
          <cell r="L111">
            <v>39531</v>
          </cell>
          <cell r="M111">
            <v>0</v>
          </cell>
          <cell r="N111">
            <v>39375</v>
          </cell>
          <cell r="O111">
            <v>39375</v>
          </cell>
          <cell r="P111">
            <v>0</v>
          </cell>
          <cell r="Q111">
            <v>0</v>
          </cell>
          <cell r="R111">
            <v>610611</v>
          </cell>
          <cell r="S111">
            <v>134742</v>
          </cell>
          <cell r="T111">
            <v>14971</v>
          </cell>
          <cell r="U111">
            <v>1380</v>
          </cell>
          <cell r="V111">
            <v>311</v>
          </cell>
          <cell r="W111">
            <v>35</v>
          </cell>
          <cell r="X111">
            <v>15077</v>
          </cell>
          <cell r="Y111">
            <v>3392</v>
          </cell>
          <cell r="Z111">
            <v>377</v>
          </cell>
          <cell r="AA111">
            <v>2483</v>
          </cell>
          <cell r="AB111">
            <v>559</v>
          </cell>
          <cell r="AC111">
            <v>62</v>
          </cell>
          <cell r="AD111">
            <v>0</v>
          </cell>
          <cell r="AE111">
            <v>0</v>
          </cell>
          <cell r="AF111">
            <v>0</v>
          </cell>
          <cell r="AG111">
            <v>0</v>
          </cell>
          <cell r="AH111">
            <v>0</v>
          </cell>
          <cell r="AI111">
            <v>0</v>
          </cell>
          <cell r="AM111">
            <v>0</v>
          </cell>
          <cell r="AN111">
            <v>0</v>
          </cell>
          <cell r="AO111">
            <v>0</v>
          </cell>
          <cell r="AP111">
            <v>147689</v>
          </cell>
          <cell r="AQ111">
            <v>32963</v>
          </cell>
          <cell r="AR111">
            <v>3663</v>
          </cell>
          <cell r="AS111">
            <v>-437111</v>
          </cell>
          <cell r="AT111">
            <v>-349691</v>
          </cell>
          <cell r="AU111">
            <v>-78681</v>
          </cell>
          <cell r="AV111">
            <v>-8743</v>
          </cell>
          <cell r="AW111">
            <v>-874226</v>
          </cell>
          <cell r="AX111">
            <v>-2461082</v>
          </cell>
          <cell r="AY111">
            <v>-1968866</v>
          </cell>
          <cell r="AZ111">
            <v>-442994</v>
          </cell>
          <cell r="BA111">
            <v>-49222</v>
          </cell>
          <cell r="BB111">
            <v>-4922164</v>
          </cell>
          <cell r="BC111">
            <v>31118974</v>
          </cell>
          <cell r="BD111">
            <v>-2290914</v>
          </cell>
          <cell r="BE111">
            <v>684420</v>
          </cell>
          <cell r="BF111">
            <v>0</v>
          </cell>
          <cell r="BG111">
            <v>-1241186</v>
          </cell>
          <cell r="BH111">
            <v>-7843</v>
          </cell>
          <cell r="BI111">
            <v>-7419</v>
          </cell>
          <cell r="BJ111">
            <v>0</v>
          </cell>
          <cell r="BK111">
            <v>-681160</v>
          </cell>
          <cell r="BL111">
            <v>-62589</v>
          </cell>
          <cell r="BM111">
            <v>-19294</v>
          </cell>
          <cell r="BN111">
            <v>-1073</v>
          </cell>
          <cell r="BO111">
            <v>-6445</v>
          </cell>
          <cell r="BP111">
            <v>0</v>
          </cell>
          <cell r="BQ111">
            <v>-50452</v>
          </cell>
          <cell r="BR111">
            <v>0</v>
          </cell>
          <cell r="BS111">
            <v>-50452</v>
          </cell>
          <cell r="BT111">
            <v>27169546</v>
          </cell>
          <cell r="BU111">
            <v>-191891</v>
          </cell>
          <cell r="BV111">
            <v>1844380</v>
          </cell>
          <cell r="BW111">
            <v>-929582</v>
          </cell>
          <cell r="BX111">
            <v>3504449</v>
          </cell>
          <cell r="BY111">
            <v>2828185</v>
          </cell>
          <cell r="BZ111">
            <v>24382463</v>
          </cell>
          <cell r="CA111">
            <v>1752224</v>
          </cell>
          <cell r="CB111">
            <v>1401780</v>
          </cell>
          <cell r="CC111">
            <v>315401</v>
          </cell>
          <cell r="CD111">
            <v>35044</v>
          </cell>
          <cell r="CE111">
            <v>1414092</v>
          </cell>
          <cell r="CF111">
            <v>1131274</v>
          </cell>
          <cell r="CG111">
            <v>254537</v>
          </cell>
          <cell r="CH111">
            <v>28282</v>
          </cell>
        </row>
        <row r="112">
          <cell r="A112">
            <v>105</v>
          </cell>
          <cell r="B112" t="str">
            <v>Gateshead</v>
          </cell>
          <cell r="C112" t="str">
            <v>E4501</v>
          </cell>
          <cell r="D112">
            <v>285107</v>
          </cell>
          <cell r="H112">
            <v>-2670074</v>
          </cell>
          <cell r="I112">
            <v>-1569</v>
          </cell>
          <cell r="J112">
            <v>285107</v>
          </cell>
          <cell r="K112">
            <v>481708</v>
          </cell>
          <cell r="L112">
            <v>0</v>
          </cell>
          <cell r="M112">
            <v>0</v>
          </cell>
          <cell r="N112">
            <v>0</v>
          </cell>
          <cell r="O112">
            <v>0</v>
          </cell>
          <cell r="P112">
            <v>0</v>
          </cell>
          <cell r="Q112">
            <v>0</v>
          </cell>
          <cell r="R112">
            <v>1346893</v>
          </cell>
          <cell r="S112">
            <v>0</v>
          </cell>
          <cell r="T112">
            <v>26735</v>
          </cell>
          <cell r="U112">
            <v>0</v>
          </cell>
          <cell r="V112">
            <v>0</v>
          </cell>
          <cell r="W112">
            <v>0</v>
          </cell>
          <cell r="X112">
            <v>0</v>
          </cell>
          <cell r="Y112">
            <v>0</v>
          </cell>
          <cell r="Z112">
            <v>0</v>
          </cell>
          <cell r="AA112">
            <v>18402</v>
          </cell>
          <cell r="AB112">
            <v>0</v>
          </cell>
          <cell r="AC112">
            <v>376</v>
          </cell>
          <cell r="AD112">
            <v>0</v>
          </cell>
          <cell r="AE112">
            <v>0</v>
          </cell>
          <cell r="AF112">
            <v>0</v>
          </cell>
          <cell r="AG112">
            <v>0</v>
          </cell>
          <cell r="AH112">
            <v>0</v>
          </cell>
          <cell r="AI112">
            <v>0</v>
          </cell>
          <cell r="AM112">
            <v>0</v>
          </cell>
          <cell r="AN112">
            <v>0</v>
          </cell>
          <cell r="AO112">
            <v>0</v>
          </cell>
          <cell r="AP112">
            <v>669670</v>
          </cell>
          <cell r="AQ112">
            <v>0</v>
          </cell>
          <cell r="AR112">
            <v>13519</v>
          </cell>
          <cell r="AS112">
            <v>-1582500</v>
          </cell>
          <cell r="AT112">
            <v>-1550850</v>
          </cell>
          <cell r="AU112">
            <v>0</v>
          </cell>
          <cell r="AV112">
            <v>-31650</v>
          </cell>
          <cell r="AW112">
            <v>-3165000</v>
          </cell>
          <cell r="AX112">
            <v>-1689937</v>
          </cell>
          <cell r="AY112">
            <v>-1656139</v>
          </cell>
          <cell r="AZ112">
            <v>0</v>
          </cell>
          <cell r="BA112">
            <v>-33799</v>
          </cell>
          <cell r="BB112">
            <v>-3379875</v>
          </cell>
          <cell r="BC112">
            <v>88480501</v>
          </cell>
          <cell r="BD112">
            <v>-4147847</v>
          </cell>
          <cell r="BE112">
            <v>2568725</v>
          </cell>
          <cell r="BF112">
            <v>0</v>
          </cell>
          <cell r="BG112">
            <v>-4092112</v>
          </cell>
          <cell r="BH112">
            <v>-87074</v>
          </cell>
          <cell r="BI112">
            <v>-10772</v>
          </cell>
          <cell r="BJ112">
            <v>-6608</v>
          </cell>
          <cell r="BK112">
            <v>-4403888</v>
          </cell>
          <cell r="BL112">
            <v>-118667</v>
          </cell>
          <cell r="BM112">
            <v>-49377</v>
          </cell>
          <cell r="BN112">
            <v>-736</v>
          </cell>
          <cell r="BO112">
            <v>0</v>
          </cell>
          <cell r="BP112">
            <v>0</v>
          </cell>
          <cell r="BQ112">
            <v>0</v>
          </cell>
          <cell r="BR112">
            <v>0</v>
          </cell>
          <cell r="BS112">
            <v>0</v>
          </cell>
          <cell r="BT112">
            <v>92890842</v>
          </cell>
          <cell r="BU112">
            <v>-3165000</v>
          </cell>
          <cell r="BV112">
            <v>4646834</v>
          </cell>
          <cell r="BW112">
            <v>-2284362</v>
          </cell>
          <cell r="BX112">
            <v>-7697184</v>
          </cell>
          <cell r="BY112">
            <v>-7117471</v>
          </cell>
          <cell r="BZ112">
            <v>89998370</v>
          </cell>
          <cell r="CA112">
            <v>-3848591</v>
          </cell>
          <cell r="CB112">
            <v>-3771621</v>
          </cell>
          <cell r="CC112">
            <v>0</v>
          </cell>
          <cell r="CD112">
            <v>-76972</v>
          </cell>
          <cell r="CE112">
            <v>-3558735</v>
          </cell>
          <cell r="CF112">
            <v>-3487561</v>
          </cell>
          <cell r="CG112">
            <v>0</v>
          </cell>
          <cell r="CH112">
            <v>-71175</v>
          </cell>
        </row>
        <row r="113">
          <cell r="A113">
            <v>106</v>
          </cell>
          <cell r="B113" t="str">
            <v>Gedling</v>
          </cell>
          <cell r="C113" t="str">
            <v>E3034</v>
          </cell>
          <cell r="D113">
            <v>100864</v>
          </cell>
          <cell r="H113">
            <v>532556.47</v>
          </cell>
          <cell r="I113">
            <v>0</v>
          </cell>
          <cell r="J113">
            <v>100864</v>
          </cell>
          <cell r="K113">
            <v>0</v>
          </cell>
          <cell r="L113">
            <v>74525</v>
          </cell>
          <cell r="M113">
            <v>0</v>
          </cell>
          <cell r="N113">
            <v>0</v>
          </cell>
          <cell r="O113">
            <v>0</v>
          </cell>
          <cell r="P113">
            <v>0</v>
          </cell>
          <cell r="Q113">
            <v>0</v>
          </cell>
          <cell r="R113">
            <v>451887</v>
          </cell>
          <cell r="S113">
            <v>101674</v>
          </cell>
          <cell r="T113">
            <v>11297</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M113">
            <v>0</v>
          </cell>
          <cell r="AN113">
            <v>0</v>
          </cell>
          <cell r="AO113">
            <v>0</v>
          </cell>
          <cell r="AP113">
            <v>139789</v>
          </cell>
          <cell r="AQ113">
            <v>31201</v>
          </cell>
          <cell r="AR113">
            <v>3467</v>
          </cell>
          <cell r="AS113">
            <v>-95437</v>
          </cell>
          <cell r="AT113">
            <v>-76351</v>
          </cell>
          <cell r="AU113">
            <v>-17180</v>
          </cell>
          <cell r="AV113">
            <v>-1908</v>
          </cell>
          <cell r="AW113">
            <v>-190876</v>
          </cell>
          <cell r="AX113">
            <v>-1297588</v>
          </cell>
          <cell r="AY113">
            <v>-1038070</v>
          </cell>
          <cell r="AZ113">
            <v>-233566</v>
          </cell>
          <cell r="BA113">
            <v>-25951</v>
          </cell>
          <cell r="BB113">
            <v>-2595175</v>
          </cell>
          <cell r="BC113">
            <v>21876415</v>
          </cell>
          <cell r="BD113">
            <v>-1737459</v>
          </cell>
          <cell r="BE113">
            <v>565261</v>
          </cell>
          <cell r="BF113">
            <v>0</v>
          </cell>
          <cell r="BG113">
            <v>-1346737</v>
          </cell>
          <cell r="BH113">
            <v>-49799</v>
          </cell>
          <cell r="BI113">
            <v>-478</v>
          </cell>
          <cell r="BJ113">
            <v>0</v>
          </cell>
          <cell r="BK113">
            <v>-412180</v>
          </cell>
          <cell r="BL113">
            <v>-76688</v>
          </cell>
          <cell r="BM113">
            <v>-45171</v>
          </cell>
          <cell r="BN113">
            <v>-5989</v>
          </cell>
          <cell r="BO113">
            <v>-5125</v>
          </cell>
          <cell r="BP113">
            <v>0</v>
          </cell>
          <cell r="BQ113">
            <v>0</v>
          </cell>
          <cell r="BR113">
            <v>0</v>
          </cell>
          <cell r="BS113">
            <v>0</v>
          </cell>
          <cell r="BT113">
            <v>22435020</v>
          </cell>
          <cell r="BU113">
            <v>-61680</v>
          </cell>
          <cell r="BV113">
            <v>432934</v>
          </cell>
          <cell r="BW113">
            <v>-320968</v>
          </cell>
          <cell r="BX113">
            <v>386600</v>
          </cell>
          <cell r="BY113">
            <v>583482</v>
          </cell>
          <cell r="BZ113">
            <v>23078503</v>
          </cell>
          <cell r="CA113">
            <v>193300</v>
          </cell>
          <cell r="CB113">
            <v>154640</v>
          </cell>
          <cell r="CC113">
            <v>34794</v>
          </cell>
          <cell r="CD113">
            <v>3866</v>
          </cell>
          <cell r="CE113">
            <v>291741</v>
          </cell>
          <cell r="CF113">
            <v>233393</v>
          </cell>
          <cell r="CG113">
            <v>52513</v>
          </cell>
          <cell r="CH113">
            <v>5835</v>
          </cell>
        </row>
        <row r="114">
          <cell r="A114">
            <v>107</v>
          </cell>
          <cell r="B114" t="str">
            <v>Gloucester</v>
          </cell>
          <cell r="C114" t="str">
            <v>E1634</v>
          </cell>
          <cell r="D114">
            <v>174575</v>
          </cell>
          <cell r="H114">
            <v>-2088773</v>
          </cell>
          <cell r="I114">
            <v>0</v>
          </cell>
          <cell r="J114">
            <v>174575</v>
          </cell>
          <cell r="K114">
            <v>0</v>
          </cell>
          <cell r="L114">
            <v>0</v>
          </cell>
          <cell r="M114">
            <v>0</v>
          </cell>
          <cell r="N114">
            <v>0</v>
          </cell>
          <cell r="O114">
            <v>0</v>
          </cell>
          <cell r="P114">
            <v>0</v>
          </cell>
          <cell r="Q114">
            <v>0</v>
          </cell>
          <cell r="R114">
            <v>633815</v>
          </cell>
          <cell r="S114">
            <v>158454</v>
          </cell>
          <cell r="T114">
            <v>0</v>
          </cell>
          <cell r="U114">
            <v>0</v>
          </cell>
          <cell r="V114">
            <v>0</v>
          </cell>
          <cell r="W114">
            <v>0</v>
          </cell>
          <cell r="X114">
            <v>318</v>
          </cell>
          <cell r="Y114">
            <v>79</v>
          </cell>
          <cell r="Z114">
            <v>0</v>
          </cell>
          <cell r="AA114">
            <v>654</v>
          </cell>
          <cell r="AB114">
            <v>164</v>
          </cell>
          <cell r="AC114">
            <v>0</v>
          </cell>
          <cell r="AD114">
            <v>0</v>
          </cell>
          <cell r="AE114">
            <v>0</v>
          </cell>
          <cell r="AF114">
            <v>0</v>
          </cell>
          <cell r="AG114">
            <v>0</v>
          </cell>
          <cell r="AH114">
            <v>0</v>
          </cell>
          <cell r="AI114">
            <v>0</v>
          </cell>
          <cell r="AM114">
            <v>0</v>
          </cell>
          <cell r="AN114">
            <v>0</v>
          </cell>
          <cell r="AO114">
            <v>0</v>
          </cell>
          <cell r="AP114">
            <v>314084</v>
          </cell>
          <cell r="AQ114">
            <v>78521</v>
          </cell>
          <cell r="AR114">
            <v>0</v>
          </cell>
          <cell r="AS114">
            <v>-845219</v>
          </cell>
          <cell r="AT114">
            <v>-676177</v>
          </cell>
          <cell r="AU114">
            <v>-169044</v>
          </cell>
          <cell r="AV114">
            <v>0</v>
          </cell>
          <cell r="AW114">
            <v>-1690440</v>
          </cell>
          <cell r="AX114">
            <v>-1483125</v>
          </cell>
          <cell r="AY114">
            <v>-1186499</v>
          </cell>
          <cell r="AZ114">
            <v>-296623</v>
          </cell>
          <cell r="BA114">
            <v>0</v>
          </cell>
          <cell r="BB114">
            <v>-2966247</v>
          </cell>
          <cell r="BC114">
            <v>51417625</v>
          </cell>
          <cell r="BD114">
            <v>-2084482</v>
          </cell>
          <cell r="BE114">
            <v>1474296</v>
          </cell>
          <cell r="BF114">
            <v>0</v>
          </cell>
          <cell r="BG114">
            <v>-3473845</v>
          </cell>
          <cell r="BH114">
            <v>-40277</v>
          </cell>
          <cell r="BI114">
            <v>0</v>
          </cell>
          <cell r="BJ114">
            <v>-41211</v>
          </cell>
          <cell r="BK114">
            <v>-2111495</v>
          </cell>
          <cell r="BL114">
            <v>-2311</v>
          </cell>
          <cell r="BM114">
            <v>-78277</v>
          </cell>
          <cell r="BN114">
            <v>0</v>
          </cell>
          <cell r="BO114">
            <v>0</v>
          </cell>
          <cell r="BP114">
            <v>0</v>
          </cell>
          <cell r="BQ114">
            <v>0</v>
          </cell>
          <cell r="BR114">
            <v>0</v>
          </cell>
          <cell r="BS114">
            <v>0</v>
          </cell>
          <cell r="BT114">
            <v>53012693</v>
          </cell>
          <cell r="BU114">
            <v>-29158</v>
          </cell>
          <cell r="BV114">
            <v>2469895</v>
          </cell>
          <cell r="BW114">
            <v>-1153394</v>
          </cell>
          <cell r="BX114">
            <v>-4306930</v>
          </cell>
          <cell r="BY114">
            <v>-3012265</v>
          </cell>
          <cell r="BZ114">
            <v>52272497</v>
          </cell>
          <cell r="CA114">
            <v>-2153465</v>
          </cell>
          <cell r="CB114">
            <v>-1722772</v>
          </cell>
          <cell r="CC114">
            <v>-430693</v>
          </cell>
          <cell r="CD114">
            <v>0</v>
          </cell>
          <cell r="CE114">
            <v>-1506132</v>
          </cell>
          <cell r="CF114">
            <v>-1204906</v>
          </cell>
          <cell r="CG114">
            <v>-301227</v>
          </cell>
          <cell r="CH114">
            <v>0</v>
          </cell>
        </row>
        <row r="115">
          <cell r="A115">
            <v>108</v>
          </cell>
          <cell r="B115" t="str">
            <v>Gosport</v>
          </cell>
          <cell r="C115" t="str">
            <v>E1735</v>
          </cell>
          <cell r="D115">
            <v>78069</v>
          </cell>
          <cell r="H115">
            <v>-283920</v>
          </cell>
          <cell r="I115">
            <v>-36333</v>
          </cell>
          <cell r="J115">
            <v>78069</v>
          </cell>
          <cell r="K115">
            <v>0</v>
          </cell>
          <cell r="L115">
            <v>0</v>
          </cell>
          <cell r="M115">
            <v>0</v>
          </cell>
          <cell r="N115">
            <v>64685</v>
          </cell>
          <cell r="O115">
            <v>64685</v>
          </cell>
          <cell r="P115">
            <v>0</v>
          </cell>
          <cell r="Q115">
            <v>0</v>
          </cell>
          <cell r="R115">
            <v>484458</v>
          </cell>
          <cell r="S115">
            <v>101155</v>
          </cell>
          <cell r="T115">
            <v>11239</v>
          </cell>
          <cell r="U115">
            <v>7105</v>
          </cell>
          <cell r="V115">
            <v>457</v>
          </cell>
          <cell r="W115">
            <v>51</v>
          </cell>
          <cell r="X115">
            <v>2030</v>
          </cell>
          <cell r="Y115">
            <v>457</v>
          </cell>
          <cell r="Z115">
            <v>51</v>
          </cell>
          <cell r="AA115">
            <v>23</v>
          </cell>
          <cell r="AB115">
            <v>5</v>
          </cell>
          <cell r="AC115">
            <v>1</v>
          </cell>
          <cell r="AD115">
            <v>0</v>
          </cell>
          <cell r="AE115">
            <v>0</v>
          </cell>
          <cell r="AF115">
            <v>0</v>
          </cell>
          <cell r="AG115">
            <v>0</v>
          </cell>
          <cell r="AH115">
            <v>0</v>
          </cell>
          <cell r="AI115">
            <v>0</v>
          </cell>
          <cell r="AM115">
            <v>0</v>
          </cell>
          <cell r="AN115">
            <v>0</v>
          </cell>
          <cell r="AO115">
            <v>0</v>
          </cell>
          <cell r="AP115">
            <v>88587</v>
          </cell>
          <cell r="AQ115">
            <v>19713</v>
          </cell>
          <cell r="AR115">
            <v>2190</v>
          </cell>
          <cell r="AS115">
            <v>-467600</v>
          </cell>
          <cell r="AT115">
            <v>-374080</v>
          </cell>
          <cell r="AU115">
            <v>-84168</v>
          </cell>
          <cell r="AV115">
            <v>-9352</v>
          </cell>
          <cell r="AW115">
            <v>-935200</v>
          </cell>
          <cell r="AX115">
            <v>-1389653</v>
          </cell>
          <cell r="AY115">
            <v>-1111721</v>
          </cell>
          <cell r="AZ115">
            <v>-250137</v>
          </cell>
          <cell r="BA115">
            <v>-27793</v>
          </cell>
          <cell r="BB115">
            <v>-2779304</v>
          </cell>
          <cell r="BC115">
            <v>16854820</v>
          </cell>
          <cell r="BD115">
            <v>-1422488</v>
          </cell>
          <cell r="BE115">
            <v>429166</v>
          </cell>
          <cell r="BF115">
            <v>0</v>
          </cell>
          <cell r="BG115">
            <v>-1158694</v>
          </cell>
          <cell r="BH115">
            <v>-15523</v>
          </cell>
          <cell r="BI115">
            <v>0</v>
          </cell>
          <cell r="BJ115">
            <v>0</v>
          </cell>
          <cell r="BK115">
            <v>-398307</v>
          </cell>
          <cell r="BL115">
            <v>-114660</v>
          </cell>
          <cell r="BM115">
            <v>-72260</v>
          </cell>
          <cell r="BN115">
            <v>0</v>
          </cell>
          <cell r="BO115">
            <v>0</v>
          </cell>
          <cell r="BP115">
            <v>0</v>
          </cell>
          <cell r="BQ115">
            <v>-120862</v>
          </cell>
          <cell r="BR115">
            <v>-111897</v>
          </cell>
          <cell r="BS115">
            <v>0</v>
          </cell>
          <cell r="BT115">
            <v>15234230</v>
          </cell>
          <cell r="BU115">
            <v>-115483</v>
          </cell>
          <cell r="BV115">
            <v>1165692</v>
          </cell>
          <cell r="BW115">
            <v>-37017</v>
          </cell>
          <cell r="BX115">
            <v>956283</v>
          </cell>
          <cell r="BY115">
            <v>1189948</v>
          </cell>
          <cell r="BZ115">
            <v>14581694</v>
          </cell>
          <cell r="CA115">
            <v>478142</v>
          </cell>
          <cell r="CB115">
            <v>382514</v>
          </cell>
          <cell r="CC115">
            <v>86065</v>
          </cell>
          <cell r="CD115">
            <v>9562</v>
          </cell>
          <cell r="CE115">
            <v>594975</v>
          </cell>
          <cell r="CF115">
            <v>475979</v>
          </cell>
          <cell r="CG115">
            <v>107095</v>
          </cell>
          <cell r="CH115">
            <v>11899</v>
          </cell>
        </row>
        <row r="116">
          <cell r="A116">
            <v>109</v>
          </cell>
          <cell r="B116" t="str">
            <v>Gravesham</v>
          </cell>
          <cell r="C116" t="str">
            <v>E2236</v>
          </cell>
          <cell r="D116">
            <v>94419</v>
          </cell>
          <cell r="H116">
            <v>-443714</v>
          </cell>
          <cell r="I116">
            <v>0</v>
          </cell>
          <cell r="J116">
            <v>94419</v>
          </cell>
          <cell r="K116">
            <v>0</v>
          </cell>
          <cell r="L116">
            <v>0</v>
          </cell>
          <cell r="M116">
            <v>0</v>
          </cell>
          <cell r="N116">
            <v>0</v>
          </cell>
          <cell r="O116">
            <v>0</v>
          </cell>
          <cell r="P116">
            <v>0</v>
          </cell>
          <cell r="Q116">
            <v>0</v>
          </cell>
          <cell r="R116">
            <v>468157</v>
          </cell>
          <cell r="S116">
            <v>105335</v>
          </cell>
          <cell r="T116">
            <v>11704</v>
          </cell>
          <cell r="U116">
            <v>0</v>
          </cell>
          <cell r="V116">
            <v>0</v>
          </cell>
          <cell r="W116">
            <v>0</v>
          </cell>
          <cell r="X116">
            <v>0</v>
          </cell>
          <cell r="Y116">
            <v>0</v>
          </cell>
          <cell r="Z116">
            <v>0</v>
          </cell>
          <cell r="AA116">
            <v>6027</v>
          </cell>
          <cell r="AB116">
            <v>1356</v>
          </cell>
          <cell r="AC116">
            <v>151</v>
          </cell>
          <cell r="AD116">
            <v>0</v>
          </cell>
          <cell r="AE116">
            <v>0</v>
          </cell>
          <cell r="AF116">
            <v>0</v>
          </cell>
          <cell r="AG116">
            <v>0</v>
          </cell>
          <cell r="AH116">
            <v>0</v>
          </cell>
          <cell r="AI116">
            <v>0</v>
          </cell>
          <cell r="AM116">
            <v>0</v>
          </cell>
          <cell r="AN116">
            <v>0</v>
          </cell>
          <cell r="AO116">
            <v>0</v>
          </cell>
          <cell r="AP116">
            <v>139488</v>
          </cell>
          <cell r="AQ116">
            <v>31385</v>
          </cell>
          <cell r="AR116">
            <v>3487</v>
          </cell>
          <cell r="AS116">
            <v>-528719</v>
          </cell>
          <cell r="AT116">
            <v>-422975.6</v>
          </cell>
          <cell r="AU116">
            <v>-95171</v>
          </cell>
          <cell r="AV116">
            <v>-10573</v>
          </cell>
          <cell r="AW116">
            <v>-1057439</v>
          </cell>
          <cell r="AX116">
            <v>-2317000</v>
          </cell>
          <cell r="AY116">
            <v>-1853600</v>
          </cell>
          <cell r="AZ116">
            <v>-417060</v>
          </cell>
          <cell r="BA116">
            <v>-46340</v>
          </cell>
          <cell r="BB116">
            <v>-4634000</v>
          </cell>
          <cell r="BC116">
            <v>23903819</v>
          </cell>
          <cell r="BD116">
            <v>-1724832</v>
          </cell>
          <cell r="BE116">
            <v>678214</v>
          </cell>
          <cell r="BF116">
            <v>0</v>
          </cell>
          <cell r="BG116">
            <v>-2498962</v>
          </cell>
          <cell r="BH116">
            <v>-39352</v>
          </cell>
          <cell r="BI116">
            <v>-8863</v>
          </cell>
          <cell r="BJ116">
            <v>0</v>
          </cell>
          <cell r="BK116">
            <v>-1033184</v>
          </cell>
          <cell r="BL116">
            <v>-103976</v>
          </cell>
          <cell r="BM116">
            <v>-17571</v>
          </cell>
          <cell r="BN116">
            <v>-226</v>
          </cell>
          <cell r="BO116">
            <v>-2988</v>
          </cell>
          <cell r="BP116">
            <v>0</v>
          </cell>
          <cell r="BQ116">
            <v>0</v>
          </cell>
          <cell r="BR116">
            <v>0</v>
          </cell>
          <cell r="BS116">
            <v>0</v>
          </cell>
          <cell r="BT116">
            <v>24806558</v>
          </cell>
          <cell r="BU116">
            <v>-231302</v>
          </cell>
          <cell r="BV116">
            <v>1194227</v>
          </cell>
          <cell r="BW116">
            <v>-17598</v>
          </cell>
          <cell r="BX116">
            <v>-391301</v>
          </cell>
          <cell r="BY116">
            <v>0</v>
          </cell>
          <cell r="BZ116">
            <v>23214803</v>
          </cell>
          <cell r="CA116">
            <v>-195652</v>
          </cell>
          <cell r="CB116">
            <v>-156519</v>
          </cell>
          <cell r="CC116">
            <v>-35216</v>
          </cell>
          <cell r="CD116">
            <v>-3914</v>
          </cell>
          <cell r="CE116">
            <v>0</v>
          </cell>
          <cell r="CF116">
            <v>0</v>
          </cell>
          <cell r="CG116">
            <v>0</v>
          </cell>
          <cell r="CH116">
            <v>0</v>
          </cell>
        </row>
        <row r="117">
          <cell r="A117">
            <v>110</v>
          </cell>
          <cell r="B117" t="str">
            <v>Great Yarmouth</v>
          </cell>
          <cell r="C117" t="str">
            <v>E2633</v>
          </cell>
          <cell r="D117">
            <v>179649</v>
          </cell>
          <cell r="H117">
            <v>-1818763</v>
          </cell>
          <cell r="I117">
            <v>-15630</v>
          </cell>
          <cell r="J117">
            <v>179649</v>
          </cell>
          <cell r="K117">
            <v>207196</v>
          </cell>
          <cell r="L117">
            <v>49763</v>
          </cell>
          <cell r="M117">
            <v>0</v>
          </cell>
          <cell r="N117">
            <v>509477</v>
          </cell>
          <cell r="O117">
            <v>509477</v>
          </cell>
          <cell r="P117">
            <v>0</v>
          </cell>
          <cell r="Q117">
            <v>0</v>
          </cell>
          <cell r="R117">
            <v>703464</v>
          </cell>
          <cell r="S117">
            <v>175866</v>
          </cell>
          <cell r="T117">
            <v>0</v>
          </cell>
          <cell r="U117">
            <v>0</v>
          </cell>
          <cell r="V117">
            <v>0</v>
          </cell>
          <cell r="W117">
            <v>0</v>
          </cell>
          <cell r="X117">
            <v>1420</v>
          </cell>
          <cell r="Y117">
            <v>355</v>
          </cell>
          <cell r="Z117">
            <v>0</v>
          </cell>
          <cell r="AA117">
            <v>185</v>
          </cell>
          <cell r="AB117">
            <v>46</v>
          </cell>
          <cell r="AC117">
            <v>0</v>
          </cell>
          <cell r="AD117">
            <v>0</v>
          </cell>
          <cell r="AE117">
            <v>0</v>
          </cell>
          <cell r="AF117">
            <v>0</v>
          </cell>
          <cell r="AG117">
            <v>0</v>
          </cell>
          <cell r="AH117">
            <v>0</v>
          </cell>
          <cell r="AI117">
            <v>0</v>
          </cell>
          <cell r="AM117">
            <v>0</v>
          </cell>
          <cell r="AN117">
            <v>0</v>
          </cell>
          <cell r="AO117">
            <v>0</v>
          </cell>
          <cell r="AP117">
            <v>179821</v>
          </cell>
          <cell r="AQ117">
            <v>42077</v>
          </cell>
          <cell r="AR117">
            <v>0</v>
          </cell>
          <cell r="AS117">
            <v>-17067.679999999993</v>
          </cell>
          <cell r="AT117">
            <v>-13653</v>
          </cell>
          <cell r="AU117">
            <v>-3412</v>
          </cell>
          <cell r="AV117">
            <v>0</v>
          </cell>
          <cell r="AW117">
            <v>-34132.679999999993</v>
          </cell>
          <cell r="AX117">
            <v>-5028775</v>
          </cell>
          <cell r="AY117">
            <v>-4023019</v>
          </cell>
          <cell r="AZ117">
            <v>-1005755</v>
          </cell>
          <cell r="BA117">
            <v>0</v>
          </cell>
          <cell r="BB117">
            <v>-10057549</v>
          </cell>
          <cell r="BC117">
            <v>33060664</v>
          </cell>
          <cell r="BD117">
            <v>-2829860</v>
          </cell>
          <cell r="BE117">
            <v>802973</v>
          </cell>
          <cell r="BF117">
            <v>0</v>
          </cell>
          <cell r="BG117">
            <v>-1919294</v>
          </cell>
          <cell r="BH117">
            <v>-19880</v>
          </cell>
          <cell r="BI117">
            <v>-979</v>
          </cell>
          <cell r="BJ117">
            <v>0</v>
          </cell>
          <cell r="BK117">
            <v>-1007968</v>
          </cell>
          <cell r="BL117">
            <v>-120778</v>
          </cell>
          <cell r="BM117">
            <v>-37092</v>
          </cell>
          <cell r="BN117">
            <v>0</v>
          </cell>
          <cell r="BO117">
            <v>-301</v>
          </cell>
          <cell r="BP117">
            <v>0</v>
          </cell>
          <cell r="BQ117">
            <v>-549905</v>
          </cell>
          <cell r="BR117">
            <v>-577867</v>
          </cell>
          <cell r="BS117">
            <v>0</v>
          </cell>
          <cell r="BT117">
            <v>30761736</v>
          </cell>
          <cell r="BU117">
            <v>-97466</v>
          </cell>
          <cell r="BV117">
            <v>1638589</v>
          </cell>
          <cell r="BW117">
            <v>-950278</v>
          </cell>
          <cell r="BX117">
            <v>1126113</v>
          </cell>
          <cell r="BY117">
            <v>783323</v>
          </cell>
          <cell r="BZ117">
            <v>28011276</v>
          </cell>
          <cell r="CA117">
            <v>563056</v>
          </cell>
          <cell r="CB117">
            <v>450446</v>
          </cell>
          <cell r="CC117">
            <v>112611</v>
          </cell>
          <cell r="CD117">
            <v>0</v>
          </cell>
          <cell r="CE117">
            <v>391662</v>
          </cell>
          <cell r="CF117">
            <v>313329</v>
          </cell>
          <cell r="CG117">
            <v>78332</v>
          </cell>
          <cell r="CH117">
            <v>0</v>
          </cell>
        </row>
        <row r="118">
          <cell r="A118">
            <v>111</v>
          </cell>
          <cell r="B118" t="str">
            <v>Greenwich</v>
          </cell>
          <cell r="C118" t="str">
            <v>E5012</v>
          </cell>
          <cell r="D118">
            <v>290353</v>
          </cell>
          <cell r="H118">
            <v>5551565</v>
          </cell>
          <cell r="I118">
            <v>0</v>
          </cell>
          <cell r="J118">
            <v>290353</v>
          </cell>
          <cell r="K118">
            <v>0</v>
          </cell>
          <cell r="L118">
            <v>0</v>
          </cell>
          <cell r="M118">
            <v>0</v>
          </cell>
          <cell r="N118">
            <v>0</v>
          </cell>
          <cell r="O118">
            <v>0</v>
          </cell>
          <cell r="P118">
            <v>0</v>
          </cell>
          <cell r="Q118">
            <v>0</v>
          </cell>
          <cell r="R118">
            <v>666390</v>
          </cell>
          <cell r="S118">
            <v>821881</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M118">
            <v>0</v>
          </cell>
          <cell r="AN118">
            <v>0</v>
          </cell>
          <cell r="AO118">
            <v>0</v>
          </cell>
          <cell r="AP118">
            <v>321300</v>
          </cell>
          <cell r="AQ118">
            <v>396269</v>
          </cell>
          <cell r="AR118">
            <v>0</v>
          </cell>
          <cell r="AS118">
            <v>-1099875</v>
          </cell>
          <cell r="AT118">
            <v>-659927</v>
          </cell>
          <cell r="AU118">
            <v>-439949</v>
          </cell>
          <cell r="AV118">
            <v>0</v>
          </cell>
          <cell r="AW118">
            <v>-2199751</v>
          </cell>
          <cell r="AX118">
            <v>-4823641</v>
          </cell>
          <cell r="AY118">
            <v>-2894185</v>
          </cell>
          <cell r="AZ118">
            <v>-1929457</v>
          </cell>
          <cell r="BA118">
            <v>0</v>
          </cell>
          <cell r="BB118">
            <v>-9647283</v>
          </cell>
          <cell r="BC118">
            <v>79429152</v>
          </cell>
          <cell r="BD118">
            <v>-3547817</v>
          </cell>
          <cell r="BE118">
            <v>2117272</v>
          </cell>
          <cell r="BF118">
            <v>0</v>
          </cell>
          <cell r="BG118">
            <v>-8975701</v>
          </cell>
          <cell r="BH118">
            <v>-118535</v>
          </cell>
          <cell r="BI118">
            <v>0</v>
          </cell>
          <cell r="BJ118">
            <v>-23810</v>
          </cell>
          <cell r="BK118">
            <v>-1499940</v>
          </cell>
          <cell r="BL118">
            <v>-574904</v>
          </cell>
          <cell r="BM118">
            <v>-44267</v>
          </cell>
          <cell r="BN118">
            <v>0</v>
          </cell>
          <cell r="BO118">
            <v>0</v>
          </cell>
          <cell r="BP118">
            <v>0</v>
          </cell>
          <cell r="BQ118">
            <v>-26584</v>
          </cell>
          <cell r="BR118">
            <v>0</v>
          </cell>
          <cell r="BS118">
            <v>0</v>
          </cell>
          <cell r="BT118">
            <v>82818217</v>
          </cell>
          <cell r="BU118">
            <v>-579901</v>
          </cell>
          <cell r="BV118">
            <v>3875519</v>
          </cell>
          <cell r="BW118">
            <v>-2855107</v>
          </cell>
          <cell r="BX118">
            <v>10610361</v>
          </cell>
          <cell r="BY118">
            <v>6766544</v>
          </cell>
          <cell r="BZ118">
            <v>71297893</v>
          </cell>
          <cell r="CA118">
            <v>5305181</v>
          </cell>
          <cell r="CB118">
            <v>3183108</v>
          </cell>
          <cell r="CC118">
            <v>2122072</v>
          </cell>
          <cell r="CD118">
            <v>0</v>
          </cell>
          <cell r="CE118">
            <v>3383272</v>
          </cell>
          <cell r="CF118">
            <v>2029963</v>
          </cell>
          <cell r="CG118">
            <v>1353309</v>
          </cell>
          <cell r="CH118">
            <v>0</v>
          </cell>
        </row>
        <row r="119">
          <cell r="A119">
            <v>112</v>
          </cell>
          <cell r="B119" t="str">
            <v>Guildford</v>
          </cell>
          <cell r="C119" t="str">
            <v>E3633</v>
          </cell>
          <cell r="D119">
            <v>231721</v>
          </cell>
          <cell r="H119">
            <v>2779137</v>
          </cell>
          <cell r="I119">
            <v>0</v>
          </cell>
          <cell r="J119">
            <v>231721</v>
          </cell>
          <cell r="K119">
            <v>0</v>
          </cell>
          <cell r="L119">
            <v>0</v>
          </cell>
          <cell r="M119">
            <v>0</v>
          </cell>
          <cell r="N119">
            <v>0</v>
          </cell>
          <cell r="O119">
            <v>0</v>
          </cell>
          <cell r="P119">
            <v>0</v>
          </cell>
          <cell r="Q119">
            <v>0</v>
          </cell>
          <cell r="R119">
            <v>521356</v>
          </cell>
          <cell r="S119">
            <v>130339</v>
          </cell>
          <cell r="T119">
            <v>0</v>
          </cell>
          <cell r="U119">
            <v>0</v>
          </cell>
          <cell r="V119">
            <v>0</v>
          </cell>
          <cell r="W119">
            <v>0</v>
          </cell>
          <cell r="X119">
            <v>0</v>
          </cell>
          <cell r="Y119">
            <v>0</v>
          </cell>
          <cell r="Z119">
            <v>0</v>
          </cell>
          <cell r="AA119">
            <v>9794</v>
          </cell>
          <cell r="AB119">
            <v>2449</v>
          </cell>
          <cell r="AC119">
            <v>0</v>
          </cell>
          <cell r="AD119">
            <v>0</v>
          </cell>
          <cell r="AE119">
            <v>0</v>
          </cell>
          <cell r="AF119">
            <v>0</v>
          </cell>
          <cell r="AG119">
            <v>0</v>
          </cell>
          <cell r="AH119">
            <v>0</v>
          </cell>
          <cell r="AI119">
            <v>0</v>
          </cell>
          <cell r="AM119">
            <v>0</v>
          </cell>
          <cell r="AN119">
            <v>0</v>
          </cell>
          <cell r="AO119">
            <v>0</v>
          </cell>
          <cell r="AP119">
            <v>529517</v>
          </cell>
          <cell r="AQ119">
            <v>132379</v>
          </cell>
          <cell r="AR119">
            <v>0</v>
          </cell>
          <cell r="AS119">
            <v>-450000</v>
          </cell>
          <cell r="AT119">
            <v>-360000</v>
          </cell>
          <cell r="AU119">
            <v>-90000</v>
          </cell>
          <cell r="AV119">
            <v>0</v>
          </cell>
          <cell r="AW119">
            <v>-900000</v>
          </cell>
          <cell r="AX119">
            <v>-4092641</v>
          </cell>
          <cell r="AY119">
            <v>-3274112</v>
          </cell>
          <cell r="AZ119">
            <v>-818529</v>
          </cell>
          <cell r="BA119">
            <v>0</v>
          </cell>
          <cell r="BB119">
            <v>-8185282</v>
          </cell>
          <cell r="BC119">
            <v>86433407</v>
          </cell>
          <cell r="BD119">
            <v>-1881418</v>
          </cell>
          <cell r="BE119">
            <v>2372388</v>
          </cell>
          <cell r="BF119">
            <v>0</v>
          </cell>
          <cell r="BG119">
            <v>-9042753</v>
          </cell>
          <cell r="BH119">
            <v>-37305</v>
          </cell>
          <cell r="BI119">
            <v>-18303</v>
          </cell>
          <cell r="BJ119">
            <v>0</v>
          </cell>
          <cell r="BK119">
            <v>-2309495</v>
          </cell>
          <cell r="BL119">
            <v>-142658</v>
          </cell>
          <cell r="BM119">
            <v>-5178</v>
          </cell>
          <cell r="BN119">
            <v>0</v>
          </cell>
          <cell r="BO119">
            <v>-18303</v>
          </cell>
          <cell r="BP119">
            <v>-17908</v>
          </cell>
          <cell r="BQ119">
            <v>0</v>
          </cell>
          <cell r="BR119">
            <v>0</v>
          </cell>
          <cell r="BS119">
            <v>0</v>
          </cell>
          <cell r="BT119">
            <v>81696936</v>
          </cell>
          <cell r="BU119">
            <v>0</v>
          </cell>
          <cell r="BV119">
            <v>160549</v>
          </cell>
          <cell r="BW119">
            <v>-2187260</v>
          </cell>
          <cell r="BX119">
            <v>-2778756</v>
          </cell>
          <cell r="BY119">
            <v>-1635037</v>
          </cell>
          <cell r="BZ119">
            <v>88126685</v>
          </cell>
          <cell r="CA119">
            <v>-1389378</v>
          </cell>
          <cell r="CB119">
            <v>-1111502</v>
          </cell>
          <cell r="CC119">
            <v>-277876</v>
          </cell>
          <cell r="CD119">
            <v>0</v>
          </cell>
          <cell r="CE119">
            <v>-817518</v>
          </cell>
          <cell r="CF119">
            <v>-654015</v>
          </cell>
          <cell r="CG119">
            <v>-163504</v>
          </cell>
          <cell r="CH119">
            <v>0</v>
          </cell>
        </row>
        <row r="120">
          <cell r="A120">
            <v>113</v>
          </cell>
          <cell r="B120" t="str">
            <v>Hackney</v>
          </cell>
          <cell r="C120" t="str">
            <v>E5013</v>
          </cell>
          <cell r="D120">
            <v>534739</v>
          </cell>
          <cell r="H120">
            <v>27268208</v>
          </cell>
          <cell r="I120">
            <v>0</v>
          </cell>
          <cell r="J120">
            <v>534739</v>
          </cell>
          <cell r="K120">
            <v>0</v>
          </cell>
          <cell r="L120">
            <v>0</v>
          </cell>
          <cell r="M120">
            <v>0</v>
          </cell>
          <cell r="N120">
            <v>0</v>
          </cell>
          <cell r="O120">
            <v>0</v>
          </cell>
          <cell r="P120">
            <v>0</v>
          </cell>
          <cell r="Q120">
            <v>0</v>
          </cell>
          <cell r="R120">
            <v>1147393</v>
          </cell>
          <cell r="S120">
            <v>1415117</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M120">
            <v>0</v>
          </cell>
          <cell r="AN120">
            <v>0</v>
          </cell>
          <cell r="AO120">
            <v>0</v>
          </cell>
          <cell r="AP120">
            <v>538823</v>
          </cell>
          <cell r="AQ120">
            <v>664549</v>
          </cell>
          <cell r="AR120">
            <v>0</v>
          </cell>
          <cell r="AS120">
            <v>-8683431</v>
          </cell>
          <cell r="AT120">
            <v>-5210059</v>
          </cell>
          <cell r="AU120">
            <v>-3473373</v>
          </cell>
          <cell r="AV120">
            <v>0</v>
          </cell>
          <cell r="AW120">
            <v>-17366863</v>
          </cell>
          <cell r="AX120">
            <v>-4877236</v>
          </cell>
          <cell r="AY120">
            <v>-2926344</v>
          </cell>
          <cell r="AZ120">
            <v>-1950895</v>
          </cell>
          <cell r="BA120">
            <v>0</v>
          </cell>
          <cell r="BB120">
            <v>-9754475</v>
          </cell>
          <cell r="BC120">
            <v>91899191</v>
          </cell>
          <cell r="BD120">
            <v>-5855913</v>
          </cell>
          <cell r="BE120">
            <v>2357816</v>
          </cell>
          <cell r="BF120">
            <v>0</v>
          </cell>
          <cell r="BG120">
            <v>-11914413</v>
          </cell>
          <cell r="BH120">
            <v>0</v>
          </cell>
          <cell r="BI120">
            <v>0</v>
          </cell>
          <cell r="BJ120">
            <v>0</v>
          </cell>
          <cell r="BK120">
            <v>-2796453</v>
          </cell>
          <cell r="BL120">
            <v>-243316</v>
          </cell>
          <cell r="BM120">
            <v>-18344</v>
          </cell>
          <cell r="BN120">
            <v>0</v>
          </cell>
          <cell r="BO120">
            <v>0</v>
          </cell>
          <cell r="BP120">
            <v>0</v>
          </cell>
          <cell r="BQ120">
            <v>0</v>
          </cell>
          <cell r="BR120">
            <v>0</v>
          </cell>
          <cell r="BS120">
            <v>0</v>
          </cell>
          <cell r="BT120">
            <v>95761735</v>
          </cell>
          <cell r="BU120">
            <v>0</v>
          </cell>
          <cell r="BV120">
            <v>24748993</v>
          </cell>
          <cell r="BW120">
            <v>-10839397</v>
          </cell>
          <cell r="BX120">
            <v>-5249668</v>
          </cell>
          <cell r="BY120">
            <v>-4060572</v>
          </cell>
          <cell r="BZ120">
            <v>119567434</v>
          </cell>
          <cell r="CA120">
            <v>-2624834</v>
          </cell>
          <cell r="CB120">
            <v>-1574901</v>
          </cell>
          <cell r="CC120">
            <v>-1049933</v>
          </cell>
          <cell r="CD120">
            <v>0</v>
          </cell>
          <cell r="CE120">
            <v>-2030286</v>
          </cell>
          <cell r="CF120">
            <v>-1218172</v>
          </cell>
          <cell r="CG120">
            <v>-812114</v>
          </cell>
          <cell r="CH120">
            <v>0</v>
          </cell>
        </row>
        <row r="121">
          <cell r="A121">
            <v>114</v>
          </cell>
          <cell r="B121" t="str">
            <v>Halton</v>
          </cell>
          <cell r="C121" t="str">
            <v>E0601</v>
          </cell>
          <cell r="D121">
            <v>157675</v>
          </cell>
          <cell r="H121">
            <v>3902936</v>
          </cell>
          <cell r="I121">
            <v>0</v>
          </cell>
          <cell r="J121">
            <v>157675</v>
          </cell>
          <cell r="K121">
            <v>0</v>
          </cell>
          <cell r="L121">
            <v>0</v>
          </cell>
          <cell r="M121">
            <v>0</v>
          </cell>
          <cell r="N121">
            <v>0</v>
          </cell>
          <cell r="O121">
            <v>0</v>
          </cell>
          <cell r="P121">
            <v>0</v>
          </cell>
          <cell r="Q121">
            <v>0</v>
          </cell>
          <cell r="R121">
            <v>1300512</v>
          </cell>
          <cell r="S121">
            <v>0</v>
          </cell>
          <cell r="T121">
            <v>13136</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M121">
            <v>0</v>
          </cell>
          <cell r="AN121">
            <v>0</v>
          </cell>
          <cell r="AO121">
            <v>0</v>
          </cell>
          <cell r="AP121">
            <v>747375</v>
          </cell>
          <cell r="AQ121">
            <v>0</v>
          </cell>
          <cell r="AR121">
            <v>7549</v>
          </cell>
          <cell r="AS121">
            <v>-1394205</v>
          </cell>
          <cell r="AT121">
            <v>-1366319</v>
          </cell>
          <cell r="AU121">
            <v>0</v>
          </cell>
          <cell r="AV121">
            <v>-27884</v>
          </cell>
          <cell r="AW121">
            <v>-2788408</v>
          </cell>
          <cell r="AX121">
            <v>-4014792</v>
          </cell>
          <cell r="AY121">
            <v>-3934496</v>
          </cell>
          <cell r="AZ121">
            <v>0</v>
          </cell>
          <cell r="BA121">
            <v>-80296</v>
          </cell>
          <cell r="BB121">
            <v>-8029584</v>
          </cell>
          <cell r="BC121">
            <v>59803423</v>
          </cell>
          <cell r="BD121">
            <v>-2060151</v>
          </cell>
          <cell r="BE121">
            <v>1599421</v>
          </cell>
          <cell r="BF121">
            <v>0</v>
          </cell>
          <cell r="BG121">
            <v>-2489855</v>
          </cell>
          <cell r="BH121">
            <v>-74451</v>
          </cell>
          <cell r="BI121">
            <v>-969</v>
          </cell>
          <cell r="BJ121">
            <v>-13423</v>
          </cell>
          <cell r="BK121">
            <v>-2080986</v>
          </cell>
          <cell r="BL121">
            <v>-61487</v>
          </cell>
          <cell r="BM121">
            <v>-87908</v>
          </cell>
          <cell r="BN121">
            <v>-10474</v>
          </cell>
          <cell r="BO121">
            <v>0</v>
          </cell>
          <cell r="BP121">
            <v>0</v>
          </cell>
          <cell r="BQ121">
            <v>-364714</v>
          </cell>
          <cell r="BR121">
            <v>-331185</v>
          </cell>
          <cell r="BS121">
            <v>-33529</v>
          </cell>
          <cell r="BT121">
            <v>58628151</v>
          </cell>
          <cell r="BU121">
            <v>-746014</v>
          </cell>
          <cell r="BV121">
            <v>4123116</v>
          </cell>
          <cell r="BW121">
            <v>-380183</v>
          </cell>
          <cell r="BX121">
            <v>7886615</v>
          </cell>
          <cell r="BY121">
            <v>390547</v>
          </cell>
          <cell r="BZ121">
            <v>50256370</v>
          </cell>
          <cell r="CA121">
            <v>3943308</v>
          </cell>
          <cell r="CB121">
            <v>3864441</v>
          </cell>
          <cell r="CC121">
            <v>0</v>
          </cell>
          <cell r="CD121">
            <v>78866</v>
          </cell>
          <cell r="CE121">
            <v>195274</v>
          </cell>
          <cell r="CF121">
            <v>191368</v>
          </cell>
          <cell r="CG121">
            <v>0</v>
          </cell>
          <cell r="CH121">
            <v>3905</v>
          </cell>
        </row>
        <row r="122">
          <cell r="A122">
            <v>115</v>
          </cell>
          <cell r="B122" t="str">
            <v>Hambleton</v>
          </cell>
          <cell r="C122" t="str">
            <v>E2732</v>
          </cell>
          <cell r="D122">
            <v>154954</v>
          </cell>
          <cell r="H122">
            <v>178721</v>
          </cell>
          <cell r="I122">
            <v>0</v>
          </cell>
          <cell r="J122">
            <v>154954</v>
          </cell>
          <cell r="K122">
            <v>0</v>
          </cell>
          <cell r="L122">
            <v>0</v>
          </cell>
          <cell r="M122">
            <v>0</v>
          </cell>
          <cell r="N122">
            <v>0</v>
          </cell>
          <cell r="O122">
            <v>0</v>
          </cell>
          <cell r="P122">
            <v>0</v>
          </cell>
          <cell r="Q122">
            <v>0</v>
          </cell>
          <cell r="R122">
            <v>767703</v>
          </cell>
          <cell r="S122">
            <v>172733</v>
          </cell>
          <cell r="T122">
            <v>19193</v>
          </cell>
          <cell r="U122">
            <v>4865</v>
          </cell>
          <cell r="V122">
            <v>1095</v>
          </cell>
          <cell r="W122">
            <v>122</v>
          </cell>
          <cell r="X122">
            <v>0</v>
          </cell>
          <cell r="Y122">
            <v>0</v>
          </cell>
          <cell r="Z122">
            <v>0</v>
          </cell>
          <cell r="AA122">
            <v>0</v>
          </cell>
          <cell r="AB122">
            <v>0</v>
          </cell>
          <cell r="AC122">
            <v>0</v>
          </cell>
          <cell r="AD122">
            <v>0</v>
          </cell>
          <cell r="AE122">
            <v>0</v>
          </cell>
          <cell r="AF122">
            <v>0</v>
          </cell>
          <cell r="AG122">
            <v>0</v>
          </cell>
          <cell r="AH122">
            <v>0</v>
          </cell>
          <cell r="AI122">
            <v>0</v>
          </cell>
          <cell r="AM122">
            <v>0</v>
          </cell>
          <cell r="AN122">
            <v>0</v>
          </cell>
          <cell r="AO122">
            <v>0</v>
          </cell>
          <cell r="AP122">
            <v>163760</v>
          </cell>
          <cell r="AQ122">
            <v>36846</v>
          </cell>
          <cell r="AR122">
            <v>4094</v>
          </cell>
          <cell r="AS122">
            <v>-116987</v>
          </cell>
          <cell r="AT122">
            <v>-93590</v>
          </cell>
          <cell r="AU122">
            <v>-21060</v>
          </cell>
          <cell r="AV122">
            <v>-2340</v>
          </cell>
          <cell r="AW122">
            <v>-233977</v>
          </cell>
          <cell r="AX122">
            <v>-730257</v>
          </cell>
          <cell r="AY122">
            <v>-584205</v>
          </cell>
          <cell r="AZ122">
            <v>-131445</v>
          </cell>
          <cell r="BA122">
            <v>-14604</v>
          </cell>
          <cell r="BB122">
            <v>-1460511</v>
          </cell>
          <cell r="BC122">
            <v>27240463</v>
          </cell>
          <cell r="BD122">
            <v>-2973690</v>
          </cell>
          <cell r="BE122">
            <v>670379</v>
          </cell>
          <cell r="BF122">
            <v>0</v>
          </cell>
          <cell r="BG122">
            <v>-945420</v>
          </cell>
          <cell r="BH122">
            <v>-102735</v>
          </cell>
          <cell r="BI122">
            <v>-70290</v>
          </cell>
          <cell r="BJ122">
            <v>0</v>
          </cell>
          <cell r="BK122">
            <v>-681583</v>
          </cell>
          <cell r="BL122">
            <v>-71497</v>
          </cell>
          <cell r="BM122">
            <v>-25765</v>
          </cell>
          <cell r="BN122">
            <v>-1398</v>
          </cell>
          <cell r="BO122">
            <v>-13080</v>
          </cell>
          <cell r="BP122">
            <v>-371</v>
          </cell>
          <cell r="BQ122">
            <v>0</v>
          </cell>
          <cell r="BR122">
            <v>0</v>
          </cell>
          <cell r="BS122">
            <v>0</v>
          </cell>
          <cell r="BT122">
            <v>27305505</v>
          </cell>
          <cell r="BU122">
            <v>-133615</v>
          </cell>
          <cell r="BV122">
            <v>671930</v>
          </cell>
          <cell r="BW122">
            <v>-625742</v>
          </cell>
          <cell r="BX122">
            <v>-164575</v>
          </cell>
          <cell r="BY122">
            <v>581059</v>
          </cell>
          <cell r="BZ122">
            <v>27254369</v>
          </cell>
          <cell r="CA122">
            <v>-82288</v>
          </cell>
          <cell r="CB122">
            <v>-65830</v>
          </cell>
          <cell r="CC122">
            <v>-14811</v>
          </cell>
          <cell r="CD122">
            <v>-1646</v>
          </cell>
          <cell r="CE122">
            <v>290529</v>
          </cell>
          <cell r="CF122">
            <v>232424</v>
          </cell>
          <cell r="CG122">
            <v>52295</v>
          </cell>
          <cell r="CH122">
            <v>5811</v>
          </cell>
        </row>
        <row r="123">
          <cell r="A123">
            <v>116</v>
          </cell>
          <cell r="B123" t="str">
            <v>Hammersmith and Fulham</v>
          </cell>
          <cell r="C123" t="str">
            <v>E5014</v>
          </cell>
          <cell r="D123">
            <v>584390</v>
          </cell>
          <cell r="H123">
            <v>25152301</v>
          </cell>
          <cell r="I123">
            <v>0</v>
          </cell>
          <cell r="J123">
            <v>584390</v>
          </cell>
          <cell r="K123">
            <v>0</v>
          </cell>
          <cell r="L123">
            <v>0</v>
          </cell>
          <cell r="M123">
            <v>0</v>
          </cell>
          <cell r="N123">
            <v>0</v>
          </cell>
          <cell r="O123">
            <v>0</v>
          </cell>
          <cell r="P123">
            <v>0</v>
          </cell>
          <cell r="Q123">
            <v>0</v>
          </cell>
          <cell r="R123">
            <v>550732</v>
          </cell>
          <cell r="S123">
            <v>679237</v>
          </cell>
          <cell r="T123">
            <v>0</v>
          </cell>
          <cell r="U123">
            <v>0</v>
          </cell>
          <cell r="V123">
            <v>0</v>
          </cell>
          <cell r="W123">
            <v>0</v>
          </cell>
          <cell r="X123">
            <v>114079</v>
          </cell>
          <cell r="Y123">
            <v>140698</v>
          </cell>
          <cell r="Z123">
            <v>0</v>
          </cell>
          <cell r="AA123">
            <v>8907</v>
          </cell>
          <cell r="AB123">
            <v>10984</v>
          </cell>
          <cell r="AC123">
            <v>0</v>
          </cell>
          <cell r="AD123">
            <v>0</v>
          </cell>
          <cell r="AE123">
            <v>0</v>
          </cell>
          <cell r="AF123">
            <v>0</v>
          </cell>
          <cell r="AG123">
            <v>0</v>
          </cell>
          <cell r="AH123">
            <v>0</v>
          </cell>
          <cell r="AI123">
            <v>0</v>
          </cell>
          <cell r="AM123">
            <v>0</v>
          </cell>
          <cell r="AN123">
            <v>0</v>
          </cell>
          <cell r="AO123">
            <v>0</v>
          </cell>
          <cell r="AP123">
            <v>1051865</v>
          </cell>
          <cell r="AQ123">
            <v>1297300</v>
          </cell>
          <cell r="AR123">
            <v>0</v>
          </cell>
          <cell r="AS123">
            <v>-7976974.4000000004</v>
          </cell>
          <cell r="AT123">
            <v>-4786187</v>
          </cell>
          <cell r="AU123">
            <v>-3190791</v>
          </cell>
          <cell r="AV123">
            <v>0</v>
          </cell>
          <cell r="AW123">
            <v>-15953952</v>
          </cell>
          <cell r="AX123">
            <v>-7862993</v>
          </cell>
          <cell r="AY123">
            <v>-4717796</v>
          </cell>
          <cell r="AZ123">
            <v>-3145199</v>
          </cell>
          <cell r="BA123">
            <v>0</v>
          </cell>
          <cell r="BB123">
            <v>-15725988</v>
          </cell>
          <cell r="BC123">
            <v>197001067</v>
          </cell>
          <cell r="BD123">
            <v>-2370135</v>
          </cell>
          <cell r="BE123">
            <v>4928695</v>
          </cell>
          <cell r="BF123">
            <v>0</v>
          </cell>
          <cell r="BG123">
            <v>-9019431</v>
          </cell>
          <cell r="BH123">
            <v>0</v>
          </cell>
          <cell r="BI123">
            <v>0</v>
          </cell>
          <cell r="BJ123">
            <v>-51087</v>
          </cell>
          <cell r="BK123">
            <v>-4341360</v>
          </cell>
          <cell r="BL123">
            <v>-49844</v>
          </cell>
          <cell r="BM123">
            <v>-79574</v>
          </cell>
          <cell r="BN123">
            <v>0</v>
          </cell>
          <cell r="BO123">
            <v>0</v>
          </cell>
          <cell r="BP123">
            <v>0</v>
          </cell>
          <cell r="BQ123">
            <v>0</v>
          </cell>
          <cell r="BR123">
            <v>0</v>
          </cell>
          <cell r="BS123">
            <v>0</v>
          </cell>
          <cell r="BT123">
            <v>181512134</v>
          </cell>
          <cell r="BU123">
            <v>-2249051</v>
          </cell>
          <cell r="BV123">
            <v>20268719.840000268</v>
          </cell>
          <cell r="BW123">
            <v>-18226507.300000004</v>
          </cell>
          <cell r="BX123">
            <v>15238389</v>
          </cell>
          <cell r="BY123">
            <v>13947815</v>
          </cell>
          <cell r="BZ123">
            <v>233413835</v>
          </cell>
          <cell r="CA123">
            <v>7619194</v>
          </cell>
          <cell r="CB123">
            <v>4571517</v>
          </cell>
          <cell r="CC123">
            <v>3047678</v>
          </cell>
          <cell r="CD123">
            <v>0</v>
          </cell>
          <cell r="CE123">
            <v>6973907</v>
          </cell>
          <cell r="CF123">
            <v>4184345</v>
          </cell>
          <cell r="CG123">
            <v>2789563</v>
          </cell>
          <cell r="CH123">
            <v>0</v>
          </cell>
        </row>
        <row r="124">
          <cell r="A124">
            <v>117</v>
          </cell>
          <cell r="B124" t="str">
            <v>Harborough</v>
          </cell>
          <cell r="C124" t="str">
            <v>E2433</v>
          </cell>
          <cell r="D124">
            <v>127153</v>
          </cell>
          <cell r="H124">
            <v>1886707</v>
          </cell>
          <cell r="I124">
            <v>0</v>
          </cell>
          <cell r="J124">
            <v>127153</v>
          </cell>
          <cell r="K124">
            <v>0</v>
          </cell>
          <cell r="L124">
            <v>33000</v>
          </cell>
          <cell r="M124">
            <v>0</v>
          </cell>
          <cell r="N124">
            <v>0</v>
          </cell>
          <cell r="O124">
            <v>0</v>
          </cell>
          <cell r="P124">
            <v>0</v>
          </cell>
          <cell r="Q124">
            <v>0</v>
          </cell>
          <cell r="R124">
            <v>473898</v>
          </cell>
          <cell r="S124">
            <v>106627</v>
          </cell>
          <cell r="T124">
            <v>11847</v>
          </cell>
          <cell r="U124">
            <v>800</v>
          </cell>
          <cell r="V124">
            <v>180</v>
          </cell>
          <cell r="W124">
            <v>20</v>
          </cell>
          <cell r="X124">
            <v>0</v>
          </cell>
          <cell r="Y124">
            <v>0</v>
          </cell>
          <cell r="Z124">
            <v>0</v>
          </cell>
          <cell r="AA124">
            <v>0</v>
          </cell>
          <cell r="AB124">
            <v>0</v>
          </cell>
          <cell r="AC124">
            <v>0</v>
          </cell>
          <cell r="AD124">
            <v>0</v>
          </cell>
          <cell r="AE124">
            <v>0</v>
          </cell>
          <cell r="AF124">
            <v>0</v>
          </cell>
          <cell r="AG124">
            <v>0</v>
          </cell>
          <cell r="AH124">
            <v>0</v>
          </cell>
          <cell r="AI124">
            <v>0</v>
          </cell>
          <cell r="AM124">
            <v>0</v>
          </cell>
          <cell r="AN124">
            <v>0</v>
          </cell>
          <cell r="AO124">
            <v>0</v>
          </cell>
          <cell r="AP124">
            <v>239121</v>
          </cell>
          <cell r="AQ124">
            <v>53691</v>
          </cell>
          <cell r="AR124">
            <v>5966</v>
          </cell>
          <cell r="AS124">
            <v>-18498</v>
          </cell>
          <cell r="AT124">
            <v>-14797</v>
          </cell>
          <cell r="AU124">
            <v>-3330</v>
          </cell>
          <cell r="AV124">
            <v>-370</v>
          </cell>
          <cell r="AW124">
            <v>-36995</v>
          </cell>
          <cell r="AX124">
            <v>-2557499</v>
          </cell>
          <cell r="AY124">
            <v>-2046001</v>
          </cell>
          <cell r="AZ124">
            <v>-460351</v>
          </cell>
          <cell r="BA124">
            <v>-51150</v>
          </cell>
          <cell r="BB124">
            <v>-5115001</v>
          </cell>
          <cell r="BC124">
            <v>40198120</v>
          </cell>
          <cell r="BD124">
            <v>-1922308</v>
          </cell>
          <cell r="BE124">
            <v>1029403</v>
          </cell>
          <cell r="BF124">
            <v>0</v>
          </cell>
          <cell r="BG124">
            <v>-1729231</v>
          </cell>
          <cell r="BH124">
            <v>-43169</v>
          </cell>
          <cell r="BI124">
            <v>-34821</v>
          </cell>
          <cell r="BJ124">
            <v>0</v>
          </cell>
          <cell r="BK124">
            <v>-1266100</v>
          </cell>
          <cell r="BL124">
            <v>-23557</v>
          </cell>
          <cell r="BM124">
            <v>-33902</v>
          </cell>
          <cell r="BN124">
            <v>-10792</v>
          </cell>
          <cell r="BO124">
            <v>-34821</v>
          </cell>
          <cell r="BP124">
            <v>-3933</v>
          </cell>
          <cell r="BQ124">
            <v>0</v>
          </cell>
          <cell r="BR124">
            <v>0</v>
          </cell>
          <cell r="BS124">
            <v>0</v>
          </cell>
          <cell r="BT124">
            <v>39853972</v>
          </cell>
          <cell r="BU124">
            <v>-64903</v>
          </cell>
          <cell r="BV124">
            <v>291093</v>
          </cell>
          <cell r="BW124">
            <v>-510330</v>
          </cell>
          <cell r="BX124">
            <v>855530</v>
          </cell>
          <cell r="BY124">
            <v>-1443497</v>
          </cell>
          <cell r="BZ124">
            <v>39714012</v>
          </cell>
          <cell r="CA124">
            <v>427764</v>
          </cell>
          <cell r="CB124">
            <v>342212</v>
          </cell>
          <cell r="CC124">
            <v>76998</v>
          </cell>
          <cell r="CD124">
            <v>8556</v>
          </cell>
          <cell r="CE124">
            <v>-721748</v>
          </cell>
          <cell r="CF124">
            <v>-577399</v>
          </cell>
          <cell r="CG124">
            <v>-129915</v>
          </cell>
          <cell r="CH124">
            <v>-14435</v>
          </cell>
        </row>
        <row r="125">
          <cell r="A125">
            <v>118</v>
          </cell>
          <cell r="B125" t="str">
            <v>Haringey</v>
          </cell>
          <cell r="C125" t="str">
            <v>E5038</v>
          </cell>
          <cell r="D125">
            <v>309182</v>
          </cell>
          <cell r="H125">
            <v>8304922</v>
          </cell>
          <cell r="I125">
            <v>0</v>
          </cell>
          <cell r="J125">
            <v>309182</v>
          </cell>
          <cell r="K125">
            <v>0</v>
          </cell>
          <cell r="L125">
            <v>0</v>
          </cell>
          <cell r="M125">
            <v>0</v>
          </cell>
          <cell r="N125">
            <v>0</v>
          </cell>
          <cell r="O125">
            <v>0</v>
          </cell>
          <cell r="P125">
            <v>0</v>
          </cell>
          <cell r="Q125">
            <v>0</v>
          </cell>
          <cell r="R125">
            <v>1024279</v>
          </cell>
          <cell r="S125">
            <v>1263278</v>
          </cell>
          <cell r="T125">
            <v>0</v>
          </cell>
          <cell r="U125">
            <v>3504</v>
          </cell>
          <cell r="V125">
            <v>4322</v>
          </cell>
          <cell r="W125">
            <v>0</v>
          </cell>
          <cell r="X125">
            <v>23028</v>
          </cell>
          <cell r="Y125">
            <v>28401</v>
          </cell>
          <cell r="Z125">
            <v>0</v>
          </cell>
          <cell r="AA125">
            <v>6593</v>
          </cell>
          <cell r="AB125">
            <v>8130</v>
          </cell>
          <cell r="AC125">
            <v>0</v>
          </cell>
          <cell r="AD125">
            <v>0</v>
          </cell>
          <cell r="AE125">
            <v>0</v>
          </cell>
          <cell r="AF125">
            <v>0</v>
          </cell>
          <cell r="AG125">
            <v>0</v>
          </cell>
          <cell r="AH125">
            <v>0</v>
          </cell>
          <cell r="AI125">
            <v>0</v>
          </cell>
          <cell r="AM125">
            <v>0</v>
          </cell>
          <cell r="AN125">
            <v>0</v>
          </cell>
          <cell r="AO125">
            <v>0</v>
          </cell>
          <cell r="AP125">
            <v>324967</v>
          </cell>
          <cell r="AQ125">
            <v>400792</v>
          </cell>
          <cell r="AR125">
            <v>0</v>
          </cell>
          <cell r="AS125">
            <v>-2484222.37</v>
          </cell>
          <cell r="AT125">
            <v>-1490534</v>
          </cell>
          <cell r="AU125">
            <v>-993689</v>
          </cell>
          <cell r="AV125">
            <v>0</v>
          </cell>
          <cell r="AW125">
            <v>-4968445.37</v>
          </cell>
          <cell r="AX125">
            <v>-4753463</v>
          </cell>
          <cell r="AY125">
            <v>-2852075</v>
          </cell>
          <cell r="AZ125">
            <v>-1901385</v>
          </cell>
          <cell r="BA125">
            <v>0</v>
          </cell>
          <cell r="BB125">
            <v>-9506923</v>
          </cell>
          <cell r="BC125">
            <v>68173356</v>
          </cell>
          <cell r="BD125">
            <v>-4577107</v>
          </cell>
          <cell r="BE125">
            <v>1569362</v>
          </cell>
          <cell r="BF125">
            <v>0</v>
          </cell>
          <cell r="BG125">
            <v>-5992703</v>
          </cell>
          <cell r="BH125">
            <v>-30277</v>
          </cell>
          <cell r="BI125">
            <v>0</v>
          </cell>
          <cell r="BJ125">
            <v>0</v>
          </cell>
          <cell r="BK125">
            <v>-1419521</v>
          </cell>
          <cell r="BL125">
            <v>-340936</v>
          </cell>
          <cell r="BM125">
            <v>-263875</v>
          </cell>
          <cell r="BN125">
            <v>0</v>
          </cell>
          <cell r="BO125">
            <v>0</v>
          </cell>
          <cell r="BP125">
            <v>0</v>
          </cell>
          <cell r="BQ125">
            <v>0</v>
          </cell>
          <cell r="BR125">
            <v>0</v>
          </cell>
          <cell r="BS125">
            <v>0</v>
          </cell>
          <cell r="BT125">
            <v>66311996</v>
          </cell>
          <cell r="BU125">
            <v>-1504770</v>
          </cell>
          <cell r="BV125">
            <v>8601312</v>
          </cell>
          <cell r="BW125">
            <v>-8994973</v>
          </cell>
          <cell r="BX125">
            <v>1221476.9299999997</v>
          </cell>
          <cell r="BY125">
            <v>1501170</v>
          </cell>
          <cell r="BZ125">
            <v>72111637</v>
          </cell>
          <cell r="CA125">
            <v>610738.9299999997</v>
          </cell>
          <cell r="CB125">
            <v>366443</v>
          </cell>
          <cell r="CC125">
            <v>244295</v>
          </cell>
          <cell r="CD125">
            <v>0</v>
          </cell>
          <cell r="CE125">
            <v>750585</v>
          </cell>
          <cell r="CF125">
            <v>450351</v>
          </cell>
          <cell r="CG125">
            <v>300234</v>
          </cell>
          <cell r="CH125">
            <v>0</v>
          </cell>
        </row>
        <row r="126">
          <cell r="A126">
            <v>119</v>
          </cell>
          <cell r="B126" t="str">
            <v>Harlow</v>
          </cell>
          <cell r="C126" t="str">
            <v>E1538</v>
          </cell>
          <cell r="D126">
            <v>117691</v>
          </cell>
          <cell r="H126">
            <v>-1055700</v>
          </cell>
          <cell r="I126">
            <v>-17366</v>
          </cell>
          <cell r="J126">
            <v>117691</v>
          </cell>
          <cell r="K126">
            <v>0</v>
          </cell>
          <cell r="L126">
            <v>0</v>
          </cell>
          <cell r="M126">
            <v>0</v>
          </cell>
          <cell r="N126">
            <v>0</v>
          </cell>
          <cell r="O126">
            <v>0</v>
          </cell>
          <cell r="P126">
            <v>0</v>
          </cell>
          <cell r="Q126">
            <v>0</v>
          </cell>
          <cell r="R126">
            <v>321562</v>
          </cell>
          <cell r="S126">
            <v>61985</v>
          </cell>
          <cell r="T126">
            <v>6887</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M126">
            <v>0</v>
          </cell>
          <cell r="AN126">
            <v>0</v>
          </cell>
          <cell r="AO126">
            <v>0</v>
          </cell>
          <cell r="AP126">
            <v>273534</v>
          </cell>
          <cell r="AQ126">
            <v>61545</v>
          </cell>
          <cell r="AR126">
            <v>6838</v>
          </cell>
          <cell r="AS126">
            <v>-746499</v>
          </cell>
          <cell r="AT126">
            <v>-597200</v>
          </cell>
          <cell r="AU126">
            <v>-134371</v>
          </cell>
          <cell r="AV126">
            <v>-14930</v>
          </cell>
          <cell r="AW126">
            <v>-1493000</v>
          </cell>
          <cell r="AX126">
            <v>-1318479</v>
          </cell>
          <cell r="AY126">
            <v>-1054782</v>
          </cell>
          <cell r="AZ126">
            <v>-237325</v>
          </cell>
          <cell r="BA126">
            <v>-26368</v>
          </cell>
          <cell r="BB126">
            <v>-2636954</v>
          </cell>
          <cell r="BC126">
            <v>47527831</v>
          </cell>
          <cell r="BD126">
            <v>-1006373</v>
          </cell>
          <cell r="BE126">
            <v>1302965.3499999999</v>
          </cell>
          <cell r="BF126">
            <v>0</v>
          </cell>
          <cell r="BG126">
            <v>-2697251</v>
          </cell>
          <cell r="BH126">
            <v>-58149</v>
          </cell>
          <cell r="BI126">
            <v>0</v>
          </cell>
          <cell r="BJ126">
            <v>-38476</v>
          </cell>
          <cell r="BK126">
            <v>-2329294</v>
          </cell>
          <cell r="BL126">
            <v>-30191</v>
          </cell>
          <cell r="BM126">
            <v>-3436</v>
          </cell>
          <cell r="BN126">
            <v>0</v>
          </cell>
          <cell r="BO126">
            <v>0</v>
          </cell>
          <cell r="BP126">
            <v>0</v>
          </cell>
          <cell r="BQ126">
            <v>-97402</v>
          </cell>
          <cell r="BR126">
            <v>0</v>
          </cell>
          <cell r="BS126">
            <v>0</v>
          </cell>
          <cell r="BT126">
            <v>45515486</v>
          </cell>
          <cell r="BU126">
            <v>-233817</v>
          </cell>
          <cell r="BV126">
            <v>2478472</v>
          </cell>
          <cell r="BW126">
            <v>-2304040</v>
          </cell>
          <cell r="BX126">
            <v>-999739</v>
          </cell>
          <cell r="BY126">
            <v>-2114212</v>
          </cell>
          <cell r="BZ126">
            <v>45523799</v>
          </cell>
          <cell r="CA126">
            <v>-499869</v>
          </cell>
          <cell r="CB126">
            <v>-399896</v>
          </cell>
          <cell r="CC126">
            <v>-89976</v>
          </cell>
          <cell r="CD126">
            <v>-9998</v>
          </cell>
          <cell r="CE126">
            <v>-1057106</v>
          </cell>
          <cell r="CF126">
            <v>-845685</v>
          </cell>
          <cell r="CG126">
            <v>-190279</v>
          </cell>
          <cell r="CH126">
            <v>-21142</v>
          </cell>
        </row>
        <row r="127">
          <cell r="A127">
            <v>120</v>
          </cell>
          <cell r="B127" t="str">
            <v>Harrogate</v>
          </cell>
          <cell r="C127" t="str">
            <v>E2753</v>
          </cell>
          <cell r="D127">
            <v>287118</v>
          </cell>
          <cell r="H127">
            <v>89668</v>
          </cell>
          <cell r="I127">
            <v>0</v>
          </cell>
          <cell r="J127">
            <v>287118</v>
          </cell>
          <cell r="K127">
            <v>0</v>
          </cell>
          <cell r="L127">
            <v>0</v>
          </cell>
          <cell r="M127">
            <v>0</v>
          </cell>
          <cell r="N127">
            <v>0</v>
          </cell>
          <cell r="O127">
            <v>0</v>
          </cell>
          <cell r="P127">
            <v>0</v>
          </cell>
          <cell r="Q127">
            <v>0</v>
          </cell>
          <cell r="R127">
            <v>1339893</v>
          </cell>
          <cell r="S127">
            <v>301476</v>
          </cell>
          <cell r="T127">
            <v>33497</v>
          </cell>
          <cell r="U127">
            <v>0</v>
          </cell>
          <cell r="V127">
            <v>0</v>
          </cell>
          <cell r="W127">
            <v>0</v>
          </cell>
          <cell r="X127">
            <v>3591</v>
          </cell>
          <cell r="Y127">
            <v>808</v>
          </cell>
          <cell r="Z127">
            <v>90</v>
          </cell>
          <cell r="AA127">
            <v>20946</v>
          </cell>
          <cell r="AB127">
            <v>4713</v>
          </cell>
          <cell r="AC127">
            <v>524</v>
          </cell>
          <cell r="AD127">
            <v>0</v>
          </cell>
          <cell r="AE127">
            <v>0</v>
          </cell>
          <cell r="AF127">
            <v>0</v>
          </cell>
          <cell r="AG127">
            <v>0</v>
          </cell>
          <cell r="AH127">
            <v>0</v>
          </cell>
          <cell r="AI127">
            <v>0</v>
          </cell>
          <cell r="AM127">
            <v>0</v>
          </cell>
          <cell r="AN127">
            <v>0</v>
          </cell>
          <cell r="AO127">
            <v>0</v>
          </cell>
          <cell r="AP127">
            <v>365101</v>
          </cell>
          <cell r="AQ127">
            <v>82148</v>
          </cell>
          <cell r="AR127">
            <v>9128</v>
          </cell>
          <cell r="AS127">
            <v>-522501</v>
          </cell>
          <cell r="AT127">
            <v>-418002</v>
          </cell>
          <cell r="AU127">
            <v>-94050</v>
          </cell>
          <cell r="AV127">
            <v>-10450</v>
          </cell>
          <cell r="AW127">
            <v>-1045003</v>
          </cell>
          <cell r="AX127">
            <v>-1517065</v>
          </cell>
          <cell r="AY127">
            <v>-1213651</v>
          </cell>
          <cell r="AZ127">
            <v>-273070</v>
          </cell>
          <cell r="BA127">
            <v>-30341</v>
          </cell>
          <cell r="BB127">
            <v>-3034127</v>
          </cell>
          <cell r="BC127">
            <v>62575151</v>
          </cell>
          <cell r="BD127">
            <v>-5162340</v>
          </cell>
          <cell r="BE127">
            <v>1611030</v>
          </cell>
          <cell r="BF127">
            <v>0</v>
          </cell>
          <cell r="BG127">
            <v>-3196973</v>
          </cell>
          <cell r="BH127">
            <v>-113836</v>
          </cell>
          <cell r="BI127">
            <v>-55850</v>
          </cell>
          <cell r="BJ127">
            <v>-42513</v>
          </cell>
          <cell r="BK127">
            <v>-2111577</v>
          </cell>
          <cell r="BL127">
            <v>-31813</v>
          </cell>
          <cell r="BM127">
            <v>-35503</v>
          </cell>
          <cell r="BN127">
            <v>0</v>
          </cell>
          <cell r="BO127">
            <v>-4706</v>
          </cell>
          <cell r="BP127">
            <v>-3599</v>
          </cell>
          <cell r="BQ127">
            <v>0</v>
          </cell>
          <cell r="BR127">
            <v>0</v>
          </cell>
          <cell r="BS127">
            <v>0</v>
          </cell>
          <cell r="BT127">
            <v>61824988</v>
          </cell>
          <cell r="BU127">
            <v>-454122</v>
          </cell>
          <cell r="BV127">
            <v>1844476</v>
          </cell>
          <cell r="BW127">
            <v>-1812379</v>
          </cell>
          <cell r="BX127">
            <v>655537</v>
          </cell>
          <cell r="BY127">
            <v>262195</v>
          </cell>
          <cell r="BZ127">
            <v>60763164</v>
          </cell>
          <cell r="CA127">
            <v>327769</v>
          </cell>
          <cell r="CB127">
            <v>262214</v>
          </cell>
          <cell r="CC127">
            <v>58998</v>
          </cell>
          <cell r="CD127">
            <v>6556</v>
          </cell>
          <cell r="CE127">
            <v>131097</v>
          </cell>
          <cell r="CF127">
            <v>104878</v>
          </cell>
          <cell r="CG127">
            <v>23598</v>
          </cell>
          <cell r="CH127">
            <v>2622</v>
          </cell>
        </row>
        <row r="128">
          <cell r="A128">
            <v>121</v>
          </cell>
          <cell r="B128" t="str">
            <v>Harrow</v>
          </cell>
          <cell r="C128" t="str">
            <v>E5039</v>
          </cell>
          <cell r="D128">
            <v>243685</v>
          </cell>
          <cell r="H128">
            <v>2661390</v>
          </cell>
          <cell r="I128">
            <v>0</v>
          </cell>
          <cell r="J128">
            <v>243685</v>
          </cell>
          <cell r="K128">
            <v>0</v>
          </cell>
          <cell r="L128">
            <v>0</v>
          </cell>
          <cell r="M128">
            <v>0</v>
          </cell>
          <cell r="N128">
            <v>0</v>
          </cell>
          <cell r="O128">
            <v>0</v>
          </cell>
          <cell r="P128">
            <v>0</v>
          </cell>
          <cell r="Q128">
            <v>0</v>
          </cell>
          <cell r="R128">
            <v>989646</v>
          </cell>
          <cell r="S128">
            <v>1220563</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M128">
            <v>0</v>
          </cell>
          <cell r="AN128">
            <v>0</v>
          </cell>
          <cell r="AO128">
            <v>0</v>
          </cell>
          <cell r="AP128">
            <v>216998</v>
          </cell>
          <cell r="AQ128">
            <v>267630</v>
          </cell>
          <cell r="AR128">
            <v>0</v>
          </cell>
          <cell r="AS128">
            <v>-888385</v>
          </cell>
          <cell r="AT128">
            <v>-533034</v>
          </cell>
          <cell r="AU128">
            <v>-355353</v>
          </cell>
          <cell r="AV128">
            <v>0</v>
          </cell>
          <cell r="AW128">
            <v>-1776772</v>
          </cell>
          <cell r="AX128">
            <v>-3100000</v>
          </cell>
          <cell r="AY128">
            <v>-1860000</v>
          </cell>
          <cell r="AZ128">
            <v>-1240000</v>
          </cell>
          <cell r="BA128">
            <v>0</v>
          </cell>
          <cell r="BB128">
            <v>-6200000</v>
          </cell>
          <cell r="BC128">
            <v>45679930</v>
          </cell>
          <cell r="BD128">
            <v>-3121684</v>
          </cell>
          <cell r="BE128">
            <v>1168574</v>
          </cell>
          <cell r="BF128">
            <v>0</v>
          </cell>
          <cell r="BG128">
            <v>-4858199</v>
          </cell>
          <cell r="BH128">
            <v>-139269</v>
          </cell>
          <cell r="BI128">
            <v>0</v>
          </cell>
          <cell r="BJ128">
            <v>-247380</v>
          </cell>
          <cell r="BK128">
            <v>-1187500</v>
          </cell>
          <cell r="BL128">
            <v>-41443</v>
          </cell>
          <cell r="BM128">
            <v>-11156</v>
          </cell>
          <cell r="BN128">
            <v>0</v>
          </cell>
          <cell r="BO128">
            <v>0</v>
          </cell>
          <cell r="BP128">
            <v>0</v>
          </cell>
          <cell r="BQ128">
            <v>0</v>
          </cell>
          <cell r="BR128">
            <v>0</v>
          </cell>
          <cell r="BS128">
            <v>0</v>
          </cell>
          <cell r="BT128">
            <v>51141888</v>
          </cell>
          <cell r="BU128">
            <v>-1317698</v>
          </cell>
          <cell r="BV128">
            <v>2586065</v>
          </cell>
          <cell r="BW128">
            <v>-353083</v>
          </cell>
          <cell r="BX128">
            <v>4852283</v>
          </cell>
          <cell r="BY128">
            <v>1711812</v>
          </cell>
          <cell r="BZ128">
            <v>48152785</v>
          </cell>
          <cell r="CA128">
            <v>2426142</v>
          </cell>
          <cell r="CB128">
            <v>1455685</v>
          </cell>
          <cell r="CC128">
            <v>970456</v>
          </cell>
          <cell r="CD128">
            <v>0</v>
          </cell>
          <cell r="CE128">
            <v>855906</v>
          </cell>
          <cell r="CF128">
            <v>513544</v>
          </cell>
          <cell r="CG128">
            <v>342362</v>
          </cell>
          <cell r="CH128">
            <v>0</v>
          </cell>
        </row>
        <row r="129">
          <cell r="A129">
            <v>122</v>
          </cell>
          <cell r="B129" t="str">
            <v>Hart</v>
          </cell>
          <cell r="C129" t="str">
            <v>E1736</v>
          </cell>
          <cell r="D129">
            <v>98299</v>
          </cell>
          <cell r="H129">
            <v>556842</v>
          </cell>
          <cell r="I129">
            <v>0</v>
          </cell>
          <cell r="J129">
            <v>98299</v>
          </cell>
          <cell r="K129">
            <v>0</v>
          </cell>
          <cell r="L129">
            <v>0</v>
          </cell>
          <cell r="M129">
            <v>0</v>
          </cell>
          <cell r="N129">
            <v>0</v>
          </cell>
          <cell r="O129">
            <v>0</v>
          </cell>
          <cell r="P129">
            <v>0</v>
          </cell>
          <cell r="Q129">
            <v>0</v>
          </cell>
          <cell r="R129">
            <v>354129</v>
          </cell>
          <cell r="S129">
            <v>79679</v>
          </cell>
          <cell r="T129">
            <v>8853</v>
          </cell>
          <cell r="U129">
            <v>0</v>
          </cell>
          <cell r="V129">
            <v>0</v>
          </cell>
          <cell r="W129">
            <v>0</v>
          </cell>
          <cell r="X129">
            <v>0</v>
          </cell>
          <cell r="Y129">
            <v>0</v>
          </cell>
          <cell r="Z129">
            <v>0</v>
          </cell>
          <cell r="AA129">
            <v>447</v>
          </cell>
          <cell r="AB129">
            <v>100</v>
          </cell>
          <cell r="AC129">
            <v>11</v>
          </cell>
          <cell r="AD129">
            <v>0</v>
          </cell>
          <cell r="AE129">
            <v>0</v>
          </cell>
          <cell r="AF129">
            <v>0</v>
          </cell>
          <cell r="AG129">
            <v>0</v>
          </cell>
          <cell r="AH129">
            <v>0</v>
          </cell>
          <cell r="AI129">
            <v>0</v>
          </cell>
          <cell r="AM129">
            <v>0</v>
          </cell>
          <cell r="AN129">
            <v>0</v>
          </cell>
          <cell r="AO129">
            <v>0</v>
          </cell>
          <cell r="AP129">
            <v>183200</v>
          </cell>
          <cell r="AQ129">
            <v>41220</v>
          </cell>
          <cell r="AR129">
            <v>4580</v>
          </cell>
          <cell r="AS129">
            <v>-235720</v>
          </cell>
          <cell r="AT129">
            <v>-188574</v>
          </cell>
          <cell r="AU129">
            <v>-42429</v>
          </cell>
          <cell r="AV129">
            <v>-4713</v>
          </cell>
          <cell r="AW129">
            <v>-471436</v>
          </cell>
          <cell r="AX129">
            <v>-1039542.3</v>
          </cell>
          <cell r="AY129">
            <v>-831638</v>
          </cell>
          <cell r="AZ129">
            <v>-187119</v>
          </cell>
          <cell r="BA129">
            <v>-20793</v>
          </cell>
          <cell r="BB129">
            <v>-2079092.2999999998</v>
          </cell>
          <cell r="BC129">
            <v>28604112</v>
          </cell>
          <cell r="BD129">
            <v>-1230109</v>
          </cell>
          <cell r="BE129">
            <v>802138</v>
          </cell>
          <cell r="BF129">
            <v>0</v>
          </cell>
          <cell r="BG129">
            <v>-1459096</v>
          </cell>
          <cell r="BH129">
            <v>-6698</v>
          </cell>
          <cell r="BI129">
            <v>-1715</v>
          </cell>
          <cell r="BJ129">
            <v>-47470</v>
          </cell>
          <cell r="BK129">
            <v>-2945482</v>
          </cell>
          <cell r="BL129">
            <v>-91136</v>
          </cell>
          <cell r="BM129">
            <v>-27957</v>
          </cell>
          <cell r="BN129">
            <v>0</v>
          </cell>
          <cell r="BO129">
            <v>-1715</v>
          </cell>
          <cell r="BP129">
            <v>0</v>
          </cell>
          <cell r="BQ129">
            <v>0</v>
          </cell>
          <cell r="BR129">
            <v>0</v>
          </cell>
          <cell r="BS129">
            <v>0</v>
          </cell>
          <cell r="BT129">
            <v>29510874</v>
          </cell>
          <cell r="BU129">
            <v>-308775</v>
          </cell>
          <cell r="BV129">
            <v>1502324</v>
          </cell>
          <cell r="BW129">
            <v>-822944</v>
          </cell>
          <cell r="BX129">
            <v>-3987245</v>
          </cell>
          <cell r="BY129">
            <v>-2325392</v>
          </cell>
          <cell r="BZ129">
            <v>30489687</v>
          </cell>
          <cell r="CA129">
            <v>-1993625</v>
          </cell>
          <cell r="CB129">
            <v>-1594897</v>
          </cell>
          <cell r="CC129">
            <v>-358851</v>
          </cell>
          <cell r="CD129">
            <v>-39872</v>
          </cell>
          <cell r="CE129">
            <v>-1162696</v>
          </cell>
          <cell r="CF129">
            <v>-930157</v>
          </cell>
          <cell r="CG129">
            <v>-209285</v>
          </cell>
          <cell r="CH129">
            <v>-23254</v>
          </cell>
        </row>
        <row r="130">
          <cell r="A130">
            <v>123</v>
          </cell>
          <cell r="B130" t="str">
            <v>Hartlepool</v>
          </cell>
          <cell r="C130" t="str">
            <v>E0701</v>
          </cell>
          <cell r="D130">
            <v>115333</v>
          </cell>
          <cell r="H130">
            <v>-2317884</v>
          </cell>
          <cell r="I130">
            <v>3434</v>
          </cell>
          <cell r="J130">
            <v>115333</v>
          </cell>
          <cell r="K130">
            <v>3434</v>
          </cell>
          <cell r="L130">
            <v>0</v>
          </cell>
          <cell r="M130">
            <v>0</v>
          </cell>
          <cell r="N130">
            <v>122171</v>
          </cell>
          <cell r="O130">
            <v>122171</v>
          </cell>
          <cell r="P130">
            <v>0</v>
          </cell>
          <cell r="Q130">
            <v>0</v>
          </cell>
          <cell r="R130">
            <v>590772</v>
          </cell>
          <cell r="S130">
            <v>0</v>
          </cell>
          <cell r="T130">
            <v>12057</v>
          </cell>
          <cell r="U130">
            <v>5317</v>
          </cell>
          <cell r="V130">
            <v>0</v>
          </cell>
          <cell r="W130">
            <v>109</v>
          </cell>
          <cell r="X130">
            <v>0</v>
          </cell>
          <cell r="Y130">
            <v>0</v>
          </cell>
          <cell r="Z130">
            <v>0</v>
          </cell>
          <cell r="AA130">
            <v>0</v>
          </cell>
          <cell r="AB130">
            <v>0</v>
          </cell>
          <cell r="AC130">
            <v>0</v>
          </cell>
          <cell r="AD130">
            <v>0</v>
          </cell>
          <cell r="AE130">
            <v>0</v>
          </cell>
          <cell r="AF130">
            <v>0</v>
          </cell>
          <cell r="AG130">
            <v>0</v>
          </cell>
          <cell r="AH130">
            <v>0</v>
          </cell>
          <cell r="AI130">
            <v>0</v>
          </cell>
          <cell r="AM130">
            <v>0</v>
          </cell>
          <cell r="AN130">
            <v>0</v>
          </cell>
          <cell r="AO130">
            <v>0</v>
          </cell>
          <cell r="AP130">
            <v>222423</v>
          </cell>
          <cell r="AQ130">
            <v>0</v>
          </cell>
          <cell r="AR130">
            <v>4501</v>
          </cell>
          <cell r="AS130">
            <v>-476736</v>
          </cell>
          <cell r="AT130">
            <v>-467201</v>
          </cell>
          <cell r="AU130">
            <v>0</v>
          </cell>
          <cell r="AV130">
            <v>-9535</v>
          </cell>
          <cell r="AW130">
            <v>-953472</v>
          </cell>
          <cell r="AX130">
            <v>-1070307</v>
          </cell>
          <cell r="AY130">
            <v>-1048903</v>
          </cell>
          <cell r="AZ130">
            <v>0</v>
          </cell>
          <cell r="BA130">
            <v>-21407</v>
          </cell>
          <cell r="BB130">
            <v>-2140617</v>
          </cell>
          <cell r="BC130">
            <v>34423619</v>
          </cell>
          <cell r="BD130">
            <v>-2135445</v>
          </cell>
          <cell r="BE130">
            <v>909337</v>
          </cell>
          <cell r="BF130">
            <v>0</v>
          </cell>
          <cell r="BG130">
            <v>-2172936</v>
          </cell>
          <cell r="BH130">
            <v>-34750</v>
          </cell>
          <cell r="BI130">
            <v>0</v>
          </cell>
          <cell r="BJ130">
            <v>-10912</v>
          </cell>
          <cell r="BK130">
            <v>-926257</v>
          </cell>
          <cell r="BL130">
            <v>-131362</v>
          </cell>
          <cell r="BM130">
            <v>-33406</v>
          </cell>
          <cell r="BN130">
            <v>-3057</v>
          </cell>
          <cell r="BO130">
            <v>0</v>
          </cell>
          <cell r="BP130">
            <v>0</v>
          </cell>
          <cell r="BQ130">
            <v>-126314</v>
          </cell>
          <cell r="BR130">
            <v>-129482</v>
          </cell>
          <cell r="BS130">
            <v>0</v>
          </cell>
          <cell r="BT130">
            <v>32409443</v>
          </cell>
          <cell r="BU130">
            <v>-551604</v>
          </cell>
          <cell r="BV130">
            <v>1911671</v>
          </cell>
          <cell r="BW130">
            <v>-1471285</v>
          </cell>
          <cell r="BX130">
            <v>-2590271</v>
          </cell>
          <cell r="BY130">
            <v>-3581243</v>
          </cell>
          <cell r="BZ130">
            <v>29962088</v>
          </cell>
          <cell r="CA130">
            <v>-1295135</v>
          </cell>
          <cell r="CB130">
            <v>-1269232</v>
          </cell>
          <cell r="CC130">
            <v>0</v>
          </cell>
          <cell r="CD130">
            <v>-25904</v>
          </cell>
          <cell r="CE130">
            <v>-1790622</v>
          </cell>
          <cell r="CF130">
            <v>-1754809</v>
          </cell>
          <cell r="CG130">
            <v>0</v>
          </cell>
          <cell r="CH130">
            <v>-35812</v>
          </cell>
        </row>
        <row r="131">
          <cell r="A131">
            <v>124</v>
          </cell>
          <cell r="B131" t="str">
            <v>Hastings</v>
          </cell>
          <cell r="C131" t="str">
            <v>E1433</v>
          </cell>
          <cell r="D131">
            <v>133508</v>
          </cell>
          <cell r="H131">
            <v>-139692</v>
          </cell>
          <cell r="I131">
            <v>0</v>
          </cell>
          <cell r="J131">
            <v>133508</v>
          </cell>
          <cell r="K131">
            <v>0</v>
          </cell>
          <cell r="L131">
            <v>0</v>
          </cell>
          <cell r="M131">
            <v>0</v>
          </cell>
          <cell r="N131">
            <v>0</v>
          </cell>
          <cell r="O131">
            <v>0</v>
          </cell>
          <cell r="P131">
            <v>0</v>
          </cell>
          <cell r="Q131">
            <v>0</v>
          </cell>
          <cell r="R131">
            <v>669205</v>
          </cell>
          <cell r="S131">
            <v>150571</v>
          </cell>
          <cell r="T131">
            <v>16730</v>
          </cell>
          <cell r="U131">
            <v>0</v>
          </cell>
          <cell r="V131">
            <v>0</v>
          </cell>
          <cell r="W131">
            <v>0</v>
          </cell>
          <cell r="X131">
            <v>7940</v>
          </cell>
          <cell r="Y131">
            <v>1786</v>
          </cell>
          <cell r="Z131">
            <v>198</v>
          </cell>
          <cell r="AA131">
            <v>493</v>
          </cell>
          <cell r="AB131">
            <v>111</v>
          </cell>
          <cell r="AC131">
            <v>12</v>
          </cell>
          <cell r="AD131">
            <v>0</v>
          </cell>
          <cell r="AE131">
            <v>0</v>
          </cell>
          <cell r="AF131">
            <v>0</v>
          </cell>
          <cell r="AG131">
            <v>0</v>
          </cell>
          <cell r="AH131">
            <v>0</v>
          </cell>
          <cell r="AI131">
            <v>0</v>
          </cell>
          <cell r="AM131">
            <v>0</v>
          </cell>
          <cell r="AN131">
            <v>0</v>
          </cell>
          <cell r="AO131">
            <v>0</v>
          </cell>
          <cell r="AP131">
            <v>125123</v>
          </cell>
          <cell r="AQ131">
            <v>28153</v>
          </cell>
          <cell r="AR131">
            <v>3128</v>
          </cell>
          <cell r="AS131">
            <v>-395233</v>
          </cell>
          <cell r="AT131">
            <v>-316189</v>
          </cell>
          <cell r="AU131">
            <v>-71144</v>
          </cell>
          <cell r="AV131">
            <v>-7904</v>
          </cell>
          <cell r="AW131">
            <v>-790470</v>
          </cell>
          <cell r="AX131">
            <v>-1437501</v>
          </cell>
          <cell r="AY131">
            <v>-1149999</v>
          </cell>
          <cell r="AZ131">
            <v>-258750</v>
          </cell>
          <cell r="BA131">
            <v>-28750</v>
          </cell>
          <cell r="BB131">
            <v>-2875000</v>
          </cell>
          <cell r="BC131">
            <v>20844980</v>
          </cell>
          <cell r="BD131">
            <v>-2677484</v>
          </cell>
          <cell r="BE131">
            <v>563569</v>
          </cell>
          <cell r="BF131">
            <v>0</v>
          </cell>
          <cell r="BG131">
            <v>-2612896</v>
          </cell>
          <cell r="BH131">
            <v>-40694</v>
          </cell>
          <cell r="BI131">
            <v>0</v>
          </cell>
          <cell r="BJ131">
            <v>-594</v>
          </cell>
          <cell r="BK131">
            <v>-675922</v>
          </cell>
          <cell r="BL131">
            <v>-107248</v>
          </cell>
          <cell r="BM131">
            <v>-145720</v>
          </cell>
          <cell r="BN131">
            <v>-1243</v>
          </cell>
          <cell r="BO131">
            <v>0</v>
          </cell>
          <cell r="BP131">
            <v>0</v>
          </cell>
          <cell r="BQ131">
            <v>0</v>
          </cell>
          <cell r="BR131">
            <v>0</v>
          </cell>
          <cell r="BS131">
            <v>0</v>
          </cell>
          <cell r="BT131">
            <v>21016062</v>
          </cell>
          <cell r="BU131">
            <v>-310894</v>
          </cell>
          <cell r="BV131">
            <v>1114379</v>
          </cell>
          <cell r="BW131">
            <v>-684556</v>
          </cell>
          <cell r="BX131">
            <v>-780951</v>
          </cell>
          <cell r="BY131">
            <v>-591733</v>
          </cell>
          <cell r="BZ131">
            <v>20824001</v>
          </cell>
          <cell r="CA131">
            <v>-390475</v>
          </cell>
          <cell r="CB131">
            <v>-312380</v>
          </cell>
          <cell r="CC131">
            <v>-70286</v>
          </cell>
          <cell r="CD131">
            <v>-7810</v>
          </cell>
          <cell r="CE131">
            <v>-295867</v>
          </cell>
          <cell r="CF131">
            <v>-236693</v>
          </cell>
          <cell r="CG131">
            <v>-53256</v>
          </cell>
          <cell r="CH131">
            <v>-5917</v>
          </cell>
        </row>
        <row r="132">
          <cell r="A132">
            <v>125</v>
          </cell>
          <cell r="B132" t="str">
            <v>Havant</v>
          </cell>
          <cell r="C132" t="str">
            <v>E1737</v>
          </cell>
          <cell r="D132">
            <v>137942</v>
          </cell>
          <cell r="H132">
            <v>-925380</v>
          </cell>
          <cell r="I132">
            <v>0</v>
          </cell>
          <cell r="J132">
            <v>137942</v>
          </cell>
          <cell r="K132">
            <v>0</v>
          </cell>
          <cell r="L132">
            <v>0</v>
          </cell>
          <cell r="M132">
            <v>0</v>
          </cell>
          <cell r="N132">
            <v>0</v>
          </cell>
          <cell r="O132">
            <v>0</v>
          </cell>
          <cell r="P132">
            <v>0</v>
          </cell>
          <cell r="Q132">
            <v>0</v>
          </cell>
          <cell r="R132">
            <v>587991</v>
          </cell>
          <cell r="S132">
            <v>132298</v>
          </cell>
          <cell r="T132">
            <v>14700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M132">
            <v>0</v>
          </cell>
          <cell r="AN132">
            <v>0</v>
          </cell>
          <cell r="AO132">
            <v>0</v>
          </cell>
          <cell r="AP132">
            <v>208505</v>
          </cell>
          <cell r="AQ132">
            <v>46914</v>
          </cell>
          <cell r="AR132">
            <v>5213</v>
          </cell>
          <cell r="AS132">
            <v>-78256</v>
          </cell>
          <cell r="AT132">
            <v>-62604</v>
          </cell>
          <cell r="AU132">
            <v>-14085</v>
          </cell>
          <cell r="AV132">
            <v>-1565</v>
          </cell>
          <cell r="AW132">
            <v>-156510</v>
          </cell>
          <cell r="AX132">
            <v>-831075</v>
          </cell>
          <cell r="AY132">
            <v>-664858</v>
          </cell>
          <cell r="AZ132">
            <v>-149593</v>
          </cell>
          <cell r="BA132">
            <v>-16621</v>
          </cell>
          <cell r="BB132">
            <v>-1662147</v>
          </cell>
          <cell r="BC132">
            <v>33447369</v>
          </cell>
          <cell r="BD132">
            <v>-2150478</v>
          </cell>
          <cell r="BE132">
            <v>900268</v>
          </cell>
          <cell r="BF132">
            <v>0</v>
          </cell>
          <cell r="BG132">
            <v>-1989927</v>
          </cell>
          <cell r="BH132">
            <v>-9990</v>
          </cell>
          <cell r="BI132">
            <v>-1988</v>
          </cell>
          <cell r="BJ132">
            <v>-17712</v>
          </cell>
          <cell r="BK132">
            <v>-683243</v>
          </cell>
          <cell r="BL132">
            <v>-118727</v>
          </cell>
          <cell r="BM132">
            <v>-86866</v>
          </cell>
          <cell r="BN132">
            <v>-393</v>
          </cell>
          <cell r="BO132">
            <v>-1988</v>
          </cell>
          <cell r="BP132">
            <v>0</v>
          </cell>
          <cell r="BQ132">
            <v>0</v>
          </cell>
          <cell r="BR132">
            <v>0</v>
          </cell>
          <cell r="BS132">
            <v>0</v>
          </cell>
          <cell r="BT132">
            <v>34524688</v>
          </cell>
          <cell r="BU132">
            <v>-134562</v>
          </cell>
          <cell r="BV132">
            <v>631569</v>
          </cell>
          <cell r="BW132">
            <v>-805653</v>
          </cell>
          <cell r="BX132">
            <v>-1643694</v>
          </cell>
          <cell r="BY132">
            <v>-753440</v>
          </cell>
          <cell r="BZ132">
            <v>34701173</v>
          </cell>
          <cell r="CA132">
            <v>-821847</v>
          </cell>
          <cell r="CB132">
            <v>-657477</v>
          </cell>
          <cell r="CC132">
            <v>-147933</v>
          </cell>
          <cell r="CD132">
            <v>-16437</v>
          </cell>
          <cell r="CE132">
            <v>-376720</v>
          </cell>
          <cell r="CF132">
            <v>-301376</v>
          </cell>
          <cell r="CG132">
            <v>-67810</v>
          </cell>
          <cell r="CH132">
            <v>-7534</v>
          </cell>
        </row>
        <row r="133">
          <cell r="A133">
            <v>126</v>
          </cell>
          <cell r="B133" t="str">
            <v>Havering</v>
          </cell>
          <cell r="C133" t="str">
            <v>E5040</v>
          </cell>
          <cell r="D133">
            <v>268121</v>
          </cell>
          <cell r="H133">
            <v>2881073</v>
          </cell>
          <cell r="I133">
            <v>0</v>
          </cell>
          <cell r="J133">
            <v>268121</v>
          </cell>
          <cell r="K133">
            <v>0</v>
          </cell>
          <cell r="L133">
            <v>0</v>
          </cell>
          <cell r="M133">
            <v>0</v>
          </cell>
          <cell r="N133">
            <v>0</v>
          </cell>
          <cell r="O133">
            <v>0</v>
          </cell>
          <cell r="P133">
            <v>0</v>
          </cell>
          <cell r="Q133">
            <v>0</v>
          </cell>
          <cell r="R133">
            <v>780071</v>
          </cell>
          <cell r="S133">
            <v>962088</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M133">
            <v>0</v>
          </cell>
          <cell r="AN133">
            <v>0</v>
          </cell>
          <cell r="AO133">
            <v>0</v>
          </cell>
          <cell r="AP133">
            <v>362015</v>
          </cell>
          <cell r="AQ133">
            <v>446485</v>
          </cell>
          <cell r="AR133">
            <v>0</v>
          </cell>
          <cell r="AS133">
            <v>-990103.39999999991</v>
          </cell>
          <cell r="AT133">
            <v>-594058</v>
          </cell>
          <cell r="AU133">
            <v>-396040</v>
          </cell>
          <cell r="AV133">
            <v>0</v>
          </cell>
          <cell r="AW133">
            <v>-1980201.4</v>
          </cell>
          <cell r="AX133">
            <v>-3372901.4</v>
          </cell>
          <cell r="AY133">
            <v>-2023740</v>
          </cell>
          <cell r="AZ133">
            <v>-1349161</v>
          </cell>
          <cell r="BA133">
            <v>0</v>
          </cell>
          <cell r="BB133">
            <v>-6745802.4000000004</v>
          </cell>
          <cell r="BC133">
            <v>75099125</v>
          </cell>
          <cell r="BD133">
            <v>-3788754</v>
          </cell>
          <cell r="BE133">
            <v>1888861</v>
          </cell>
          <cell r="BF133">
            <v>0</v>
          </cell>
          <cell r="BG133">
            <v>-4682696</v>
          </cell>
          <cell r="BH133">
            <v>-329889</v>
          </cell>
          <cell r="BI133">
            <v>0</v>
          </cell>
          <cell r="BJ133">
            <v>-79140</v>
          </cell>
          <cell r="BK133">
            <v>-2885990</v>
          </cell>
          <cell r="BL133">
            <v>-127019</v>
          </cell>
          <cell r="BM133">
            <v>-10708</v>
          </cell>
          <cell r="BN133">
            <v>-74500</v>
          </cell>
          <cell r="BO133">
            <v>0</v>
          </cell>
          <cell r="BP133">
            <v>0</v>
          </cell>
          <cell r="BQ133">
            <v>0</v>
          </cell>
          <cell r="BR133">
            <v>0</v>
          </cell>
          <cell r="BS133">
            <v>0</v>
          </cell>
          <cell r="BT133">
            <v>75137311</v>
          </cell>
          <cell r="BU133">
            <v>-749486</v>
          </cell>
          <cell r="BV133">
            <v>2299929</v>
          </cell>
          <cell r="BW133">
            <v>-3711877</v>
          </cell>
          <cell r="BX133">
            <v>-455790.82999999821</v>
          </cell>
          <cell r="BY133">
            <v>488766</v>
          </cell>
          <cell r="BZ133">
            <v>80332784</v>
          </cell>
          <cell r="CA133">
            <v>-227895.82999999821</v>
          </cell>
          <cell r="CB133">
            <v>-136736</v>
          </cell>
          <cell r="CC133">
            <v>-91159</v>
          </cell>
          <cell r="CD133">
            <v>0</v>
          </cell>
          <cell r="CE133">
            <v>244383</v>
          </cell>
          <cell r="CF133">
            <v>146630</v>
          </cell>
          <cell r="CG133">
            <v>97753</v>
          </cell>
          <cell r="CH133">
            <v>0</v>
          </cell>
        </row>
        <row r="134">
          <cell r="A134">
            <v>127</v>
          </cell>
          <cell r="B134" t="str">
            <v>Herefordshire</v>
          </cell>
          <cell r="C134" t="str">
            <v>E1801</v>
          </cell>
          <cell r="D134">
            <v>299893</v>
          </cell>
          <cell r="H134">
            <v>0</v>
          </cell>
          <cell r="I134">
            <v>0</v>
          </cell>
          <cell r="J134">
            <v>299893</v>
          </cell>
          <cell r="K134">
            <v>52447</v>
          </cell>
          <cell r="L134">
            <v>100000</v>
          </cell>
          <cell r="M134">
            <v>0</v>
          </cell>
          <cell r="N134">
            <v>481000</v>
          </cell>
          <cell r="O134">
            <v>481000</v>
          </cell>
          <cell r="P134">
            <v>0</v>
          </cell>
          <cell r="Q134">
            <v>0</v>
          </cell>
          <cell r="R134">
            <v>2037014</v>
          </cell>
          <cell r="S134">
            <v>0</v>
          </cell>
          <cell r="T134">
            <v>40862</v>
          </cell>
          <cell r="U134">
            <v>0</v>
          </cell>
          <cell r="V134">
            <v>0</v>
          </cell>
          <cell r="W134">
            <v>0</v>
          </cell>
          <cell r="X134">
            <v>0</v>
          </cell>
          <cell r="Y134">
            <v>0</v>
          </cell>
          <cell r="Z134">
            <v>0</v>
          </cell>
          <cell r="AA134">
            <v>27998</v>
          </cell>
          <cell r="AB134">
            <v>0</v>
          </cell>
          <cell r="AC134">
            <v>571</v>
          </cell>
          <cell r="AD134">
            <v>0</v>
          </cell>
          <cell r="AE134">
            <v>0</v>
          </cell>
          <cell r="AF134">
            <v>0</v>
          </cell>
          <cell r="AG134">
            <v>0</v>
          </cell>
          <cell r="AH134">
            <v>0</v>
          </cell>
          <cell r="AI134">
            <v>0</v>
          </cell>
          <cell r="AM134">
            <v>0</v>
          </cell>
          <cell r="AN134">
            <v>0</v>
          </cell>
          <cell r="AO134">
            <v>0</v>
          </cell>
          <cell r="AP134">
            <v>339751</v>
          </cell>
          <cell r="AQ134">
            <v>0</v>
          </cell>
          <cell r="AR134">
            <v>6740</v>
          </cell>
          <cell r="AS134">
            <v>-274443.42</v>
          </cell>
          <cell r="AT134">
            <v>-268953</v>
          </cell>
          <cell r="AU134">
            <v>0</v>
          </cell>
          <cell r="AV134">
            <v>-5488</v>
          </cell>
          <cell r="AW134">
            <v>-548884.42000000004</v>
          </cell>
          <cell r="AX134">
            <v>-3569564</v>
          </cell>
          <cell r="AY134">
            <v>-3498174</v>
          </cell>
          <cell r="AZ134">
            <v>0</v>
          </cell>
          <cell r="BA134">
            <v>-71392</v>
          </cell>
          <cell r="BB134">
            <v>-7139130</v>
          </cell>
          <cell r="BC134">
            <v>47594029</v>
          </cell>
          <cell r="BD134">
            <v>-5875956</v>
          </cell>
          <cell r="BE134">
            <v>1299901</v>
          </cell>
          <cell r="BF134">
            <v>0</v>
          </cell>
          <cell r="BG134">
            <v>-4422064</v>
          </cell>
          <cell r="BH134">
            <v>-85108</v>
          </cell>
          <cell r="BI134">
            <v>-104183</v>
          </cell>
          <cell r="BJ134">
            <v>-4562</v>
          </cell>
          <cell r="BK134">
            <v>-1781767</v>
          </cell>
          <cell r="BL134">
            <v>-366437</v>
          </cell>
          <cell r="BM134">
            <v>-152658</v>
          </cell>
          <cell r="BN134">
            <v>-12172</v>
          </cell>
          <cell r="BO134">
            <v>-63563</v>
          </cell>
          <cell r="BP134">
            <v>0</v>
          </cell>
          <cell r="BQ134">
            <v>-293304</v>
          </cell>
          <cell r="BR134">
            <v>-310203</v>
          </cell>
          <cell r="BS134">
            <v>0</v>
          </cell>
          <cell r="BT134">
            <v>48968055</v>
          </cell>
          <cell r="BU134">
            <v>-153071</v>
          </cell>
          <cell r="BV134">
            <v>1521568</v>
          </cell>
          <cell r="BW134">
            <v>-1117115</v>
          </cell>
          <cell r="BX134">
            <v>352503</v>
          </cell>
          <cell r="BY134">
            <v>1028910</v>
          </cell>
          <cell r="BZ134">
            <v>44865855</v>
          </cell>
          <cell r="CA134">
            <v>176253</v>
          </cell>
          <cell r="CB134">
            <v>172726</v>
          </cell>
          <cell r="CC134">
            <v>0</v>
          </cell>
          <cell r="CD134">
            <v>3524</v>
          </cell>
          <cell r="CE134">
            <v>514455</v>
          </cell>
          <cell r="CF134">
            <v>504166</v>
          </cell>
          <cell r="CG134">
            <v>0</v>
          </cell>
          <cell r="CH134">
            <v>10289</v>
          </cell>
        </row>
        <row r="135">
          <cell r="A135">
            <v>128</v>
          </cell>
          <cell r="B135" t="str">
            <v>Hertsmere</v>
          </cell>
          <cell r="C135" t="str">
            <v>E1934</v>
          </cell>
          <cell r="D135">
            <v>151151</v>
          </cell>
          <cell r="H135">
            <v>-425087</v>
          </cell>
          <cell r="I135">
            <v>0</v>
          </cell>
          <cell r="J135">
            <v>151151</v>
          </cell>
          <cell r="K135">
            <v>0</v>
          </cell>
          <cell r="L135">
            <v>0</v>
          </cell>
          <cell r="M135">
            <v>0</v>
          </cell>
          <cell r="N135">
            <v>0</v>
          </cell>
          <cell r="O135">
            <v>0</v>
          </cell>
          <cell r="P135">
            <v>0</v>
          </cell>
          <cell r="Q135">
            <v>0</v>
          </cell>
          <cell r="R135">
            <v>728804</v>
          </cell>
          <cell r="S135">
            <v>182201</v>
          </cell>
          <cell r="T135">
            <v>0</v>
          </cell>
          <cell r="U135">
            <v>0</v>
          </cell>
          <cell r="V135">
            <v>0</v>
          </cell>
          <cell r="W135">
            <v>0</v>
          </cell>
          <cell r="X135">
            <v>0</v>
          </cell>
          <cell r="Y135">
            <v>0</v>
          </cell>
          <cell r="Z135">
            <v>0</v>
          </cell>
          <cell r="AA135">
            <v>9502</v>
          </cell>
          <cell r="AB135">
            <v>2375</v>
          </cell>
          <cell r="AC135">
            <v>0</v>
          </cell>
          <cell r="AD135">
            <v>0</v>
          </cell>
          <cell r="AE135">
            <v>0</v>
          </cell>
          <cell r="AF135">
            <v>0</v>
          </cell>
          <cell r="AG135">
            <v>0</v>
          </cell>
          <cell r="AH135">
            <v>0</v>
          </cell>
          <cell r="AI135">
            <v>0</v>
          </cell>
          <cell r="AM135">
            <v>0</v>
          </cell>
          <cell r="AN135">
            <v>0</v>
          </cell>
          <cell r="AO135">
            <v>0</v>
          </cell>
          <cell r="AP135">
            <v>262429</v>
          </cell>
          <cell r="AQ135">
            <v>65607</v>
          </cell>
          <cell r="AR135">
            <v>0</v>
          </cell>
          <cell r="AS135">
            <v>-139602.35</v>
          </cell>
          <cell r="AT135">
            <v>-111681</v>
          </cell>
          <cell r="AU135">
            <v>-27921</v>
          </cell>
          <cell r="AV135">
            <v>0</v>
          </cell>
          <cell r="AW135">
            <v>-279204.34999999998</v>
          </cell>
          <cell r="AX135">
            <v>-1501920</v>
          </cell>
          <cell r="AY135">
            <v>-1201535</v>
          </cell>
          <cell r="AZ135">
            <v>-300382</v>
          </cell>
          <cell r="BA135">
            <v>0</v>
          </cell>
          <cell r="BB135">
            <v>-3003837</v>
          </cell>
          <cell r="BC135">
            <v>49325282</v>
          </cell>
          <cell r="BD135">
            <v>-1676878</v>
          </cell>
          <cell r="BE135">
            <v>1287095</v>
          </cell>
          <cell r="BF135">
            <v>0</v>
          </cell>
          <cell r="BG135">
            <v>-5028802</v>
          </cell>
          <cell r="BH135">
            <v>-59720</v>
          </cell>
          <cell r="BI135">
            <v>0</v>
          </cell>
          <cell r="BJ135">
            <v>0</v>
          </cell>
          <cell r="BK135">
            <v>-649481</v>
          </cell>
          <cell r="BL135">
            <v>-102709</v>
          </cell>
          <cell r="BM135">
            <v>-34861</v>
          </cell>
          <cell r="BN135">
            <v>0</v>
          </cell>
          <cell r="BO135">
            <v>0</v>
          </cell>
          <cell r="BP135">
            <v>0</v>
          </cell>
          <cell r="BQ135">
            <v>0</v>
          </cell>
          <cell r="BR135">
            <v>0</v>
          </cell>
          <cell r="BS135">
            <v>0</v>
          </cell>
          <cell r="BT135">
            <v>46699067</v>
          </cell>
          <cell r="BU135">
            <v>-54092</v>
          </cell>
          <cell r="BV135">
            <v>863336</v>
          </cell>
          <cell r="BW135">
            <v>-2391968</v>
          </cell>
          <cell r="BX135">
            <v>2019952</v>
          </cell>
          <cell r="BY135">
            <v>-3781</v>
          </cell>
          <cell r="BZ135">
            <v>43675694</v>
          </cell>
          <cell r="CA135">
            <v>1009977</v>
          </cell>
          <cell r="CB135">
            <v>807980</v>
          </cell>
          <cell r="CC135">
            <v>201995</v>
          </cell>
          <cell r="CD135">
            <v>0</v>
          </cell>
          <cell r="CE135">
            <v>-1891</v>
          </cell>
          <cell r="CF135">
            <v>-1512</v>
          </cell>
          <cell r="CG135">
            <v>-378</v>
          </cell>
          <cell r="CH135">
            <v>0</v>
          </cell>
        </row>
        <row r="136">
          <cell r="A136">
            <v>129</v>
          </cell>
          <cell r="B136" t="str">
            <v>High Peak</v>
          </cell>
          <cell r="C136" t="str">
            <v>E1037</v>
          </cell>
          <cell r="D136">
            <v>135269</v>
          </cell>
          <cell r="H136">
            <v>1576323</v>
          </cell>
          <cell r="I136">
            <v>0</v>
          </cell>
          <cell r="J136">
            <v>135269</v>
          </cell>
          <cell r="K136">
            <v>0</v>
          </cell>
          <cell r="L136">
            <v>0</v>
          </cell>
          <cell r="M136">
            <v>0</v>
          </cell>
          <cell r="N136">
            <v>0</v>
          </cell>
          <cell r="O136">
            <v>0</v>
          </cell>
          <cell r="P136">
            <v>0</v>
          </cell>
          <cell r="Q136">
            <v>0</v>
          </cell>
          <cell r="R136">
            <v>673127</v>
          </cell>
          <cell r="S136">
            <v>151453</v>
          </cell>
          <cell r="T136">
            <v>16828</v>
          </cell>
          <cell r="U136">
            <v>0</v>
          </cell>
          <cell r="V136">
            <v>0</v>
          </cell>
          <cell r="W136">
            <v>0</v>
          </cell>
          <cell r="X136">
            <v>0</v>
          </cell>
          <cell r="Y136">
            <v>0</v>
          </cell>
          <cell r="Z136">
            <v>0</v>
          </cell>
          <cell r="AA136">
            <v>2368</v>
          </cell>
          <cell r="AB136">
            <v>533</v>
          </cell>
          <cell r="AC136">
            <v>59</v>
          </cell>
          <cell r="AD136">
            <v>0</v>
          </cell>
          <cell r="AE136">
            <v>0</v>
          </cell>
          <cell r="AF136">
            <v>0</v>
          </cell>
          <cell r="AG136">
            <v>0</v>
          </cell>
          <cell r="AH136">
            <v>0</v>
          </cell>
          <cell r="AI136">
            <v>0</v>
          </cell>
          <cell r="AM136">
            <v>0</v>
          </cell>
          <cell r="AN136">
            <v>0</v>
          </cell>
          <cell r="AO136">
            <v>0</v>
          </cell>
          <cell r="AP136">
            <v>161629</v>
          </cell>
          <cell r="AQ136">
            <v>36367</v>
          </cell>
          <cell r="AR136">
            <v>4041</v>
          </cell>
          <cell r="AS136">
            <v>-360855</v>
          </cell>
          <cell r="AT136">
            <v>-288687</v>
          </cell>
          <cell r="AU136">
            <v>-64955</v>
          </cell>
          <cell r="AV136">
            <v>-7218</v>
          </cell>
          <cell r="AW136">
            <v>-721715</v>
          </cell>
          <cell r="AX136">
            <v>-626195</v>
          </cell>
          <cell r="AY136">
            <v>-500957</v>
          </cell>
          <cell r="AZ136">
            <v>-112716</v>
          </cell>
          <cell r="BA136">
            <v>-12525</v>
          </cell>
          <cell r="BB136">
            <v>-1252393</v>
          </cell>
          <cell r="BC136">
            <v>24773815</v>
          </cell>
          <cell r="BD136">
            <v>-2792808</v>
          </cell>
          <cell r="BE136">
            <v>617139</v>
          </cell>
          <cell r="BF136">
            <v>0</v>
          </cell>
          <cell r="BG136">
            <v>-951527</v>
          </cell>
          <cell r="BH136">
            <v>-91080</v>
          </cell>
          <cell r="BI136">
            <v>-14244</v>
          </cell>
          <cell r="BJ136">
            <v>-77965</v>
          </cell>
          <cell r="BK136">
            <v>-492707</v>
          </cell>
          <cell r="BL136">
            <v>-32781</v>
          </cell>
          <cell r="BM136">
            <v>-169857</v>
          </cell>
          <cell r="BN136">
            <v>-145</v>
          </cell>
          <cell r="BO136">
            <v>-5556</v>
          </cell>
          <cell r="BP136">
            <v>0</v>
          </cell>
          <cell r="BQ136">
            <v>0</v>
          </cell>
          <cell r="BR136">
            <v>0</v>
          </cell>
          <cell r="BS136">
            <v>0</v>
          </cell>
          <cell r="BT136">
            <v>24888784</v>
          </cell>
          <cell r="BU136">
            <v>-7611</v>
          </cell>
          <cell r="BV136">
            <v>1140949</v>
          </cell>
          <cell r="BW136">
            <v>-489718</v>
          </cell>
          <cell r="BX136">
            <v>131961</v>
          </cell>
          <cell r="BY136">
            <v>63919</v>
          </cell>
          <cell r="BZ136">
            <v>26899739</v>
          </cell>
          <cell r="CA136">
            <v>65981</v>
          </cell>
          <cell r="CB136">
            <v>52785</v>
          </cell>
          <cell r="CC136">
            <v>11876</v>
          </cell>
          <cell r="CD136">
            <v>1319</v>
          </cell>
          <cell r="CE136">
            <v>31959</v>
          </cell>
          <cell r="CF136">
            <v>25568</v>
          </cell>
          <cell r="CG136">
            <v>5753</v>
          </cell>
          <cell r="CH136">
            <v>639</v>
          </cell>
        </row>
        <row r="137">
          <cell r="A137">
            <v>130</v>
          </cell>
          <cell r="B137" t="str">
            <v>Hillingdon</v>
          </cell>
          <cell r="C137" t="str">
            <v>E5041</v>
          </cell>
          <cell r="D137">
            <v>576004</v>
          </cell>
          <cell r="H137">
            <v>-6724797</v>
          </cell>
          <cell r="I137">
            <v>0</v>
          </cell>
          <cell r="J137">
            <v>576004</v>
          </cell>
          <cell r="K137">
            <v>0</v>
          </cell>
          <cell r="L137">
            <v>0</v>
          </cell>
          <cell r="M137">
            <v>0</v>
          </cell>
          <cell r="N137">
            <v>0</v>
          </cell>
          <cell r="O137">
            <v>0</v>
          </cell>
          <cell r="P137">
            <v>0</v>
          </cell>
          <cell r="Q137">
            <v>0</v>
          </cell>
          <cell r="R137">
            <v>805630</v>
          </cell>
          <cell r="S137">
            <v>993610</v>
          </cell>
          <cell r="T137">
            <v>0</v>
          </cell>
          <cell r="U137">
            <v>0</v>
          </cell>
          <cell r="V137">
            <v>0</v>
          </cell>
          <cell r="W137">
            <v>0</v>
          </cell>
          <cell r="X137">
            <v>0</v>
          </cell>
          <cell r="Y137">
            <v>0</v>
          </cell>
          <cell r="Z137">
            <v>0</v>
          </cell>
          <cell r="AA137">
            <v>30450</v>
          </cell>
          <cell r="AB137">
            <v>37556</v>
          </cell>
          <cell r="AC137">
            <v>0</v>
          </cell>
          <cell r="AD137">
            <v>0</v>
          </cell>
          <cell r="AE137">
            <v>0</v>
          </cell>
          <cell r="AF137">
            <v>0</v>
          </cell>
          <cell r="AG137">
            <v>0</v>
          </cell>
          <cell r="AH137">
            <v>0</v>
          </cell>
          <cell r="AI137">
            <v>0</v>
          </cell>
          <cell r="AM137">
            <v>0</v>
          </cell>
          <cell r="AN137">
            <v>0</v>
          </cell>
          <cell r="AO137">
            <v>0</v>
          </cell>
          <cell r="AP137">
            <v>1585067</v>
          </cell>
          <cell r="AQ137">
            <v>1954916</v>
          </cell>
          <cell r="AR137">
            <v>0</v>
          </cell>
          <cell r="AS137">
            <v>-680097</v>
          </cell>
          <cell r="AT137">
            <v>-408058</v>
          </cell>
          <cell r="AU137">
            <v>-272039</v>
          </cell>
          <cell r="AV137">
            <v>0</v>
          </cell>
          <cell r="AW137">
            <v>-1360194</v>
          </cell>
          <cell r="AX137">
            <v>-2323970</v>
          </cell>
          <cell r="AY137">
            <v>-1394382</v>
          </cell>
          <cell r="AZ137">
            <v>-929589</v>
          </cell>
          <cell r="BA137">
            <v>0</v>
          </cell>
          <cell r="BB137">
            <v>-4647941</v>
          </cell>
          <cell r="BC137">
            <v>375192593</v>
          </cell>
          <cell r="BD137">
            <v>-3614601</v>
          </cell>
          <cell r="BE137">
            <v>9973542</v>
          </cell>
          <cell r="BF137">
            <v>0</v>
          </cell>
          <cell r="BG137">
            <v>-9078055</v>
          </cell>
          <cell r="BH137">
            <v>-61191</v>
          </cell>
          <cell r="BI137">
            <v>0</v>
          </cell>
          <cell r="BJ137">
            <v>-114834</v>
          </cell>
          <cell r="BK137">
            <v>-11538642</v>
          </cell>
          <cell r="BL137">
            <v>-208770</v>
          </cell>
          <cell r="BM137">
            <v>-14179</v>
          </cell>
          <cell r="BN137">
            <v>0</v>
          </cell>
          <cell r="BO137">
            <v>0</v>
          </cell>
          <cell r="BP137">
            <v>0</v>
          </cell>
          <cell r="BQ137">
            <v>0</v>
          </cell>
          <cell r="BR137">
            <v>0</v>
          </cell>
          <cell r="BS137">
            <v>0</v>
          </cell>
          <cell r="BT137">
            <v>376436961</v>
          </cell>
          <cell r="BU137">
            <v>-1196371</v>
          </cell>
          <cell r="BV137">
            <v>12192238</v>
          </cell>
          <cell r="BW137">
            <v>-22588604</v>
          </cell>
          <cell r="BX137">
            <v>1728195</v>
          </cell>
          <cell r="BY137">
            <v>4982000</v>
          </cell>
          <cell r="BZ137">
            <v>351733977</v>
          </cell>
          <cell r="CA137">
            <v>864097</v>
          </cell>
          <cell r="CB137">
            <v>518458</v>
          </cell>
          <cell r="CC137">
            <v>345640</v>
          </cell>
          <cell r="CD137">
            <v>0</v>
          </cell>
          <cell r="CE137">
            <v>2491000</v>
          </cell>
          <cell r="CF137">
            <v>1494600</v>
          </cell>
          <cell r="CG137">
            <v>996400</v>
          </cell>
          <cell r="CH137">
            <v>0</v>
          </cell>
        </row>
        <row r="138">
          <cell r="A138">
            <v>131</v>
          </cell>
          <cell r="B138" t="str">
            <v>Hinckley and Bosworth</v>
          </cell>
          <cell r="C138" t="str">
            <v>E2434</v>
          </cell>
          <cell r="D138">
            <v>127087</v>
          </cell>
          <cell r="H138">
            <v>836527</v>
          </cell>
          <cell r="I138">
            <v>-60074</v>
          </cell>
          <cell r="J138">
            <v>127087</v>
          </cell>
          <cell r="K138">
            <v>76165</v>
          </cell>
          <cell r="L138">
            <v>94708</v>
          </cell>
          <cell r="M138">
            <v>0</v>
          </cell>
          <cell r="N138">
            <v>251424</v>
          </cell>
          <cell r="O138">
            <v>251424</v>
          </cell>
          <cell r="P138">
            <v>0</v>
          </cell>
          <cell r="Q138">
            <v>0</v>
          </cell>
          <cell r="R138">
            <v>618648</v>
          </cell>
          <cell r="S138">
            <v>139196</v>
          </cell>
          <cell r="T138">
            <v>15466</v>
          </cell>
          <cell r="U138">
            <v>988</v>
          </cell>
          <cell r="V138">
            <v>223</v>
          </cell>
          <cell r="W138">
            <v>25</v>
          </cell>
          <cell r="X138">
            <v>47113</v>
          </cell>
          <cell r="Y138">
            <v>10600</v>
          </cell>
          <cell r="Z138">
            <v>1178</v>
          </cell>
          <cell r="AA138">
            <v>0</v>
          </cell>
          <cell r="AB138">
            <v>0</v>
          </cell>
          <cell r="AC138">
            <v>0</v>
          </cell>
          <cell r="AD138">
            <v>0</v>
          </cell>
          <cell r="AE138">
            <v>0</v>
          </cell>
          <cell r="AF138">
            <v>0</v>
          </cell>
          <cell r="AG138">
            <v>0</v>
          </cell>
          <cell r="AH138">
            <v>0</v>
          </cell>
          <cell r="AI138">
            <v>0</v>
          </cell>
          <cell r="AM138">
            <v>0</v>
          </cell>
          <cell r="AN138">
            <v>0</v>
          </cell>
          <cell r="AO138">
            <v>0</v>
          </cell>
          <cell r="AP138">
            <v>195942</v>
          </cell>
          <cell r="AQ138">
            <v>42660</v>
          </cell>
          <cell r="AR138">
            <v>4740</v>
          </cell>
          <cell r="AS138">
            <v>-98766</v>
          </cell>
          <cell r="AT138">
            <v>-79014</v>
          </cell>
          <cell r="AU138">
            <v>-17778</v>
          </cell>
          <cell r="AV138">
            <v>-1975</v>
          </cell>
          <cell r="AW138">
            <v>-197533</v>
          </cell>
          <cell r="AX138">
            <v>-1160360</v>
          </cell>
          <cell r="AY138">
            <v>-928288</v>
          </cell>
          <cell r="AZ138">
            <v>-208866</v>
          </cell>
          <cell r="BA138">
            <v>-23206</v>
          </cell>
          <cell r="BB138">
            <v>-2320720</v>
          </cell>
          <cell r="BC138">
            <v>31834169</v>
          </cell>
          <cell r="BD138">
            <v>-2459249</v>
          </cell>
          <cell r="BE138">
            <v>846065</v>
          </cell>
          <cell r="BF138">
            <v>0</v>
          </cell>
          <cell r="BG138">
            <v>-1934254</v>
          </cell>
          <cell r="BH138">
            <v>-6203</v>
          </cell>
          <cell r="BI138">
            <v>-10486</v>
          </cell>
          <cell r="BJ138">
            <v>0</v>
          </cell>
          <cell r="BK138">
            <v>-616861</v>
          </cell>
          <cell r="BL138">
            <v>-95584</v>
          </cell>
          <cell r="BM138">
            <v>-91697</v>
          </cell>
          <cell r="BN138">
            <v>-1551</v>
          </cell>
          <cell r="BO138">
            <v>0</v>
          </cell>
          <cell r="BP138">
            <v>0</v>
          </cell>
          <cell r="BQ138">
            <v>-144368</v>
          </cell>
          <cell r="BR138">
            <v>-380450</v>
          </cell>
          <cell r="BS138">
            <v>0</v>
          </cell>
          <cell r="BT138">
            <v>33550359</v>
          </cell>
          <cell r="BU138">
            <v>-184273</v>
          </cell>
          <cell r="BV138">
            <v>303954</v>
          </cell>
          <cell r="BW138">
            <v>-223077</v>
          </cell>
          <cell r="BX138">
            <v>-1062521</v>
          </cell>
          <cell r="BY138">
            <v>-926719</v>
          </cell>
          <cell r="BZ138">
            <v>31554630</v>
          </cell>
          <cell r="CA138">
            <v>-531261</v>
          </cell>
          <cell r="CB138">
            <v>-425008</v>
          </cell>
          <cell r="CC138">
            <v>-95627</v>
          </cell>
          <cell r="CD138">
            <v>-10625</v>
          </cell>
          <cell r="CE138">
            <v>-463359</v>
          </cell>
          <cell r="CF138">
            <v>-370688</v>
          </cell>
          <cell r="CG138">
            <v>-83405</v>
          </cell>
          <cell r="CH138">
            <v>-9267</v>
          </cell>
        </row>
        <row r="139">
          <cell r="A139">
            <v>132</v>
          </cell>
          <cell r="B139" t="str">
            <v>Horsham</v>
          </cell>
          <cell r="C139" t="str">
            <v>E3835</v>
          </cell>
          <cell r="D139">
            <v>179932</v>
          </cell>
          <cell r="H139">
            <v>861307</v>
          </cell>
          <cell r="I139">
            <v>0</v>
          </cell>
          <cell r="J139">
            <v>179932</v>
          </cell>
          <cell r="K139">
            <v>0</v>
          </cell>
          <cell r="L139">
            <v>0</v>
          </cell>
          <cell r="M139">
            <v>0</v>
          </cell>
          <cell r="N139">
            <v>0</v>
          </cell>
          <cell r="O139">
            <v>0</v>
          </cell>
          <cell r="P139">
            <v>0</v>
          </cell>
          <cell r="Q139">
            <v>0</v>
          </cell>
          <cell r="R139">
            <v>789483</v>
          </cell>
          <cell r="S139">
            <v>197371</v>
          </cell>
          <cell r="T139">
            <v>0</v>
          </cell>
          <cell r="U139">
            <v>1284</v>
          </cell>
          <cell r="V139">
            <v>321</v>
          </cell>
          <cell r="W139">
            <v>0</v>
          </cell>
          <cell r="X139">
            <v>57062</v>
          </cell>
          <cell r="Y139">
            <v>14266</v>
          </cell>
          <cell r="Z139">
            <v>0</v>
          </cell>
          <cell r="AA139">
            <v>2842</v>
          </cell>
          <cell r="AB139">
            <v>710</v>
          </cell>
          <cell r="AC139">
            <v>0</v>
          </cell>
          <cell r="AD139">
            <v>0</v>
          </cell>
          <cell r="AE139">
            <v>0</v>
          </cell>
          <cell r="AF139">
            <v>0</v>
          </cell>
          <cell r="AG139">
            <v>0</v>
          </cell>
          <cell r="AH139">
            <v>0</v>
          </cell>
          <cell r="AI139">
            <v>0</v>
          </cell>
          <cell r="AM139">
            <v>0</v>
          </cell>
          <cell r="AN139">
            <v>0</v>
          </cell>
          <cell r="AO139">
            <v>0</v>
          </cell>
          <cell r="AP139">
            <v>252617</v>
          </cell>
          <cell r="AQ139">
            <v>63154</v>
          </cell>
          <cell r="AR139">
            <v>0</v>
          </cell>
          <cell r="AS139">
            <v>-771936</v>
          </cell>
          <cell r="AT139">
            <v>-617548</v>
          </cell>
          <cell r="AU139">
            <v>-154387</v>
          </cell>
          <cell r="AV139">
            <v>0</v>
          </cell>
          <cell r="AW139">
            <v>-1543871</v>
          </cell>
          <cell r="AX139">
            <v>-2660486</v>
          </cell>
          <cell r="AY139">
            <v>-2128387</v>
          </cell>
          <cell r="AZ139">
            <v>-532096</v>
          </cell>
          <cell r="BA139">
            <v>0</v>
          </cell>
          <cell r="BB139">
            <v>-5320969</v>
          </cell>
          <cell r="BC139">
            <v>41253278</v>
          </cell>
          <cell r="BD139">
            <v>-3049852</v>
          </cell>
          <cell r="BE139">
            <v>1088980</v>
          </cell>
          <cell r="BF139">
            <v>0</v>
          </cell>
          <cell r="BG139">
            <v>-2854846</v>
          </cell>
          <cell r="BH139">
            <v>-56996</v>
          </cell>
          <cell r="BI139">
            <v>-16588</v>
          </cell>
          <cell r="BJ139">
            <v>-3671</v>
          </cell>
          <cell r="BK139">
            <v>-995761</v>
          </cell>
          <cell r="BL139">
            <v>-61859</v>
          </cell>
          <cell r="BM139">
            <v>-457915</v>
          </cell>
          <cell r="BN139">
            <v>-4201</v>
          </cell>
          <cell r="BO139">
            <v>-4548</v>
          </cell>
          <cell r="BP139">
            <v>0</v>
          </cell>
          <cell r="BQ139">
            <v>0</v>
          </cell>
          <cell r="BR139">
            <v>0</v>
          </cell>
          <cell r="BS139">
            <v>0</v>
          </cell>
          <cell r="BT139">
            <v>42230361</v>
          </cell>
          <cell r="BU139">
            <v>-308856</v>
          </cell>
          <cell r="BV139">
            <v>2812217</v>
          </cell>
          <cell r="BW139">
            <v>-2056975</v>
          </cell>
          <cell r="BX139">
            <v>89729</v>
          </cell>
          <cell r="BY139">
            <v>700000</v>
          </cell>
          <cell r="BZ139">
            <v>42042700</v>
          </cell>
          <cell r="CA139">
            <v>44865</v>
          </cell>
          <cell r="CB139">
            <v>35891</v>
          </cell>
          <cell r="CC139">
            <v>8973</v>
          </cell>
          <cell r="CD139">
            <v>0</v>
          </cell>
          <cell r="CE139">
            <v>350000</v>
          </cell>
          <cell r="CF139">
            <v>280000</v>
          </cell>
          <cell r="CG139">
            <v>70000</v>
          </cell>
          <cell r="CH139">
            <v>0</v>
          </cell>
        </row>
        <row r="140">
          <cell r="A140">
            <v>133</v>
          </cell>
          <cell r="B140" t="str">
            <v>Hounslow</v>
          </cell>
          <cell r="C140" t="str">
            <v>E5042</v>
          </cell>
          <cell r="D140">
            <v>415076</v>
          </cell>
          <cell r="H140">
            <v>14505064</v>
          </cell>
          <cell r="I140">
            <v>0</v>
          </cell>
          <cell r="J140">
            <v>415076</v>
          </cell>
          <cell r="K140">
            <v>0</v>
          </cell>
          <cell r="L140">
            <v>0</v>
          </cell>
          <cell r="M140">
            <v>0</v>
          </cell>
          <cell r="N140">
            <v>0</v>
          </cell>
          <cell r="O140">
            <v>0</v>
          </cell>
          <cell r="P140">
            <v>0</v>
          </cell>
          <cell r="Q140">
            <v>0</v>
          </cell>
          <cell r="R140">
            <v>630580</v>
          </cell>
          <cell r="S140">
            <v>777716</v>
          </cell>
          <cell r="T140">
            <v>0</v>
          </cell>
          <cell r="U140">
            <v>0</v>
          </cell>
          <cell r="V140">
            <v>0</v>
          </cell>
          <cell r="W140">
            <v>0</v>
          </cell>
          <cell r="X140">
            <v>0</v>
          </cell>
          <cell r="Y140">
            <v>0</v>
          </cell>
          <cell r="Z140">
            <v>0</v>
          </cell>
          <cell r="AA140">
            <v>6904</v>
          </cell>
          <cell r="AB140">
            <v>8515</v>
          </cell>
          <cell r="AC140">
            <v>0</v>
          </cell>
          <cell r="AD140">
            <v>0</v>
          </cell>
          <cell r="AE140">
            <v>0</v>
          </cell>
          <cell r="AF140">
            <v>0</v>
          </cell>
          <cell r="AG140">
            <v>0</v>
          </cell>
          <cell r="AH140">
            <v>0</v>
          </cell>
          <cell r="AI140">
            <v>0</v>
          </cell>
          <cell r="AM140">
            <v>0</v>
          </cell>
          <cell r="AN140">
            <v>0</v>
          </cell>
          <cell r="AO140">
            <v>0</v>
          </cell>
          <cell r="AP140">
            <v>828276</v>
          </cell>
          <cell r="AQ140">
            <v>1021540</v>
          </cell>
          <cell r="AR140">
            <v>0</v>
          </cell>
          <cell r="AS140">
            <v>-1750001</v>
          </cell>
          <cell r="AT140">
            <v>-1049999</v>
          </cell>
          <cell r="AU140">
            <v>-700000</v>
          </cell>
          <cell r="AV140">
            <v>0</v>
          </cell>
          <cell r="AW140">
            <v>-3500000</v>
          </cell>
          <cell r="AX140">
            <v>-14450000</v>
          </cell>
          <cell r="AY140">
            <v>-8670000</v>
          </cell>
          <cell r="AZ140">
            <v>-5780000</v>
          </cell>
          <cell r="BA140">
            <v>0</v>
          </cell>
          <cell r="BB140">
            <v>-28900000</v>
          </cell>
          <cell r="BC140">
            <v>149894494</v>
          </cell>
          <cell r="BD140">
            <v>-3116264</v>
          </cell>
          <cell r="BE140">
            <v>4394314</v>
          </cell>
          <cell r="BF140">
            <v>0</v>
          </cell>
          <cell r="BG140">
            <v>-5499902</v>
          </cell>
          <cell r="BH140">
            <v>-46559</v>
          </cell>
          <cell r="BI140">
            <v>0</v>
          </cell>
          <cell r="BJ140">
            <v>-610204</v>
          </cell>
          <cell r="BK140">
            <v>-8291004</v>
          </cell>
          <cell r="BL140">
            <v>-291233</v>
          </cell>
          <cell r="BM140">
            <v>-528435</v>
          </cell>
          <cell r="BN140">
            <v>-1541</v>
          </cell>
          <cell r="BO140">
            <v>0</v>
          </cell>
          <cell r="BP140">
            <v>0</v>
          </cell>
          <cell r="BQ140">
            <v>0</v>
          </cell>
          <cell r="BR140">
            <v>0</v>
          </cell>
          <cell r="BS140">
            <v>0</v>
          </cell>
          <cell r="BT140">
            <v>162842777</v>
          </cell>
          <cell r="BU140">
            <v>-2317752</v>
          </cell>
          <cell r="BV140">
            <v>9461897</v>
          </cell>
          <cell r="BW140">
            <v>-12742442</v>
          </cell>
          <cell r="BX140">
            <v>-11774953</v>
          </cell>
          <cell r="BY140">
            <v>-1034345</v>
          </cell>
          <cell r="BZ140">
            <v>183798333</v>
          </cell>
          <cell r="CA140">
            <v>-5887477</v>
          </cell>
          <cell r="CB140">
            <v>-3532486</v>
          </cell>
          <cell r="CC140">
            <v>-2354990</v>
          </cell>
          <cell r="CD140">
            <v>0</v>
          </cell>
          <cell r="CE140">
            <v>-517172</v>
          </cell>
          <cell r="CF140">
            <v>-310304</v>
          </cell>
          <cell r="CG140">
            <v>-206869</v>
          </cell>
          <cell r="CH140">
            <v>0</v>
          </cell>
        </row>
        <row r="141">
          <cell r="A141">
            <v>134</v>
          </cell>
          <cell r="B141" t="str">
            <v>Huntingdonshire</v>
          </cell>
          <cell r="C141" t="str">
            <v>E0551</v>
          </cell>
          <cell r="D141">
            <v>217080</v>
          </cell>
          <cell r="H141">
            <v>-1745285</v>
          </cell>
          <cell r="I141">
            <v>62367</v>
          </cell>
          <cell r="J141">
            <v>217080</v>
          </cell>
          <cell r="K141">
            <v>0</v>
          </cell>
          <cell r="L141">
            <v>864030</v>
          </cell>
          <cell r="M141">
            <v>0</v>
          </cell>
          <cell r="N141">
            <v>200238</v>
          </cell>
          <cell r="O141">
            <v>200238</v>
          </cell>
          <cell r="P141">
            <v>0</v>
          </cell>
          <cell r="Q141">
            <v>0</v>
          </cell>
          <cell r="R141">
            <v>1406077</v>
          </cell>
          <cell r="S141">
            <v>316368</v>
          </cell>
          <cell r="T141">
            <v>35152</v>
          </cell>
          <cell r="U141">
            <v>2513</v>
          </cell>
          <cell r="V141">
            <v>565</v>
          </cell>
          <cell r="W141">
            <v>63</v>
          </cell>
          <cell r="X141">
            <v>0</v>
          </cell>
          <cell r="Y141">
            <v>0</v>
          </cell>
          <cell r="Z141">
            <v>0</v>
          </cell>
          <cell r="AA141">
            <v>0</v>
          </cell>
          <cell r="AB141">
            <v>0</v>
          </cell>
          <cell r="AC141">
            <v>0</v>
          </cell>
          <cell r="AD141">
            <v>0</v>
          </cell>
          <cell r="AE141">
            <v>0</v>
          </cell>
          <cell r="AF141">
            <v>0</v>
          </cell>
          <cell r="AG141">
            <v>0</v>
          </cell>
          <cell r="AH141">
            <v>0</v>
          </cell>
          <cell r="AI141">
            <v>0</v>
          </cell>
          <cell r="AM141">
            <v>0</v>
          </cell>
          <cell r="AN141">
            <v>0</v>
          </cell>
          <cell r="AO141">
            <v>0</v>
          </cell>
          <cell r="AP141">
            <v>331834</v>
          </cell>
          <cell r="AQ141">
            <v>71066</v>
          </cell>
          <cell r="AR141">
            <v>7896</v>
          </cell>
          <cell r="AS141">
            <v>311548</v>
          </cell>
          <cell r="AT141">
            <v>249238</v>
          </cell>
          <cell r="AU141">
            <v>56078</v>
          </cell>
          <cell r="AV141">
            <v>6230</v>
          </cell>
          <cell r="AW141">
            <v>623094</v>
          </cell>
          <cell r="AX141">
            <v>-1603535</v>
          </cell>
          <cell r="AY141">
            <v>-1282828</v>
          </cell>
          <cell r="AZ141">
            <v>-288637</v>
          </cell>
          <cell r="BA141">
            <v>-32070</v>
          </cell>
          <cell r="BB141">
            <v>-3207070</v>
          </cell>
          <cell r="BC141">
            <v>61215220</v>
          </cell>
          <cell r="BD141">
            <v>-3232847</v>
          </cell>
          <cell r="BE141">
            <v>1569264</v>
          </cell>
          <cell r="BF141">
            <v>0</v>
          </cell>
          <cell r="BG141">
            <v>-2741865</v>
          </cell>
          <cell r="BH141">
            <v>-193376</v>
          </cell>
          <cell r="BI141">
            <v>-44613</v>
          </cell>
          <cell r="BJ141">
            <v>0</v>
          </cell>
          <cell r="BK141">
            <v>-1992066</v>
          </cell>
          <cell r="BL141">
            <v>-1670</v>
          </cell>
          <cell r="BM141">
            <v>-45407</v>
          </cell>
          <cell r="BN141">
            <v>0</v>
          </cell>
          <cell r="BO141">
            <v>-21257</v>
          </cell>
          <cell r="BP141">
            <v>0</v>
          </cell>
          <cell r="BQ141">
            <v>-198329</v>
          </cell>
          <cell r="BR141">
            <v>-204880</v>
          </cell>
          <cell r="BS141">
            <v>0</v>
          </cell>
          <cell r="BT141">
            <v>59979641</v>
          </cell>
          <cell r="BU141">
            <v>-189147</v>
          </cell>
          <cell r="BV141">
            <v>286868</v>
          </cell>
          <cell r="BW141">
            <v>-137765</v>
          </cell>
          <cell r="BX141">
            <v>3122978</v>
          </cell>
          <cell r="BY141">
            <v>3784348</v>
          </cell>
          <cell r="BZ141">
            <v>52566050</v>
          </cell>
          <cell r="CA141">
            <v>1561489</v>
          </cell>
          <cell r="CB141">
            <v>1249191</v>
          </cell>
          <cell r="CC141">
            <v>281068</v>
          </cell>
          <cell r="CD141">
            <v>31230</v>
          </cell>
          <cell r="CE141">
            <v>1892175</v>
          </cell>
          <cell r="CF141">
            <v>1513739</v>
          </cell>
          <cell r="CG141">
            <v>340591</v>
          </cell>
          <cell r="CH141">
            <v>37843</v>
          </cell>
        </row>
        <row r="142">
          <cell r="A142">
            <v>135</v>
          </cell>
          <cell r="B142" t="str">
            <v>Hyndburn</v>
          </cell>
          <cell r="C142" t="str">
            <v>E2336</v>
          </cell>
          <cell r="D142">
            <v>125909</v>
          </cell>
          <cell r="H142">
            <v>-1427239</v>
          </cell>
          <cell r="I142">
            <v>0</v>
          </cell>
          <cell r="J142">
            <v>125909</v>
          </cell>
          <cell r="K142">
            <v>0</v>
          </cell>
          <cell r="L142">
            <v>0</v>
          </cell>
          <cell r="M142">
            <v>0</v>
          </cell>
          <cell r="N142">
            <v>0</v>
          </cell>
          <cell r="O142">
            <v>0</v>
          </cell>
          <cell r="P142">
            <v>0</v>
          </cell>
          <cell r="Q142">
            <v>0</v>
          </cell>
          <cell r="R142">
            <v>596549</v>
          </cell>
          <cell r="S142">
            <v>134223</v>
          </cell>
          <cell r="T142">
            <v>14914</v>
          </cell>
          <cell r="U142">
            <v>3590</v>
          </cell>
          <cell r="V142">
            <v>808</v>
          </cell>
          <cell r="W142">
            <v>90</v>
          </cell>
          <cell r="X142">
            <v>0</v>
          </cell>
          <cell r="Y142">
            <v>0</v>
          </cell>
          <cell r="Z142">
            <v>0</v>
          </cell>
          <cell r="AA142">
            <v>1395</v>
          </cell>
          <cell r="AB142">
            <v>314</v>
          </cell>
          <cell r="AC142">
            <v>35</v>
          </cell>
          <cell r="AD142">
            <v>0</v>
          </cell>
          <cell r="AE142">
            <v>0</v>
          </cell>
          <cell r="AF142">
            <v>0</v>
          </cell>
          <cell r="AG142">
            <v>0</v>
          </cell>
          <cell r="AH142">
            <v>0</v>
          </cell>
          <cell r="AI142">
            <v>0</v>
          </cell>
          <cell r="AM142">
            <v>0</v>
          </cell>
          <cell r="AN142">
            <v>0</v>
          </cell>
          <cell r="AO142">
            <v>0</v>
          </cell>
          <cell r="AP142">
            <v>101176</v>
          </cell>
          <cell r="AQ142">
            <v>22765</v>
          </cell>
          <cell r="AR142">
            <v>2529</v>
          </cell>
          <cell r="AS142">
            <v>-1525075</v>
          </cell>
          <cell r="AT142">
            <v>-1220059</v>
          </cell>
          <cell r="AU142">
            <v>-274513</v>
          </cell>
          <cell r="AV142">
            <v>-30502</v>
          </cell>
          <cell r="AW142">
            <v>-3050149</v>
          </cell>
          <cell r="AX142">
            <v>-1793746.2</v>
          </cell>
          <cell r="AY142">
            <v>-1434997</v>
          </cell>
          <cell r="AZ142">
            <v>-322875</v>
          </cell>
          <cell r="BA142">
            <v>-35875</v>
          </cell>
          <cell r="BB142">
            <v>-3587493.2</v>
          </cell>
          <cell r="BC142">
            <v>21096614</v>
          </cell>
          <cell r="BD142">
            <v>-2641702</v>
          </cell>
          <cell r="BE142">
            <v>622641</v>
          </cell>
          <cell r="BF142">
            <v>0</v>
          </cell>
          <cell r="BG142">
            <v>-1453211</v>
          </cell>
          <cell r="BH142">
            <v>-41314</v>
          </cell>
          <cell r="BI142">
            <v>0</v>
          </cell>
          <cell r="BJ142">
            <v>-70778</v>
          </cell>
          <cell r="BK142">
            <v>-1714673</v>
          </cell>
          <cell r="BL142">
            <v>-131998</v>
          </cell>
          <cell r="BM142">
            <v>-65122</v>
          </cell>
          <cell r="BN142">
            <v>-2361</v>
          </cell>
          <cell r="BO142">
            <v>0</v>
          </cell>
          <cell r="BP142">
            <v>0</v>
          </cell>
          <cell r="BQ142">
            <v>0</v>
          </cell>
          <cell r="BR142">
            <v>0</v>
          </cell>
          <cell r="BS142">
            <v>0</v>
          </cell>
          <cell r="BT142">
            <v>23394027</v>
          </cell>
          <cell r="BU142">
            <v>-879395</v>
          </cell>
          <cell r="BV142">
            <v>4347090</v>
          </cell>
          <cell r="BW142">
            <v>-1077161</v>
          </cell>
          <cell r="BX142">
            <v>1464566</v>
          </cell>
          <cell r="BY142">
            <v>1767158</v>
          </cell>
          <cell r="BZ142">
            <v>16838515</v>
          </cell>
          <cell r="CA142">
            <v>732281</v>
          </cell>
          <cell r="CB142">
            <v>585828</v>
          </cell>
          <cell r="CC142">
            <v>131811</v>
          </cell>
          <cell r="CD142">
            <v>14646</v>
          </cell>
          <cell r="CE142">
            <v>883579</v>
          </cell>
          <cell r="CF142">
            <v>706863</v>
          </cell>
          <cell r="CG142">
            <v>159044</v>
          </cell>
          <cell r="CH142">
            <v>17672</v>
          </cell>
        </row>
        <row r="143">
          <cell r="A143">
            <v>136</v>
          </cell>
          <cell r="B143" t="str">
            <v>Ipswich</v>
          </cell>
          <cell r="C143" t="str">
            <v>E3533</v>
          </cell>
          <cell r="D143">
            <v>187343</v>
          </cell>
          <cell r="H143">
            <v>-2960226</v>
          </cell>
          <cell r="I143">
            <v>0</v>
          </cell>
          <cell r="J143">
            <v>187343</v>
          </cell>
          <cell r="K143">
            <v>169882</v>
          </cell>
          <cell r="L143">
            <v>2073</v>
          </cell>
          <cell r="M143">
            <v>0</v>
          </cell>
          <cell r="N143">
            <v>33600</v>
          </cell>
          <cell r="O143">
            <v>33600</v>
          </cell>
          <cell r="P143">
            <v>0</v>
          </cell>
          <cell r="Q143">
            <v>0</v>
          </cell>
          <cell r="R143">
            <v>704297</v>
          </cell>
          <cell r="S143">
            <v>174927</v>
          </cell>
          <cell r="T143">
            <v>0</v>
          </cell>
          <cell r="U143">
            <v>8523</v>
          </cell>
          <cell r="V143">
            <v>2131</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M143">
            <v>0</v>
          </cell>
          <cell r="AN143">
            <v>0</v>
          </cell>
          <cell r="AO143">
            <v>0</v>
          </cell>
          <cell r="AP143">
            <v>320364</v>
          </cell>
          <cell r="AQ143">
            <v>79319</v>
          </cell>
          <cell r="AR143">
            <v>0</v>
          </cell>
          <cell r="AS143">
            <v>-391100</v>
          </cell>
          <cell r="AT143">
            <v>-312880</v>
          </cell>
          <cell r="AU143">
            <v>-78221</v>
          </cell>
          <cell r="AV143">
            <v>0</v>
          </cell>
          <cell r="AW143">
            <v>-782201</v>
          </cell>
          <cell r="AX143">
            <v>-1175222</v>
          </cell>
          <cell r="AY143">
            <v>-940177</v>
          </cell>
          <cell r="AZ143">
            <v>-235046</v>
          </cell>
          <cell r="BA143">
            <v>0</v>
          </cell>
          <cell r="BB143">
            <v>-2350445</v>
          </cell>
          <cell r="BC143">
            <v>57269694</v>
          </cell>
          <cell r="BD143">
            <v>-2526049</v>
          </cell>
          <cell r="BE143">
            <v>1534855</v>
          </cell>
          <cell r="BF143">
            <v>0</v>
          </cell>
          <cell r="BG143">
            <v>-3781566</v>
          </cell>
          <cell r="BH143">
            <v>-90255</v>
          </cell>
          <cell r="BI143">
            <v>0</v>
          </cell>
          <cell r="BJ143">
            <v>-12080</v>
          </cell>
          <cell r="BK143">
            <v>-1939937</v>
          </cell>
          <cell r="BL143">
            <v>-129342</v>
          </cell>
          <cell r="BM143">
            <v>-57611</v>
          </cell>
          <cell r="BN143">
            <v>0</v>
          </cell>
          <cell r="BO143">
            <v>0</v>
          </cell>
          <cell r="BP143">
            <v>0</v>
          </cell>
          <cell r="BQ143">
            <v>0</v>
          </cell>
          <cell r="BR143">
            <v>0</v>
          </cell>
          <cell r="BS143">
            <v>0</v>
          </cell>
          <cell r="BT143">
            <v>56321935</v>
          </cell>
          <cell r="BU143">
            <v>-385825</v>
          </cell>
          <cell r="BV143">
            <v>1475797</v>
          </cell>
          <cell r="BW143">
            <v>-238366</v>
          </cell>
          <cell r="BX143">
            <v>-2542574</v>
          </cell>
          <cell r="BY143">
            <v>-1708994</v>
          </cell>
          <cell r="BZ143">
            <v>52803817</v>
          </cell>
          <cell r="CA143">
            <v>-1271287</v>
          </cell>
          <cell r="CB143">
            <v>-1017030</v>
          </cell>
          <cell r="CC143">
            <v>-254257</v>
          </cell>
          <cell r="CD143">
            <v>0</v>
          </cell>
          <cell r="CE143">
            <v>-854497</v>
          </cell>
          <cell r="CF143">
            <v>-683598</v>
          </cell>
          <cell r="CG143">
            <v>-170899</v>
          </cell>
          <cell r="CH143">
            <v>0</v>
          </cell>
        </row>
        <row r="144">
          <cell r="A144">
            <v>137</v>
          </cell>
          <cell r="B144" t="str">
            <v>Isle of Wight Council</v>
          </cell>
          <cell r="C144" t="str">
            <v>E2101</v>
          </cell>
          <cell r="D144">
            <v>263045</v>
          </cell>
          <cell r="H144">
            <v>2395904</v>
          </cell>
          <cell r="I144">
            <v>0</v>
          </cell>
          <cell r="J144">
            <v>263045</v>
          </cell>
          <cell r="K144">
            <v>0</v>
          </cell>
          <cell r="L144">
            <v>215490</v>
          </cell>
          <cell r="M144">
            <v>0</v>
          </cell>
          <cell r="N144">
            <v>0</v>
          </cell>
          <cell r="O144">
            <v>0</v>
          </cell>
          <cell r="P144">
            <v>0</v>
          </cell>
          <cell r="Q144">
            <v>0</v>
          </cell>
          <cell r="R144">
            <v>1629336</v>
          </cell>
          <cell r="S144">
            <v>0</v>
          </cell>
          <cell r="T144">
            <v>0</v>
          </cell>
          <cell r="U144">
            <v>3561</v>
          </cell>
          <cell r="V144">
            <v>0</v>
          </cell>
          <cell r="W144">
            <v>0</v>
          </cell>
          <cell r="X144">
            <v>2538</v>
          </cell>
          <cell r="Y144">
            <v>0</v>
          </cell>
          <cell r="Z144">
            <v>0</v>
          </cell>
          <cell r="AA144">
            <v>7613</v>
          </cell>
          <cell r="AB144">
            <v>0</v>
          </cell>
          <cell r="AC144">
            <v>0</v>
          </cell>
          <cell r="AD144">
            <v>0</v>
          </cell>
          <cell r="AE144">
            <v>0</v>
          </cell>
          <cell r="AF144">
            <v>0</v>
          </cell>
          <cell r="AG144">
            <v>0</v>
          </cell>
          <cell r="AH144">
            <v>0</v>
          </cell>
          <cell r="AI144">
            <v>0</v>
          </cell>
          <cell r="AM144">
            <v>0</v>
          </cell>
          <cell r="AN144">
            <v>0</v>
          </cell>
          <cell r="AO144">
            <v>0</v>
          </cell>
          <cell r="AP144">
            <v>279425</v>
          </cell>
          <cell r="AQ144">
            <v>0</v>
          </cell>
          <cell r="AR144">
            <v>0</v>
          </cell>
          <cell r="AS144">
            <v>-223566</v>
          </cell>
          <cell r="AT144">
            <v>-223566</v>
          </cell>
          <cell r="AU144">
            <v>0</v>
          </cell>
          <cell r="AV144">
            <v>0</v>
          </cell>
          <cell r="AW144">
            <v>-447132</v>
          </cell>
          <cell r="AX144">
            <v>-2060593</v>
          </cell>
          <cell r="AY144">
            <v>-2060595</v>
          </cell>
          <cell r="AZ144">
            <v>0</v>
          </cell>
          <cell r="BA144">
            <v>0</v>
          </cell>
          <cell r="BB144">
            <v>-4121188</v>
          </cell>
          <cell r="BC144">
            <v>34709896</v>
          </cell>
          <cell r="BD144">
            <v>-5405438</v>
          </cell>
          <cell r="BE144">
            <v>899312</v>
          </cell>
          <cell r="BF144">
            <v>0</v>
          </cell>
          <cell r="BG144">
            <v>-3013341</v>
          </cell>
          <cell r="BH144">
            <v>-96786</v>
          </cell>
          <cell r="BI144">
            <v>-10635</v>
          </cell>
          <cell r="BJ144">
            <v>-545</v>
          </cell>
          <cell r="BK144">
            <v>-945537</v>
          </cell>
          <cell r="BL144">
            <v>-101130</v>
          </cell>
          <cell r="BM144">
            <v>-63565</v>
          </cell>
          <cell r="BN144">
            <v>-944</v>
          </cell>
          <cell r="BO144">
            <v>-6080</v>
          </cell>
          <cell r="BP144">
            <v>0</v>
          </cell>
          <cell r="BQ144">
            <v>0</v>
          </cell>
          <cell r="BR144">
            <v>0</v>
          </cell>
          <cell r="BS144">
            <v>0</v>
          </cell>
          <cell r="BT144">
            <v>35627851</v>
          </cell>
          <cell r="BU144">
            <v>-413451</v>
          </cell>
          <cell r="BV144">
            <v>1093814</v>
          </cell>
          <cell r="BW144">
            <v>-419417</v>
          </cell>
          <cell r="BX144">
            <v>-1441020</v>
          </cell>
          <cell r="BY144">
            <v>-1800000</v>
          </cell>
          <cell r="BZ144">
            <v>36772407</v>
          </cell>
          <cell r="CA144">
            <v>-720510</v>
          </cell>
          <cell r="CB144">
            <v>-720510</v>
          </cell>
          <cell r="CC144">
            <v>0</v>
          </cell>
          <cell r="CD144">
            <v>0</v>
          </cell>
          <cell r="CE144">
            <v>-900000</v>
          </cell>
          <cell r="CF144">
            <v>-900000</v>
          </cell>
          <cell r="CG144">
            <v>0</v>
          </cell>
          <cell r="CH144">
            <v>0</v>
          </cell>
        </row>
        <row r="145">
          <cell r="A145">
            <v>138</v>
          </cell>
          <cell r="B145" t="str">
            <v>Isles of Scilly</v>
          </cell>
          <cell r="C145" t="str">
            <v>E4001</v>
          </cell>
          <cell r="D145">
            <v>24246</v>
          </cell>
          <cell r="H145">
            <v>31029</v>
          </cell>
          <cell r="I145">
            <v>0</v>
          </cell>
          <cell r="J145">
            <v>24246</v>
          </cell>
          <cell r="K145">
            <v>0</v>
          </cell>
          <cell r="L145">
            <v>0</v>
          </cell>
          <cell r="M145">
            <v>0</v>
          </cell>
          <cell r="N145">
            <v>0</v>
          </cell>
          <cell r="O145">
            <v>0</v>
          </cell>
          <cell r="P145">
            <v>0</v>
          </cell>
          <cell r="Q145">
            <v>0</v>
          </cell>
          <cell r="R145">
            <v>119983</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M145">
            <v>0</v>
          </cell>
          <cell r="AN145">
            <v>0</v>
          </cell>
          <cell r="AO145">
            <v>0</v>
          </cell>
          <cell r="AP145">
            <v>10809</v>
          </cell>
          <cell r="AQ145">
            <v>0</v>
          </cell>
          <cell r="AR145">
            <v>0</v>
          </cell>
          <cell r="AS145">
            <v>-24026</v>
          </cell>
          <cell r="AT145">
            <v>-24026</v>
          </cell>
          <cell r="AU145">
            <v>0</v>
          </cell>
          <cell r="AV145">
            <v>0</v>
          </cell>
          <cell r="AW145">
            <v>-48052</v>
          </cell>
          <cell r="AX145">
            <v>-56739</v>
          </cell>
          <cell r="AY145">
            <v>-56740</v>
          </cell>
          <cell r="AZ145">
            <v>0</v>
          </cell>
          <cell r="BA145">
            <v>0</v>
          </cell>
          <cell r="BB145">
            <v>-113479</v>
          </cell>
          <cell r="BC145">
            <v>1439312</v>
          </cell>
          <cell r="BD145">
            <v>-368332</v>
          </cell>
          <cell r="BE145">
            <v>0</v>
          </cell>
          <cell r="BF145">
            <v>0</v>
          </cell>
          <cell r="BG145">
            <v>-16441</v>
          </cell>
          <cell r="BH145">
            <v>-6570</v>
          </cell>
          <cell r="BI145">
            <v>-1814</v>
          </cell>
          <cell r="BJ145">
            <v>0</v>
          </cell>
          <cell r="BK145">
            <v>-709</v>
          </cell>
          <cell r="BL145">
            <v>-2475</v>
          </cell>
          <cell r="BM145">
            <v>-4641</v>
          </cell>
          <cell r="BN145">
            <v>-1446</v>
          </cell>
          <cell r="BO145">
            <v>-1267</v>
          </cell>
          <cell r="BP145">
            <v>0</v>
          </cell>
          <cell r="BQ145">
            <v>0</v>
          </cell>
          <cell r="BR145">
            <v>0</v>
          </cell>
          <cell r="BS145">
            <v>0</v>
          </cell>
          <cell r="BT145">
            <v>1493046</v>
          </cell>
          <cell r="BU145">
            <v>0</v>
          </cell>
          <cell r="BV145">
            <v>62725</v>
          </cell>
          <cell r="BW145">
            <v>-29213</v>
          </cell>
          <cell r="BX145">
            <v>-583387</v>
          </cell>
          <cell r="BY145">
            <v>-240000</v>
          </cell>
          <cell r="BZ145">
            <v>1439075</v>
          </cell>
          <cell r="CA145">
            <v>-291693</v>
          </cell>
          <cell r="CB145">
            <v>-291694</v>
          </cell>
          <cell r="CC145">
            <v>0</v>
          </cell>
          <cell r="CD145">
            <v>0</v>
          </cell>
          <cell r="CE145">
            <v>-120000</v>
          </cell>
          <cell r="CF145">
            <v>-120000</v>
          </cell>
          <cell r="CG145">
            <v>0</v>
          </cell>
          <cell r="CH145">
            <v>0</v>
          </cell>
        </row>
        <row r="146">
          <cell r="A146">
            <v>139</v>
          </cell>
          <cell r="B146" t="str">
            <v>Islington</v>
          </cell>
          <cell r="C146" t="str">
            <v>E5015</v>
          </cell>
          <cell r="D146">
            <v>703757</v>
          </cell>
          <cell r="H146">
            <v>38124629</v>
          </cell>
          <cell r="I146">
            <v>0</v>
          </cell>
          <cell r="J146">
            <v>703757</v>
          </cell>
          <cell r="K146">
            <v>0</v>
          </cell>
          <cell r="L146">
            <v>74351</v>
          </cell>
          <cell r="M146">
            <v>0</v>
          </cell>
          <cell r="N146">
            <v>0</v>
          </cell>
          <cell r="O146">
            <v>0</v>
          </cell>
          <cell r="P146">
            <v>0</v>
          </cell>
          <cell r="Q146">
            <v>0</v>
          </cell>
          <cell r="R146">
            <v>796751</v>
          </cell>
          <cell r="S146">
            <v>982660</v>
          </cell>
          <cell r="T146">
            <v>0</v>
          </cell>
          <cell r="U146">
            <v>0</v>
          </cell>
          <cell r="V146">
            <v>0</v>
          </cell>
          <cell r="W146">
            <v>0</v>
          </cell>
          <cell r="X146">
            <v>100383</v>
          </cell>
          <cell r="Y146">
            <v>123806</v>
          </cell>
          <cell r="Z146">
            <v>0</v>
          </cell>
          <cell r="AA146">
            <v>95</v>
          </cell>
          <cell r="AB146">
            <v>118</v>
          </cell>
          <cell r="AC146">
            <v>0</v>
          </cell>
          <cell r="AD146">
            <v>0</v>
          </cell>
          <cell r="AE146">
            <v>0</v>
          </cell>
          <cell r="AF146">
            <v>0</v>
          </cell>
          <cell r="AG146">
            <v>0</v>
          </cell>
          <cell r="AH146">
            <v>0</v>
          </cell>
          <cell r="AI146">
            <v>0</v>
          </cell>
          <cell r="AM146">
            <v>0</v>
          </cell>
          <cell r="AN146">
            <v>0</v>
          </cell>
          <cell r="AO146">
            <v>0</v>
          </cell>
          <cell r="AP146">
            <v>1176831</v>
          </cell>
          <cell r="AQ146">
            <v>1450047</v>
          </cell>
          <cell r="AR146">
            <v>0</v>
          </cell>
          <cell r="AS146">
            <v>-7933119.5999999996</v>
          </cell>
          <cell r="AT146">
            <v>-4759868</v>
          </cell>
          <cell r="AU146">
            <v>-3173246</v>
          </cell>
          <cell r="AV146">
            <v>0</v>
          </cell>
          <cell r="AW146">
            <v>-15866233</v>
          </cell>
          <cell r="AX146">
            <v>-9921789</v>
          </cell>
          <cell r="AY146">
            <v>-5953074</v>
          </cell>
          <cell r="AZ146">
            <v>-3968714</v>
          </cell>
          <cell r="BA146">
            <v>0</v>
          </cell>
          <cell r="BB146">
            <v>-19843577</v>
          </cell>
          <cell r="BC146">
            <v>198899844</v>
          </cell>
          <cell r="BD146">
            <v>-3498282</v>
          </cell>
          <cell r="BE146">
            <v>5547610</v>
          </cell>
          <cell r="BF146">
            <v>0</v>
          </cell>
          <cell r="BG146">
            <v>-18864310</v>
          </cell>
          <cell r="BH146">
            <v>0</v>
          </cell>
          <cell r="BI146">
            <v>0</v>
          </cell>
          <cell r="BJ146">
            <v>-314489</v>
          </cell>
          <cell r="BK146">
            <v>-6923757</v>
          </cell>
          <cell r="BL146">
            <v>-681994</v>
          </cell>
          <cell r="BM146">
            <v>-322204</v>
          </cell>
          <cell r="BN146">
            <v>0</v>
          </cell>
          <cell r="BO146">
            <v>0</v>
          </cell>
          <cell r="BP146">
            <v>0</v>
          </cell>
          <cell r="BQ146">
            <v>0</v>
          </cell>
          <cell r="BR146">
            <v>0</v>
          </cell>
          <cell r="BS146">
            <v>0</v>
          </cell>
          <cell r="BT146">
            <v>209251142</v>
          </cell>
          <cell r="BU146">
            <v>-2018305</v>
          </cell>
          <cell r="BV146">
            <v>18879468</v>
          </cell>
          <cell r="BW146">
            <v>-13732407</v>
          </cell>
          <cell r="BX146">
            <v>6358343</v>
          </cell>
          <cell r="BY146">
            <v>6199156</v>
          </cell>
          <cell r="BZ146">
            <v>260896510</v>
          </cell>
          <cell r="CA146">
            <v>3179172</v>
          </cell>
          <cell r="CB146">
            <v>1907502</v>
          </cell>
          <cell r="CC146">
            <v>1271669</v>
          </cell>
          <cell r="CD146">
            <v>0</v>
          </cell>
          <cell r="CE146">
            <v>3099578</v>
          </cell>
          <cell r="CF146">
            <v>1859747</v>
          </cell>
          <cell r="CG146">
            <v>1239831</v>
          </cell>
          <cell r="CH146">
            <v>0</v>
          </cell>
        </row>
        <row r="147">
          <cell r="A147">
            <v>140</v>
          </cell>
          <cell r="B147" t="str">
            <v>Kensington and Chelsea</v>
          </cell>
          <cell r="C147" t="str">
            <v>E5016</v>
          </cell>
          <cell r="D147">
            <v>649577</v>
          </cell>
          <cell r="H147">
            <v>19775110</v>
          </cell>
          <cell r="I147">
            <v>0</v>
          </cell>
          <cell r="J147">
            <v>649577</v>
          </cell>
          <cell r="K147">
            <v>0</v>
          </cell>
          <cell r="L147">
            <v>0</v>
          </cell>
          <cell r="M147">
            <v>0</v>
          </cell>
          <cell r="N147">
            <v>0</v>
          </cell>
          <cell r="O147">
            <v>0</v>
          </cell>
          <cell r="P147">
            <v>0</v>
          </cell>
          <cell r="Q147">
            <v>0</v>
          </cell>
          <cell r="R147">
            <v>389313</v>
          </cell>
          <cell r="S147">
            <v>480154</v>
          </cell>
          <cell r="T147">
            <v>0</v>
          </cell>
          <cell r="U147">
            <v>0</v>
          </cell>
          <cell r="V147">
            <v>0</v>
          </cell>
          <cell r="W147">
            <v>0</v>
          </cell>
          <cell r="X147">
            <v>0</v>
          </cell>
          <cell r="Y147">
            <v>0</v>
          </cell>
          <cell r="Z147">
            <v>0</v>
          </cell>
          <cell r="AA147">
            <v>13829</v>
          </cell>
          <cell r="AB147">
            <v>17055</v>
          </cell>
          <cell r="AC147">
            <v>0</v>
          </cell>
          <cell r="AD147">
            <v>0</v>
          </cell>
          <cell r="AE147">
            <v>0</v>
          </cell>
          <cell r="AF147">
            <v>0</v>
          </cell>
          <cell r="AG147">
            <v>0</v>
          </cell>
          <cell r="AH147">
            <v>0</v>
          </cell>
          <cell r="AI147">
            <v>0</v>
          </cell>
          <cell r="AM147">
            <v>0</v>
          </cell>
          <cell r="AN147">
            <v>0</v>
          </cell>
          <cell r="AO147">
            <v>0</v>
          </cell>
          <cell r="AP147">
            <v>1448137</v>
          </cell>
          <cell r="AQ147">
            <v>1786035</v>
          </cell>
          <cell r="AR147">
            <v>0</v>
          </cell>
          <cell r="AS147">
            <v>-1680829</v>
          </cell>
          <cell r="AT147">
            <v>-1008498</v>
          </cell>
          <cell r="AU147">
            <v>-672332</v>
          </cell>
          <cell r="AV147">
            <v>0</v>
          </cell>
          <cell r="AW147">
            <v>-3361659</v>
          </cell>
          <cell r="AX147">
            <v>-12056581.199999999</v>
          </cell>
          <cell r="AY147">
            <v>-7233949</v>
          </cell>
          <cell r="AZ147">
            <v>-4822631</v>
          </cell>
          <cell r="BA147">
            <v>0</v>
          </cell>
          <cell r="BB147">
            <v>-24113161</v>
          </cell>
          <cell r="BC147">
            <v>280208446</v>
          </cell>
          <cell r="BD147">
            <v>-1908026</v>
          </cell>
          <cell r="BE147">
            <v>7828364</v>
          </cell>
          <cell r="BF147">
            <v>0</v>
          </cell>
          <cell r="BG147">
            <v>-16637896</v>
          </cell>
          <cell r="BH147">
            <v>0</v>
          </cell>
          <cell r="BI147">
            <v>0</v>
          </cell>
          <cell r="BJ147">
            <v>-3719</v>
          </cell>
          <cell r="BK147">
            <v>-8804926</v>
          </cell>
          <cell r="BL147">
            <v>-73452</v>
          </cell>
          <cell r="BM147">
            <v>-84050</v>
          </cell>
          <cell r="BN147">
            <v>0</v>
          </cell>
          <cell r="BO147">
            <v>0</v>
          </cell>
          <cell r="BP147">
            <v>0</v>
          </cell>
          <cell r="BQ147">
            <v>0</v>
          </cell>
          <cell r="BR147">
            <v>0</v>
          </cell>
          <cell r="BS147">
            <v>0</v>
          </cell>
          <cell r="BT147">
            <v>284936593</v>
          </cell>
          <cell r="BU147">
            <v>-1972876</v>
          </cell>
          <cell r="BV147">
            <v>8527556</v>
          </cell>
          <cell r="BW147">
            <v>-7687751</v>
          </cell>
          <cell r="BX147">
            <v>-1166366</v>
          </cell>
          <cell r="BY147">
            <v>-4717005</v>
          </cell>
          <cell r="BZ147">
            <v>321348416</v>
          </cell>
          <cell r="CA147">
            <v>-583182</v>
          </cell>
          <cell r="CB147">
            <v>-349910</v>
          </cell>
          <cell r="CC147">
            <v>-233274</v>
          </cell>
          <cell r="CD147">
            <v>0</v>
          </cell>
          <cell r="CE147">
            <v>-2358502</v>
          </cell>
          <cell r="CF147">
            <v>-1415102</v>
          </cell>
          <cell r="CG147">
            <v>-943401</v>
          </cell>
          <cell r="CH147">
            <v>0</v>
          </cell>
        </row>
        <row r="148">
          <cell r="A148">
            <v>141</v>
          </cell>
          <cell r="B148" t="str">
            <v>Kettering</v>
          </cell>
          <cell r="C148" t="str">
            <v>E2834</v>
          </cell>
          <cell r="D148">
            <v>110062</v>
          </cell>
          <cell r="H148">
            <v>-1638962</v>
          </cell>
          <cell r="I148">
            <v>0</v>
          </cell>
          <cell r="J148">
            <v>110062</v>
          </cell>
          <cell r="K148">
            <v>0</v>
          </cell>
          <cell r="L148">
            <v>289400</v>
          </cell>
          <cell r="M148">
            <v>0</v>
          </cell>
          <cell r="N148">
            <v>0</v>
          </cell>
          <cell r="O148">
            <v>0</v>
          </cell>
          <cell r="P148">
            <v>0</v>
          </cell>
          <cell r="Q148">
            <v>0</v>
          </cell>
          <cell r="R148">
            <v>574609</v>
          </cell>
          <cell r="S148">
            <v>143652</v>
          </cell>
          <cell r="T148">
            <v>0</v>
          </cell>
          <cell r="U148">
            <v>0</v>
          </cell>
          <cell r="V148">
            <v>0</v>
          </cell>
          <cell r="W148">
            <v>0</v>
          </cell>
          <cell r="X148">
            <v>3630</v>
          </cell>
          <cell r="Y148">
            <v>908</v>
          </cell>
          <cell r="Z148">
            <v>0</v>
          </cell>
          <cell r="AA148">
            <v>0</v>
          </cell>
          <cell r="AB148">
            <v>0</v>
          </cell>
          <cell r="AC148">
            <v>0</v>
          </cell>
          <cell r="AD148">
            <v>0</v>
          </cell>
          <cell r="AE148">
            <v>0</v>
          </cell>
          <cell r="AF148">
            <v>0</v>
          </cell>
          <cell r="AG148">
            <v>0</v>
          </cell>
          <cell r="AH148">
            <v>0</v>
          </cell>
          <cell r="AI148">
            <v>0</v>
          </cell>
          <cell r="AM148">
            <v>0</v>
          </cell>
          <cell r="AN148">
            <v>0</v>
          </cell>
          <cell r="AO148">
            <v>0</v>
          </cell>
          <cell r="AP148">
            <v>182678</v>
          </cell>
          <cell r="AQ148">
            <v>44583</v>
          </cell>
          <cell r="AR148">
            <v>0</v>
          </cell>
          <cell r="AS148">
            <v>-51784</v>
          </cell>
          <cell r="AT148">
            <v>-41425</v>
          </cell>
          <cell r="AU148">
            <v>-10356</v>
          </cell>
          <cell r="AV148">
            <v>0</v>
          </cell>
          <cell r="AW148">
            <v>-103565</v>
          </cell>
          <cell r="AX148">
            <v>-1767021</v>
          </cell>
          <cell r="AY148">
            <v>-1413616</v>
          </cell>
          <cell r="AZ148">
            <v>-353403</v>
          </cell>
          <cell r="BA148">
            <v>0</v>
          </cell>
          <cell r="BB148">
            <v>-3534040</v>
          </cell>
          <cell r="BC148">
            <v>30481849</v>
          </cell>
          <cell r="BD148">
            <v>-1773459</v>
          </cell>
          <cell r="BE148">
            <v>874342</v>
          </cell>
          <cell r="BF148">
            <v>0</v>
          </cell>
          <cell r="BG148">
            <v>-2762201</v>
          </cell>
          <cell r="BH148">
            <v>-69341</v>
          </cell>
          <cell r="BI148">
            <v>-5287</v>
          </cell>
          <cell r="BJ148">
            <v>0</v>
          </cell>
          <cell r="BK148">
            <v>-447423</v>
          </cell>
          <cell r="BL148">
            <v>-9861</v>
          </cell>
          <cell r="BM148">
            <v>-44536</v>
          </cell>
          <cell r="BN148">
            <v>-2090</v>
          </cell>
          <cell r="BO148">
            <v>-1342</v>
          </cell>
          <cell r="BP148">
            <v>0</v>
          </cell>
          <cell r="BQ148">
            <v>0</v>
          </cell>
          <cell r="BR148">
            <v>0</v>
          </cell>
          <cell r="BS148">
            <v>0</v>
          </cell>
          <cell r="BT148">
            <v>31514923</v>
          </cell>
          <cell r="BU148">
            <v>-89022</v>
          </cell>
          <cell r="BV148">
            <v>368427</v>
          </cell>
          <cell r="BW148">
            <v>-849827</v>
          </cell>
          <cell r="BX148">
            <v>-2882371</v>
          </cell>
          <cell r="BY148">
            <v>-1469571</v>
          </cell>
          <cell r="BZ148">
            <v>29679389</v>
          </cell>
          <cell r="CA148">
            <v>-1441186</v>
          </cell>
          <cell r="CB148">
            <v>-1152948</v>
          </cell>
          <cell r="CC148">
            <v>-288237</v>
          </cell>
          <cell r="CD148">
            <v>0</v>
          </cell>
          <cell r="CE148">
            <v>-734786</v>
          </cell>
          <cell r="CF148">
            <v>-587828</v>
          </cell>
          <cell r="CG148">
            <v>-146957</v>
          </cell>
          <cell r="CH148">
            <v>0</v>
          </cell>
        </row>
        <row r="149">
          <cell r="A149">
            <v>142</v>
          </cell>
          <cell r="B149" t="str">
            <v>Kings Lynn and West Norfolk</v>
          </cell>
          <cell r="C149" t="str">
            <v>E2634</v>
          </cell>
          <cell r="D149">
            <v>220343</v>
          </cell>
          <cell r="H149">
            <v>-1717486</v>
          </cell>
          <cell r="I149">
            <v>0</v>
          </cell>
          <cell r="J149">
            <v>220343</v>
          </cell>
          <cell r="K149">
            <v>0</v>
          </cell>
          <cell r="L149">
            <v>1108598</v>
          </cell>
          <cell r="M149">
            <v>0</v>
          </cell>
          <cell r="N149">
            <v>84077</v>
          </cell>
          <cell r="O149">
            <v>84077</v>
          </cell>
          <cell r="P149">
            <v>0</v>
          </cell>
          <cell r="Q149">
            <v>0</v>
          </cell>
          <cell r="R149">
            <v>870424</v>
          </cell>
          <cell r="S149">
            <v>217275</v>
          </cell>
          <cell r="T149">
            <v>0</v>
          </cell>
          <cell r="U149">
            <v>11191</v>
          </cell>
          <cell r="V149">
            <v>2798</v>
          </cell>
          <cell r="W149">
            <v>0</v>
          </cell>
          <cell r="X149">
            <v>5965</v>
          </cell>
          <cell r="Y149">
            <v>1491</v>
          </cell>
          <cell r="Z149">
            <v>0</v>
          </cell>
          <cell r="AA149">
            <v>103</v>
          </cell>
          <cell r="AB149">
            <v>26</v>
          </cell>
          <cell r="AC149">
            <v>0</v>
          </cell>
          <cell r="AD149">
            <v>0</v>
          </cell>
          <cell r="AE149">
            <v>0</v>
          </cell>
          <cell r="AF149">
            <v>0</v>
          </cell>
          <cell r="AG149">
            <v>0</v>
          </cell>
          <cell r="AH149">
            <v>0</v>
          </cell>
          <cell r="AI149">
            <v>0</v>
          </cell>
          <cell r="AM149">
            <v>0</v>
          </cell>
          <cell r="AN149">
            <v>0</v>
          </cell>
          <cell r="AO149">
            <v>0</v>
          </cell>
          <cell r="AP149">
            <v>265566</v>
          </cell>
          <cell r="AQ149">
            <v>61913</v>
          </cell>
          <cell r="AR149">
            <v>0</v>
          </cell>
          <cell r="AS149">
            <v>-256109</v>
          </cell>
          <cell r="AT149">
            <v>-204885</v>
          </cell>
          <cell r="AU149">
            <v>-51222</v>
          </cell>
          <cell r="AV149">
            <v>0</v>
          </cell>
          <cell r="AW149">
            <v>-512216</v>
          </cell>
          <cell r="AX149">
            <v>-2095320.5999999996</v>
          </cell>
          <cell r="AY149">
            <v>-1676256</v>
          </cell>
          <cell r="AZ149">
            <v>-419064</v>
          </cell>
          <cell r="BA149">
            <v>0</v>
          </cell>
          <cell r="BB149">
            <v>-4190640.5999999996</v>
          </cell>
          <cell r="BC149">
            <v>46127370</v>
          </cell>
          <cell r="BD149">
            <v>-3694430</v>
          </cell>
          <cell r="BE149">
            <v>1204944</v>
          </cell>
          <cell r="BF149">
            <v>0</v>
          </cell>
          <cell r="BG149">
            <v>-2910141</v>
          </cell>
          <cell r="BH149">
            <v>-33261</v>
          </cell>
          <cell r="BI149">
            <v>-81341</v>
          </cell>
          <cell r="BJ149">
            <v>-17867</v>
          </cell>
          <cell r="BK149">
            <v>-1143296</v>
          </cell>
          <cell r="BL149">
            <v>-206891</v>
          </cell>
          <cell r="BM149">
            <v>-58533</v>
          </cell>
          <cell r="BN149">
            <v>-324</v>
          </cell>
          <cell r="BO149">
            <v>-29210</v>
          </cell>
          <cell r="BP149">
            <v>-20024</v>
          </cell>
          <cell r="BQ149">
            <v>-71513</v>
          </cell>
          <cell r="BR149">
            <v>-71513</v>
          </cell>
          <cell r="BS149">
            <v>0</v>
          </cell>
          <cell r="BT149">
            <v>46653109</v>
          </cell>
          <cell r="BU149">
            <v>-223685</v>
          </cell>
          <cell r="BV149">
            <v>1039150</v>
          </cell>
          <cell r="BW149">
            <v>-461080</v>
          </cell>
          <cell r="BX149">
            <v>2575518</v>
          </cell>
          <cell r="BY149">
            <v>-542793</v>
          </cell>
          <cell r="BZ149">
            <v>41216067</v>
          </cell>
          <cell r="CA149">
            <v>1287760</v>
          </cell>
          <cell r="CB149">
            <v>1030207</v>
          </cell>
          <cell r="CC149">
            <v>257551</v>
          </cell>
          <cell r="CD149">
            <v>0</v>
          </cell>
          <cell r="CE149">
            <v>-271397</v>
          </cell>
          <cell r="CF149">
            <v>-217117</v>
          </cell>
          <cell r="CG149">
            <v>-54279</v>
          </cell>
          <cell r="CH149">
            <v>0</v>
          </cell>
        </row>
        <row r="150">
          <cell r="A150">
            <v>143</v>
          </cell>
          <cell r="B150" t="str">
            <v>Kingston upon Hull</v>
          </cell>
          <cell r="C150" t="str">
            <v>E2002</v>
          </cell>
          <cell r="D150">
            <v>356488</v>
          </cell>
          <cell r="H150">
            <v>6777337</v>
          </cell>
          <cell r="I150">
            <v>0</v>
          </cell>
          <cell r="J150">
            <v>361488</v>
          </cell>
          <cell r="K150">
            <v>1536655</v>
          </cell>
          <cell r="L150">
            <v>0</v>
          </cell>
          <cell r="M150">
            <v>0</v>
          </cell>
          <cell r="N150">
            <v>0</v>
          </cell>
          <cell r="O150">
            <v>0</v>
          </cell>
          <cell r="P150">
            <v>0</v>
          </cell>
          <cell r="Q150">
            <v>0</v>
          </cell>
          <cell r="R150">
            <v>2324137</v>
          </cell>
          <cell r="S150">
            <v>0</v>
          </cell>
          <cell r="T150">
            <v>47431</v>
          </cell>
          <cell r="U150">
            <v>0</v>
          </cell>
          <cell r="V150">
            <v>0</v>
          </cell>
          <cell r="W150">
            <v>0</v>
          </cell>
          <cell r="X150">
            <v>0</v>
          </cell>
          <cell r="Y150">
            <v>0</v>
          </cell>
          <cell r="Z150">
            <v>0</v>
          </cell>
          <cell r="AA150">
            <v>18277</v>
          </cell>
          <cell r="AB150">
            <v>0</v>
          </cell>
          <cell r="AC150">
            <v>373</v>
          </cell>
          <cell r="AD150">
            <v>0</v>
          </cell>
          <cell r="AE150">
            <v>0</v>
          </cell>
          <cell r="AF150">
            <v>0</v>
          </cell>
          <cell r="AG150">
            <v>0</v>
          </cell>
          <cell r="AH150">
            <v>0</v>
          </cell>
          <cell r="AI150">
            <v>0</v>
          </cell>
          <cell r="AM150">
            <v>0</v>
          </cell>
          <cell r="AN150">
            <v>0</v>
          </cell>
          <cell r="AO150">
            <v>0</v>
          </cell>
          <cell r="AP150">
            <v>616723</v>
          </cell>
          <cell r="AQ150">
            <v>0</v>
          </cell>
          <cell r="AR150">
            <v>12115</v>
          </cell>
          <cell r="AS150">
            <v>-625000</v>
          </cell>
          <cell r="AT150">
            <v>-612501</v>
          </cell>
          <cell r="AU150">
            <v>0</v>
          </cell>
          <cell r="AV150">
            <v>-12499</v>
          </cell>
          <cell r="AW150">
            <v>-1250000</v>
          </cell>
          <cell r="AX150">
            <v>-885000</v>
          </cell>
          <cell r="AY150">
            <v>-867300</v>
          </cell>
          <cell r="AZ150">
            <v>0</v>
          </cell>
          <cell r="BA150">
            <v>-17700</v>
          </cell>
          <cell r="BB150">
            <v>-1770000</v>
          </cell>
          <cell r="BC150">
            <v>84794787</v>
          </cell>
          <cell r="BD150">
            <v>-6173553</v>
          </cell>
          <cell r="BE150">
            <v>2497230</v>
          </cell>
          <cell r="BF150">
            <v>0</v>
          </cell>
          <cell r="BG150">
            <v>-7772494</v>
          </cell>
          <cell r="BH150">
            <v>-17096</v>
          </cell>
          <cell r="BI150">
            <v>0</v>
          </cell>
          <cell r="BJ150">
            <v>0</v>
          </cell>
          <cell r="BK150">
            <v>-4069927</v>
          </cell>
          <cell r="BL150">
            <v>-5135</v>
          </cell>
          <cell r="BM150">
            <v>-939695</v>
          </cell>
          <cell r="BN150">
            <v>0</v>
          </cell>
          <cell r="BO150">
            <v>0</v>
          </cell>
          <cell r="BP150">
            <v>0</v>
          </cell>
          <cell r="BQ150">
            <v>-98644</v>
          </cell>
          <cell r="BR150">
            <v>-98644</v>
          </cell>
          <cell r="BS150">
            <v>0</v>
          </cell>
          <cell r="BT150">
            <v>82807895</v>
          </cell>
          <cell r="BU150">
            <v>-1251731</v>
          </cell>
          <cell r="BV150">
            <v>4831072</v>
          </cell>
          <cell r="BW150">
            <v>-500289</v>
          </cell>
          <cell r="BX150">
            <v>-18560638</v>
          </cell>
          <cell r="BY150">
            <v>-17901867</v>
          </cell>
          <cell r="BZ150">
            <v>80652034</v>
          </cell>
          <cell r="CA150">
            <v>-9280320</v>
          </cell>
          <cell r="CB150">
            <v>-9094712</v>
          </cell>
          <cell r="CC150">
            <v>0</v>
          </cell>
          <cell r="CD150">
            <v>-185606</v>
          </cell>
          <cell r="CE150">
            <v>-8950933</v>
          </cell>
          <cell r="CF150">
            <v>-8771915</v>
          </cell>
          <cell r="CG150">
            <v>0</v>
          </cell>
          <cell r="CH150">
            <v>-179019</v>
          </cell>
        </row>
        <row r="151">
          <cell r="A151">
            <v>144</v>
          </cell>
          <cell r="B151" t="str">
            <v>Kingston upon Thames</v>
          </cell>
          <cell r="C151" t="str">
            <v>E5043</v>
          </cell>
          <cell r="D151">
            <v>243188</v>
          </cell>
          <cell r="H151">
            <v>802411</v>
          </cell>
          <cell r="I151">
            <v>0</v>
          </cell>
          <cell r="J151">
            <v>243188</v>
          </cell>
          <cell r="K151">
            <v>0</v>
          </cell>
          <cell r="L151">
            <v>0</v>
          </cell>
          <cell r="M151">
            <v>0</v>
          </cell>
          <cell r="N151">
            <v>0</v>
          </cell>
          <cell r="O151">
            <v>0</v>
          </cell>
          <cell r="P151">
            <v>0</v>
          </cell>
          <cell r="Q151">
            <v>0</v>
          </cell>
          <cell r="R151">
            <v>509905</v>
          </cell>
          <cell r="S151">
            <v>628883</v>
          </cell>
          <cell r="T151">
            <v>0</v>
          </cell>
          <cell r="U151">
            <v>1522</v>
          </cell>
          <cell r="V151">
            <v>1878</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M151">
            <v>0</v>
          </cell>
          <cell r="AN151">
            <v>0</v>
          </cell>
          <cell r="AO151">
            <v>0</v>
          </cell>
          <cell r="AP151">
            <v>383863</v>
          </cell>
          <cell r="AQ151">
            <v>473432</v>
          </cell>
          <cell r="AR151">
            <v>0</v>
          </cell>
          <cell r="AS151">
            <v>-2811568.5</v>
          </cell>
          <cell r="AT151">
            <v>-1686943.9</v>
          </cell>
          <cell r="AU151">
            <v>-1124627.6000000001</v>
          </cell>
          <cell r="AV151">
            <v>0</v>
          </cell>
          <cell r="AW151">
            <v>-5623140</v>
          </cell>
          <cell r="AX151">
            <v>-2991455</v>
          </cell>
          <cell r="AY151">
            <v>-1794872</v>
          </cell>
          <cell r="AZ151">
            <v>-1196581</v>
          </cell>
          <cell r="BA151">
            <v>0</v>
          </cell>
          <cell r="BB151">
            <v>-5982908</v>
          </cell>
          <cell r="BC151">
            <v>82759020</v>
          </cell>
          <cell r="BD151">
            <v>-2383951</v>
          </cell>
          <cell r="BE151">
            <v>2277629</v>
          </cell>
          <cell r="BF151">
            <v>0</v>
          </cell>
          <cell r="BG151">
            <v>-6290436</v>
          </cell>
          <cell r="BH151">
            <v>-124807</v>
          </cell>
          <cell r="BI151">
            <v>0</v>
          </cell>
          <cell r="BJ151">
            <v>-109347</v>
          </cell>
          <cell r="BK151">
            <v>-2718214</v>
          </cell>
          <cell r="BL151">
            <v>-53507</v>
          </cell>
          <cell r="BM151">
            <v>-395959</v>
          </cell>
          <cell r="BN151">
            <v>0</v>
          </cell>
          <cell r="BO151">
            <v>0</v>
          </cell>
          <cell r="BP151">
            <v>0</v>
          </cell>
          <cell r="BQ151">
            <v>0</v>
          </cell>
          <cell r="BR151">
            <v>0</v>
          </cell>
          <cell r="BS151">
            <v>0</v>
          </cell>
          <cell r="BT151">
            <v>84249752</v>
          </cell>
          <cell r="BU151">
            <v>-25521</v>
          </cell>
          <cell r="BV151">
            <v>5230397</v>
          </cell>
          <cell r="BW151">
            <v>-1106373</v>
          </cell>
          <cell r="BX151">
            <v>-2850244</v>
          </cell>
          <cell r="BY151">
            <v>-5427000</v>
          </cell>
          <cell r="BZ151">
            <v>85181129</v>
          </cell>
          <cell r="CA151">
            <v>-1425122</v>
          </cell>
          <cell r="CB151">
            <v>-855073</v>
          </cell>
          <cell r="CC151">
            <v>-570049</v>
          </cell>
          <cell r="CD151">
            <v>0</v>
          </cell>
          <cell r="CE151">
            <v>-2713500</v>
          </cell>
          <cell r="CF151">
            <v>-1628100</v>
          </cell>
          <cell r="CG151">
            <v>-1085400</v>
          </cell>
          <cell r="CH151">
            <v>0</v>
          </cell>
        </row>
        <row r="152">
          <cell r="A152">
            <v>145</v>
          </cell>
          <cell r="B152" t="str">
            <v>Kirklees</v>
          </cell>
          <cell r="C152" t="str">
            <v>E4703</v>
          </cell>
          <cell r="D152">
            <v>600133</v>
          </cell>
          <cell r="H152">
            <v>-3167716</v>
          </cell>
          <cell r="I152">
            <v>0</v>
          </cell>
          <cell r="J152">
            <v>600133</v>
          </cell>
          <cell r="K152">
            <v>55000</v>
          </cell>
          <cell r="L152">
            <v>0</v>
          </cell>
          <cell r="M152">
            <v>0</v>
          </cell>
          <cell r="N152">
            <v>0</v>
          </cell>
          <cell r="O152">
            <v>0</v>
          </cell>
          <cell r="P152">
            <v>0</v>
          </cell>
          <cell r="Q152">
            <v>0</v>
          </cell>
          <cell r="R152">
            <v>4041594</v>
          </cell>
          <cell r="S152">
            <v>0</v>
          </cell>
          <cell r="T152">
            <v>82481</v>
          </cell>
          <cell r="U152">
            <v>23918</v>
          </cell>
          <cell r="V152">
            <v>0</v>
          </cell>
          <cell r="W152">
            <v>488</v>
          </cell>
          <cell r="X152">
            <v>0</v>
          </cell>
          <cell r="Y152">
            <v>0</v>
          </cell>
          <cell r="Z152">
            <v>0</v>
          </cell>
          <cell r="AA152">
            <v>8475</v>
          </cell>
          <cell r="AB152">
            <v>0</v>
          </cell>
          <cell r="AC152">
            <v>173</v>
          </cell>
          <cell r="AD152">
            <v>0</v>
          </cell>
          <cell r="AE152">
            <v>0</v>
          </cell>
          <cell r="AF152">
            <v>0</v>
          </cell>
          <cell r="AG152">
            <v>0</v>
          </cell>
          <cell r="AH152">
            <v>0</v>
          </cell>
          <cell r="AI152">
            <v>0</v>
          </cell>
          <cell r="AM152">
            <v>0</v>
          </cell>
          <cell r="AN152">
            <v>0</v>
          </cell>
          <cell r="AO152">
            <v>0</v>
          </cell>
          <cell r="AP152">
            <v>716509</v>
          </cell>
          <cell r="AQ152">
            <v>0</v>
          </cell>
          <cell r="AR152">
            <v>14606</v>
          </cell>
          <cell r="AS152">
            <v>-1394508</v>
          </cell>
          <cell r="AT152">
            <v>-1366618</v>
          </cell>
          <cell r="AU152">
            <v>0</v>
          </cell>
          <cell r="AV152">
            <v>-27890</v>
          </cell>
          <cell r="AW152">
            <v>-2789016</v>
          </cell>
          <cell r="AX152">
            <v>-4252755</v>
          </cell>
          <cell r="AY152">
            <v>-4167699</v>
          </cell>
          <cell r="AZ152">
            <v>0</v>
          </cell>
          <cell r="BA152">
            <v>-85055</v>
          </cell>
          <cell r="BB152">
            <v>-8505509</v>
          </cell>
          <cell r="BC152">
            <v>103976129</v>
          </cell>
          <cell r="BD152">
            <v>-13008589</v>
          </cell>
          <cell r="BE152">
            <v>2869870</v>
          </cell>
          <cell r="BF152">
            <v>0</v>
          </cell>
          <cell r="BG152">
            <v>-7810009</v>
          </cell>
          <cell r="BH152">
            <v>-138269</v>
          </cell>
          <cell r="BI152">
            <v>-8556</v>
          </cell>
          <cell r="BJ152">
            <v>-38697</v>
          </cell>
          <cell r="BK152">
            <v>-5444635</v>
          </cell>
          <cell r="BL152">
            <v>-313209</v>
          </cell>
          <cell r="BM152">
            <v>-91525</v>
          </cell>
          <cell r="BN152">
            <v>0</v>
          </cell>
          <cell r="BO152">
            <v>-2967</v>
          </cell>
          <cell r="BP152">
            <v>-115912</v>
          </cell>
          <cell r="BQ152">
            <v>0</v>
          </cell>
          <cell r="BR152">
            <v>0</v>
          </cell>
          <cell r="BS152">
            <v>0</v>
          </cell>
          <cell r="BT152">
            <v>106406539</v>
          </cell>
          <cell r="BU152">
            <v>-1356243</v>
          </cell>
          <cell r="BV152">
            <v>5111685</v>
          </cell>
          <cell r="BW152">
            <v>-886476</v>
          </cell>
          <cell r="BX152">
            <v>-2689173</v>
          </cell>
          <cell r="BY152">
            <v>-3845389</v>
          </cell>
          <cell r="BZ152">
            <v>97232650</v>
          </cell>
          <cell r="CA152">
            <v>-1344587</v>
          </cell>
          <cell r="CB152">
            <v>-1317694</v>
          </cell>
          <cell r="CC152">
            <v>0</v>
          </cell>
          <cell r="CD152">
            <v>-26892</v>
          </cell>
          <cell r="CE152">
            <v>-1922694</v>
          </cell>
          <cell r="CF152">
            <v>-1884241</v>
          </cell>
          <cell r="CG152">
            <v>0</v>
          </cell>
          <cell r="CH152">
            <v>-38454</v>
          </cell>
        </row>
        <row r="153">
          <cell r="A153">
            <v>146</v>
          </cell>
          <cell r="B153" t="str">
            <v>Knowsley</v>
          </cell>
          <cell r="C153" t="str">
            <v>E4301</v>
          </cell>
          <cell r="D153">
            <v>143792</v>
          </cell>
          <cell r="H153">
            <v>1756386</v>
          </cell>
          <cell r="I153">
            <v>0</v>
          </cell>
          <cell r="J153">
            <v>143792</v>
          </cell>
          <cell r="K153">
            <v>0</v>
          </cell>
          <cell r="L153">
            <v>0</v>
          </cell>
          <cell r="M153">
            <v>0</v>
          </cell>
          <cell r="N153">
            <v>0</v>
          </cell>
          <cell r="O153">
            <v>0</v>
          </cell>
          <cell r="P153">
            <v>0</v>
          </cell>
          <cell r="Q153">
            <v>0</v>
          </cell>
          <cell r="R153">
            <v>1400978</v>
          </cell>
          <cell r="S153">
            <v>0</v>
          </cell>
          <cell r="T153">
            <v>14151</v>
          </cell>
          <cell r="U153">
            <v>6965</v>
          </cell>
          <cell r="V153">
            <v>0</v>
          </cell>
          <cell r="W153">
            <v>70</v>
          </cell>
          <cell r="X153">
            <v>2070</v>
          </cell>
          <cell r="Y153">
            <v>0</v>
          </cell>
          <cell r="Z153">
            <v>21</v>
          </cell>
          <cell r="AA153">
            <v>15294</v>
          </cell>
          <cell r="AB153">
            <v>0</v>
          </cell>
          <cell r="AC153">
            <v>154</v>
          </cell>
          <cell r="AD153">
            <v>0</v>
          </cell>
          <cell r="AE153">
            <v>0</v>
          </cell>
          <cell r="AF153">
            <v>0</v>
          </cell>
          <cell r="AG153">
            <v>0</v>
          </cell>
          <cell r="AH153">
            <v>0</v>
          </cell>
          <cell r="AI153">
            <v>0</v>
          </cell>
          <cell r="AM153">
            <v>0</v>
          </cell>
          <cell r="AN153">
            <v>0</v>
          </cell>
          <cell r="AO153">
            <v>0</v>
          </cell>
          <cell r="AP153">
            <v>667689</v>
          </cell>
          <cell r="AQ153">
            <v>0</v>
          </cell>
          <cell r="AR153">
            <v>6744</v>
          </cell>
          <cell r="AS153">
            <v>-882164.26</v>
          </cell>
          <cell r="AT153">
            <v>-864521</v>
          </cell>
          <cell r="AU153">
            <v>0</v>
          </cell>
          <cell r="AV153">
            <v>-17643</v>
          </cell>
          <cell r="AW153">
            <v>-1764328.26</v>
          </cell>
          <cell r="AX153">
            <v>-4764588.5</v>
          </cell>
          <cell r="AY153">
            <v>-4669297</v>
          </cell>
          <cell r="AZ153">
            <v>0</v>
          </cell>
          <cell r="BA153">
            <v>-95291</v>
          </cell>
          <cell r="BB153">
            <v>-9529176</v>
          </cell>
          <cell r="BC153">
            <v>42626814</v>
          </cell>
          <cell r="BD153">
            <v>-1998893</v>
          </cell>
          <cell r="BE153">
            <v>1195449</v>
          </cell>
          <cell r="BF153">
            <v>0</v>
          </cell>
          <cell r="BG153">
            <v>-2299244</v>
          </cell>
          <cell r="BH153">
            <v>-15864</v>
          </cell>
          <cell r="BI153">
            <v>0</v>
          </cell>
          <cell r="BJ153">
            <v>0</v>
          </cell>
          <cell r="BK153">
            <v>-1375729</v>
          </cell>
          <cell r="BL153">
            <v>-199828</v>
          </cell>
          <cell r="BM153">
            <v>-751422</v>
          </cell>
          <cell r="BN153">
            <v>0</v>
          </cell>
          <cell r="BO153">
            <v>0</v>
          </cell>
          <cell r="BP153">
            <v>0</v>
          </cell>
          <cell r="BQ153">
            <v>0</v>
          </cell>
          <cell r="BR153">
            <v>0</v>
          </cell>
          <cell r="BS153">
            <v>0</v>
          </cell>
          <cell r="BT153">
            <v>43560598</v>
          </cell>
          <cell r="BU153">
            <v>-16763</v>
          </cell>
          <cell r="BV153">
            <v>4303577</v>
          </cell>
          <cell r="BW153">
            <v>-1268677</v>
          </cell>
          <cell r="BX153">
            <v>13185449</v>
          </cell>
          <cell r="BY153">
            <v>3404974</v>
          </cell>
          <cell r="BZ153">
            <v>44898000</v>
          </cell>
          <cell r="CA153">
            <v>6592725</v>
          </cell>
          <cell r="CB153">
            <v>6460870</v>
          </cell>
          <cell r="CC153">
            <v>0</v>
          </cell>
          <cell r="CD153">
            <v>131854</v>
          </cell>
          <cell r="CE153">
            <v>1702487</v>
          </cell>
          <cell r="CF153">
            <v>1668437</v>
          </cell>
          <cell r="CG153">
            <v>0</v>
          </cell>
          <cell r="CH153">
            <v>34050</v>
          </cell>
        </row>
        <row r="154">
          <cell r="A154">
            <v>147</v>
          </cell>
          <cell r="B154" t="str">
            <v>Lambeth</v>
          </cell>
          <cell r="C154" t="str">
            <v>E5017</v>
          </cell>
          <cell r="D154">
            <v>507754</v>
          </cell>
          <cell r="H154">
            <v>19584877</v>
          </cell>
          <cell r="I154">
            <v>17913</v>
          </cell>
          <cell r="J154">
            <v>507754</v>
          </cell>
          <cell r="K154">
            <v>0</v>
          </cell>
          <cell r="L154">
            <v>0</v>
          </cell>
          <cell r="M154">
            <v>0</v>
          </cell>
          <cell r="N154">
            <v>0</v>
          </cell>
          <cell r="O154">
            <v>0</v>
          </cell>
          <cell r="P154">
            <v>0</v>
          </cell>
          <cell r="Q154">
            <v>0</v>
          </cell>
          <cell r="R154">
            <v>1002943</v>
          </cell>
          <cell r="S154">
            <v>1236962</v>
          </cell>
          <cell r="T154">
            <v>0</v>
          </cell>
          <cell r="U154">
            <v>0</v>
          </cell>
          <cell r="V154">
            <v>0</v>
          </cell>
          <cell r="W154">
            <v>0</v>
          </cell>
          <cell r="X154">
            <v>0</v>
          </cell>
          <cell r="Y154">
            <v>0</v>
          </cell>
          <cell r="Z154">
            <v>0</v>
          </cell>
          <cell r="AA154">
            <v>249</v>
          </cell>
          <cell r="AB154">
            <v>307</v>
          </cell>
          <cell r="AC154">
            <v>0</v>
          </cell>
          <cell r="AD154">
            <v>0</v>
          </cell>
          <cell r="AE154">
            <v>0</v>
          </cell>
          <cell r="AF154">
            <v>0</v>
          </cell>
          <cell r="AG154">
            <v>0</v>
          </cell>
          <cell r="AH154">
            <v>0</v>
          </cell>
          <cell r="AI154">
            <v>0</v>
          </cell>
          <cell r="AM154">
            <v>0</v>
          </cell>
          <cell r="AN154">
            <v>0</v>
          </cell>
          <cell r="AO154">
            <v>0</v>
          </cell>
          <cell r="AP154">
            <v>745352</v>
          </cell>
          <cell r="AQ154">
            <v>919267</v>
          </cell>
          <cell r="AR154">
            <v>0</v>
          </cell>
          <cell r="AS154">
            <v>-1644588</v>
          </cell>
          <cell r="AT154">
            <v>-986753</v>
          </cell>
          <cell r="AU154">
            <v>-657834</v>
          </cell>
          <cell r="AV154">
            <v>0</v>
          </cell>
          <cell r="AW154">
            <v>-3289175</v>
          </cell>
          <cell r="AX154">
            <v>-10855848</v>
          </cell>
          <cell r="AY154">
            <v>-6513508</v>
          </cell>
          <cell r="AZ154">
            <v>-4342339</v>
          </cell>
          <cell r="BA154">
            <v>0</v>
          </cell>
          <cell r="BB154">
            <v>-21711695</v>
          </cell>
          <cell r="BC154">
            <v>115383944</v>
          </cell>
          <cell r="BD154">
            <v>-5919213</v>
          </cell>
          <cell r="BE154">
            <v>3369740</v>
          </cell>
          <cell r="BF154">
            <v>0</v>
          </cell>
          <cell r="BG154">
            <v>-16691337</v>
          </cell>
          <cell r="BH154">
            <v>-7853</v>
          </cell>
          <cell r="BI154">
            <v>0</v>
          </cell>
          <cell r="BJ154">
            <v>0</v>
          </cell>
          <cell r="BK154">
            <v>-3586003</v>
          </cell>
          <cell r="BL154">
            <v>-221394</v>
          </cell>
          <cell r="BM154">
            <v>-303145</v>
          </cell>
          <cell r="BN154">
            <v>0</v>
          </cell>
          <cell r="BO154">
            <v>0</v>
          </cell>
          <cell r="BP154">
            <v>0</v>
          </cell>
          <cell r="BQ154">
            <v>0</v>
          </cell>
          <cell r="BR154">
            <v>0</v>
          </cell>
          <cell r="BS154">
            <v>0</v>
          </cell>
          <cell r="BT154">
            <v>120240569</v>
          </cell>
          <cell r="BU154">
            <v>-1186248</v>
          </cell>
          <cell r="BV154">
            <v>4300368</v>
          </cell>
          <cell r="BW154">
            <v>-8884592</v>
          </cell>
          <cell r="BX154">
            <v>-2485621</v>
          </cell>
          <cell r="BY154">
            <v>-35186659</v>
          </cell>
          <cell r="BZ154">
            <v>165397153</v>
          </cell>
          <cell r="CA154">
            <v>-1242811</v>
          </cell>
          <cell r="CB154">
            <v>-745687</v>
          </cell>
          <cell r="CC154">
            <v>-497123</v>
          </cell>
          <cell r="CD154">
            <v>0</v>
          </cell>
          <cell r="CE154">
            <v>-17593329</v>
          </cell>
          <cell r="CF154">
            <v>-10555998</v>
          </cell>
          <cell r="CG154">
            <v>-7037332</v>
          </cell>
          <cell r="CH154">
            <v>0</v>
          </cell>
        </row>
        <row r="155">
          <cell r="A155">
            <v>148</v>
          </cell>
          <cell r="B155" t="str">
            <v>Lancaster</v>
          </cell>
          <cell r="C155" t="str">
            <v>E2337</v>
          </cell>
          <cell r="D155">
            <v>217329</v>
          </cell>
          <cell r="H155">
            <v>-958268</v>
          </cell>
          <cell r="I155">
            <v>0</v>
          </cell>
          <cell r="J155">
            <v>217329</v>
          </cell>
          <cell r="K155">
            <v>0</v>
          </cell>
          <cell r="L155">
            <v>938564</v>
          </cell>
          <cell r="M155">
            <v>0</v>
          </cell>
          <cell r="N155">
            <v>0</v>
          </cell>
          <cell r="O155">
            <v>0</v>
          </cell>
          <cell r="P155">
            <v>0</v>
          </cell>
          <cell r="Q155">
            <v>0</v>
          </cell>
          <cell r="R155">
            <v>880686</v>
          </cell>
          <cell r="S155">
            <v>198154</v>
          </cell>
          <cell r="T155">
            <v>22017</v>
          </cell>
          <cell r="U155">
            <v>12050</v>
          </cell>
          <cell r="V155">
            <v>2711</v>
          </cell>
          <cell r="W155">
            <v>301</v>
          </cell>
          <cell r="X155">
            <v>0</v>
          </cell>
          <cell r="Y155">
            <v>0</v>
          </cell>
          <cell r="Z155">
            <v>0</v>
          </cell>
          <cell r="AA155">
            <v>1007</v>
          </cell>
          <cell r="AB155">
            <v>227</v>
          </cell>
          <cell r="AC155">
            <v>25</v>
          </cell>
          <cell r="AD155">
            <v>0</v>
          </cell>
          <cell r="AE155">
            <v>0</v>
          </cell>
          <cell r="AF155">
            <v>0</v>
          </cell>
          <cell r="AG155">
            <v>0</v>
          </cell>
          <cell r="AH155">
            <v>0</v>
          </cell>
          <cell r="AI155">
            <v>0</v>
          </cell>
          <cell r="AM155">
            <v>0</v>
          </cell>
          <cell r="AN155">
            <v>0</v>
          </cell>
          <cell r="AO155">
            <v>0</v>
          </cell>
          <cell r="AP155">
            <v>354292</v>
          </cell>
          <cell r="AQ155">
            <v>76544</v>
          </cell>
          <cell r="AR155">
            <v>8505</v>
          </cell>
          <cell r="AS155">
            <v>-221314</v>
          </cell>
          <cell r="AT155">
            <v>-177052</v>
          </cell>
          <cell r="AU155">
            <v>-39836</v>
          </cell>
          <cell r="AV155">
            <v>-4427</v>
          </cell>
          <cell r="AW155">
            <v>-442629</v>
          </cell>
          <cell r="AX155">
            <v>-2587995</v>
          </cell>
          <cell r="AY155">
            <v>-2070394</v>
          </cell>
          <cell r="AZ155">
            <v>-465839</v>
          </cell>
          <cell r="BA155">
            <v>-51759</v>
          </cell>
          <cell r="BB155">
            <v>-5175987</v>
          </cell>
          <cell r="BC155">
            <v>84101154</v>
          </cell>
          <cell r="BD155">
            <v>-3535938</v>
          </cell>
          <cell r="BE155">
            <v>1769040</v>
          </cell>
          <cell r="BF155">
            <v>0</v>
          </cell>
          <cell r="BG155">
            <v>-3667120</v>
          </cell>
          <cell r="BH155">
            <v>-44322</v>
          </cell>
          <cell r="BI155">
            <v>-24768</v>
          </cell>
          <cell r="BJ155">
            <v>0</v>
          </cell>
          <cell r="BK155">
            <v>-1534416</v>
          </cell>
          <cell r="BL155">
            <v>-98475</v>
          </cell>
          <cell r="BM155">
            <v>-57935</v>
          </cell>
          <cell r="BN155">
            <v>-2410</v>
          </cell>
          <cell r="BO155">
            <v>-6435</v>
          </cell>
          <cell r="BP155">
            <v>0</v>
          </cell>
          <cell r="BQ155">
            <v>0</v>
          </cell>
          <cell r="BR155">
            <v>0</v>
          </cell>
          <cell r="BS155">
            <v>0</v>
          </cell>
          <cell r="BT155">
            <v>59869764</v>
          </cell>
          <cell r="BU155">
            <v>0</v>
          </cell>
          <cell r="BV155">
            <v>877592</v>
          </cell>
          <cell r="BW155">
            <v>-493142</v>
          </cell>
          <cell r="BX155">
            <v>-1785178</v>
          </cell>
          <cell r="BY155">
            <v>-6964438</v>
          </cell>
          <cell r="BZ155">
            <v>56617938</v>
          </cell>
          <cell r="CA155">
            <v>-892591</v>
          </cell>
          <cell r="CB155">
            <v>-714071</v>
          </cell>
          <cell r="CC155">
            <v>-160665</v>
          </cell>
          <cell r="CD155">
            <v>-17851</v>
          </cell>
          <cell r="CE155">
            <v>-3482220</v>
          </cell>
          <cell r="CF155">
            <v>-2785775</v>
          </cell>
          <cell r="CG155">
            <v>-626799</v>
          </cell>
          <cell r="CH155">
            <v>-69644</v>
          </cell>
        </row>
        <row r="156">
          <cell r="A156">
            <v>149</v>
          </cell>
          <cell r="B156" t="str">
            <v>Leeds</v>
          </cell>
          <cell r="C156" t="str">
            <v>E4704</v>
          </cell>
          <cell r="D156">
            <v>1204810</v>
          </cell>
          <cell r="H156">
            <v>-21085094</v>
          </cell>
          <cell r="I156">
            <v>-58280</v>
          </cell>
          <cell r="J156">
            <v>1204810</v>
          </cell>
          <cell r="K156">
            <v>884150</v>
          </cell>
          <cell r="L156">
            <v>151163</v>
          </cell>
          <cell r="M156">
            <v>0</v>
          </cell>
          <cell r="N156">
            <v>440000</v>
          </cell>
          <cell r="O156">
            <v>440000</v>
          </cell>
          <cell r="P156">
            <v>0</v>
          </cell>
          <cell r="Q156">
            <v>0</v>
          </cell>
          <cell r="R156">
            <v>5789928</v>
          </cell>
          <cell r="S156">
            <v>0</v>
          </cell>
          <cell r="T156">
            <v>118162</v>
          </cell>
          <cell r="U156">
            <v>9947</v>
          </cell>
          <cell r="V156">
            <v>0</v>
          </cell>
          <cell r="W156">
            <v>203</v>
          </cell>
          <cell r="X156">
            <v>815</v>
          </cell>
          <cell r="Y156">
            <v>0</v>
          </cell>
          <cell r="Z156">
            <v>17</v>
          </cell>
          <cell r="AA156">
            <v>23448</v>
          </cell>
          <cell r="AB156">
            <v>0</v>
          </cell>
          <cell r="AC156">
            <v>479</v>
          </cell>
          <cell r="AD156">
            <v>0</v>
          </cell>
          <cell r="AE156">
            <v>0</v>
          </cell>
          <cell r="AF156">
            <v>0</v>
          </cell>
          <cell r="AG156">
            <v>0</v>
          </cell>
          <cell r="AH156">
            <v>0</v>
          </cell>
          <cell r="AI156">
            <v>0</v>
          </cell>
          <cell r="AM156">
            <v>0</v>
          </cell>
          <cell r="AN156">
            <v>0</v>
          </cell>
          <cell r="AO156">
            <v>0</v>
          </cell>
          <cell r="AP156">
            <v>2696995</v>
          </cell>
          <cell r="AQ156">
            <v>0</v>
          </cell>
          <cell r="AR156">
            <v>54588</v>
          </cell>
          <cell r="AS156">
            <v>-3288320</v>
          </cell>
          <cell r="AT156">
            <v>-3222552</v>
          </cell>
          <cell r="AU156">
            <v>0</v>
          </cell>
          <cell r="AV156">
            <v>-65766</v>
          </cell>
          <cell r="AW156">
            <v>-6576638</v>
          </cell>
          <cell r="AX156">
            <v>-11479017</v>
          </cell>
          <cell r="AY156">
            <v>-11249437</v>
          </cell>
          <cell r="AZ156">
            <v>0</v>
          </cell>
          <cell r="BA156">
            <v>-229580</v>
          </cell>
          <cell r="BB156">
            <v>-22958034</v>
          </cell>
          <cell r="BC156">
            <v>365960246</v>
          </cell>
          <cell r="BD156">
            <v>-17437674</v>
          </cell>
          <cell r="BE156">
            <v>10615555</v>
          </cell>
          <cell r="BF156">
            <v>0</v>
          </cell>
          <cell r="BG156">
            <v>-25661862</v>
          </cell>
          <cell r="BH156">
            <v>-350316</v>
          </cell>
          <cell r="BI156">
            <v>-12214</v>
          </cell>
          <cell r="BJ156">
            <v>-242785</v>
          </cell>
          <cell r="BK156">
            <v>-20809865</v>
          </cell>
          <cell r="BL156">
            <v>-54759</v>
          </cell>
          <cell r="BM156">
            <v>-462707</v>
          </cell>
          <cell r="BN156">
            <v>-53200</v>
          </cell>
          <cell r="BO156">
            <v>-4150</v>
          </cell>
          <cell r="BP156">
            <v>-5023</v>
          </cell>
          <cell r="BQ156">
            <v>-820098</v>
          </cell>
          <cell r="BR156">
            <v>-576331</v>
          </cell>
          <cell r="BS156">
            <v>0</v>
          </cell>
          <cell r="BT156">
            <v>373635530</v>
          </cell>
          <cell r="BU156">
            <v>-4375991</v>
          </cell>
          <cell r="BV156">
            <v>12934457</v>
          </cell>
          <cell r="BW156">
            <v>-9389378</v>
          </cell>
          <cell r="BX156">
            <v>-53189994</v>
          </cell>
          <cell r="BY156">
            <v>-44415053</v>
          </cell>
          <cell r="BZ156">
            <v>363403039</v>
          </cell>
          <cell r="CA156">
            <v>-26594996</v>
          </cell>
          <cell r="CB156">
            <v>-26063097</v>
          </cell>
          <cell r="CC156">
            <v>0</v>
          </cell>
          <cell r="CD156">
            <v>-531901</v>
          </cell>
          <cell r="CE156">
            <v>-22207526</v>
          </cell>
          <cell r="CF156">
            <v>-21763376</v>
          </cell>
          <cell r="CG156">
            <v>0</v>
          </cell>
          <cell r="CH156">
            <v>-444151</v>
          </cell>
        </row>
        <row r="157">
          <cell r="A157">
            <v>150</v>
          </cell>
          <cell r="B157" t="str">
            <v>Leicester</v>
          </cell>
          <cell r="C157" t="str">
            <v>E2401</v>
          </cell>
          <cell r="D157">
            <v>491838</v>
          </cell>
          <cell r="H157">
            <v>8275266</v>
          </cell>
          <cell r="I157">
            <v>187075</v>
          </cell>
          <cell r="J157">
            <v>491838</v>
          </cell>
          <cell r="K157">
            <v>0</v>
          </cell>
          <cell r="L157">
            <v>0</v>
          </cell>
          <cell r="M157">
            <v>0</v>
          </cell>
          <cell r="N157">
            <v>0</v>
          </cell>
          <cell r="O157">
            <v>0</v>
          </cell>
          <cell r="P157">
            <v>0</v>
          </cell>
          <cell r="Q157">
            <v>0</v>
          </cell>
          <cell r="R157">
            <v>2848315</v>
          </cell>
          <cell r="S157">
            <v>0</v>
          </cell>
          <cell r="T157">
            <v>53864</v>
          </cell>
          <cell r="U157">
            <v>25365</v>
          </cell>
          <cell r="V157">
            <v>0</v>
          </cell>
          <cell r="W157">
            <v>518</v>
          </cell>
          <cell r="X157">
            <v>0</v>
          </cell>
          <cell r="Y157">
            <v>0</v>
          </cell>
          <cell r="Z157">
            <v>0</v>
          </cell>
          <cell r="AA157">
            <v>16403</v>
          </cell>
          <cell r="AB157">
            <v>0</v>
          </cell>
          <cell r="AC157">
            <v>335</v>
          </cell>
          <cell r="AD157">
            <v>0</v>
          </cell>
          <cell r="AE157">
            <v>0</v>
          </cell>
          <cell r="AF157">
            <v>0</v>
          </cell>
          <cell r="AG157">
            <v>0</v>
          </cell>
          <cell r="AH157">
            <v>0</v>
          </cell>
          <cell r="AI157">
            <v>0</v>
          </cell>
          <cell r="AM157">
            <v>0</v>
          </cell>
          <cell r="AN157">
            <v>0</v>
          </cell>
          <cell r="AO157">
            <v>0</v>
          </cell>
          <cell r="AP157">
            <v>799795</v>
          </cell>
          <cell r="AQ157">
            <v>0</v>
          </cell>
          <cell r="AR157">
            <v>16322</v>
          </cell>
          <cell r="AS157">
            <v>-2007034</v>
          </cell>
          <cell r="AT157">
            <v>-1966892</v>
          </cell>
          <cell r="AU157">
            <v>0</v>
          </cell>
          <cell r="AV157">
            <v>-40140</v>
          </cell>
          <cell r="AW157">
            <v>-4014066</v>
          </cell>
          <cell r="AX157">
            <v>-2551774</v>
          </cell>
          <cell r="AY157">
            <v>-2500737</v>
          </cell>
          <cell r="AZ157">
            <v>0</v>
          </cell>
          <cell r="BA157">
            <v>-51035</v>
          </cell>
          <cell r="BB157">
            <v>-5103546</v>
          </cell>
          <cell r="BC157">
            <v>105684926</v>
          </cell>
          <cell r="BD157">
            <v>-9020191</v>
          </cell>
          <cell r="BE157">
            <v>2836593</v>
          </cell>
          <cell r="BF157">
            <v>0</v>
          </cell>
          <cell r="BG157">
            <v>-9015409</v>
          </cell>
          <cell r="BH157">
            <v>-50016</v>
          </cell>
          <cell r="BI157">
            <v>0</v>
          </cell>
          <cell r="BJ157">
            <v>-24094</v>
          </cell>
          <cell r="BK157">
            <v>-4214168</v>
          </cell>
          <cell r="BL157">
            <v>-364114</v>
          </cell>
          <cell r="BM157">
            <v>-163880</v>
          </cell>
          <cell r="BN157">
            <v>0</v>
          </cell>
          <cell r="BO157">
            <v>0</v>
          </cell>
          <cell r="BP157">
            <v>0</v>
          </cell>
          <cell r="BQ157">
            <v>-170281</v>
          </cell>
          <cell r="BR157">
            <v>0</v>
          </cell>
          <cell r="BS157">
            <v>0</v>
          </cell>
          <cell r="BT157">
            <v>105436621</v>
          </cell>
          <cell r="BU157">
            <v>-855691</v>
          </cell>
          <cell r="BV157">
            <v>9655630</v>
          </cell>
          <cell r="BW157">
            <v>-2382978</v>
          </cell>
          <cell r="BX157">
            <v>-391125</v>
          </cell>
          <cell r="BY157">
            <v>-1534035</v>
          </cell>
          <cell r="BZ157">
            <v>108660224</v>
          </cell>
          <cell r="CA157">
            <v>-195562</v>
          </cell>
          <cell r="CB157">
            <v>-191651</v>
          </cell>
          <cell r="CC157">
            <v>0</v>
          </cell>
          <cell r="CD157">
            <v>-3912</v>
          </cell>
          <cell r="CE157">
            <v>-767018</v>
          </cell>
          <cell r="CF157">
            <v>-751677</v>
          </cell>
          <cell r="CG157">
            <v>0</v>
          </cell>
          <cell r="CH157">
            <v>-15340</v>
          </cell>
        </row>
        <row r="158">
          <cell r="A158">
            <v>151</v>
          </cell>
          <cell r="B158" t="str">
            <v>Lewes</v>
          </cell>
          <cell r="C158" t="str">
            <v>E1435</v>
          </cell>
          <cell r="D158">
            <v>130669</v>
          </cell>
          <cell r="H158">
            <v>649166</v>
          </cell>
          <cell r="I158">
            <v>-62027</v>
          </cell>
          <cell r="J158">
            <v>130669</v>
          </cell>
          <cell r="K158">
            <v>80300</v>
          </cell>
          <cell r="L158">
            <v>0</v>
          </cell>
          <cell r="M158">
            <v>0</v>
          </cell>
          <cell r="N158">
            <v>0</v>
          </cell>
          <cell r="O158">
            <v>0</v>
          </cell>
          <cell r="P158">
            <v>0</v>
          </cell>
          <cell r="Q158">
            <v>0</v>
          </cell>
          <cell r="R158">
            <v>770827</v>
          </cell>
          <cell r="S158">
            <v>134782</v>
          </cell>
          <cell r="T158">
            <v>14976</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M158">
            <v>0</v>
          </cell>
          <cell r="AN158">
            <v>0</v>
          </cell>
          <cell r="AO158">
            <v>0</v>
          </cell>
          <cell r="AP158">
            <v>148149</v>
          </cell>
          <cell r="AQ158">
            <v>33062</v>
          </cell>
          <cell r="AR158">
            <v>3674</v>
          </cell>
          <cell r="AS158">
            <v>-152501</v>
          </cell>
          <cell r="AT158">
            <v>-121999</v>
          </cell>
          <cell r="AU158">
            <v>-27450</v>
          </cell>
          <cell r="AV158">
            <v>-3050</v>
          </cell>
          <cell r="AW158">
            <v>-305000</v>
          </cell>
          <cell r="AX158">
            <v>-900000</v>
          </cell>
          <cell r="AY158">
            <v>-720000</v>
          </cell>
          <cell r="AZ158">
            <v>-162000</v>
          </cell>
          <cell r="BA158">
            <v>-18000</v>
          </cell>
          <cell r="BB158">
            <v>-1800000</v>
          </cell>
          <cell r="BC158">
            <v>24646255</v>
          </cell>
          <cell r="BD158">
            <v>-2620589</v>
          </cell>
          <cell r="BE158">
            <v>658197</v>
          </cell>
          <cell r="BF158">
            <v>0</v>
          </cell>
          <cell r="BG158">
            <v>-2536575</v>
          </cell>
          <cell r="BH158">
            <v>-84281</v>
          </cell>
          <cell r="BI158">
            <v>-9985</v>
          </cell>
          <cell r="BJ158">
            <v>-22283</v>
          </cell>
          <cell r="BK158">
            <v>-795524</v>
          </cell>
          <cell r="BL158">
            <v>-161412</v>
          </cell>
          <cell r="BM158">
            <v>-29570</v>
          </cell>
          <cell r="BN158">
            <v>-547</v>
          </cell>
          <cell r="BO158">
            <v>0</v>
          </cell>
          <cell r="BP158">
            <v>0</v>
          </cell>
          <cell r="BQ158">
            <v>-3510</v>
          </cell>
          <cell r="BR158">
            <v>0</v>
          </cell>
          <cell r="BS158">
            <v>0</v>
          </cell>
          <cell r="BT158">
            <v>24851458</v>
          </cell>
          <cell r="BU158">
            <v>-67064</v>
          </cell>
          <cell r="BV158">
            <v>1134690</v>
          </cell>
          <cell r="BW158">
            <v>-670406</v>
          </cell>
          <cell r="BX158">
            <v>-1597622</v>
          </cell>
          <cell r="BY158">
            <v>-1386311</v>
          </cell>
          <cell r="BZ158">
            <v>24455418</v>
          </cell>
          <cell r="CA158">
            <v>-798811</v>
          </cell>
          <cell r="CB158">
            <v>-639048</v>
          </cell>
          <cell r="CC158">
            <v>-143787</v>
          </cell>
          <cell r="CD158">
            <v>-15976</v>
          </cell>
          <cell r="CE158">
            <v>-693156</v>
          </cell>
          <cell r="CF158">
            <v>-554524</v>
          </cell>
          <cell r="CG158">
            <v>-124768</v>
          </cell>
          <cell r="CH158">
            <v>-13863</v>
          </cell>
        </row>
        <row r="159">
          <cell r="A159">
            <v>152</v>
          </cell>
          <cell r="B159" t="str">
            <v>Lewisham</v>
          </cell>
          <cell r="C159" t="str">
            <v>E5018</v>
          </cell>
          <cell r="D159">
            <v>306514</v>
          </cell>
          <cell r="H159">
            <v>14122157</v>
          </cell>
          <cell r="I159">
            <v>0</v>
          </cell>
          <cell r="J159">
            <v>331514</v>
          </cell>
          <cell r="K159">
            <v>0</v>
          </cell>
          <cell r="L159">
            <v>0</v>
          </cell>
          <cell r="M159">
            <v>0</v>
          </cell>
          <cell r="N159">
            <v>0</v>
          </cell>
          <cell r="O159">
            <v>0</v>
          </cell>
          <cell r="P159">
            <v>0</v>
          </cell>
          <cell r="Q159">
            <v>0</v>
          </cell>
          <cell r="R159">
            <v>934971</v>
          </cell>
          <cell r="S159">
            <v>1153131</v>
          </cell>
          <cell r="T159">
            <v>0</v>
          </cell>
          <cell r="U159">
            <v>0</v>
          </cell>
          <cell r="V159">
            <v>0</v>
          </cell>
          <cell r="W159">
            <v>0</v>
          </cell>
          <cell r="X159">
            <v>3982</v>
          </cell>
          <cell r="Y159">
            <v>4910</v>
          </cell>
          <cell r="Z159">
            <v>0</v>
          </cell>
          <cell r="AA159">
            <v>187</v>
          </cell>
          <cell r="AB159">
            <v>231</v>
          </cell>
          <cell r="AC159">
            <v>0</v>
          </cell>
          <cell r="AD159">
            <v>0</v>
          </cell>
          <cell r="AE159">
            <v>0</v>
          </cell>
          <cell r="AF159">
            <v>0</v>
          </cell>
          <cell r="AG159">
            <v>0</v>
          </cell>
          <cell r="AH159">
            <v>0</v>
          </cell>
          <cell r="AI159">
            <v>0</v>
          </cell>
          <cell r="AM159">
            <v>0</v>
          </cell>
          <cell r="AN159">
            <v>0</v>
          </cell>
          <cell r="AO159">
            <v>0</v>
          </cell>
          <cell r="AP159">
            <v>321912</v>
          </cell>
          <cell r="AQ159">
            <v>397025</v>
          </cell>
          <cell r="AR159">
            <v>0</v>
          </cell>
          <cell r="AS159">
            <v>-1169191.5</v>
          </cell>
          <cell r="AT159">
            <v>-701515</v>
          </cell>
          <cell r="AU159">
            <v>-467676</v>
          </cell>
          <cell r="AV159">
            <v>0</v>
          </cell>
          <cell r="AW159">
            <v>-2338382.5</v>
          </cell>
          <cell r="AX159">
            <v>-1536445</v>
          </cell>
          <cell r="AY159">
            <v>-921869</v>
          </cell>
          <cell r="AZ159">
            <v>-614579</v>
          </cell>
          <cell r="BA159">
            <v>0</v>
          </cell>
          <cell r="BB159">
            <v>-3072893</v>
          </cell>
          <cell r="BC159">
            <v>52183872</v>
          </cell>
          <cell r="BD159">
            <v>-5025505</v>
          </cell>
          <cell r="BE159">
            <v>1367665</v>
          </cell>
          <cell r="BF159">
            <v>0</v>
          </cell>
          <cell r="BG159">
            <v>-7016340</v>
          </cell>
          <cell r="BH159">
            <v>0</v>
          </cell>
          <cell r="BI159">
            <v>0</v>
          </cell>
          <cell r="BJ159">
            <v>0</v>
          </cell>
          <cell r="BK159">
            <v>-997982</v>
          </cell>
          <cell r="BL159">
            <v>-364915</v>
          </cell>
          <cell r="BM159">
            <v>0</v>
          </cell>
          <cell r="BN159">
            <v>0</v>
          </cell>
          <cell r="BO159">
            <v>0</v>
          </cell>
          <cell r="BP159">
            <v>0</v>
          </cell>
          <cell r="BQ159">
            <v>-3269</v>
          </cell>
          <cell r="BR159">
            <v>0</v>
          </cell>
          <cell r="BS159">
            <v>0</v>
          </cell>
          <cell r="BT159">
            <v>53723650</v>
          </cell>
          <cell r="BU159">
            <v>-806775</v>
          </cell>
          <cell r="BV159">
            <v>3931027</v>
          </cell>
          <cell r="BW159">
            <v>-7230830</v>
          </cell>
          <cell r="BX159">
            <v>-5819998</v>
          </cell>
          <cell r="BY159">
            <v>-3816010</v>
          </cell>
          <cell r="BZ159">
            <v>71433913</v>
          </cell>
          <cell r="CA159">
            <v>-2909999</v>
          </cell>
          <cell r="CB159">
            <v>-1745999</v>
          </cell>
          <cell r="CC159">
            <v>-1164000</v>
          </cell>
          <cell r="CD159">
            <v>0</v>
          </cell>
          <cell r="CE159">
            <v>-1908005</v>
          </cell>
          <cell r="CF159">
            <v>-1144803</v>
          </cell>
          <cell r="CG159">
            <v>-763202</v>
          </cell>
          <cell r="CH159">
            <v>0</v>
          </cell>
        </row>
        <row r="160">
          <cell r="A160">
            <v>153</v>
          </cell>
          <cell r="B160" t="str">
            <v>Lichfield</v>
          </cell>
          <cell r="C160" t="str">
            <v>E3433</v>
          </cell>
          <cell r="D160">
            <v>121519</v>
          </cell>
          <cell r="H160">
            <v>419786</v>
          </cell>
          <cell r="I160">
            <v>0</v>
          </cell>
          <cell r="J160">
            <v>121519</v>
          </cell>
          <cell r="K160">
            <v>0</v>
          </cell>
          <cell r="L160">
            <v>0</v>
          </cell>
          <cell r="M160">
            <v>0</v>
          </cell>
          <cell r="N160">
            <v>0</v>
          </cell>
          <cell r="O160">
            <v>0</v>
          </cell>
          <cell r="P160">
            <v>0</v>
          </cell>
          <cell r="Q160">
            <v>0</v>
          </cell>
          <cell r="R160">
            <v>481336</v>
          </cell>
          <cell r="S160">
            <v>108300</v>
          </cell>
          <cell r="T160">
            <v>12033</v>
          </cell>
          <cell r="U160">
            <v>1193</v>
          </cell>
          <cell r="V160">
            <v>268</v>
          </cell>
          <cell r="W160">
            <v>30</v>
          </cell>
          <cell r="X160">
            <v>0</v>
          </cell>
          <cell r="Y160">
            <v>0</v>
          </cell>
          <cell r="Z160">
            <v>0</v>
          </cell>
          <cell r="AA160">
            <v>9208</v>
          </cell>
          <cell r="AB160">
            <v>2072</v>
          </cell>
          <cell r="AC160">
            <v>230</v>
          </cell>
          <cell r="AD160">
            <v>0</v>
          </cell>
          <cell r="AE160">
            <v>0</v>
          </cell>
          <cell r="AF160">
            <v>0</v>
          </cell>
          <cell r="AG160">
            <v>0</v>
          </cell>
          <cell r="AH160">
            <v>0</v>
          </cell>
          <cell r="AI160">
            <v>0</v>
          </cell>
          <cell r="AM160">
            <v>0</v>
          </cell>
          <cell r="AN160">
            <v>0</v>
          </cell>
          <cell r="AO160">
            <v>0</v>
          </cell>
          <cell r="AP160">
            <v>200933</v>
          </cell>
          <cell r="AQ160">
            <v>45210</v>
          </cell>
          <cell r="AR160">
            <v>5023</v>
          </cell>
          <cell r="AS160">
            <v>-174407.6</v>
          </cell>
          <cell r="AT160">
            <v>-139523</v>
          </cell>
          <cell r="AU160">
            <v>-31392</v>
          </cell>
          <cell r="AV160">
            <v>-3487</v>
          </cell>
          <cell r="AW160">
            <v>-348809.6</v>
          </cell>
          <cell r="AX160">
            <v>-1949999</v>
          </cell>
          <cell r="AY160">
            <v>-1560000</v>
          </cell>
          <cell r="AZ160">
            <v>-351000</v>
          </cell>
          <cell r="BA160">
            <v>-39001</v>
          </cell>
          <cell r="BB160">
            <v>-3900000</v>
          </cell>
          <cell r="BC160">
            <v>35263697</v>
          </cell>
          <cell r="BD160">
            <v>-1831749</v>
          </cell>
          <cell r="BE160">
            <v>915260</v>
          </cell>
          <cell r="BF160">
            <v>0</v>
          </cell>
          <cell r="BG160">
            <v>-1488747</v>
          </cell>
          <cell r="BH160">
            <v>-57189</v>
          </cell>
          <cell r="BI160">
            <v>-8150</v>
          </cell>
          <cell r="BJ160">
            <v>-42423</v>
          </cell>
          <cell r="BK160">
            <v>-1337939</v>
          </cell>
          <cell r="BL160">
            <v>-35615</v>
          </cell>
          <cell r="BM160">
            <v>-34153</v>
          </cell>
          <cell r="BN160">
            <v>0</v>
          </cell>
          <cell r="BO160">
            <v>-2795</v>
          </cell>
          <cell r="BP160">
            <v>-1764</v>
          </cell>
          <cell r="BQ160">
            <v>0</v>
          </cell>
          <cell r="BR160">
            <v>0</v>
          </cell>
          <cell r="BS160">
            <v>0</v>
          </cell>
          <cell r="BT160">
            <v>35520312</v>
          </cell>
          <cell r="BU160">
            <v>-448052</v>
          </cell>
          <cell r="BV160">
            <v>1208399</v>
          </cell>
          <cell r="BW160">
            <v>-1100382</v>
          </cell>
          <cell r="BX160">
            <v>2701123</v>
          </cell>
          <cell r="BY160">
            <v>1971742</v>
          </cell>
          <cell r="BZ160">
            <v>33441000</v>
          </cell>
          <cell r="CA160">
            <v>1350561</v>
          </cell>
          <cell r="CB160">
            <v>1080449</v>
          </cell>
          <cell r="CC160">
            <v>243102</v>
          </cell>
          <cell r="CD160">
            <v>27011</v>
          </cell>
          <cell r="CE160">
            <v>985871</v>
          </cell>
          <cell r="CF160">
            <v>788697</v>
          </cell>
          <cell r="CG160">
            <v>177457</v>
          </cell>
          <cell r="CH160">
            <v>19717</v>
          </cell>
        </row>
        <row r="161">
          <cell r="A161">
            <v>154</v>
          </cell>
          <cell r="B161" t="str">
            <v>Lincoln</v>
          </cell>
          <cell r="C161" t="str">
            <v>E2533</v>
          </cell>
          <cell r="D161">
            <v>145092</v>
          </cell>
          <cell r="H161">
            <v>-504694</v>
          </cell>
          <cell r="I161">
            <v>0</v>
          </cell>
          <cell r="J161">
            <v>145092</v>
          </cell>
          <cell r="K161">
            <v>0</v>
          </cell>
          <cell r="L161">
            <v>0</v>
          </cell>
          <cell r="M161">
            <v>0</v>
          </cell>
          <cell r="N161">
            <v>0</v>
          </cell>
          <cell r="O161">
            <v>0</v>
          </cell>
          <cell r="P161">
            <v>0</v>
          </cell>
          <cell r="Q161">
            <v>0</v>
          </cell>
          <cell r="R161">
            <v>538882</v>
          </cell>
          <cell r="S161">
            <v>134720</v>
          </cell>
          <cell r="T161">
            <v>0</v>
          </cell>
          <cell r="U161">
            <v>8566</v>
          </cell>
          <cell r="V161">
            <v>2141</v>
          </cell>
          <cell r="W161">
            <v>0</v>
          </cell>
          <cell r="X161">
            <v>3916</v>
          </cell>
          <cell r="Y161">
            <v>979</v>
          </cell>
          <cell r="Z161">
            <v>0</v>
          </cell>
          <cell r="AA161">
            <v>2255</v>
          </cell>
          <cell r="AB161">
            <v>564</v>
          </cell>
          <cell r="AC161">
            <v>0</v>
          </cell>
          <cell r="AD161">
            <v>0</v>
          </cell>
          <cell r="AE161">
            <v>0</v>
          </cell>
          <cell r="AF161">
            <v>0</v>
          </cell>
          <cell r="AG161">
            <v>0</v>
          </cell>
          <cell r="AH161">
            <v>0</v>
          </cell>
          <cell r="AI161">
            <v>0</v>
          </cell>
          <cell r="AM161">
            <v>0</v>
          </cell>
          <cell r="AN161">
            <v>0</v>
          </cell>
          <cell r="AO161">
            <v>0</v>
          </cell>
          <cell r="AP161">
            <v>244772</v>
          </cell>
          <cell r="AQ161">
            <v>61193</v>
          </cell>
          <cell r="AR161">
            <v>0</v>
          </cell>
          <cell r="AS161">
            <v>-232498</v>
          </cell>
          <cell r="AT161">
            <v>-186000</v>
          </cell>
          <cell r="AU161">
            <v>-46501</v>
          </cell>
          <cell r="AV161">
            <v>0</v>
          </cell>
          <cell r="AW161">
            <v>-464999</v>
          </cell>
          <cell r="AX161">
            <v>-4142344</v>
          </cell>
          <cell r="AY161">
            <v>-3313874</v>
          </cell>
          <cell r="AZ161">
            <v>-828469</v>
          </cell>
          <cell r="BA161">
            <v>0</v>
          </cell>
          <cell r="BB161">
            <v>-8284687</v>
          </cell>
          <cell r="BC161">
            <v>41155716</v>
          </cell>
          <cell r="BD161">
            <v>-1999791</v>
          </cell>
          <cell r="BE161">
            <v>1194808</v>
          </cell>
          <cell r="BF161">
            <v>0</v>
          </cell>
          <cell r="BG161">
            <v>-4213393</v>
          </cell>
          <cell r="BH161">
            <v>-65960</v>
          </cell>
          <cell r="BI161">
            <v>0</v>
          </cell>
          <cell r="BJ161">
            <v>-1523</v>
          </cell>
          <cell r="BK161">
            <v>-1608815</v>
          </cell>
          <cell r="BL161">
            <v>-39498</v>
          </cell>
          <cell r="BM161">
            <v>-4413</v>
          </cell>
          <cell r="BN161">
            <v>-4008</v>
          </cell>
          <cell r="BO161">
            <v>0</v>
          </cell>
          <cell r="BP161">
            <v>0</v>
          </cell>
          <cell r="BQ161">
            <v>0</v>
          </cell>
          <cell r="BR161">
            <v>0</v>
          </cell>
          <cell r="BS161">
            <v>0</v>
          </cell>
          <cell r="BT161">
            <v>43135815</v>
          </cell>
          <cell r="BU161">
            <v>-255421</v>
          </cell>
          <cell r="BV161">
            <v>1011684</v>
          </cell>
          <cell r="BW161">
            <v>-2029449</v>
          </cell>
          <cell r="BX161">
            <v>-3272634</v>
          </cell>
          <cell r="BY161">
            <v>-3073560</v>
          </cell>
          <cell r="BZ161">
            <v>40737095</v>
          </cell>
          <cell r="CA161">
            <v>-1636317</v>
          </cell>
          <cell r="CB161">
            <v>-1309054</v>
          </cell>
          <cell r="CC161">
            <v>-327263</v>
          </cell>
          <cell r="CD161">
            <v>0</v>
          </cell>
          <cell r="CE161">
            <v>-1536780</v>
          </cell>
          <cell r="CF161">
            <v>-1229424</v>
          </cell>
          <cell r="CG161">
            <v>-307356</v>
          </cell>
          <cell r="CH161">
            <v>0</v>
          </cell>
        </row>
        <row r="162">
          <cell r="A162">
            <v>155</v>
          </cell>
          <cell r="B162" t="str">
            <v>Liverpool</v>
          </cell>
          <cell r="C162" t="str">
            <v>E4302</v>
          </cell>
          <cell r="D162">
            <v>760155</v>
          </cell>
          <cell r="H162">
            <v>-5002039</v>
          </cell>
          <cell r="I162">
            <v>-2270001</v>
          </cell>
          <cell r="J162">
            <v>760155</v>
          </cell>
          <cell r="K162">
            <v>0</v>
          </cell>
          <cell r="L162">
            <v>0</v>
          </cell>
          <cell r="M162">
            <v>0</v>
          </cell>
          <cell r="N162">
            <v>0</v>
          </cell>
          <cell r="O162">
            <v>0</v>
          </cell>
          <cell r="P162">
            <v>0</v>
          </cell>
          <cell r="Q162">
            <v>0</v>
          </cell>
          <cell r="R162">
            <v>5830744</v>
          </cell>
          <cell r="S162">
            <v>0</v>
          </cell>
          <cell r="T162">
            <v>54549</v>
          </cell>
          <cell r="U162">
            <v>117793</v>
          </cell>
          <cell r="V162">
            <v>0</v>
          </cell>
          <cell r="W162">
            <v>1102</v>
          </cell>
          <cell r="X162">
            <v>0</v>
          </cell>
          <cell r="Y162">
            <v>0</v>
          </cell>
          <cell r="Z162">
            <v>0</v>
          </cell>
          <cell r="AA162">
            <v>50321</v>
          </cell>
          <cell r="AB162">
            <v>0</v>
          </cell>
          <cell r="AC162">
            <v>508</v>
          </cell>
          <cell r="AD162">
            <v>0</v>
          </cell>
          <cell r="AE162">
            <v>0</v>
          </cell>
          <cell r="AF162">
            <v>0</v>
          </cell>
          <cell r="AG162">
            <v>0</v>
          </cell>
          <cell r="AH162">
            <v>0</v>
          </cell>
          <cell r="AI162">
            <v>0</v>
          </cell>
          <cell r="AM162">
            <v>0</v>
          </cell>
          <cell r="AN162">
            <v>0</v>
          </cell>
          <cell r="AO162">
            <v>0</v>
          </cell>
          <cell r="AP162">
            <v>2798228</v>
          </cell>
          <cell r="AQ162">
            <v>0</v>
          </cell>
          <cell r="AR162">
            <v>28265</v>
          </cell>
          <cell r="AS162">
            <v>-20764385</v>
          </cell>
          <cell r="AT162">
            <v>-20318437</v>
          </cell>
          <cell r="AU162">
            <v>0</v>
          </cell>
          <cell r="AV162">
            <v>-383375</v>
          </cell>
          <cell r="AW162">
            <v>-41466197</v>
          </cell>
          <cell r="AX162">
            <v>-11138474</v>
          </cell>
          <cell r="AY162">
            <v>-10915704</v>
          </cell>
          <cell r="AZ162">
            <v>0</v>
          </cell>
          <cell r="BA162">
            <v>-222771</v>
          </cell>
          <cell r="BB162">
            <v>-22276949</v>
          </cell>
          <cell r="BC162">
            <v>177525936</v>
          </cell>
          <cell r="BD162">
            <v>-9656328</v>
          </cell>
          <cell r="BE162">
            <v>5888126</v>
          </cell>
          <cell r="BF162">
            <v>0</v>
          </cell>
          <cell r="BG162">
            <v>-17984758</v>
          </cell>
          <cell r="BH162">
            <v>-4831</v>
          </cell>
          <cell r="BI162">
            <v>0</v>
          </cell>
          <cell r="BJ162">
            <v>0</v>
          </cell>
          <cell r="BK162">
            <v>-16641246</v>
          </cell>
          <cell r="BL162">
            <v>-72986</v>
          </cell>
          <cell r="BM162">
            <v>-13416</v>
          </cell>
          <cell r="BN162">
            <v>0</v>
          </cell>
          <cell r="BO162">
            <v>0</v>
          </cell>
          <cell r="BP162">
            <v>0</v>
          </cell>
          <cell r="BQ162">
            <v>-236253</v>
          </cell>
          <cell r="BR162">
            <v>-253697</v>
          </cell>
          <cell r="BS162">
            <v>0</v>
          </cell>
          <cell r="BT162">
            <v>199920257</v>
          </cell>
          <cell r="BU162">
            <v>-32799151</v>
          </cell>
          <cell r="BV162">
            <v>48445860</v>
          </cell>
          <cell r="BW162">
            <v>-2326672</v>
          </cell>
          <cell r="BX162">
            <v>-21194254</v>
          </cell>
          <cell r="BY162">
            <v>-21495704</v>
          </cell>
          <cell r="BZ162">
            <v>188163677</v>
          </cell>
          <cell r="CA162">
            <v>-10597128</v>
          </cell>
          <cell r="CB162">
            <v>-10385184</v>
          </cell>
          <cell r="CC162">
            <v>0</v>
          </cell>
          <cell r="CD162">
            <v>-211942</v>
          </cell>
          <cell r="CE162">
            <v>-10747852</v>
          </cell>
          <cell r="CF162">
            <v>-10532895</v>
          </cell>
          <cell r="CG162">
            <v>0</v>
          </cell>
          <cell r="CH162">
            <v>-214957</v>
          </cell>
        </row>
        <row r="163">
          <cell r="A163">
            <v>156</v>
          </cell>
          <cell r="B163" t="str">
            <v>Luton</v>
          </cell>
          <cell r="C163" t="str">
            <v>E0201</v>
          </cell>
          <cell r="D163">
            <v>246453</v>
          </cell>
          <cell r="H163">
            <v>170639</v>
          </cell>
          <cell r="I163">
            <v>-192751</v>
          </cell>
          <cell r="J163">
            <v>246453</v>
          </cell>
          <cell r="K163">
            <v>0</v>
          </cell>
          <cell r="L163">
            <v>0</v>
          </cell>
          <cell r="M163">
            <v>0</v>
          </cell>
          <cell r="N163">
            <v>0</v>
          </cell>
          <cell r="O163">
            <v>0</v>
          </cell>
          <cell r="P163">
            <v>0</v>
          </cell>
          <cell r="Q163">
            <v>0</v>
          </cell>
          <cell r="R163">
            <v>1085748</v>
          </cell>
          <cell r="S163">
            <v>0</v>
          </cell>
          <cell r="T163">
            <v>22158</v>
          </cell>
          <cell r="U163">
            <v>0</v>
          </cell>
          <cell r="V163">
            <v>0</v>
          </cell>
          <cell r="W163">
            <v>0</v>
          </cell>
          <cell r="X163">
            <v>0</v>
          </cell>
          <cell r="Y163">
            <v>0</v>
          </cell>
          <cell r="Z163">
            <v>0</v>
          </cell>
          <cell r="AA163">
            <v>45797</v>
          </cell>
          <cell r="AB163">
            <v>0</v>
          </cell>
          <cell r="AC163">
            <v>935</v>
          </cell>
          <cell r="AD163">
            <v>0</v>
          </cell>
          <cell r="AE163">
            <v>0</v>
          </cell>
          <cell r="AF163">
            <v>0</v>
          </cell>
          <cell r="AG163">
            <v>0</v>
          </cell>
          <cell r="AH163">
            <v>0</v>
          </cell>
          <cell r="AI163">
            <v>0</v>
          </cell>
          <cell r="AM163">
            <v>0</v>
          </cell>
          <cell r="AN163">
            <v>0</v>
          </cell>
          <cell r="AO163">
            <v>0</v>
          </cell>
          <cell r="AP163">
            <v>477890</v>
          </cell>
          <cell r="AQ163">
            <v>0</v>
          </cell>
          <cell r="AR163">
            <v>9753</v>
          </cell>
          <cell r="AS163">
            <v>-3768163.5</v>
          </cell>
          <cell r="AT163">
            <v>-3692802.17</v>
          </cell>
          <cell r="AU163">
            <v>0</v>
          </cell>
          <cell r="AV163">
            <v>-75364.33</v>
          </cell>
          <cell r="AW163">
            <v>-7536330</v>
          </cell>
          <cell r="AX163">
            <v>-4748331.8</v>
          </cell>
          <cell r="AY163">
            <v>-4653363</v>
          </cell>
          <cell r="AZ163">
            <v>0</v>
          </cell>
          <cell r="BA163">
            <v>-94966</v>
          </cell>
          <cell r="BB163">
            <v>-9496660</v>
          </cell>
          <cell r="BC163">
            <v>73111120</v>
          </cell>
          <cell r="BD163">
            <v>-3173673</v>
          </cell>
          <cell r="BE163">
            <v>1870949</v>
          </cell>
          <cell r="BF163">
            <v>0</v>
          </cell>
          <cell r="BG163">
            <v>-5242617</v>
          </cell>
          <cell r="BH163">
            <v>-43895</v>
          </cell>
          <cell r="BI163">
            <v>0</v>
          </cell>
          <cell r="BJ163">
            <v>-25371</v>
          </cell>
          <cell r="BK163">
            <v>-2087873</v>
          </cell>
          <cell r="BL163">
            <v>-139288</v>
          </cell>
          <cell r="BM163">
            <v>-55206</v>
          </cell>
          <cell r="BN163">
            <v>-56</v>
          </cell>
          <cell r="BO163">
            <v>0</v>
          </cell>
          <cell r="BP163">
            <v>0</v>
          </cell>
          <cell r="BQ163">
            <v>-9876</v>
          </cell>
          <cell r="BR163">
            <v>0</v>
          </cell>
          <cell r="BS163">
            <v>0</v>
          </cell>
          <cell r="BT163">
            <v>68591062</v>
          </cell>
          <cell r="BU163">
            <v>-380514</v>
          </cell>
          <cell r="BV163">
            <v>12710654</v>
          </cell>
          <cell r="BW163">
            <v>-4305198</v>
          </cell>
          <cell r="BX163">
            <v>-3598805</v>
          </cell>
          <cell r="BY163">
            <v>-5869297</v>
          </cell>
          <cell r="BZ163">
            <v>64926114</v>
          </cell>
          <cell r="CA163">
            <v>-1799402</v>
          </cell>
          <cell r="CB163">
            <v>-1763415</v>
          </cell>
          <cell r="CC163">
            <v>0</v>
          </cell>
          <cell r="CD163">
            <v>-35988</v>
          </cell>
          <cell r="CE163">
            <v>-2934648</v>
          </cell>
          <cell r="CF163">
            <v>-2875956</v>
          </cell>
          <cell r="CG163">
            <v>0</v>
          </cell>
          <cell r="CH163">
            <v>-58693</v>
          </cell>
        </row>
        <row r="164">
          <cell r="A164">
            <v>157</v>
          </cell>
          <cell r="B164" t="str">
            <v>Maidstone</v>
          </cell>
          <cell r="C164" t="str">
            <v>E2237</v>
          </cell>
          <cell r="D164">
            <v>203668</v>
          </cell>
          <cell r="H164">
            <v>-2470839</v>
          </cell>
          <cell r="I164">
            <v>0</v>
          </cell>
          <cell r="J164">
            <v>203668</v>
          </cell>
          <cell r="K164">
            <v>60192</v>
          </cell>
          <cell r="L164">
            <v>0</v>
          </cell>
          <cell r="M164">
            <v>0</v>
          </cell>
          <cell r="N164">
            <v>55000</v>
          </cell>
          <cell r="O164">
            <v>55000</v>
          </cell>
          <cell r="P164">
            <v>0</v>
          </cell>
          <cell r="Q164">
            <v>0</v>
          </cell>
          <cell r="R164">
            <v>635335</v>
          </cell>
          <cell r="S164">
            <v>142950</v>
          </cell>
          <cell r="T164">
            <v>15883</v>
          </cell>
          <cell r="U164">
            <v>1703</v>
          </cell>
          <cell r="V164">
            <v>383</v>
          </cell>
          <cell r="W164">
            <v>43</v>
          </cell>
          <cell r="X164">
            <v>0</v>
          </cell>
          <cell r="Y164">
            <v>0</v>
          </cell>
          <cell r="Z164">
            <v>0</v>
          </cell>
          <cell r="AA164">
            <v>10418</v>
          </cell>
          <cell r="AB164">
            <v>2344</v>
          </cell>
          <cell r="AC164">
            <v>260</v>
          </cell>
          <cell r="AD164">
            <v>0</v>
          </cell>
          <cell r="AE164">
            <v>0</v>
          </cell>
          <cell r="AF164">
            <v>0</v>
          </cell>
          <cell r="AG164">
            <v>0</v>
          </cell>
          <cell r="AH164">
            <v>0</v>
          </cell>
          <cell r="AI164">
            <v>0</v>
          </cell>
          <cell r="AM164">
            <v>0</v>
          </cell>
          <cell r="AN164">
            <v>0</v>
          </cell>
          <cell r="AO164">
            <v>0</v>
          </cell>
          <cell r="AP164">
            <v>342956</v>
          </cell>
          <cell r="AQ164">
            <v>76776</v>
          </cell>
          <cell r="AR164">
            <v>8531</v>
          </cell>
          <cell r="AS164">
            <v>-918247.91</v>
          </cell>
          <cell r="AT164">
            <v>-734596</v>
          </cell>
          <cell r="AU164">
            <v>-165284</v>
          </cell>
          <cell r="AV164">
            <v>-18365</v>
          </cell>
          <cell r="AW164">
            <v>-1836492.9</v>
          </cell>
          <cell r="AX164">
            <v>-3807004</v>
          </cell>
          <cell r="AY164">
            <v>-3045603</v>
          </cell>
          <cell r="AZ164">
            <v>-685260</v>
          </cell>
          <cell r="BA164">
            <v>-76141</v>
          </cell>
          <cell r="BB164">
            <v>-7614008</v>
          </cell>
          <cell r="BC164">
            <v>56922458</v>
          </cell>
          <cell r="BD164">
            <v>-2375158</v>
          </cell>
          <cell r="BE164">
            <v>1606038</v>
          </cell>
          <cell r="BF164">
            <v>0</v>
          </cell>
          <cell r="BG164">
            <v>-4220245</v>
          </cell>
          <cell r="BH164">
            <v>-105324</v>
          </cell>
          <cell r="BI164">
            <v>-3149</v>
          </cell>
          <cell r="BJ164">
            <v>-6798</v>
          </cell>
          <cell r="BK164">
            <v>-2514093</v>
          </cell>
          <cell r="BL164">
            <v>-143082</v>
          </cell>
          <cell r="BM164">
            <v>-7844</v>
          </cell>
          <cell r="BN164">
            <v>-7803</v>
          </cell>
          <cell r="BO164">
            <v>-2683</v>
          </cell>
          <cell r="BP164">
            <v>0</v>
          </cell>
          <cell r="BQ164">
            <v>0</v>
          </cell>
          <cell r="BR164">
            <v>0</v>
          </cell>
          <cell r="BS164">
            <v>0</v>
          </cell>
          <cell r="BT164">
            <v>60507372</v>
          </cell>
          <cell r="BU164">
            <v>-816543</v>
          </cell>
          <cell r="BV164">
            <v>4102122</v>
          </cell>
          <cell r="BW164">
            <v>-1146381</v>
          </cell>
          <cell r="BX164">
            <v>-12756410</v>
          </cell>
          <cell r="BY164">
            <v>-7166927</v>
          </cell>
          <cell r="BZ164">
            <v>56789676</v>
          </cell>
          <cell r="CA164">
            <v>-6378206</v>
          </cell>
          <cell r="CB164">
            <v>-5102564</v>
          </cell>
          <cell r="CC164">
            <v>-1148077</v>
          </cell>
          <cell r="CD164">
            <v>-127563</v>
          </cell>
          <cell r="CE164">
            <v>-3583464</v>
          </cell>
          <cell r="CF164">
            <v>-2866771</v>
          </cell>
          <cell r="CG164">
            <v>-645023</v>
          </cell>
          <cell r="CH164">
            <v>-71669</v>
          </cell>
        </row>
        <row r="165">
          <cell r="A165">
            <v>158</v>
          </cell>
          <cell r="B165" t="str">
            <v>Maldon</v>
          </cell>
          <cell r="C165" t="str">
            <v>E1539</v>
          </cell>
          <cell r="D165">
            <v>92673</v>
          </cell>
          <cell r="H165">
            <v>107637</v>
          </cell>
          <cell r="I165">
            <v>0</v>
          </cell>
          <cell r="J165">
            <v>92673</v>
          </cell>
          <cell r="K165">
            <v>0</v>
          </cell>
          <cell r="L165">
            <v>641000</v>
          </cell>
          <cell r="M165">
            <v>0</v>
          </cell>
          <cell r="N165">
            <v>0</v>
          </cell>
          <cell r="O165">
            <v>0</v>
          </cell>
          <cell r="P165">
            <v>0</v>
          </cell>
          <cell r="Q165">
            <v>0</v>
          </cell>
          <cell r="R165">
            <v>507877</v>
          </cell>
          <cell r="S165">
            <v>114273</v>
          </cell>
          <cell r="T165">
            <v>12697</v>
          </cell>
          <cell r="U165">
            <v>1568</v>
          </cell>
          <cell r="V165">
            <v>353</v>
          </cell>
          <cell r="W165">
            <v>39</v>
          </cell>
          <cell r="X165">
            <v>0</v>
          </cell>
          <cell r="Y165">
            <v>0</v>
          </cell>
          <cell r="Z165">
            <v>0</v>
          </cell>
          <cell r="AA165">
            <v>0</v>
          </cell>
          <cell r="AB165">
            <v>0</v>
          </cell>
          <cell r="AC165">
            <v>0</v>
          </cell>
          <cell r="AD165">
            <v>0</v>
          </cell>
          <cell r="AE165">
            <v>0</v>
          </cell>
          <cell r="AF165">
            <v>0</v>
          </cell>
          <cell r="AG165">
            <v>0</v>
          </cell>
          <cell r="AH165">
            <v>0</v>
          </cell>
          <cell r="AI165">
            <v>0</v>
          </cell>
          <cell r="AM165">
            <v>0</v>
          </cell>
          <cell r="AN165">
            <v>0</v>
          </cell>
          <cell r="AO165">
            <v>0</v>
          </cell>
          <cell r="AP165">
            <v>85972</v>
          </cell>
          <cell r="AQ165">
            <v>17177</v>
          </cell>
          <cell r="AR165">
            <v>1909</v>
          </cell>
          <cell r="AS165">
            <v>-142000</v>
          </cell>
          <cell r="AT165">
            <v>-113600</v>
          </cell>
          <cell r="AU165">
            <v>-25560</v>
          </cell>
          <cell r="AV165">
            <v>-2840</v>
          </cell>
          <cell r="AW165">
            <v>-284000</v>
          </cell>
          <cell r="AX165">
            <v>-560904</v>
          </cell>
          <cell r="AY165">
            <v>-448722</v>
          </cell>
          <cell r="AZ165">
            <v>-100962</v>
          </cell>
          <cell r="BA165">
            <v>-11218</v>
          </cell>
          <cell r="BB165">
            <v>-1121806</v>
          </cell>
          <cell r="BC165">
            <v>14149347</v>
          </cell>
          <cell r="BD165">
            <v>-1924649</v>
          </cell>
          <cell r="BE165">
            <v>343314</v>
          </cell>
          <cell r="BF165">
            <v>0</v>
          </cell>
          <cell r="BG165">
            <v>-785297</v>
          </cell>
          <cell r="BH165">
            <v>-50624</v>
          </cell>
          <cell r="BI165">
            <v>-13891</v>
          </cell>
          <cell r="BJ165">
            <v>-471</v>
          </cell>
          <cell r="BK165">
            <v>-375293</v>
          </cell>
          <cell r="BL165">
            <v>-30312</v>
          </cell>
          <cell r="BM165">
            <v>-5546</v>
          </cell>
          <cell r="BN165">
            <v>-293</v>
          </cell>
          <cell r="BO165">
            <v>0</v>
          </cell>
          <cell r="BP165">
            <v>0</v>
          </cell>
          <cell r="BQ165">
            <v>0</v>
          </cell>
          <cell r="BR165">
            <v>0</v>
          </cell>
          <cell r="BS165">
            <v>0</v>
          </cell>
          <cell r="BT165">
            <v>14850763</v>
          </cell>
          <cell r="BU165">
            <v>-65918</v>
          </cell>
          <cell r="BV165">
            <v>692374</v>
          </cell>
          <cell r="BW165">
            <v>-433164</v>
          </cell>
          <cell r="BX165">
            <v>-1076795</v>
          </cell>
          <cell r="BY165">
            <v>-885807</v>
          </cell>
          <cell r="BZ165">
            <v>12705729</v>
          </cell>
          <cell r="CA165">
            <v>-538397</v>
          </cell>
          <cell r="CB165">
            <v>-430718</v>
          </cell>
          <cell r="CC165">
            <v>-96912</v>
          </cell>
          <cell r="CD165">
            <v>-10768</v>
          </cell>
          <cell r="CE165">
            <v>-442903</v>
          </cell>
          <cell r="CF165">
            <v>-354323</v>
          </cell>
          <cell r="CG165">
            <v>-79723</v>
          </cell>
          <cell r="CH165">
            <v>-8858</v>
          </cell>
        </row>
        <row r="166">
          <cell r="A166">
            <v>159</v>
          </cell>
          <cell r="B166" t="str">
            <v>Malvern Hills</v>
          </cell>
          <cell r="C166" t="str">
            <v>E1851</v>
          </cell>
          <cell r="D166">
            <v>106758</v>
          </cell>
          <cell r="H166">
            <v>118743</v>
          </cell>
          <cell r="I166">
            <v>0</v>
          </cell>
          <cell r="J166">
            <v>106758</v>
          </cell>
          <cell r="K166">
            <v>0</v>
          </cell>
          <cell r="L166">
            <v>0</v>
          </cell>
          <cell r="M166">
            <v>0</v>
          </cell>
          <cell r="N166">
            <v>0</v>
          </cell>
          <cell r="O166">
            <v>0</v>
          </cell>
          <cell r="P166">
            <v>0</v>
          </cell>
          <cell r="Q166">
            <v>0</v>
          </cell>
          <cell r="R166">
            <v>562229</v>
          </cell>
          <cell r="S166">
            <v>126501</v>
          </cell>
          <cell r="T166">
            <v>14056</v>
          </cell>
          <cell r="U166">
            <v>0</v>
          </cell>
          <cell r="V166">
            <v>0</v>
          </cell>
          <cell r="W166">
            <v>0</v>
          </cell>
          <cell r="X166">
            <v>10211</v>
          </cell>
          <cell r="Y166">
            <v>2297</v>
          </cell>
          <cell r="Z166">
            <v>255</v>
          </cell>
          <cell r="AA166">
            <v>0</v>
          </cell>
          <cell r="AB166">
            <v>0</v>
          </cell>
          <cell r="AC166">
            <v>0</v>
          </cell>
          <cell r="AD166">
            <v>0</v>
          </cell>
          <cell r="AE166">
            <v>0</v>
          </cell>
          <cell r="AF166">
            <v>0</v>
          </cell>
          <cell r="AG166">
            <v>0</v>
          </cell>
          <cell r="AH166">
            <v>0</v>
          </cell>
          <cell r="AI166">
            <v>0</v>
          </cell>
          <cell r="AM166">
            <v>0</v>
          </cell>
          <cell r="AN166">
            <v>0</v>
          </cell>
          <cell r="AO166">
            <v>0</v>
          </cell>
          <cell r="AP166">
            <v>91368</v>
          </cell>
          <cell r="AQ166">
            <v>20558</v>
          </cell>
          <cell r="AR166">
            <v>2284</v>
          </cell>
          <cell r="AS166">
            <v>-76242</v>
          </cell>
          <cell r="AT166">
            <v>-60993</v>
          </cell>
          <cell r="AU166">
            <v>-13724</v>
          </cell>
          <cell r="AV166">
            <v>-1525</v>
          </cell>
          <cell r="AW166">
            <v>-152484</v>
          </cell>
          <cell r="AX166">
            <v>-1998841.4</v>
          </cell>
          <cell r="AY166">
            <v>-1599073</v>
          </cell>
          <cell r="AZ166">
            <v>-359792</v>
          </cell>
          <cell r="BA166">
            <v>-39976</v>
          </cell>
          <cell r="BB166">
            <v>-3997682.4000000004</v>
          </cell>
          <cell r="BC166">
            <v>15520423</v>
          </cell>
          <cell r="BD166">
            <v>-2235616</v>
          </cell>
          <cell r="BE166">
            <v>418445</v>
          </cell>
          <cell r="BF166">
            <v>0</v>
          </cell>
          <cell r="BG166">
            <v>-1786657</v>
          </cell>
          <cell r="BH166">
            <v>-149955</v>
          </cell>
          <cell r="BI166">
            <v>-57526</v>
          </cell>
          <cell r="BJ166">
            <v>-1089</v>
          </cell>
          <cell r="BK166">
            <v>-480369</v>
          </cell>
          <cell r="BL166">
            <v>-84253</v>
          </cell>
          <cell r="BM166">
            <v>-58694</v>
          </cell>
          <cell r="BN166">
            <v>-37400</v>
          </cell>
          <cell r="BO166">
            <v>-34110</v>
          </cell>
          <cell r="BP166">
            <v>-33800</v>
          </cell>
          <cell r="BQ166">
            <v>0</v>
          </cell>
          <cell r="BR166">
            <v>0</v>
          </cell>
          <cell r="BS166">
            <v>0</v>
          </cell>
          <cell r="BT166">
            <v>16552665</v>
          </cell>
          <cell r="BU166">
            <v>-17947</v>
          </cell>
          <cell r="BV166">
            <v>419521</v>
          </cell>
          <cell r="BW166">
            <v>-119095</v>
          </cell>
          <cell r="BX166">
            <v>-3816963</v>
          </cell>
          <cell r="BY166">
            <v>-252228</v>
          </cell>
          <cell r="BZ166">
            <v>15206223</v>
          </cell>
          <cell r="CA166">
            <v>-1908481</v>
          </cell>
          <cell r="CB166">
            <v>-1526786</v>
          </cell>
          <cell r="CC166">
            <v>-343526</v>
          </cell>
          <cell r="CD166">
            <v>-38170</v>
          </cell>
          <cell r="CE166">
            <v>-126114</v>
          </cell>
          <cell r="CF166">
            <v>-100891</v>
          </cell>
          <cell r="CG166">
            <v>-22701</v>
          </cell>
          <cell r="CH166">
            <v>-2522</v>
          </cell>
        </row>
        <row r="167">
          <cell r="A167">
            <v>160</v>
          </cell>
          <cell r="B167" t="str">
            <v>Manchester</v>
          </cell>
          <cell r="C167" t="str">
            <v>E4203</v>
          </cell>
          <cell r="D167">
            <v>1123710</v>
          </cell>
          <cell r="H167">
            <v>-4007692</v>
          </cell>
          <cell r="I167">
            <v>-459014</v>
          </cell>
          <cell r="J167">
            <v>1123710</v>
          </cell>
          <cell r="K167">
            <v>0</v>
          </cell>
          <cell r="L167">
            <v>0</v>
          </cell>
          <cell r="M167">
            <v>0</v>
          </cell>
          <cell r="N167">
            <v>0</v>
          </cell>
          <cell r="O167">
            <v>0</v>
          </cell>
          <cell r="P167">
            <v>0</v>
          </cell>
          <cell r="Q167">
            <v>0</v>
          </cell>
          <cell r="R167">
            <v>7327394</v>
          </cell>
          <cell r="S167">
            <v>0</v>
          </cell>
          <cell r="T167">
            <v>73319</v>
          </cell>
          <cell r="U167">
            <v>0</v>
          </cell>
          <cell r="V167">
            <v>0</v>
          </cell>
          <cell r="W167">
            <v>0</v>
          </cell>
          <cell r="X167">
            <v>0</v>
          </cell>
          <cell r="Y167">
            <v>0</v>
          </cell>
          <cell r="Z167">
            <v>0</v>
          </cell>
          <cell r="AA167">
            <v>119960</v>
          </cell>
          <cell r="AB167">
            <v>0</v>
          </cell>
          <cell r="AC167">
            <v>1212</v>
          </cell>
          <cell r="AD167">
            <v>0</v>
          </cell>
          <cell r="AE167">
            <v>0</v>
          </cell>
          <cell r="AF167">
            <v>0</v>
          </cell>
          <cell r="AG167">
            <v>0</v>
          </cell>
          <cell r="AH167">
            <v>0</v>
          </cell>
          <cell r="AI167">
            <v>0</v>
          </cell>
          <cell r="AM167">
            <v>0</v>
          </cell>
          <cell r="AN167">
            <v>0</v>
          </cell>
          <cell r="AO167">
            <v>0</v>
          </cell>
          <cell r="AP167">
            <v>4827923</v>
          </cell>
          <cell r="AQ167">
            <v>0</v>
          </cell>
          <cell r="AR167">
            <v>48767</v>
          </cell>
          <cell r="AS167">
            <v>-7730965</v>
          </cell>
          <cell r="AT167">
            <v>-7576344</v>
          </cell>
          <cell r="AU167">
            <v>0</v>
          </cell>
          <cell r="AV167">
            <v>-154620</v>
          </cell>
          <cell r="AW167">
            <v>-15461929</v>
          </cell>
          <cell r="AX167">
            <v>-47078972</v>
          </cell>
          <cell r="AY167">
            <v>-46137390</v>
          </cell>
          <cell r="AZ167">
            <v>0</v>
          </cell>
          <cell r="BA167">
            <v>-941579</v>
          </cell>
          <cell r="BB167">
            <v>-94157941</v>
          </cell>
          <cell r="BC167">
            <v>340207313</v>
          </cell>
          <cell r="BD167">
            <v>-11631788</v>
          </cell>
          <cell r="BE167">
            <v>9934097</v>
          </cell>
          <cell r="BF167">
            <v>0</v>
          </cell>
          <cell r="BG167">
            <v>-24887357</v>
          </cell>
          <cell r="BH167">
            <v>-82924</v>
          </cell>
          <cell r="BI167">
            <v>0</v>
          </cell>
          <cell r="BJ167">
            <v>0</v>
          </cell>
          <cell r="BK167">
            <v>-24500599</v>
          </cell>
          <cell r="BL167">
            <v>-507615</v>
          </cell>
          <cell r="BM167">
            <v>-3286305</v>
          </cell>
          <cell r="BN167">
            <v>0</v>
          </cell>
          <cell r="BO167">
            <v>0</v>
          </cell>
          <cell r="BP167">
            <v>0</v>
          </cell>
          <cell r="BQ167">
            <v>-952794</v>
          </cell>
          <cell r="BR167">
            <v>-1200141</v>
          </cell>
          <cell r="BS167">
            <v>0</v>
          </cell>
          <cell r="BT167">
            <v>342359126</v>
          </cell>
          <cell r="BU167">
            <v>-1591385</v>
          </cell>
          <cell r="BV167">
            <v>28415087</v>
          </cell>
          <cell r="BW167">
            <v>-15476910</v>
          </cell>
          <cell r="BX167">
            <v>42861342</v>
          </cell>
          <cell r="BY167">
            <v>29867866</v>
          </cell>
          <cell r="BZ167">
            <v>324648233</v>
          </cell>
          <cell r="CA167">
            <v>21430671</v>
          </cell>
          <cell r="CB167">
            <v>21002058</v>
          </cell>
          <cell r="CC167">
            <v>0</v>
          </cell>
          <cell r="CD167">
            <v>428613</v>
          </cell>
          <cell r="CE167">
            <v>14933933</v>
          </cell>
          <cell r="CF167">
            <v>14635254</v>
          </cell>
          <cell r="CG167">
            <v>0</v>
          </cell>
          <cell r="CH167">
            <v>298679</v>
          </cell>
        </row>
        <row r="168">
          <cell r="A168">
            <v>161</v>
          </cell>
          <cell r="B168" t="str">
            <v>Mansfield</v>
          </cell>
          <cell r="C168" t="str">
            <v>E3035</v>
          </cell>
          <cell r="D168">
            <v>126789</v>
          </cell>
          <cell r="H168">
            <v>-422033</v>
          </cell>
          <cell r="I168">
            <v>0</v>
          </cell>
          <cell r="J168">
            <v>126789</v>
          </cell>
          <cell r="K168">
            <v>0</v>
          </cell>
          <cell r="L168">
            <v>20186</v>
          </cell>
          <cell r="M168">
            <v>0</v>
          </cell>
          <cell r="N168">
            <v>0</v>
          </cell>
          <cell r="O168">
            <v>0</v>
          </cell>
          <cell r="P168">
            <v>0</v>
          </cell>
          <cell r="Q168">
            <v>0</v>
          </cell>
          <cell r="R168">
            <v>501784</v>
          </cell>
          <cell r="S168">
            <v>112901</v>
          </cell>
          <cell r="T168">
            <v>12545</v>
          </cell>
          <cell r="U168">
            <v>3557</v>
          </cell>
          <cell r="V168">
            <v>800</v>
          </cell>
          <cell r="W168">
            <v>89</v>
          </cell>
          <cell r="X168">
            <v>8269</v>
          </cell>
          <cell r="Y168">
            <v>1860</v>
          </cell>
          <cell r="Z168">
            <v>207</v>
          </cell>
          <cell r="AA168">
            <v>6413</v>
          </cell>
          <cell r="AB168">
            <v>1443</v>
          </cell>
          <cell r="AC168">
            <v>160</v>
          </cell>
          <cell r="AD168">
            <v>0</v>
          </cell>
          <cell r="AE168">
            <v>0</v>
          </cell>
          <cell r="AF168">
            <v>0</v>
          </cell>
          <cell r="AG168">
            <v>0</v>
          </cell>
          <cell r="AH168">
            <v>0</v>
          </cell>
          <cell r="AI168">
            <v>0</v>
          </cell>
          <cell r="AM168">
            <v>0</v>
          </cell>
          <cell r="AN168">
            <v>0</v>
          </cell>
          <cell r="AO168">
            <v>0</v>
          </cell>
          <cell r="AP168">
            <v>169764</v>
          </cell>
          <cell r="AQ168">
            <v>38129</v>
          </cell>
          <cell r="AR168">
            <v>4237</v>
          </cell>
          <cell r="AS168">
            <v>-318315</v>
          </cell>
          <cell r="AT168">
            <v>-254651</v>
          </cell>
          <cell r="AU168">
            <v>-57297</v>
          </cell>
          <cell r="AV168">
            <v>-6366</v>
          </cell>
          <cell r="AW168">
            <v>-636629</v>
          </cell>
          <cell r="AX168">
            <v>-1127963</v>
          </cell>
          <cell r="AY168">
            <v>-902372</v>
          </cell>
          <cell r="AZ168">
            <v>-203035</v>
          </cell>
          <cell r="BA168">
            <v>-22560</v>
          </cell>
          <cell r="BB168">
            <v>-2255930</v>
          </cell>
          <cell r="BC168">
            <v>31508791</v>
          </cell>
          <cell r="BD168">
            <v>-1981323</v>
          </cell>
          <cell r="BE168">
            <v>787907</v>
          </cell>
          <cell r="BF168">
            <v>0</v>
          </cell>
          <cell r="BG168">
            <v>-2222961</v>
          </cell>
          <cell r="BH168">
            <v>-13817</v>
          </cell>
          <cell r="BI168">
            <v>0</v>
          </cell>
          <cell r="BJ168">
            <v>-1814</v>
          </cell>
          <cell r="BK168">
            <v>-976564</v>
          </cell>
          <cell r="BL168">
            <v>-12430</v>
          </cell>
          <cell r="BM168">
            <v>-117359</v>
          </cell>
          <cell r="BN168">
            <v>0</v>
          </cell>
          <cell r="BO168">
            <v>0</v>
          </cell>
          <cell r="BP168">
            <v>0</v>
          </cell>
          <cell r="BQ168">
            <v>0</v>
          </cell>
          <cell r="BR168">
            <v>0</v>
          </cell>
          <cell r="BS168">
            <v>0</v>
          </cell>
          <cell r="BT168">
            <v>29600669</v>
          </cell>
          <cell r="BU168">
            <v>-285469</v>
          </cell>
          <cell r="BV168">
            <v>631544</v>
          </cell>
          <cell r="BW168">
            <v>-62783</v>
          </cell>
          <cell r="BX168">
            <v>1591612</v>
          </cell>
          <cell r="BY168">
            <v>1287381</v>
          </cell>
          <cell r="BZ168">
            <v>28203166</v>
          </cell>
          <cell r="CA168">
            <v>795806</v>
          </cell>
          <cell r="CB168">
            <v>636645</v>
          </cell>
          <cell r="CC168">
            <v>143245</v>
          </cell>
          <cell r="CD168">
            <v>15916</v>
          </cell>
          <cell r="CE168">
            <v>643691</v>
          </cell>
          <cell r="CF168">
            <v>514952</v>
          </cell>
          <cell r="CG168">
            <v>115864</v>
          </cell>
          <cell r="CH168">
            <v>12874</v>
          </cell>
        </row>
        <row r="169">
          <cell r="A169">
            <v>162</v>
          </cell>
          <cell r="B169" t="str">
            <v>Medway</v>
          </cell>
          <cell r="C169" t="str">
            <v>E2201</v>
          </cell>
          <cell r="D169">
            <v>273476</v>
          </cell>
          <cell r="H169">
            <v>-4794668</v>
          </cell>
          <cell r="I169">
            <v>1069</v>
          </cell>
          <cell r="J169">
            <v>273476</v>
          </cell>
          <cell r="K169">
            <v>1110</v>
          </cell>
          <cell r="L169">
            <v>0</v>
          </cell>
          <cell r="M169">
            <v>0</v>
          </cell>
          <cell r="N169">
            <v>0</v>
          </cell>
          <cell r="O169">
            <v>0</v>
          </cell>
          <cell r="P169">
            <v>0</v>
          </cell>
          <cell r="Q169">
            <v>0</v>
          </cell>
          <cell r="R169">
            <v>1449521</v>
          </cell>
          <cell r="S169">
            <v>0</v>
          </cell>
          <cell r="T169">
            <v>29582</v>
          </cell>
          <cell r="U169">
            <v>6246</v>
          </cell>
          <cell r="V169">
            <v>0</v>
          </cell>
          <cell r="W169">
            <v>127</v>
          </cell>
          <cell r="X169">
            <v>2017</v>
          </cell>
          <cell r="Y169">
            <v>0</v>
          </cell>
          <cell r="Z169">
            <v>41</v>
          </cell>
          <cell r="AA169">
            <v>5832</v>
          </cell>
          <cell r="AB169">
            <v>0</v>
          </cell>
          <cell r="AC169">
            <v>119</v>
          </cell>
          <cell r="AD169">
            <v>0</v>
          </cell>
          <cell r="AE169">
            <v>0</v>
          </cell>
          <cell r="AF169">
            <v>0</v>
          </cell>
          <cell r="AG169">
            <v>0</v>
          </cell>
          <cell r="AH169">
            <v>0</v>
          </cell>
          <cell r="AI169">
            <v>0</v>
          </cell>
          <cell r="AM169">
            <v>0</v>
          </cell>
          <cell r="AN169">
            <v>0</v>
          </cell>
          <cell r="AO169">
            <v>0</v>
          </cell>
          <cell r="AP169">
            <v>616117</v>
          </cell>
          <cell r="AQ169">
            <v>0</v>
          </cell>
          <cell r="AR169">
            <v>12573</v>
          </cell>
          <cell r="AS169">
            <v>-1462351</v>
          </cell>
          <cell r="AT169">
            <v>-1433105</v>
          </cell>
          <cell r="AU169">
            <v>0</v>
          </cell>
          <cell r="AV169">
            <v>-29248</v>
          </cell>
          <cell r="AW169">
            <v>-2924704</v>
          </cell>
          <cell r="AX169">
            <v>-6046092</v>
          </cell>
          <cell r="AY169">
            <v>-5925173</v>
          </cell>
          <cell r="AZ169">
            <v>0</v>
          </cell>
          <cell r="BA169">
            <v>-120923</v>
          </cell>
          <cell r="BB169">
            <v>-12092188</v>
          </cell>
          <cell r="BC169">
            <v>90517370</v>
          </cell>
          <cell r="BD169">
            <v>-4217313</v>
          </cell>
          <cell r="BE169">
            <v>2678604</v>
          </cell>
          <cell r="BF169">
            <v>0</v>
          </cell>
          <cell r="BG169">
            <v>-8030478</v>
          </cell>
          <cell r="BH169">
            <v>-93436</v>
          </cell>
          <cell r="BI169">
            <v>-3926</v>
          </cell>
          <cell r="BJ169">
            <v>0</v>
          </cell>
          <cell r="BK169">
            <v>-3141675</v>
          </cell>
          <cell r="BL169">
            <v>-408430</v>
          </cell>
          <cell r="BM169">
            <v>-198381</v>
          </cell>
          <cell r="BN169">
            <v>-23359</v>
          </cell>
          <cell r="BO169">
            <v>-2420</v>
          </cell>
          <cell r="BP169">
            <v>0</v>
          </cell>
          <cell r="BQ169">
            <v>0</v>
          </cell>
          <cell r="BR169">
            <v>0</v>
          </cell>
          <cell r="BS169">
            <v>0</v>
          </cell>
          <cell r="BT169">
            <v>92659034</v>
          </cell>
          <cell r="BU169">
            <v>-923826</v>
          </cell>
          <cell r="BV169">
            <v>4424648</v>
          </cell>
          <cell r="BW169">
            <v>-1740437</v>
          </cell>
          <cell r="BX169">
            <v>-4154929</v>
          </cell>
          <cell r="BY169">
            <v>-3094545</v>
          </cell>
          <cell r="BZ169">
            <v>83703388</v>
          </cell>
          <cell r="CA169">
            <v>-2077465</v>
          </cell>
          <cell r="CB169">
            <v>-2035915</v>
          </cell>
          <cell r="CC169">
            <v>0</v>
          </cell>
          <cell r="CD169">
            <v>-41549</v>
          </cell>
          <cell r="CE169">
            <v>-1547273</v>
          </cell>
          <cell r="CF169">
            <v>-1516327</v>
          </cell>
          <cell r="CG169">
            <v>0</v>
          </cell>
          <cell r="CH169">
            <v>-30945</v>
          </cell>
        </row>
        <row r="170">
          <cell r="A170">
            <v>163</v>
          </cell>
          <cell r="B170" t="str">
            <v>Melton</v>
          </cell>
          <cell r="C170" t="str">
            <v>E2436</v>
          </cell>
          <cell r="D170">
            <v>62450</v>
          </cell>
          <cell r="H170">
            <v>268237</v>
          </cell>
          <cell r="I170">
            <v>0</v>
          </cell>
          <cell r="J170">
            <v>62450</v>
          </cell>
          <cell r="K170">
            <v>0</v>
          </cell>
          <cell r="L170">
            <v>150000</v>
          </cell>
          <cell r="M170">
            <v>0</v>
          </cell>
          <cell r="N170">
            <v>0</v>
          </cell>
          <cell r="O170">
            <v>0</v>
          </cell>
          <cell r="P170">
            <v>0</v>
          </cell>
          <cell r="Q170">
            <v>0</v>
          </cell>
          <cell r="R170">
            <v>509957</v>
          </cell>
          <cell r="S170">
            <v>114740</v>
          </cell>
          <cell r="T170">
            <v>12749</v>
          </cell>
          <cell r="U170">
            <v>3248</v>
          </cell>
          <cell r="V170">
            <v>731</v>
          </cell>
          <cell r="W170">
            <v>81</v>
          </cell>
          <cell r="X170">
            <v>0</v>
          </cell>
          <cell r="Y170">
            <v>0</v>
          </cell>
          <cell r="Z170">
            <v>0</v>
          </cell>
          <cell r="AA170">
            <v>0</v>
          </cell>
          <cell r="AB170">
            <v>0</v>
          </cell>
          <cell r="AC170">
            <v>0</v>
          </cell>
          <cell r="AD170">
            <v>0</v>
          </cell>
          <cell r="AE170">
            <v>0</v>
          </cell>
          <cell r="AF170">
            <v>0</v>
          </cell>
          <cell r="AG170">
            <v>0</v>
          </cell>
          <cell r="AH170">
            <v>0</v>
          </cell>
          <cell r="AI170">
            <v>0</v>
          </cell>
          <cell r="AM170">
            <v>0</v>
          </cell>
          <cell r="AN170">
            <v>0</v>
          </cell>
          <cell r="AO170">
            <v>0</v>
          </cell>
          <cell r="AP170">
            <v>82759</v>
          </cell>
          <cell r="AQ170">
            <v>18114</v>
          </cell>
          <cell r="AR170">
            <v>2013</v>
          </cell>
          <cell r="AS170">
            <v>-61762.11</v>
          </cell>
          <cell r="AT170">
            <v>-49411</v>
          </cell>
          <cell r="AU170">
            <v>-11119</v>
          </cell>
          <cell r="AV170">
            <v>-1235</v>
          </cell>
          <cell r="AW170">
            <v>-123527.11000000002</v>
          </cell>
          <cell r="AX170">
            <v>-462496.18999999994</v>
          </cell>
          <cell r="AY170">
            <v>-369995</v>
          </cell>
          <cell r="AZ170">
            <v>-83249</v>
          </cell>
          <cell r="BA170">
            <v>-9248</v>
          </cell>
          <cell r="BB170">
            <v>-924988.19</v>
          </cell>
          <cell r="BC170">
            <v>13790504</v>
          </cell>
          <cell r="BD170">
            <v>-1199748</v>
          </cell>
          <cell r="BE170">
            <v>335739</v>
          </cell>
          <cell r="BF170">
            <v>0</v>
          </cell>
          <cell r="BG170">
            <v>-1233288</v>
          </cell>
          <cell r="BH170">
            <v>-35475</v>
          </cell>
          <cell r="BI170">
            <v>-32465</v>
          </cell>
          <cell r="BJ170">
            <v>0</v>
          </cell>
          <cell r="BK170">
            <v>-264032</v>
          </cell>
          <cell r="BL170">
            <v>-40198</v>
          </cell>
          <cell r="BM170">
            <v>-28409</v>
          </cell>
          <cell r="BN170">
            <v>0</v>
          </cell>
          <cell r="BO170">
            <v>-22644</v>
          </cell>
          <cell r="BP170">
            <v>0</v>
          </cell>
          <cell r="BQ170">
            <v>0</v>
          </cell>
          <cell r="BR170">
            <v>0</v>
          </cell>
          <cell r="BS170">
            <v>0</v>
          </cell>
          <cell r="BT170">
            <v>14115350</v>
          </cell>
          <cell r="BU170">
            <v>-122815</v>
          </cell>
          <cell r="BV170">
            <v>520407</v>
          </cell>
          <cell r="BW170">
            <v>-233240</v>
          </cell>
          <cell r="BX170">
            <v>-31484.599999999627</v>
          </cell>
          <cell r="BY170">
            <v>308924</v>
          </cell>
          <cell r="BZ170">
            <v>13398543</v>
          </cell>
          <cell r="CA170">
            <v>-15744.599999999627</v>
          </cell>
          <cell r="CB170">
            <v>-12593</v>
          </cell>
          <cell r="CC170">
            <v>-2833</v>
          </cell>
          <cell r="CD170">
            <v>-314</v>
          </cell>
          <cell r="CE170">
            <v>154462</v>
          </cell>
          <cell r="CF170">
            <v>123570</v>
          </cell>
          <cell r="CG170">
            <v>27803</v>
          </cell>
          <cell r="CH170">
            <v>3089</v>
          </cell>
        </row>
        <row r="171">
          <cell r="A171">
            <v>164</v>
          </cell>
          <cell r="B171" t="str">
            <v>Mendip</v>
          </cell>
          <cell r="C171" t="str">
            <v>E3331</v>
          </cell>
          <cell r="D171">
            <v>165853</v>
          </cell>
          <cell r="H171">
            <v>105905</v>
          </cell>
          <cell r="I171">
            <v>0</v>
          </cell>
          <cell r="J171">
            <v>165853</v>
          </cell>
          <cell r="K171">
            <v>0</v>
          </cell>
          <cell r="L171">
            <v>135318</v>
          </cell>
          <cell r="M171">
            <v>0</v>
          </cell>
          <cell r="N171">
            <v>0</v>
          </cell>
          <cell r="O171">
            <v>0</v>
          </cell>
          <cell r="P171">
            <v>0</v>
          </cell>
          <cell r="Q171">
            <v>0</v>
          </cell>
          <cell r="R171">
            <v>862578</v>
          </cell>
          <cell r="S171">
            <v>194080</v>
          </cell>
          <cell r="T171">
            <v>21564</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M171">
            <v>0</v>
          </cell>
          <cell r="AN171">
            <v>0</v>
          </cell>
          <cell r="AO171">
            <v>0</v>
          </cell>
          <cell r="AP171">
            <v>203668</v>
          </cell>
          <cell r="AQ171">
            <v>45368</v>
          </cell>
          <cell r="AR171">
            <v>5041</v>
          </cell>
          <cell r="AS171">
            <v>-204087</v>
          </cell>
          <cell r="AT171">
            <v>-163272</v>
          </cell>
          <cell r="AU171">
            <v>-36735</v>
          </cell>
          <cell r="AV171">
            <v>-4082</v>
          </cell>
          <cell r="AW171">
            <v>-408176</v>
          </cell>
          <cell r="AX171">
            <v>-1947007</v>
          </cell>
          <cell r="AY171">
            <v>-1557611</v>
          </cell>
          <cell r="AZ171">
            <v>-350464</v>
          </cell>
          <cell r="BA171">
            <v>-38942</v>
          </cell>
          <cell r="BB171">
            <v>-3894024</v>
          </cell>
          <cell r="BC171">
            <v>31463480</v>
          </cell>
          <cell r="BD171">
            <v>-3373961</v>
          </cell>
          <cell r="BE171">
            <v>894762</v>
          </cell>
          <cell r="BF171">
            <v>0</v>
          </cell>
          <cell r="BG171">
            <v>-3071854</v>
          </cell>
          <cell r="BH171">
            <v>-41271</v>
          </cell>
          <cell r="BI171">
            <v>-33371</v>
          </cell>
          <cell r="BJ171">
            <v>-1658</v>
          </cell>
          <cell r="BK171">
            <v>-903342</v>
          </cell>
          <cell r="BL171">
            <v>-43311</v>
          </cell>
          <cell r="BM171">
            <v>-44673</v>
          </cell>
          <cell r="BN171">
            <v>-4699</v>
          </cell>
          <cell r="BO171">
            <v>-21938</v>
          </cell>
          <cell r="BP171">
            <v>-23347</v>
          </cell>
          <cell r="BQ171">
            <v>0</v>
          </cell>
          <cell r="BR171">
            <v>0</v>
          </cell>
          <cell r="BS171">
            <v>0</v>
          </cell>
          <cell r="BT171">
            <v>33497740</v>
          </cell>
          <cell r="BU171">
            <v>-193011</v>
          </cell>
          <cell r="BV171">
            <v>703118</v>
          </cell>
          <cell r="BW171">
            <v>-2381086</v>
          </cell>
          <cell r="BX171">
            <v>-448690</v>
          </cell>
          <cell r="BY171">
            <v>1551675</v>
          </cell>
          <cell r="BZ171">
            <v>33557917</v>
          </cell>
          <cell r="CA171">
            <v>-224345</v>
          </cell>
          <cell r="CB171">
            <v>-179476</v>
          </cell>
          <cell r="CC171">
            <v>-40382</v>
          </cell>
          <cell r="CD171">
            <v>-4487</v>
          </cell>
          <cell r="CE171">
            <v>775837</v>
          </cell>
          <cell r="CF171">
            <v>620670</v>
          </cell>
          <cell r="CG171">
            <v>139651</v>
          </cell>
          <cell r="CH171">
            <v>15517</v>
          </cell>
        </row>
        <row r="172">
          <cell r="A172">
            <v>165</v>
          </cell>
          <cell r="B172" t="str">
            <v>Merton</v>
          </cell>
          <cell r="C172" t="str">
            <v>E5044</v>
          </cell>
          <cell r="D172">
            <v>264360</v>
          </cell>
          <cell r="H172">
            <v>-1664618</v>
          </cell>
          <cell r="I172">
            <v>0</v>
          </cell>
          <cell r="J172">
            <v>264360</v>
          </cell>
          <cell r="K172">
            <v>0</v>
          </cell>
          <cell r="L172">
            <v>0</v>
          </cell>
          <cell r="M172">
            <v>0</v>
          </cell>
          <cell r="N172">
            <v>0</v>
          </cell>
          <cell r="O172">
            <v>0</v>
          </cell>
          <cell r="P172">
            <v>0</v>
          </cell>
          <cell r="Q172">
            <v>0</v>
          </cell>
          <cell r="R172">
            <v>636600</v>
          </cell>
          <cell r="S172">
            <v>785139</v>
          </cell>
          <cell r="T172">
            <v>0</v>
          </cell>
          <cell r="U172">
            <v>0</v>
          </cell>
          <cell r="V172">
            <v>0</v>
          </cell>
          <cell r="W172">
            <v>0</v>
          </cell>
          <cell r="X172">
            <v>347</v>
          </cell>
          <cell r="Y172">
            <v>428</v>
          </cell>
          <cell r="Z172">
            <v>0</v>
          </cell>
          <cell r="AA172">
            <v>1088</v>
          </cell>
          <cell r="AB172">
            <v>1342</v>
          </cell>
          <cell r="AC172">
            <v>0</v>
          </cell>
          <cell r="AD172">
            <v>0</v>
          </cell>
          <cell r="AE172">
            <v>0</v>
          </cell>
          <cell r="AF172">
            <v>0</v>
          </cell>
          <cell r="AG172">
            <v>0</v>
          </cell>
          <cell r="AH172">
            <v>0</v>
          </cell>
          <cell r="AI172">
            <v>0</v>
          </cell>
          <cell r="AM172">
            <v>0</v>
          </cell>
          <cell r="AN172">
            <v>0</v>
          </cell>
          <cell r="AO172">
            <v>0</v>
          </cell>
          <cell r="AP172">
            <v>396577</v>
          </cell>
          <cell r="AQ172">
            <v>489111</v>
          </cell>
          <cell r="AR172">
            <v>0</v>
          </cell>
          <cell r="AS172">
            <v>-1205070</v>
          </cell>
          <cell r="AT172">
            <v>-723041</v>
          </cell>
          <cell r="AU172">
            <v>-482028</v>
          </cell>
          <cell r="AV172">
            <v>0</v>
          </cell>
          <cell r="AW172">
            <v>-2410139</v>
          </cell>
          <cell r="AX172">
            <v>-3500000</v>
          </cell>
          <cell r="AY172">
            <v>-2100000</v>
          </cell>
          <cell r="AZ172">
            <v>-1400000</v>
          </cell>
          <cell r="BA172">
            <v>0</v>
          </cell>
          <cell r="BB172">
            <v>-7000000</v>
          </cell>
          <cell r="BC172">
            <v>85690295</v>
          </cell>
          <cell r="BD172">
            <v>-2853593</v>
          </cell>
          <cell r="BE172">
            <v>2234816</v>
          </cell>
          <cell r="BF172">
            <v>0</v>
          </cell>
          <cell r="BG172">
            <v>-5197144</v>
          </cell>
          <cell r="BH172">
            <v>-130671</v>
          </cell>
          <cell r="BI172">
            <v>0</v>
          </cell>
          <cell r="BJ172">
            <v>-22513</v>
          </cell>
          <cell r="BK172">
            <v>-1376496</v>
          </cell>
          <cell r="BL172">
            <v>-403154</v>
          </cell>
          <cell r="BM172">
            <v>-103639</v>
          </cell>
          <cell r="BN172">
            <v>-5015</v>
          </cell>
          <cell r="BO172">
            <v>0</v>
          </cell>
          <cell r="BP172">
            <v>0</v>
          </cell>
          <cell r="BQ172">
            <v>-18000</v>
          </cell>
          <cell r="BR172">
            <v>0</v>
          </cell>
          <cell r="BS172">
            <v>0</v>
          </cell>
          <cell r="BT172">
            <v>86431051</v>
          </cell>
          <cell r="BU172">
            <v>-556239</v>
          </cell>
          <cell r="BV172">
            <v>3483846</v>
          </cell>
          <cell r="BW172">
            <v>-2865079</v>
          </cell>
          <cell r="BX172">
            <v>-897837</v>
          </cell>
          <cell r="BY172">
            <v>1268292</v>
          </cell>
          <cell r="BZ172">
            <v>88002277</v>
          </cell>
          <cell r="CA172">
            <v>-448919</v>
          </cell>
          <cell r="CB172">
            <v>-269350</v>
          </cell>
          <cell r="CC172">
            <v>-179568</v>
          </cell>
          <cell r="CD172">
            <v>0</v>
          </cell>
          <cell r="CE172">
            <v>634146</v>
          </cell>
          <cell r="CF172">
            <v>380488</v>
          </cell>
          <cell r="CG172">
            <v>253658</v>
          </cell>
          <cell r="CH172">
            <v>0</v>
          </cell>
        </row>
        <row r="173">
          <cell r="A173">
            <v>166</v>
          </cell>
          <cell r="B173" t="str">
            <v>Mid Devon</v>
          </cell>
          <cell r="C173" t="str">
            <v>E1133</v>
          </cell>
          <cell r="D173">
            <v>107103</v>
          </cell>
          <cell r="H173">
            <v>18145</v>
          </cell>
          <cell r="I173">
            <v>0</v>
          </cell>
          <cell r="J173">
            <v>107103</v>
          </cell>
          <cell r="K173">
            <v>0</v>
          </cell>
          <cell r="L173">
            <v>125331</v>
          </cell>
          <cell r="M173">
            <v>0</v>
          </cell>
          <cell r="N173">
            <v>0</v>
          </cell>
          <cell r="O173">
            <v>0</v>
          </cell>
          <cell r="P173">
            <v>0</v>
          </cell>
          <cell r="Q173">
            <v>0</v>
          </cell>
          <cell r="R173">
            <v>588560</v>
          </cell>
          <cell r="S173">
            <v>132426</v>
          </cell>
          <cell r="T173">
            <v>14714</v>
          </cell>
          <cell r="U173">
            <v>2030</v>
          </cell>
          <cell r="V173">
            <v>457</v>
          </cell>
          <cell r="W173">
            <v>51</v>
          </cell>
          <cell r="X173">
            <v>2030</v>
          </cell>
          <cell r="Y173">
            <v>457</v>
          </cell>
          <cell r="Z173">
            <v>51</v>
          </cell>
          <cell r="AA173">
            <v>0</v>
          </cell>
          <cell r="AB173">
            <v>0</v>
          </cell>
          <cell r="AC173">
            <v>0</v>
          </cell>
          <cell r="AD173">
            <v>0</v>
          </cell>
          <cell r="AE173">
            <v>0</v>
          </cell>
          <cell r="AF173">
            <v>0</v>
          </cell>
          <cell r="AG173">
            <v>0</v>
          </cell>
          <cell r="AH173">
            <v>0</v>
          </cell>
          <cell r="AI173">
            <v>0</v>
          </cell>
          <cell r="AM173">
            <v>0</v>
          </cell>
          <cell r="AN173">
            <v>0</v>
          </cell>
          <cell r="AO173">
            <v>0</v>
          </cell>
          <cell r="AP173">
            <v>90924</v>
          </cell>
          <cell r="AQ173">
            <v>20034</v>
          </cell>
          <cell r="AR173">
            <v>2226</v>
          </cell>
          <cell r="AS173">
            <v>-79387</v>
          </cell>
          <cell r="AT173">
            <v>-63509</v>
          </cell>
          <cell r="AU173">
            <v>-14291</v>
          </cell>
          <cell r="AV173">
            <v>-1588</v>
          </cell>
          <cell r="AW173">
            <v>-158775</v>
          </cell>
          <cell r="AX173">
            <v>-204735</v>
          </cell>
          <cell r="AY173">
            <v>-163789</v>
          </cell>
          <cell r="AZ173">
            <v>-36852</v>
          </cell>
          <cell r="BA173">
            <v>-4095</v>
          </cell>
          <cell r="BB173">
            <v>-409471</v>
          </cell>
          <cell r="BC173">
            <v>15421114</v>
          </cell>
          <cell r="BD173">
            <v>-2250456</v>
          </cell>
          <cell r="BE173">
            <v>361706</v>
          </cell>
          <cell r="BF173">
            <v>0</v>
          </cell>
          <cell r="BG173">
            <v>-1319439</v>
          </cell>
          <cell r="BH173">
            <v>-34571</v>
          </cell>
          <cell r="BI173">
            <v>-26093</v>
          </cell>
          <cell r="BJ173">
            <v>-11964</v>
          </cell>
          <cell r="BK173">
            <v>-424522</v>
          </cell>
          <cell r="BL173">
            <v>-59875</v>
          </cell>
          <cell r="BM173">
            <v>-4498</v>
          </cell>
          <cell r="BN173">
            <v>-3312</v>
          </cell>
          <cell r="BO173">
            <v>-2241</v>
          </cell>
          <cell r="BP173">
            <v>0</v>
          </cell>
          <cell r="BQ173">
            <v>0</v>
          </cell>
          <cell r="BR173">
            <v>0</v>
          </cell>
          <cell r="BS173">
            <v>0</v>
          </cell>
          <cell r="BT173">
            <v>14260439</v>
          </cell>
          <cell r="BU173">
            <v>0</v>
          </cell>
          <cell r="BV173">
            <v>377028</v>
          </cell>
          <cell r="BW173">
            <v>-1043367</v>
          </cell>
          <cell r="BX173">
            <v>-356391</v>
          </cell>
          <cell r="BY173">
            <v>-295660</v>
          </cell>
          <cell r="BZ173">
            <v>14818978</v>
          </cell>
          <cell r="CA173">
            <v>-178195</v>
          </cell>
          <cell r="CB173">
            <v>-142556</v>
          </cell>
          <cell r="CC173">
            <v>-32076</v>
          </cell>
          <cell r="CD173">
            <v>-3564</v>
          </cell>
          <cell r="CE173">
            <v>-147830</v>
          </cell>
          <cell r="CF173">
            <v>-118264</v>
          </cell>
          <cell r="CG173">
            <v>-26609</v>
          </cell>
          <cell r="CH173">
            <v>-2957</v>
          </cell>
        </row>
        <row r="174">
          <cell r="A174">
            <v>167</v>
          </cell>
          <cell r="B174" t="str">
            <v>Mid Suffolk</v>
          </cell>
          <cell r="C174" t="str">
            <v>E3534</v>
          </cell>
          <cell r="D174">
            <v>127118</v>
          </cell>
          <cell r="H174">
            <v>466977</v>
          </cell>
          <cell r="I174">
            <v>0</v>
          </cell>
          <cell r="J174">
            <v>127118</v>
          </cell>
          <cell r="K174">
            <v>0</v>
          </cell>
          <cell r="L174">
            <v>136544</v>
          </cell>
          <cell r="M174">
            <v>160256</v>
          </cell>
          <cell r="N174">
            <v>0</v>
          </cell>
          <cell r="O174">
            <v>0</v>
          </cell>
          <cell r="P174">
            <v>0</v>
          </cell>
          <cell r="Q174">
            <v>0</v>
          </cell>
          <cell r="R174">
            <v>536294</v>
          </cell>
          <cell r="S174">
            <v>134074</v>
          </cell>
          <cell r="T174">
            <v>0</v>
          </cell>
          <cell r="U174">
            <v>7369</v>
          </cell>
          <cell r="V174">
            <v>1842</v>
          </cell>
          <cell r="W174">
            <v>0</v>
          </cell>
          <cell r="X174">
            <v>0</v>
          </cell>
          <cell r="Y174">
            <v>0</v>
          </cell>
          <cell r="Z174">
            <v>0</v>
          </cell>
          <cell r="AA174">
            <v>2602</v>
          </cell>
          <cell r="AB174">
            <v>650</v>
          </cell>
          <cell r="AC174">
            <v>0</v>
          </cell>
          <cell r="AD174">
            <v>0</v>
          </cell>
          <cell r="AE174">
            <v>0</v>
          </cell>
          <cell r="AF174">
            <v>0</v>
          </cell>
          <cell r="AG174">
            <v>0</v>
          </cell>
          <cell r="AH174">
            <v>0</v>
          </cell>
          <cell r="AI174">
            <v>0</v>
          </cell>
          <cell r="AM174">
            <v>0</v>
          </cell>
          <cell r="AN174">
            <v>0</v>
          </cell>
          <cell r="AO174">
            <v>0</v>
          </cell>
          <cell r="AP174">
            <v>140127</v>
          </cell>
          <cell r="AQ174">
            <v>36926</v>
          </cell>
          <cell r="AR174">
            <v>0</v>
          </cell>
          <cell r="AS174">
            <v>-67501</v>
          </cell>
          <cell r="AT174">
            <v>-53999</v>
          </cell>
          <cell r="AU174">
            <v>-13500</v>
          </cell>
          <cell r="AV174">
            <v>0</v>
          </cell>
          <cell r="AW174">
            <v>-135000</v>
          </cell>
          <cell r="AX174">
            <v>-880851</v>
          </cell>
          <cell r="AY174">
            <v>-704681</v>
          </cell>
          <cell r="AZ174">
            <v>-176171</v>
          </cell>
          <cell r="BA174">
            <v>0</v>
          </cell>
          <cell r="BB174">
            <v>-1761703</v>
          </cell>
          <cell r="BC174">
            <v>22390300</v>
          </cell>
          <cell r="BD174">
            <v>-2167019</v>
          </cell>
          <cell r="BE174">
            <v>580149</v>
          </cell>
          <cell r="BF174">
            <v>0</v>
          </cell>
          <cell r="BG174">
            <v>-1095330</v>
          </cell>
          <cell r="BH174">
            <v>-39603</v>
          </cell>
          <cell r="BI174">
            <v>-78031</v>
          </cell>
          <cell r="BJ174">
            <v>-85025</v>
          </cell>
          <cell r="BK174">
            <v>-581342</v>
          </cell>
          <cell r="BL174">
            <v>-173084</v>
          </cell>
          <cell r="BM174">
            <v>-94099</v>
          </cell>
          <cell r="BN174">
            <v>-7311</v>
          </cell>
          <cell r="BO174">
            <v>-78030</v>
          </cell>
          <cell r="BP174">
            <v>-66526</v>
          </cell>
          <cell r="BQ174">
            <v>0</v>
          </cell>
          <cell r="BR174">
            <v>0</v>
          </cell>
          <cell r="BS174">
            <v>0</v>
          </cell>
          <cell r="BT174">
            <v>22567796</v>
          </cell>
          <cell r="BU174">
            <v>-100625</v>
          </cell>
          <cell r="BV174">
            <v>519981</v>
          </cell>
          <cell r="BW174">
            <v>-414847</v>
          </cell>
          <cell r="BX174">
            <v>-227223</v>
          </cell>
          <cell r="BY174">
            <v>-342730</v>
          </cell>
          <cell r="BZ174">
            <v>22979750</v>
          </cell>
          <cell r="CA174">
            <v>-113612</v>
          </cell>
          <cell r="CB174">
            <v>-90889</v>
          </cell>
          <cell r="CC174">
            <v>-22722</v>
          </cell>
          <cell r="CD174">
            <v>0</v>
          </cell>
          <cell r="CE174">
            <v>-171365</v>
          </cell>
          <cell r="CF174">
            <v>-137092</v>
          </cell>
          <cell r="CG174">
            <v>-34273</v>
          </cell>
          <cell r="CH174">
            <v>0</v>
          </cell>
        </row>
        <row r="175">
          <cell r="A175">
            <v>168</v>
          </cell>
          <cell r="B175" t="str">
            <v>Mid Sussex</v>
          </cell>
          <cell r="C175" t="str">
            <v>E3836</v>
          </cell>
          <cell r="D175">
            <v>172939</v>
          </cell>
          <cell r="H175">
            <v>578813</v>
          </cell>
          <cell r="I175">
            <v>0</v>
          </cell>
          <cell r="J175">
            <v>172939</v>
          </cell>
          <cell r="K175">
            <v>0</v>
          </cell>
          <cell r="L175">
            <v>0</v>
          </cell>
          <cell r="M175">
            <v>0</v>
          </cell>
          <cell r="N175">
            <v>0</v>
          </cell>
          <cell r="O175">
            <v>0</v>
          </cell>
          <cell r="P175">
            <v>0</v>
          </cell>
          <cell r="Q175">
            <v>0</v>
          </cell>
          <cell r="R175">
            <v>719859</v>
          </cell>
          <cell r="S175">
            <v>179965</v>
          </cell>
          <cell r="T175">
            <v>0</v>
          </cell>
          <cell r="U175">
            <v>0</v>
          </cell>
          <cell r="V175">
            <v>0</v>
          </cell>
          <cell r="W175">
            <v>0</v>
          </cell>
          <cell r="X175">
            <v>15072</v>
          </cell>
          <cell r="Y175">
            <v>3768</v>
          </cell>
          <cell r="Z175">
            <v>0</v>
          </cell>
          <cell r="AA175">
            <v>4831</v>
          </cell>
          <cell r="AB175">
            <v>1208</v>
          </cell>
          <cell r="AC175">
            <v>0</v>
          </cell>
          <cell r="AD175">
            <v>0</v>
          </cell>
          <cell r="AE175">
            <v>0</v>
          </cell>
          <cell r="AF175">
            <v>0</v>
          </cell>
          <cell r="AG175">
            <v>0</v>
          </cell>
          <cell r="AH175">
            <v>0</v>
          </cell>
          <cell r="AI175">
            <v>0</v>
          </cell>
          <cell r="AM175">
            <v>0</v>
          </cell>
          <cell r="AN175">
            <v>0</v>
          </cell>
          <cell r="AO175">
            <v>0</v>
          </cell>
          <cell r="AP175">
            <v>266525</v>
          </cell>
          <cell r="AQ175">
            <v>66631</v>
          </cell>
          <cell r="AR175">
            <v>0</v>
          </cell>
          <cell r="AS175">
            <v>-667898</v>
          </cell>
          <cell r="AT175">
            <v>-534318</v>
          </cell>
          <cell r="AU175">
            <v>-133579</v>
          </cell>
          <cell r="AV175">
            <v>0</v>
          </cell>
          <cell r="AW175">
            <v>-1335795</v>
          </cell>
          <cell r="AX175">
            <v>-3255560</v>
          </cell>
          <cell r="AY175">
            <v>-2604449</v>
          </cell>
          <cell r="AZ175">
            <v>-651113</v>
          </cell>
          <cell r="BA175">
            <v>0</v>
          </cell>
          <cell r="BB175">
            <v>-6511122</v>
          </cell>
          <cell r="BC175">
            <v>41792981</v>
          </cell>
          <cell r="BD175">
            <v>-2691545</v>
          </cell>
          <cell r="BE175">
            <v>1173524</v>
          </cell>
          <cell r="BF175">
            <v>0</v>
          </cell>
          <cell r="BG175">
            <v>-3750003</v>
          </cell>
          <cell r="BH175">
            <v>-55644</v>
          </cell>
          <cell r="BI175">
            <v>-5194</v>
          </cell>
          <cell r="BJ175">
            <v>-8961</v>
          </cell>
          <cell r="BK175">
            <v>-990185</v>
          </cell>
          <cell r="BL175">
            <v>-65827</v>
          </cell>
          <cell r="BM175">
            <v>-717232</v>
          </cell>
          <cell r="BN175">
            <v>-4393</v>
          </cell>
          <cell r="BO175">
            <v>-5194</v>
          </cell>
          <cell r="BP175">
            <v>0</v>
          </cell>
          <cell r="BQ175">
            <v>0</v>
          </cell>
          <cell r="BR175">
            <v>0</v>
          </cell>
          <cell r="BS175">
            <v>0</v>
          </cell>
          <cell r="BT175">
            <v>43996168</v>
          </cell>
          <cell r="BU175">
            <v>-614085</v>
          </cell>
          <cell r="BV175">
            <v>2200894</v>
          </cell>
          <cell r="BW175">
            <v>-1670512</v>
          </cell>
          <cell r="BX175">
            <v>-3642873</v>
          </cell>
          <cell r="BY175">
            <v>-3802285</v>
          </cell>
          <cell r="BZ175">
            <v>44357380</v>
          </cell>
          <cell r="CA175">
            <v>-1821436</v>
          </cell>
          <cell r="CB175">
            <v>-1457150</v>
          </cell>
          <cell r="CC175">
            <v>-364287</v>
          </cell>
          <cell r="CD175">
            <v>0</v>
          </cell>
          <cell r="CE175">
            <v>-1901142</v>
          </cell>
          <cell r="CF175">
            <v>-1520914</v>
          </cell>
          <cell r="CG175">
            <v>-380229</v>
          </cell>
          <cell r="CH175">
            <v>0</v>
          </cell>
        </row>
        <row r="176">
          <cell r="A176">
            <v>169</v>
          </cell>
          <cell r="B176" t="str">
            <v>Middlesbrough</v>
          </cell>
          <cell r="C176" t="str">
            <v>E0702</v>
          </cell>
          <cell r="D176">
            <v>172412</v>
          </cell>
          <cell r="H176">
            <v>-5023849</v>
          </cell>
          <cell r="I176">
            <v>-591685</v>
          </cell>
          <cell r="J176">
            <v>172412</v>
          </cell>
          <cell r="K176">
            <v>0</v>
          </cell>
          <cell r="L176">
            <v>0</v>
          </cell>
          <cell r="M176">
            <v>0</v>
          </cell>
          <cell r="N176">
            <v>0</v>
          </cell>
          <cell r="O176">
            <v>0</v>
          </cell>
          <cell r="P176">
            <v>0</v>
          </cell>
          <cell r="Q176">
            <v>0</v>
          </cell>
          <cell r="R176">
            <v>695871</v>
          </cell>
          <cell r="S176">
            <v>0</v>
          </cell>
          <cell r="T176">
            <v>12687</v>
          </cell>
          <cell r="U176">
            <v>0</v>
          </cell>
          <cell r="V176">
            <v>0</v>
          </cell>
          <cell r="W176">
            <v>0</v>
          </cell>
          <cell r="X176">
            <v>0</v>
          </cell>
          <cell r="Y176">
            <v>0</v>
          </cell>
          <cell r="Z176">
            <v>0</v>
          </cell>
          <cell r="AA176">
            <v>18922</v>
          </cell>
          <cell r="AB176">
            <v>0</v>
          </cell>
          <cell r="AC176">
            <v>64</v>
          </cell>
          <cell r="AD176">
            <v>0</v>
          </cell>
          <cell r="AE176">
            <v>0</v>
          </cell>
          <cell r="AF176">
            <v>0</v>
          </cell>
          <cell r="AG176">
            <v>0</v>
          </cell>
          <cell r="AH176">
            <v>0</v>
          </cell>
          <cell r="AI176">
            <v>0</v>
          </cell>
          <cell r="AM176">
            <v>0</v>
          </cell>
          <cell r="AN176">
            <v>0</v>
          </cell>
          <cell r="AO176">
            <v>0</v>
          </cell>
          <cell r="AP176">
            <v>253119</v>
          </cell>
          <cell r="AQ176">
            <v>0</v>
          </cell>
          <cell r="AR176">
            <v>5166</v>
          </cell>
          <cell r="AS176">
            <v>-2835789</v>
          </cell>
          <cell r="AT176">
            <v>-2779075</v>
          </cell>
          <cell r="AU176">
            <v>0</v>
          </cell>
          <cell r="AV176">
            <v>-56717</v>
          </cell>
          <cell r="AW176">
            <v>-5671581</v>
          </cell>
          <cell r="AX176">
            <v>-750000</v>
          </cell>
          <cell r="AY176">
            <v>-735000</v>
          </cell>
          <cell r="AZ176">
            <v>0</v>
          </cell>
          <cell r="BA176">
            <v>-15000</v>
          </cell>
          <cell r="BB176">
            <v>-1500000</v>
          </cell>
          <cell r="BC176">
            <v>39596270</v>
          </cell>
          <cell r="BD176">
            <v>-2306619</v>
          </cell>
          <cell r="BE176">
            <v>1236299</v>
          </cell>
          <cell r="BF176">
            <v>0</v>
          </cell>
          <cell r="BG176">
            <v>-5905288</v>
          </cell>
          <cell r="BH176">
            <v>-24921</v>
          </cell>
          <cell r="BI176">
            <v>0</v>
          </cell>
          <cell r="BJ176">
            <v>-88824</v>
          </cell>
          <cell r="BK176">
            <v>-2064752</v>
          </cell>
          <cell r="BL176">
            <v>-8946</v>
          </cell>
          <cell r="BM176">
            <v>-45010</v>
          </cell>
          <cell r="BN176">
            <v>0</v>
          </cell>
          <cell r="BO176">
            <v>0</v>
          </cell>
          <cell r="BP176">
            <v>0</v>
          </cell>
          <cell r="BQ176">
            <v>0</v>
          </cell>
          <cell r="BR176">
            <v>0</v>
          </cell>
          <cell r="BS176">
            <v>0</v>
          </cell>
          <cell r="BT176">
            <v>42476413</v>
          </cell>
          <cell r="BU176">
            <v>-2027323</v>
          </cell>
          <cell r="BV176">
            <v>7610339</v>
          </cell>
          <cell r="BW176">
            <v>-2458663</v>
          </cell>
          <cell r="BX176">
            <v>-1712826</v>
          </cell>
          <cell r="BY176">
            <v>-1609410</v>
          </cell>
          <cell r="BZ176">
            <v>34388786</v>
          </cell>
          <cell r="CA176">
            <v>-856414</v>
          </cell>
          <cell r="CB176">
            <v>-839284</v>
          </cell>
          <cell r="CC176">
            <v>0</v>
          </cell>
          <cell r="CD176">
            <v>-17128</v>
          </cell>
          <cell r="CE176">
            <v>-804705</v>
          </cell>
          <cell r="CF176">
            <v>-788611</v>
          </cell>
          <cell r="CG176">
            <v>0</v>
          </cell>
          <cell r="CH176">
            <v>-16094</v>
          </cell>
        </row>
        <row r="177">
          <cell r="A177">
            <v>170</v>
          </cell>
          <cell r="B177" t="str">
            <v>Milton Keynes</v>
          </cell>
          <cell r="C177" t="str">
            <v>E0401</v>
          </cell>
          <cell r="D177">
            <v>389838</v>
          </cell>
          <cell r="H177">
            <v>-911000</v>
          </cell>
          <cell r="I177">
            <v>0</v>
          </cell>
          <cell r="J177">
            <v>389838</v>
          </cell>
          <cell r="K177">
            <v>0</v>
          </cell>
          <cell r="L177">
            <v>158400</v>
          </cell>
          <cell r="M177">
            <v>0</v>
          </cell>
          <cell r="N177">
            <v>0</v>
          </cell>
          <cell r="O177">
            <v>0</v>
          </cell>
          <cell r="P177">
            <v>0</v>
          </cell>
          <cell r="Q177">
            <v>0</v>
          </cell>
          <cell r="R177">
            <v>1027211</v>
          </cell>
          <cell r="S177">
            <v>0</v>
          </cell>
          <cell r="T177">
            <v>20963</v>
          </cell>
          <cell r="U177">
            <v>0</v>
          </cell>
          <cell r="V177">
            <v>0</v>
          </cell>
          <cell r="W177">
            <v>0</v>
          </cell>
          <cell r="X177">
            <v>0</v>
          </cell>
          <cell r="Y177">
            <v>0</v>
          </cell>
          <cell r="Z177">
            <v>0</v>
          </cell>
          <cell r="AA177">
            <v>15593</v>
          </cell>
          <cell r="AB177">
            <v>0</v>
          </cell>
          <cell r="AC177">
            <v>318</v>
          </cell>
          <cell r="AD177">
            <v>0</v>
          </cell>
          <cell r="AE177">
            <v>0</v>
          </cell>
          <cell r="AF177">
            <v>0</v>
          </cell>
          <cell r="AG177">
            <v>0</v>
          </cell>
          <cell r="AH177">
            <v>0</v>
          </cell>
          <cell r="AI177">
            <v>0</v>
          </cell>
          <cell r="AM177">
            <v>0</v>
          </cell>
          <cell r="AN177">
            <v>0</v>
          </cell>
          <cell r="AO177">
            <v>0</v>
          </cell>
          <cell r="AP177">
            <v>1154645</v>
          </cell>
          <cell r="AQ177">
            <v>0</v>
          </cell>
          <cell r="AR177">
            <v>23516</v>
          </cell>
          <cell r="AS177">
            <v>-850000</v>
          </cell>
          <cell r="AT177">
            <v>-833000</v>
          </cell>
          <cell r="AU177">
            <v>0</v>
          </cell>
          <cell r="AV177">
            <v>-17000</v>
          </cell>
          <cell r="AW177">
            <v>-1700000</v>
          </cell>
          <cell r="AX177">
            <v>-18532237</v>
          </cell>
          <cell r="AY177">
            <v>-18161592</v>
          </cell>
          <cell r="AZ177">
            <v>0</v>
          </cell>
          <cell r="BA177">
            <v>-370644</v>
          </cell>
          <cell r="BB177">
            <v>-37064473</v>
          </cell>
          <cell r="BC177">
            <v>159722301</v>
          </cell>
          <cell r="BD177">
            <v>-3900330</v>
          </cell>
          <cell r="BE177">
            <v>4523344</v>
          </cell>
          <cell r="BF177">
            <v>0</v>
          </cell>
          <cell r="BG177">
            <v>-8849998</v>
          </cell>
          <cell r="BH177">
            <v>-55912</v>
          </cell>
          <cell r="BI177">
            <v>-13287</v>
          </cell>
          <cell r="BJ177">
            <v>-639</v>
          </cell>
          <cell r="BK177">
            <v>-6031822</v>
          </cell>
          <cell r="BL177">
            <v>-499045</v>
          </cell>
          <cell r="BM177">
            <v>0</v>
          </cell>
          <cell r="BN177">
            <v>-11183</v>
          </cell>
          <cell r="BO177">
            <v>0</v>
          </cell>
          <cell r="BP177">
            <v>0</v>
          </cell>
          <cell r="BQ177">
            <v>-38145</v>
          </cell>
          <cell r="BR177">
            <v>0</v>
          </cell>
          <cell r="BS177">
            <v>0</v>
          </cell>
          <cell r="BT177">
            <v>162417726</v>
          </cell>
          <cell r="BU177">
            <v>-692010</v>
          </cell>
          <cell r="BV177">
            <v>3803113</v>
          </cell>
          <cell r="BW177">
            <v>-3555232</v>
          </cell>
          <cell r="BX177">
            <v>-2038710</v>
          </cell>
          <cell r="BY177">
            <v>-2758629</v>
          </cell>
          <cell r="BZ177">
            <v>156546839</v>
          </cell>
          <cell r="CA177">
            <v>-1019355</v>
          </cell>
          <cell r="CB177">
            <v>-998968</v>
          </cell>
          <cell r="CC177">
            <v>0</v>
          </cell>
          <cell r="CD177">
            <v>-20387</v>
          </cell>
          <cell r="CE177">
            <v>-1379315</v>
          </cell>
          <cell r="CF177">
            <v>-1351728</v>
          </cell>
          <cell r="CG177">
            <v>0</v>
          </cell>
          <cell r="CH177">
            <v>-27586</v>
          </cell>
        </row>
        <row r="178">
          <cell r="A178">
            <v>171</v>
          </cell>
          <cell r="B178" t="str">
            <v>Mole Valley</v>
          </cell>
          <cell r="C178" t="str">
            <v>E3634</v>
          </cell>
          <cell r="D178">
            <v>154884</v>
          </cell>
          <cell r="H178">
            <v>2715069</v>
          </cell>
          <cell r="I178">
            <v>0</v>
          </cell>
          <cell r="J178">
            <v>154884</v>
          </cell>
          <cell r="K178">
            <v>0</v>
          </cell>
          <cell r="L178">
            <v>0</v>
          </cell>
          <cell r="M178">
            <v>0</v>
          </cell>
          <cell r="N178">
            <v>0</v>
          </cell>
          <cell r="O178">
            <v>0</v>
          </cell>
          <cell r="P178">
            <v>0</v>
          </cell>
          <cell r="Q178">
            <v>0</v>
          </cell>
          <cell r="R178">
            <v>539127</v>
          </cell>
          <cell r="S178">
            <v>134782</v>
          </cell>
          <cell r="T178">
            <v>0</v>
          </cell>
          <cell r="U178">
            <v>9478</v>
          </cell>
          <cell r="V178">
            <v>2369</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M178">
            <v>0</v>
          </cell>
          <cell r="AN178">
            <v>0</v>
          </cell>
          <cell r="AO178">
            <v>0</v>
          </cell>
          <cell r="AP178">
            <v>273677</v>
          </cell>
          <cell r="AQ178">
            <v>68419</v>
          </cell>
          <cell r="AR178">
            <v>0</v>
          </cell>
          <cell r="AS178">
            <v>-295000</v>
          </cell>
          <cell r="AT178">
            <v>-236000</v>
          </cell>
          <cell r="AU178">
            <v>-59000</v>
          </cell>
          <cell r="AV178">
            <v>0</v>
          </cell>
          <cell r="AW178">
            <v>-590000</v>
          </cell>
          <cell r="AX178">
            <v>-1934182</v>
          </cell>
          <cell r="AY178">
            <v>-1547345</v>
          </cell>
          <cell r="AZ178">
            <v>-386835</v>
          </cell>
          <cell r="BA178">
            <v>0</v>
          </cell>
          <cell r="BB178">
            <v>-3868362</v>
          </cell>
          <cell r="BC178">
            <v>35000384</v>
          </cell>
          <cell r="BD178">
            <v>-1987755</v>
          </cell>
          <cell r="BE178">
            <v>991038</v>
          </cell>
          <cell r="BF178">
            <v>0</v>
          </cell>
          <cell r="BG178">
            <v>-2260755</v>
          </cell>
          <cell r="BH178">
            <v>-43148</v>
          </cell>
          <cell r="BI178">
            <v>-7778</v>
          </cell>
          <cell r="BJ178">
            <v>-67673</v>
          </cell>
          <cell r="BK178">
            <v>-930488</v>
          </cell>
          <cell r="BL178">
            <v>-23904</v>
          </cell>
          <cell r="BM178">
            <v>-10479</v>
          </cell>
          <cell r="BN178">
            <v>-2405</v>
          </cell>
          <cell r="BO178">
            <v>-7778</v>
          </cell>
          <cell r="BP178">
            <v>-28200</v>
          </cell>
          <cell r="BQ178">
            <v>0</v>
          </cell>
          <cell r="BR178">
            <v>0</v>
          </cell>
          <cell r="BS178">
            <v>0</v>
          </cell>
          <cell r="BT178">
            <v>38034734</v>
          </cell>
          <cell r="BU178">
            <v>-81850</v>
          </cell>
          <cell r="BV178">
            <v>1342633</v>
          </cell>
          <cell r="BW178">
            <v>-881488</v>
          </cell>
          <cell r="BX178">
            <v>-2207340</v>
          </cell>
          <cell r="BY178">
            <v>-388801</v>
          </cell>
          <cell r="BZ178">
            <v>45547662</v>
          </cell>
          <cell r="CA178">
            <v>-1103669</v>
          </cell>
          <cell r="CB178">
            <v>-882936</v>
          </cell>
          <cell r="CC178">
            <v>-220735</v>
          </cell>
          <cell r="CD178">
            <v>0</v>
          </cell>
          <cell r="CE178">
            <v>-194401</v>
          </cell>
          <cell r="CF178">
            <v>-155520</v>
          </cell>
          <cell r="CG178">
            <v>-38880</v>
          </cell>
          <cell r="CH178">
            <v>0</v>
          </cell>
        </row>
        <row r="179">
          <cell r="A179">
            <v>172</v>
          </cell>
          <cell r="B179" t="str">
            <v>New Forest</v>
          </cell>
          <cell r="C179" t="str">
            <v>E1738</v>
          </cell>
          <cell r="D179">
            <v>278159</v>
          </cell>
          <cell r="H179">
            <v>929963</v>
          </cell>
          <cell r="I179">
            <v>0</v>
          </cell>
          <cell r="J179">
            <v>278159</v>
          </cell>
          <cell r="K179">
            <v>0</v>
          </cell>
          <cell r="L179">
            <v>19990</v>
          </cell>
          <cell r="M179">
            <v>0</v>
          </cell>
          <cell r="N179">
            <v>0</v>
          </cell>
          <cell r="O179">
            <v>0</v>
          </cell>
          <cell r="P179">
            <v>0</v>
          </cell>
          <cell r="Q179">
            <v>0</v>
          </cell>
          <cell r="R179">
            <v>1272559</v>
          </cell>
          <cell r="S179">
            <v>286326</v>
          </cell>
          <cell r="T179">
            <v>31814</v>
          </cell>
          <cell r="U179">
            <v>4059</v>
          </cell>
          <cell r="V179">
            <v>914</v>
          </cell>
          <cell r="W179">
            <v>102</v>
          </cell>
          <cell r="X179">
            <v>3998</v>
          </cell>
          <cell r="Y179">
            <v>900</v>
          </cell>
          <cell r="Z179">
            <v>100</v>
          </cell>
          <cell r="AA179">
            <v>2030</v>
          </cell>
          <cell r="AB179">
            <v>457</v>
          </cell>
          <cell r="AC179">
            <v>51</v>
          </cell>
          <cell r="AD179">
            <v>0</v>
          </cell>
          <cell r="AE179">
            <v>0</v>
          </cell>
          <cell r="AF179">
            <v>0</v>
          </cell>
          <cell r="AG179">
            <v>0</v>
          </cell>
          <cell r="AH179">
            <v>0</v>
          </cell>
          <cell r="AI179">
            <v>0</v>
          </cell>
          <cell r="AM179">
            <v>0</v>
          </cell>
          <cell r="AN179">
            <v>0</v>
          </cell>
          <cell r="AO179">
            <v>0</v>
          </cell>
          <cell r="AP179">
            <v>384834</v>
          </cell>
          <cell r="AQ179">
            <v>86520</v>
          </cell>
          <cell r="AR179">
            <v>9613</v>
          </cell>
          <cell r="AS179">
            <v>-223378</v>
          </cell>
          <cell r="AT179">
            <v>-178704</v>
          </cell>
          <cell r="AU179">
            <v>-40209</v>
          </cell>
          <cell r="AV179">
            <v>-4469</v>
          </cell>
          <cell r="AW179">
            <v>-446760</v>
          </cell>
          <cell r="AX179">
            <v>-2982499</v>
          </cell>
          <cell r="AY179">
            <v>-2386000</v>
          </cell>
          <cell r="AZ179">
            <v>-536850</v>
          </cell>
          <cell r="BA179">
            <v>-59651</v>
          </cell>
          <cell r="BB179">
            <v>-5965000</v>
          </cell>
          <cell r="BC179">
            <v>66990813</v>
          </cell>
          <cell r="BD179">
            <v>-4573916</v>
          </cell>
          <cell r="BE179">
            <v>1680177</v>
          </cell>
          <cell r="BF179">
            <v>0</v>
          </cell>
          <cell r="BG179">
            <v>-3304864</v>
          </cell>
          <cell r="BH179">
            <v>-82744</v>
          </cell>
          <cell r="BI179">
            <v>-16802</v>
          </cell>
          <cell r="BJ179">
            <v>-4569</v>
          </cell>
          <cell r="BK179">
            <v>-1261429</v>
          </cell>
          <cell r="BL179">
            <v>-102223</v>
          </cell>
          <cell r="BM179">
            <v>-36579</v>
          </cell>
          <cell r="BN179">
            <v>0</v>
          </cell>
          <cell r="BO179">
            <v>-9679</v>
          </cell>
          <cell r="BP179">
            <v>-5445</v>
          </cell>
          <cell r="BQ179">
            <v>0</v>
          </cell>
          <cell r="BR179">
            <v>0</v>
          </cell>
          <cell r="BS179">
            <v>0</v>
          </cell>
          <cell r="BT179">
            <v>61606063</v>
          </cell>
          <cell r="BU179">
            <v>-227881</v>
          </cell>
          <cell r="BV179">
            <v>1220382</v>
          </cell>
          <cell r="BW179">
            <v>-2633975</v>
          </cell>
          <cell r="BX179">
            <v>932865</v>
          </cell>
          <cell r="BY179">
            <v>-864131</v>
          </cell>
          <cell r="BZ179">
            <v>63997386</v>
          </cell>
          <cell r="CA179">
            <v>466432</v>
          </cell>
          <cell r="CB179">
            <v>373146</v>
          </cell>
          <cell r="CC179">
            <v>83958</v>
          </cell>
          <cell r="CD179">
            <v>9329</v>
          </cell>
          <cell r="CE179">
            <v>-432066</v>
          </cell>
          <cell r="CF179">
            <v>-345652</v>
          </cell>
          <cell r="CG179">
            <v>-77772</v>
          </cell>
          <cell r="CH179">
            <v>-8641</v>
          </cell>
        </row>
        <row r="180">
          <cell r="A180">
            <v>173</v>
          </cell>
          <cell r="B180" t="str">
            <v>Newark and Sherwood</v>
          </cell>
          <cell r="C180" t="str">
            <v>E3036</v>
          </cell>
          <cell r="D180">
            <v>164307</v>
          </cell>
          <cell r="H180">
            <v>1241756</v>
          </cell>
          <cell r="I180">
            <v>0</v>
          </cell>
          <cell r="J180">
            <v>164307</v>
          </cell>
          <cell r="K180">
            <v>0</v>
          </cell>
          <cell r="L180">
            <v>170000</v>
          </cell>
          <cell r="M180">
            <v>0</v>
          </cell>
          <cell r="N180">
            <v>0</v>
          </cell>
          <cell r="O180">
            <v>0</v>
          </cell>
          <cell r="P180">
            <v>0</v>
          </cell>
          <cell r="Q180">
            <v>0</v>
          </cell>
          <cell r="R180">
            <v>678455</v>
          </cell>
          <cell r="S180">
            <v>152653</v>
          </cell>
          <cell r="T180">
            <v>16961</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M180">
            <v>0</v>
          </cell>
          <cell r="AN180">
            <v>0</v>
          </cell>
          <cell r="AO180">
            <v>0</v>
          </cell>
          <cell r="AP180">
            <v>255082</v>
          </cell>
          <cell r="AQ180">
            <v>56819</v>
          </cell>
          <cell r="AR180">
            <v>6313</v>
          </cell>
          <cell r="AS180">
            <v>-188313</v>
          </cell>
          <cell r="AT180">
            <v>-150651</v>
          </cell>
          <cell r="AU180">
            <v>-33896</v>
          </cell>
          <cell r="AV180">
            <v>-3767</v>
          </cell>
          <cell r="AW180">
            <v>-376627</v>
          </cell>
          <cell r="AX180">
            <v>-4481292</v>
          </cell>
          <cell r="AY180">
            <v>-3585033</v>
          </cell>
          <cell r="AZ180">
            <v>-806632</v>
          </cell>
          <cell r="BA180">
            <v>-89626</v>
          </cell>
          <cell r="BB180">
            <v>-8962583</v>
          </cell>
          <cell r="BC180">
            <v>33616152</v>
          </cell>
          <cell r="BD180">
            <v>-2837654</v>
          </cell>
          <cell r="BE180">
            <v>1011467</v>
          </cell>
          <cell r="BF180">
            <v>0</v>
          </cell>
          <cell r="BG180">
            <v>-1651205</v>
          </cell>
          <cell r="BH180">
            <v>-80892</v>
          </cell>
          <cell r="BI180">
            <v>-28977</v>
          </cell>
          <cell r="BJ180">
            <v>0</v>
          </cell>
          <cell r="BK180">
            <v>-991175</v>
          </cell>
          <cell r="BL180">
            <v>-24940</v>
          </cell>
          <cell r="BM180">
            <v>-164476</v>
          </cell>
          <cell r="BN180">
            <v>0</v>
          </cell>
          <cell r="BO180">
            <v>-4358</v>
          </cell>
          <cell r="BP180">
            <v>0</v>
          </cell>
          <cell r="BQ180">
            <v>0</v>
          </cell>
          <cell r="BR180">
            <v>0</v>
          </cell>
          <cell r="BS180">
            <v>0</v>
          </cell>
          <cell r="BT180">
            <v>39575421</v>
          </cell>
          <cell r="BU180">
            <v>-128648</v>
          </cell>
          <cell r="BV180">
            <v>1131160</v>
          </cell>
          <cell r="BW180">
            <v>-241093</v>
          </cell>
          <cell r="BX180">
            <v>-4403505</v>
          </cell>
          <cell r="BY180">
            <v>-4392469</v>
          </cell>
          <cell r="BZ180">
            <v>42027947</v>
          </cell>
          <cell r="CA180">
            <v>-2201753</v>
          </cell>
          <cell r="CB180">
            <v>-1761401</v>
          </cell>
          <cell r="CC180">
            <v>-396316</v>
          </cell>
          <cell r="CD180">
            <v>-44035</v>
          </cell>
          <cell r="CE180">
            <v>-2196234</v>
          </cell>
          <cell r="CF180">
            <v>-1756988</v>
          </cell>
          <cell r="CG180">
            <v>-395322</v>
          </cell>
          <cell r="CH180">
            <v>-43925</v>
          </cell>
        </row>
        <row r="181">
          <cell r="A181">
            <v>174</v>
          </cell>
          <cell r="B181" t="str">
            <v>Newcastle-upon-Tyne</v>
          </cell>
          <cell r="C181" t="str">
            <v>E4502</v>
          </cell>
          <cell r="D181">
            <v>463069</v>
          </cell>
          <cell r="H181">
            <v>-10833651</v>
          </cell>
          <cell r="I181">
            <v>-1040725</v>
          </cell>
          <cell r="J181">
            <v>463069</v>
          </cell>
          <cell r="K181">
            <v>603613</v>
          </cell>
          <cell r="L181">
            <v>0</v>
          </cell>
          <cell r="M181">
            <v>0</v>
          </cell>
          <cell r="N181">
            <v>0</v>
          </cell>
          <cell r="O181">
            <v>0</v>
          </cell>
          <cell r="P181">
            <v>0</v>
          </cell>
          <cell r="Q181">
            <v>0</v>
          </cell>
          <cell r="R181">
            <v>2006611</v>
          </cell>
          <cell r="S181">
            <v>0</v>
          </cell>
          <cell r="T181">
            <v>40564</v>
          </cell>
          <cell r="U181">
            <v>12452</v>
          </cell>
          <cell r="V181">
            <v>0</v>
          </cell>
          <cell r="W181">
            <v>254</v>
          </cell>
          <cell r="X181">
            <v>0</v>
          </cell>
          <cell r="Y181">
            <v>0</v>
          </cell>
          <cell r="Z181">
            <v>0</v>
          </cell>
          <cell r="AA181">
            <v>47250</v>
          </cell>
          <cell r="AB181">
            <v>0</v>
          </cell>
          <cell r="AC181">
            <v>964</v>
          </cell>
          <cell r="AD181">
            <v>0</v>
          </cell>
          <cell r="AE181">
            <v>0</v>
          </cell>
          <cell r="AF181">
            <v>0</v>
          </cell>
          <cell r="AG181">
            <v>0</v>
          </cell>
          <cell r="AH181">
            <v>0</v>
          </cell>
          <cell r="AI181">
            <v>0</v>
          </cell>
          <cell r="AM181">
            <v>0</v>
          </cell>
          <cell r="AN181">
            <v>0</v>
          </cell>
          <cell r="AO181">
            <v>0</v>
          </cell>
          <cell r="AP181">
            <v>1014118</v>
          </cell>
          <cell r="AQ181">
            <v>0</v>
          </cell>
          <cell r="AR181">
            <v>20511</v>
          </cell>
          <cell r="AS181">
            <v>-1651394.23</v>
          </cell>
          <cell r="AT181">
            <v>-1618368</v>
          </cell>
          <cell r="AU181">
            <v>0</v>
          </cell>
          <cell r="AV181">
            <v>-33028</v>
          </cell>
          <cell r="AW181">
            <v>-3302790.23</v>
          </cell>
          <cell r="AX181">
            <v>-9031372</v>
          </cell>
          <cell r="AY181">
            <v>-8850744</v>
          </cell>
          <cell r="AZ181">
            <v>0</v>
          </cell>
          <cell r="BA181">
            <v>-180627</v>
          </cell>
          <cell r="BB181">
            <v>-18062743</v>
          </cell>
          <cell r="BC181">
            <v>144566419</v>
          </cell>
          <cell r="BD181">
            <v>-5432047</v>
          </cell>
          <cell r="BE181">
            <v>4526371</v>
          </cell>
          <cell r="BF181">
            <v>0</v>
          </cell>
          <cell r="BG181">
            <v>-15552560</v>
          </cell>
          <cell r="BH181">
            <v>-133057</v>
          </cell>
          <cell r="BI181">
            <v>-1566</v>
          </cell>
          <cell r="BJ181">
            <v>-203454</v>
          </cell>
          <cell r="BK181">
            <v>-8991146</v>
          </cell>
          <cell r="BL181">
            <v>-203479</v>
          </cell>
          <cell r="BM181">
            <v>-394630</v>
          </cell>
          <cell r="BN181">
            <v>-21560</v>
          </cell>
          <cell r="BO181">
            <v>0</v>
          </cell>
          <cell r="BP181">
            <v>0</v>
          </cell>
          <cell r="BQ181">
            <v>0</v>
          </cell>
          <cell r="BR181">
            <v>0</v>
          </cell>
          <cell r="BS181">
            <v>0</v>
          </cell>
          <cell r="BT181">
            <v>148573132</v>
          </cell>
          <cell r="BU181">
            <v>-2902559</v>
          </cell>
          <cell r="BV181">
            <v>8248622</v>
          </cell>
          <cell r="BW181">
            <v>-6632442</v>
          </cell>
          <cell r="BX181">
            <v>-17795000</v>
          </cell>
          <cell r="BY181">
            <v>-15976233</v>
          </cell>
          <cell r="BZ181">
            <v>136546237</v>
          </cell>
          <cell r="CA181">
            <v>-8897500</v>
          </cell>
          <cell r="CB181">
            <v>-8719550</v>
          </cell>
          <cell r="CC181">
            <v>0</v>
          </cell>
          <cell r="CD181">
            <v>-177950</v>
          </cell>
          <cell r="CE181">
            <v>-7988117</v>
          </cell>
          <cell r="CF181">
            <v>-7828354</v>
          </cell>
          <cell r="CG181">
            <v>0</v>
          </cell>
          <cell r="CH181">
            <v>-159762</v>
          </cell>
        </row>
        <row r="182">
          <cell r="A182">
            <v>175</v>
          </cell>
          <cell r="B182" t="str">
            <v>Newcastle-under-Lyme</v>
          </cell>
          <cell r="C182" t="str">
            <v>E3434</v>
          </cell>
          <cell r="D182">
            <v>137513</v>
          </cell>
          <cell r="H182">
            <v>-561947</v>
          </cell>
          <cell r="I182">
            <v>0</v>
          </cell>
          <cell r="J182">
            <v>137513</v>
          </cell>
          <cell r="K182">
            <v>0</v>
          </cell>
          <cell r="L182">
            <v>0</v>
          </cell>
          <cell r="M182">
            <v>0</v>
          </cell>
          <cell r="N182">
            <v>0</v>
          </cell>
          <cell r="O182">
            <v>0</v>
          </cell>
          <cell r="P182">
            <v>0</v>
          </cell>
          <cell r="Q182">
            <v>0</v>
          </cell>
          <cell r="R182">
            <v>595923</v>
          </cell>
          <cell r="S182">
            <v>134083</v>
          </cell>
          <cell r="T182">
            <v>14898</v>
          </cell>
          <cell r="U182">
            <v>0</v>
          </cell>
          <cell r="V182">
            <v>0</v>
          </cell>
          <cell r="W182">
            <v>0</v>
          </cell>
          <cell r="X182">
            <v>0</v>
          </cell>
          <cell r="Y182">
            <v>0</v>
          </cell>
          <cell r="Z182">
            <v>0</v>
          </cell>
          <cell r="AA182">
            <v>28569</v>
          </cell>
          <cell r="AB182">
            <v>6428</v>
          </cell>
          <cell r="AC182">
            <v>714</v>
          </cell>
          <cell r="AD182">
            <v>0</v>
          </cell>
          <cell r="AE182">
            <v>0</v>
          </cell>
          <cell r="AF182">
            <v>0</v>
          </cell>
          <cell r="AG182">
            <v>0</v>
          </cell>
          <cell r="AH182">
            <v>0</v>
          </cell>
          <cell r="AI182">
            <v>0</v>
          </cell>
          <cell r="AM182">
            <v>0</v>
          </cell>
          <cell r="AN182">
            <v>0</v>
          </cell>
          <cell r="AO182">
            <v>0</v>
          </cell>
          <cell r="AP182">
            <v>194467</v>
          </cell>
          <cell r="AQ182">
            <v>43755</v>
          </cell>
          <cell r="AR182">
            <v>4862</v>
          </cell>
          <cell r="AS182">
            <v>-383544.5</v>
          </cell>
          <cell r="AT182">
            <v>-306835.59999999998</v>
          </cell>
          <cell r="AU182">
            <v>-69038.210000000006</v>
          </cell>
          <cell r="AV182">
            <v>-7671.6900000000005</v>
          </cell>
          <cell r="AW182">
            <v>-767090</v>
          </cell>
          <cell r="AX182">
            <v>-906069</v>
          </cell>
          <cell r="AY182">
            <v>-724855</v>
          </cell>
          <cell r="AZ182">
            <v>-163092</v>
          </cell>
          <cell r="BA182">
            <v>-18121</v>
          </cell>
          <cell r="BB182">
            <v>-1812137</v>
          </cell>
          <cell r="BC182">
            <v>33837009</v>
          </cell>
          <cell r="BD182">
            <v>-2362271</v>
          </cell>
          <cell r="BE182">
            <v>939001</v>
          </cell>
          <cell r="BF182">
            <v>0</v>
          </cell>
          <cell r="BG182">
            <v>-2962832</v>
          </cell>
          <cell r="BH182">
            <v>-15188</v>
          </cell>
          <cell r="BI182">
            <v>-13015</v>
          </cell>
          <cell r="BJ182">
            <v>-387117</v>
          </cell>
          <cell r="BK182">
            <v>-1154392</v>
          </cell>
          <cell r="BL182">
            <v>-14928</v>
          </cell>
          <cell r="BM182">
            <v>-85264</v>
          </cell>
          <cell r="BN182">
            <v>0</v>
          </cell>
          <cell r="BO182">
            <v>0</v>
          </cell>
          <cell r="BP182">
            <v>0</v>
          </cell>
          <cell r="BQ182">
            <v>0</v>
          </cell>
          <cell r="BR182">
            <v>0</v>
          </cell>
          <cell r="BS182">
            <v>0</v>
          </cell>
          <cell r="BT182">
            <v>34678369</v>
          </cell>
          <cell r="BU182">
            <v>-555223</v>
          </cell>
          <cell r="BV182">
            <v>1931465</v>
          </cell>
          <cell r="BW182">
            <v>-431133</v>
          </cell>
          <cell r="BX182">
            <v>-131455</v>
          </cell>
          <cell r="BY182">
            <v>48635</v>
          </cell>
          <cell r="BZ182">
            <v>32364871</v>
          </cell>
          <cell r="CA182">
            <v>-65729</v>
          </cell>
          <cell r="CB182">
            <v>-52581</v>
          </cell>
          <cell r="CC182">
            <v>-11831</v>
          </cell>
          <cell r="CD182">
            <v>-1314</v>
          </cell>
          <cell r="CE182">
            <v>24318</v>
          </cell>
          <cell r="CF182">
            <v>19454</v>
          </cell>
          <cell r="CG182">
            <v>4377</v>
          </cell>
          <cell r="CH182">
            <v>486</v>
          </cell>
        </row>
        <row r="183">
          <cell r="A183">
            <v>176</v>
          </cell>
          <cell r="B183" t="str">
            <v>Newham</v>
          </cell>
          <cell r="C183" t="str">
            <v>E5045</v>
          </cell>
          <cell r="D183">
            <v>381427</v>
          </cell>
          <cell r="H183">
            <v>6073151</v>
          </cell>
          <cell r="I183">
            <v>-27646</v>
          </cell>
          <cell r="J183">
            <v>381427</v>
          </cell>
          <cell r="K183">
            <v>367341</v>
          </cell>
          <cell r="L183">
            <v>0</v>
          </cell>
          <cell r="M183">
            <v>0</v>
          </cell>
          <cell r="N183">
            <v>76405</v>
          </cell>
          <cell r="O183">
            <v>76405</v>
          </cell>
          <cell r="P183">
            <v>0</v>
          </cell>
          <cell r="Q183">
            <v>0</v>
          </cell>
          <cell r="R183">
            <v>1102332</v>
          </cell>
          <cell r="S183">
            <v>1354914</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M183">
            <v>0</v>
          </cell>
          <cell r="AN183">
            <v>0</v>
          </cell>
          <cell r="AO183">
            <v>0</v>
          </cell>
          <cell r="AP183">
            <v>670839</v>
          </cell>
          <cell r="AQ183">
            <v>819147</v>
          </cell>
          <cell r="AR183">
            <v>0</v>
          </cell>
          <cell r="AS183">
            <v>-1375495.5599999998</v>
          </cell>
          <cell r="AT183">
            <v>-825297</v>
          </cell>
          <cell r="AU183">
            <v>-550197</v>
          </cell>
          <cell r="AV183">
            <v>0</v>
          </cell>
          <cell r="AW183">
            <v>-2750989.5599999996</v>
          </cell>
          <cell r="AX183">
            <v>-2544319</v>
          </cell>
          <cell r="AY183">
            <v>-1526589</v>
          </cell>
          <cell r="AZ183">
            <v>-1017726</v>
          </cell>
          <cell r="BA183">
            <v>0</v>
          </cell>
          <cell r="BB183">
            <v>-5088634</v>
          </cell>
          <cell r="BC183">
            <v>129914032</v>
          </cell>
          <cell r="BD183">
            <v>-5203257</v>
          </cell>
          <cell r="BE183">
            <v>3558837</v>
          </cell>
          <cell r="BF183">
            <v>0</v>
          </cell>
          <cell r="BG183">
            <v>-10926113</v>
          </cell>
          <cell r="BH183">
            <v>0</v>
          </cell>
          <cell r="BI183">
            <v>0</v>
          </cell>
          <cell r="BJ183">
            <v>-178995</v>
          </cell>
          <cell r="BK183">
            <v>-5130468</v>
          </cell>
          <cell r="BL183">
            <v>0</v>
          </cell>
          <cell r="BM183">
            <v>0</v>
          </cell>
          <cell r="BN183">
            <v>0</v>
          </cell>
          <cell r="BO183">
            <v>0</v>
          </cell>
          <cell r="BP183">
            <v>0</v>
          </cell>
          <cell r="BQ183">
            <v>-280015</v>
          </cell>
          <cell r="BR183">
            <v>-775141</v>
          </cell>
          <cell r="BS183">
            <v>0</v>
          </cell>
          <cell r="BT183">
            <v>126352679</v>
          </cell>
          <cell r="BU183">
            <v>-32500</v>
          </cell>
          <cell r="BV183">
            <v>4414837</v>
          </cell>
          <cell r="BW183">
            <v>-13362145</v>
          </cell>
          <cell r="BX183">
            <v>-5467514</v>
          </cell>
          <cell r="BY183">
            <v>-8563125</v>
          </cell>
          <cell r="BZ183">
            <v>147383130</v>
          </cell>
          <cell r="CA183">
            <v>-2733757</v>
          </cell>
          <cell r="CB183">
            <v>-1640254</v>
          </cell>
          <cell r="CC183">
            <v>-1093503</v>
          </cell>
          <cell r="CD183">
            <v>0</v>
          </cell>
          <cell r="CE183">
            <v>-4281562</v>
          </cell>
          <cell r="CF183">
            <v>-2568938</v>
          </cell>
          <cell r="CG183">
            <v>-1712625</v>
          </cell>
          <cell r="CH183">
            <v>0</v>
          </cell>
        </row>
        <row r="184">
          <cell r="A184">
            <v>177</v>
          </cell>
          <cell r="B184" t="str">
            <v>North Devon</v>
          </cell>
          <cell r="C184" t="str">
            <v>E1134</v>
          </cell>
          <cell r="D184">
            <v>201008</v>
          </cell>
          <cell r="H184">
            <v>-1118949</v>
          </cell>
          <cell r="I184">
            <v>0</v>
          </cell>
          <cell r="J184">
            <v>201008</v>
          </cell>
          <cell r="K184">
            <v>0</v>
          </cell>
          <cell r="L184">
            <v>311000</v>
          </cell>
          <cell r="M184">
            <v>0</v>
          </cell>
          <cell r="N184">
            <v>0</v>
          </cell>
          <cell r="O184">
            <v>0</v>
          </cell>
          <cell r="P184">
            <v>0</v>
          </cell>
          <cell r="Q184">
            <v>0</v>
          </cell>
          <cell r="R184">
            <v>1175221</v>
          </cell>
          <cell r="S184">
            <v>264425</v>
          </cell>
          <cell r="T184">
            <v>29381</v>
          </cell>
          <cell r="U184">
            <v>2075</v>
          </cell>
          <cell r="V184">
            <v>467</v>
          </cell>
          <cell r="W184">
            <v>52</v>
          </cell>
          <cell r="X184">
            <v>0</v>
          </cell>
          <cell r="Y184">
            <v>0</v>
          </cell>
          <cell r="Z184">
            <v>0</v>
          </cell>
          <cell r="AA184">
            <v>670</v>
          </cell>
          <cell r="AB184">
            <v>151</v>
          </cell>
          <cell r="AC184">
            <v>17</v>
          </cell>
          <cell r="AD184">
            <v>0</v>
          </cell>
          <cell r="AE184">
            <v>0</v>
          </cell>
          <cell r="AF184">
            <v>0</v>
          </cell>
          <cell r="AG184">
            <v>0</v>
          </cell>
          <cell r="AH184">
            <v>0</v>
          </cell>
          <cell r="AI184">
            <v>0</v>
          </cell>
          <cell r="AM184">
            <v>0</v>
          </cell>
          <cell r="AN184">
            <v>0</v>
          </cell>
          <cell r="AO184">
            <v>0</v>
          </cell>
          <cell r="AP184">
            <v>191025</v>
          </cell>
          <cell r="AQ184">
            <v>41930</v>
          </cell>
          <cell r="AR184">
            <v>4659</v>
          </cell>
          <cell r="AS184">
            <v>-423186</v>
          </cell>
          <cell r="AT184">
            <v>-338550</v>
          </cell>
          <cell r="AU184">
            <v>-76173</v>
          </cell>
          <cell r="AV184">
            <v>-8464</v>
          </cell>
          <cell r="AW184">
            <v>-846373</v>
          </cell>
          <cell r="AX184">
            <v>-504527</v>
          </cell>
          <cell r="AY184">
            <v>-403623</v>
          </cell>
          <cell r="AZ184">
            <v>-90816</v>
          </cell>
          <cell r="BA184">
            <v>-10090</v>
          </cell>
          <cell r="BB184">
            <v>-1009056</v>
          </cell>
          <cell r="BC184">
            <v>31732787</v>
          </cell>
          <cell r="BD184">
            <v>-4876855</v>
          </cell>
          <cell r="BE184">
            <v>836168</v>
          </cell>
          <cell r="BF184">
            <v>0</v>
          </cell>
          <cell r="BG184">
            <v>-2428544</v>
          </cell>
          <cell r="BH184">
            <v>-119560</v>
          </cell>
          <cell r="BI184">
            <v>-38723</v>
          </cell>
          <cell r="BJ184">
            <v>-946</v>
          </cell>
          <cell r="BK184">
            <v>-819007</v>
          </cell>
          <cell r="BL184">
            <v>-117809</v>
          </cell>
          <cell r="BM184">
            <v>-171643</v>
          </cell>
          <cell r="BN184">
            <v>-8541</v>
          </cell>
          <cell r="BO184">
            <v>-13525</v>
          </cell>
          <cell r="BP184">
            <v>-13177</v>
          </cell>
          <cell r="BQ184">
            <v>0</v>
          </cell>
          <cell r="BR184">
            <v>0</v>
          </cell>
          <cell r="BS184">
            <v>0</v>
          </cell>
          <cell r="BT184">
            <v>32186783</v>
          </cell>
          <cell r="BU184">
            <v>-297743</v>
          </cell>
          <cell r="BV184">
            <v>1848626</v>
          </cell>
          <cell r="BW184">
            <v>-1005395</v>
          </cell>
          <cell r="BX184">
            <v>-2802331</v>
          </cell>
          <cell r="BY184">
            <v>-2598951</v>
          </cell>
          <cell r="BZ184">
            <v>31014582</v>
          </cell>
          <cell r="CA184">
            <v>-1401166</v>
          </cell>
          <cell r="CB184">
            <v>-1120932</v>
          </cell>
          <cell r="CC184">
            <v>-252210</v>
          </cell>
          <cell r="CD184">
            <v>-28023</v>
          </cell>
          <cell r="CE184">
            <v>-1299475</v>
          </cell>
          <cell r="CF184">
            <v>-1039580</v>
          </cell>
          <cell r="CG184">
            <v>-233906</v>
          </cell>
          <cell r="CH184">
            <v>-25990</v>
          </cell>
        </row>
        <row r="185">
          <cell r="A185">
            <v>178</v>
          </cell>
          <cell r="B185" t="str">
            <v>North Dorset</v>
          </cell>
          <cell r="C185" t="str">
            <v>E1234</v>
          </cell>
          <cell r="D185">
            <v>92680</v>
          </cell>
          <cell r="H185">
            <v>87854</v>
          </cell>
          <cell r="I185">
            <v>0</v>
          </cell>
          <cell r="J185">
            <v>92680</v>
          </cell>
          <cell r="K185">
            <v>0</v>
          </cell>
          <cell r="L185">
            <v>124121</v>
          </cell>
          <cell r="M185">
            <v>0</v>
          </cell>
          <cell r="N185">
            <v>0</v>
          </cell>
          <cell r="O185">
            <v>0</v>
          </cell>
          <cell r="P185">
            <v>0</v>
          </cell>
          <cell r="Q185">
            <v>0</v>
          </cell>
          <cell r="R185">
            <v>497071</v>
          </cell>
          <cell r="S185">
            <v>111841</v>
          </cell>
          <cell r="T185">
            <v>12427</v>
          </cell>
          <cell r="U185">
            <v>4545</v>
          </cell>
          <cell r="V185">
            <v>1023</v>
          </cell>
          <cell r="W185">
            <v>114</v>
          </cell>
          <cell r="X185">
            <v>0</v>
          </cell>
          <cell r="Y185">
            <v>0</v>
          </cell>
          <cell r="Z185">
            <v>0</v>
          </cell>
          <cell r="AA185">
            <v>6064</v>
          </cell>
          <cell r="AB185">
            <v>1365</v>
          </cell>
          <cell r="AC185">
            <v>152</v>
          </cell>
          <cell r="AD185">
            <v>0</v>
          </cell>
          <cell r="AE185">
            <v>0</v>
          </cell>
          <cell r="AF185">
            <v>0</v>
          </cell>
          <cell r="AG185">
            <v>0</v>
          </cell>
          <cell r="AH185">
            <v>0</v>
          </cell>
          <cell r="AI185">
            <v>0</v>
          </cell>
          <cell r="AM185">
            <v>0</v>
          </cell>
          <cell r="AN185">
            <v>0</v>
          </cell>
          <cell r="AO185">
            <v>0</v>
          </cell>
          <cell r="AP185">
            <v>75461</v>
          </cell>
          <cell r="AQ185">
            <v>16559</v>
          </cell>
          <cell r="AR185">
            <v>1840</v>
          </cell>
          <cell r="AS185">
            <v>-245998</v>
          </cell>
          <cell r="AT185">
            <v>-196800</v>
          </cell>
          <cell r="AU185">
            <v>-44281</v>
          </cell>
          <cell r="AV185">
            <v>-4921</v>
          </cell>
          <cell r="AW185">
            <v>-492000</v>
          </cell>
          <cell r="AX185">
            <v>-821816</v>
          </cell>
          <cell r="AY185">
            <v>-657453</v>
          </cell>
          <cell r="AZ185">
            <v>-147926</v>
          </cell>
          <cell r="BA185">
            <v>-16436</v>
          </cell>
          <cell r="BB185">
            <v>-1643631</v>
          </cell>
          <cell r="BC185">
            <v>12405492</v>
          </cell>
          <cell r="BD185">
            <v>-1971676</v>
          </cell>
          <cell r="BE185">
            <v>383547</v>
          </cell>
          <cell r="BF185">
            <v>0</v>
          </cell>
          <cell r="BG185">
            <v>-2618311</v>
          </cell>
          <cell r="BH185">
            <v>-91388</v>
          </cell>
          <cell r="BI185">
            <v>-40866</v>
          </cell>
          <cell r="BJ185">
            <v>-25315</v>
          </cell>
          <cell r="BK185">
            <v>-382564</v>
          </cell>
          <cell r="BL185">
            <v>-30557</v>
          </cell>
          <cell r="BM185">
            <v>-3377</v>
          </cell>
          <cell r="BN185">
            <v>-22564</v>
          </cell>
          <cell r="BO185">
            <v>0</v>
          </cell>
          <cell r="BP185">
            <v>0</v>
          </cell>
          <cell r="BQ185">
            <v>0</v>
          </cell>
          <cell r="BR185">
            <v>0</v>
          </cell>
          <cell r="BS185">
            <v>0</v>
          </cell>
          <cell r="BT185">
            <v>13951032</v>
          </cell>
          <cell r="BU185">
            <v>-154815</v>
          </cell>
          <cell r="BV185">
            <v>516530</v>
          </cell>
          <cell r="BW185">
            <v>-170510</v>
          </cell>
          <cell r="BX185">
            <v>-996193</v>
          </cell>
          <cell r="BY185">
            <v>-435504</v>
          </cell>
          <cell r="BZ185">
            <v>12248507</v>
          </cell>
          <cell r="CA185">
            <v>-498097</v>
          </cell>
          <cell r="CB185">
            <v>-398477</v>
          </cell>
          <cell r="CC185">
            <v>-89658</v>
          </cell>
          <cell r="CD185">
            <v>-9961</v>
          </cell>
          <cell r="CE185">
            <v>-217752</v>
          </cell>
          <cell r="CF185">
            <v>-174202</v>
          </cell>
          <cell r="CG185">
            <v>-39195</v>
          </cell>
          <cell r="CH185">
            <v>-4355</v>
          </cell>
        </row>
        <row r="186">
          <cell r="A186">
            <v>179</v>
          </cell>
          <cell r="B186" t="str">
            <v>North East Derbyshire</v>
          </cell>
          <cell r="C186" t="str">
            <v>E1038</v>
          </cell>
          <cell r="D186">
            <v>98640</v>
          </cell>
          <cell r="H186">
            <v>751948</v>
          </cell>
          <cell r="I186">
            <v>0</v>
          </cell>
          <cell r="J186">
            <v>98640</v>
          </cell>
          <cell r="K186">
            <v>0</v>
          </cell>
          <cell r="L186">
            <v>0</v>
          </cell>
          <cell r="M186">
            <v>0</v>
          </cell>
          <cell r="N186">
            <v>0</v>
          </cell>
          <cell r="O186">
            <v>0</v>
          </cell>
          <cell r="P186">
            <v>0</v>
          </cell>
          <cell r="Q186">
            <v>0</v>
          </cell>
          <cell r="R186">
            <v>483906</v>
          </cell>
          <cell r="S186">
            <v>108879</v>
          </cell>
          <cell r="T186">
            <v>12098</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M186">
            <v>0</v>
          </cell>
          <cell r="AN186">
            <v>0</v>
          </cell>
          <cell r="AO186">
            <v>0</v>
          </cell>
          <cell r="AP186">
            <v>100595</v>
          </cell>
          <cell r="AQ186">
            <v>22634</v>
          </cell>
          <cell r="AR186">
            <v>2515</v>
          </cell>
          <cell r="AS186">
            <v>-139903</v>
          </cell>
          <cell r="AT186">
            <v>-111923</v>
          </cell>
          <cell r="AU186">
            <v>-25182</v>
          </cell>
          <cell r="AV186">
            <v>-2798</v>
          </cell>
          <cell r="AW186">
            <v>-279806</v>
          </cell>
          <cell r="AX186">
            <v>-1288046.24</v>
          </cell>
          <cell r="AY186">
            <v>-1030435</v>
          </cell>
          <cell r="AZ186">
            <v>-231848</v>
          </cell>
          <cell r="BA186">
            <v>-25761</v>
          </cell>
          <cell r="BB186">
            <v>-2576090.2000000002</v>
          </cell>
          <cell r="BC186">
            <v>16468368</v>
          </cell>
          <cell r="BD186">
            <v>-1985410</v>
          </cell>
          <cell r="BE186">
            <v>392107</v>
          </cell>
          <cell r="BF186">
            <v>0</v>
          </cell>
          <cell r="BG186">
            <v>-552501</v>
          </cell>
          <cell r="BH186">
            <v>-19739</v>
          </cell>
          <cell r="BI186">
            <v>-6604</v>
          </cell>
          <cell r="BJ186">
            <v>-31874</v>
          </cell>
          <cell r="BK186">
            <v>-422226</v>
          </cell>
          <cell r="BL186">
            <v>-30417</v>
          </cell>
          <cell r="BM186">
            <v>-15975</v>
          </cell>
          <cell r="BN186">
            <v>-229</v>
          </cell>
          <cell r="BO186">
            <v>-1274</v>
          </cell>
          <cell r="BP186">
            <v>0</v>
          </cell>
          <cell r="BQ186">
            <v>0</v>
          </cell>
          <cell r="BR186">
            <v>0</v>
          </cell>
          <cell r="BS186">
            <v>0</v>
          </cell>
          <cell r="BT186">
            <v>16022889</v>
          </cell>
          <cell r="BU186">
            <v>-125206</v>
          </cell>
          <cell r="BV186">
            <v>798661</v>
          </cell>
          <cell r="BW186">
            <v>-198241</v>
          </cell>
          <cell r="BX186">
            <v>-1905725</v>
          </cell>
          <cell r="BY186">
            <v>-1598514</v>
          </cell>
          <cell r="BZ186">
            <v>16741940</v>
          </cell>
          <cell r="CA186">
            <v>-952863</v>
          </cell>
          <cell r="CB186">
            <v>-762290</v>
          </cell>
          <cell r="CC186">
            <v>-171515</v>
          </cell>
          <cell r="CD186">
            <v>-19057</v>
          </cell>
          <cell r="CE186">
            <v>-799257</v>
          </cell>
          <cell r="CF186">
            <v>-639406</v>
          </cell>
          <cell r="CG186">
            <v>-143866</v>
          </cell>
          <cell r="CH186">
            <v>-15985</v>
          </cell>
        </row>
        <row r="187">
          <cell r="A187">
            <v>180</v>
          </cell>
          <cell r="B187" t="str">
            <v>North East Lincolnshire</v>
          </cell>
          <cell r="C187" t="str">
            <v>E2003</v>
          </cell>
          <cell r="D187">
            <v>226742</v>
          </cell>
          <cell r="H187">
            <v>-6647850</v>
          </cell>
          <cell r="I187">
            <v>0</v>
          </cell>
          <cell r="J187">
            <v>226742</v>
          </cell>
          <cell r="K187">
            <v>0</v>
          </cell>
          <cell r="L187">
            <v>122241</v>
          </cell>
          <cell r="M187">
            <v>0</v>
          </cell>
          <cell r="N187">
            <v>65115</v>
          </cell>
          <cell r="O187">
            <v>65115</v>
          </cell>
          <cell r="P187">
            <v>0</v>
          </cell>
          <cell r="Q187">
            <v>0</v>
          </cell>
          <cell r="R187">
            <v>1025339</v>
          </cell>
          <cell r="S187">
            <v>0</v>
          </cell>
          <cell r="T187">
            <v>20925</v>
          </cell>
          <cell r="U187">
            <v>28409</v>
          </cell>
          <cell r="V187">
            <v>0</v>
          </cell>
          <cell r="W187">
            <v>580</v>
          </cell>
          <cell r="X187">
            <v>17033</v>
          </cell>
          <cell r="Y187">
            <v>0</v>
          </cell>
          <cell r="Z187">
            <v>348</v>
          </cell>
          <cell r="AA187">
            <v>16976</v>
          </cell>
          <cell r="AB187">
            <v>0</v>
          </cell>
          <cell r="AC187">
            <v>346</v>
          </cell>
          <cell r="AD187">
            <v>0</v>
          </cell>
          <cell r="AE187">
            <v>0</v>
          </cell>
          <cell r="AF187">
            <v>0</v>
          </cell>
          <cell r="AG187">
            <v>0</v>
          </cell>
          <cell r="AH187">
            <v>0</v>
          </cell>
          <cell r="AI187">
            <v>0</v>
          </cell>
          <cell r="AM187">
            <v>0</v>
          </cell>
          <cell r="AN187">
            <v>0</v>
          </cell>
          <cell r="AO187">
            <v>0</v>
          </cell>
          <cell r="AP187">
            <v>421680</v>
          </cell>
          <cell r="AQ187">
            <v>0</v>
          </cell>
          <cell r="AR187">
            <v>8548</v>
          </cell>
          <cell r="AS187">
            <v>-1171553</v>
          </cell>
          <cell r="AT187">
            <v>-1148121</v>
          </cell>
          <cell r="AU187">
            <v>0</v>
          </cell>
          <cell r="AV187">
            <v>-23432</v>
          </cell>
          <cell r="AW187">
            <v>-2343106</v>
          </cell>
          <cell r="AX187">
            <v>-7553905.9000000004</v>
          </cell>
          <cell r="AY187">
            <v>-7402828</v>
          </cell>
          <cell r="AZ187">
            <v>0</v>
          </cell>
          <cell r="BA187">
            <v>-151079</v>
          </cell>
          <cell r="BB187">
            <v>-15107812</v>
          </cell>
          <cell r="BC187">
            <v>66525095</v>
          </cell>
          <cell r="BD187">
            <v>-3505304</v>
          </cell>
          <cell r="BE187">
            <v>1854525</v>
          </cell>
          <cell r="BF187">
            <v>0</v>
          </cell>
          <cell r="BG187">
            <v>-3829659</v>
          </cell>
          <cell r="BH187">
            <v>-92283</v>
          </cell>
          <cell r="BI187">
            <v>-596</v>
          </cell>
          <cell r="BJ187">
            <v>0</v>
          </cell>
          <cell r="BK187">
            <v>-2205792</v>
          </cell>
          <cell r="BL187">
            <v>-87453</v>
          </cell>
          <cell r="BM187">
            <v>-473310</v>
          </cell>
          <cell r="BN187">
            <v>-2864</v>
          </cell>
          <cell r="BO187">
            <v>-574</v>
          </cell>
          <cell r="BP187">
            <v>0</v>
          </cell>
          <cell r="BQ187">
            <v>-86628</v>
          </cell>
          <cell r="BR187">
            <v>-65728</v>
          </cell>
          <cell r="BS187">
            <v>0</v>
          </cell>
          <cell r="BT187">
            <v>65562626</v>
          </cell>
          <cell r="BU187">
            <v>-224333</v>
          </cell>
          <cell r="BV187">
            <v>5854322</v>
          </cell>
          <cell r="BW187">
            <v>-3032696</v>
          </cell>
          <cell r="BX187">
            <v>-866209</v>
          </cell>
          <cell r="BY187">
            <v>-2394026</v>
          </cell>
          <cell r="BZ187">
            <v>56907097</v>
          </cell>
          <cell r="CA187">
            <v>-433105</v>
          </cell>
          <cell r="CB187">
            <v>-424442</v>
          </cell>
          <cell r="CC187">
            <v>0</v>
          </cell>
          <cell r="CD187">
            <v>-8662</v>
          </cell>
          <cell r="CE187">
            <v>-1197013</v>
          </cell>
          <cell r="CF187">
            <v>-1173073</v>
          </cell>
          <cell r="CG187">
            <v>0</v>
          </cell>
          <cell r="CH187">
            <v>-23940</v>
          </cell>
        </row>
        <row r="188">
          <cell r="A188">
            <v>181</v>
          </cell>
          <cell r="B188" t="str">
            <v>North Hertfordshire</v>
          </cell>
          <cell r="C188" t="str">
            <v>E1935</v>
          </cell>
          <cell r="D188">
            <v>179886</v>
          </cell>
          <cell r="H188">
            <v>-171960</v>
          </cell>
          <cell r="I188">
            <v>0</v>
          </cell>
          <cell r="J188">
            <v>179886</v>
          </cell>
          <cell r="K188">
            <v>0</v>
          </cell>
          <cell r="L188">
            <v>30587</v>
          </cell>
          <cell r="M188">
            <v>0</v>
          </cell>
          <cell r="N188">
            <v>0</v>
          </cell>
          <cell r="O188">
            <v>0</v>
          </cell>
          <cell r="P188">
            <v>0</v>
          </cell>
          <cell r="Q188">
            <v>0</v>
          </cell>
          <cell r="R188">
            <v>759795</v>
          </cell>
          <cell r="S188">
            <v>189949</v>
          </cell>
          <cell r="T188">
            <v>0</v>
          </cell>
          <cell r="U188">
            <v>0</v>
          </cell>
          <cell r="V188">
            <v>0</v>
          </cell>
          <cell r="W188">
            <v>0</v>
          </cell>
          <cell r="X188">
            <v>0</v>
          </cell>
          <cell r="Y188">
            <v>0</v>
          </cell>
          <cell r="Z188">
            <v>0</v>
          </cell>
          <cell r="AA188">
            <v>4466</v>
          </cell>
          <cell r="AB188">
            <v>1117</v>
          </cell>
          <cell r="AC188">
            <v>0</v>
          </cell>
          <cell r="AD188">
            <v>0</v>
          </cell>
          <cell r="AE188">
            <v>0</v>
          </cell>
          <cell r="AF188">
            <v>0</v>
          </cell>
          <cell r="AG188">
            <v>0</v>
          </cell>
          <cell r="AH188">
            <v>0</v>
          </cell>
          <cell r="AI188">
            <v>0</v>
          </cell>
          <cell r="AM188">
            <v>0</v>
          </cell>
          <cell r="AN188">
            <v>0</v>
          </cell>
          <cell r="AO188">
            <v>0</v>
          </cell>
          <cell r="AP188">
            <v>225925</v>
          </cell>
          <cell r="AQ188">
            <v>56366</v>
          </cell>
          <cell r="AR188">
            <v>0</v>
          </cell>
          <cell r="AS188">
            <v>-488025</v>
          </cell>
          <cell r="AT188">
            <v>-390418</v>
          </cell>
          <cell r="AU188">
            <v>-97604</v>
          </cell>
          <cell r="AV188">
            <v>0</v>
          </cell>
          <cell r="AW188">
            <v>-976047</v>
          </cell>
          <cell r="AX188">
            <v>-1160435</v>
          </cell>
          <cell r="AY188">
            <v>-928349</v>
          </cell>
          <cell r="AZ188">
            <v>-232088</v>
          </cell>
          <cell r="BA188">
            <v>0</v>
          </cell>
          <cell r="BB188">
            <v>-2320872</v>
          </cell>
          <cell r="BC188">
            <v>38170329</v>
          </cell>
          <cell r="BD188">
            <v>-2709015</v>
          </cell>
          <cell r="BE188">
            <v>999754</v>
          </cell>
          <cell r="BF188">
            <v>0</v>
          </cell>
          <cell r="BG188">
            <v>-2980202</v>
          </cell>
          <cell r="BH188">
            <v>-35681</v>
          </cell>
          <cell r="BI188">
            <v>-15198</v>
          </cell>
          <cell r="BJ188">
            <v>-33384</v>
          </cell>
          <cell r="BK188">
            <v>-1551248</v>
          </cell>
          <cell r="BL188">
            <v>-177637</v>
          </cell>
          <cell r="BM188">
            <v>-86060</v>
          </cell>
          <cell r="BN188">
            <v>-7633</v>
          </cell>
          <cell r="BO188">
            <v>-11751</v>
          </cell>
          <cell r="BP188">
            <v>-3424</v>
          </cell>
          <cell r="BQ188">
            <v>0</v>
          </cell>
          <cell r="BR188">
            <v>0</v>
          </cell>
          <cell r="BS188">
            <v>0</v>
          </cell>
          <cell r="BT188">
            <v>38888308</v>
          </cell>
          <cell r="BU188">
            <v>456786</v>
          </cell>
          <cell r="BV188">
            <v>1434265</v>
          </cell>
          <cell r="BW188">
            <v>-747387</v>
          </cell>
          <cell r="BX188">
            <v>-2050170</v>
          </cell>
          <cell r="BY188">
            <v>-1852573</v>
          </cell>
          <cell r="BZ188">
            <v>37523925</v>
          </cell>
          <cell r="CA188">
            <v>-1025085</v>
          </cell>
          <cell r="CB188">
            <v>-820067</v>
          </cell>
          <cell r="CC188">
            <v>-205018</v>
          </cell>
          <cell r="CD188">
            <v>0</v>
          </cell>
          <cell r="CE188">
            <v>-926287</v>
          </cell>
          <cell r="CF188">
            <v>-741029</v>
          </cell>
          <cell r="CG188">
            <v>-185257</v>
          </cell>
          <cell r="CH188">
            <v>0</v>
          </cell>
        </row>
        <row r="189">
          <cell r="A189">
            <v>182</v>
          </cell>
          <cell r="B189" t="str">
            <v>North Kesteven</v>
          </cell>
          <cell r="C189" t="str">
            <v>E2534</v>
          </cell>
          <cell r="D189">
            <v>124359</v>
          </cell>
          <cell r="H189">
            <v>980617</v>
          </cell>
          <cell r="I189">
            <v>0</v>
          </cell>
          <cell r="J189">
            <v>124359</v>
          </cell>
          <cell r="K189">
            <v>0</v>
          </cell>
          <cell r="L189">
            <v>1343536</v>
          </cell>
          <cell r="M189">
            <v>123490</v>
          </cell>
          <cell r="N189">
            <v>0</v>
          </cell>
          <cell r="O189">
            <v>0</v>
          </cell>
          <cell r="P189">
            <v>0</v>
          </cell>
          <cell r="Q189">
            <v>0</v>
          </cell>
          <cell r="R189">
            <v>601182</v>
          </cell>
          <cell r="S189">
            <v>150296</v>
          </cell>
          <cell r="T189">
            <v>0</v>
          </cell>
          <cell r="U189">
            <v>2957</v>
          </cell>
          <cell r="V189">
            <v>739</v>
          </cell>
          <cell r="W189">
            <v>0</v>
          </cell>
          <cell r="X189">
            <v>31218</v>
          </cell>
          <cell r="Y189">
            <v>7805</v>
          </cell>
          <cell r="Z189">
            <v>0</v>
          </cell>
          <cell r="AA189">
            <v>493</v>
          </cell>
          <cell r="AB189">
            <v>123</v>
          </cell>
          <cell r="AC189">
            <v>0</v>
          </cell>
          <cell r="AD189">
            <v>0</v>
          </cell>
          <cell r="AE189">
            <v>0</v>
          </cell>
          <cell r="AF189">
            <v>0</v>
          </cell>
          <cell r="AG189">
            <v>0</v>
          </cell>
          <cell r="AH189">
            <v>0</v>
          </cell>
          <cell r="AI189">
            <v>0</v>
          </cell>
          <cell r="AM189">
            <v>0</v>
          </cell>
          <cell r="AN189">
            <v>0</v>
          </cell>
          <cell r="AO189">
            <v>0</v>
          </cell>
          <cell r="AP189">
            <v>166896</v>
          </cell>
          <cell r="AQ189">
            <v>38533</v>
          </cell>
          <cell r="AR189">
            <v>0</v>
          </cell>
          <cell r="AS189">
            <v>-85097</v>
          </cell>
          <cell r="AT189">
            <v>-68077</v>
          </cell>
          <cell r="AU189">
            <v>-17018</v>
          </cell>
          <cell r="AV189">
            <v>0</v>
          </cell>
          <cell r="AW189">
            <v>-170192</v>
          </cell>
          <cell r="AX189">
            <v>-1864361</v>
          </cell>
          <cell r="AY189">
            <v>-1491487</v>
          </cell>
          <cell r="AZ189">
            <v>-372872</v>
          </cell>
          <cell r="BA189">
            <v>0</v>
          </cell>
          <cell r="BB189">
            <v>-3728720</v>
          </cell>
          <cell r="BC189">
            <v>24365260</v>
          </cell>
          <cell r="BD189">
            <v>-2467269</v>
          </cell>
          <cell r="BE189">
            <v>666053</v>
          </cell>
          <cell r="BF189">
            <v>0</v>
          </cell>
          <cell r="BG189">
            <v>-1729686</v>
          </cell>
          <cell r="BH189">
            <v>-28905</v>
          </cell>
          <cell r="BI189">
            <v>-45676</v>
          </cell>
          <cell r="BJ189">
            <v>0</v>
          </cell>
          <cell r="BK189">
            <v>-861993</v>
          </cell>
          <cell r="BL189">
            <v>-66247</v>
          </cell>
          <cell r="BM189">
            <v>-16795</v>
          </cell>
          <cell r="BN189">
            <v>0</v>
          </cell>
          <cell r="BO189">
            <v>-6803</v>
          </cell>
          <cell r="BP189">
            <v>0</v>
          </cell>
          <cell r="BQ189">
            <v>-63757</v>
          </cell>
          <cell r="BR189">
            <v>0</v>
          </cell>
          <cell r="BS189">
            <v>0</v>
          </cell>
          <cell r="BT189">
            <v>26262384</v>
          </cell>
          <cell r="BU189">
            <v>-170675</v>
          </cell>
          <cell r="BV189">
            <v>643302</v>
          </cell>
          <cell r="BW189">
            <v>-732484</v>
          </cell>
          <cell r="BX189">
            <v>-1934338</v>
          </cell>
          <cell r="BY189">
            <v>-2047932</v>
          </cell>
          <cell r="BZ189">
            <v>24417379</v>
          </cell>
          <cell r="CA189">
            <v>-967169</v>
          </cell>
          <cell r="CB189">
            <v>-773735</v>
          </cell>
          <cell r="CC189">
            <v>-193434</v>
          </cell>
          <cell r="CD189">
            <v>0</v>
          </cell>
          <cell r="CE189">
            <v>-1023966</v>
          </cell>
          <cell r="CF189">
            <v>-819173</v>
          </cell>
          <cell r="CG189">
            <v>-204793</v>
          </cell>
          <cell r="CH189">
            <v>0</v>
          </cell>
        </row>
        <row r="190">
          <cell r="A190">
            <v>183</v>
          </cell>
          <cell r="B190" t="str">
            <v>North Lincolnshire</v>
          </cell>
          <cell r="C190" t="str">
            <v>E2004</v>
          </cell>
          <cell r="D190">
            <v>238111</v>
          </cell>
          <cell r="H190">
            <v>-9453163</v>
          </cell>
          <cell r="I190">
            <v>-56618</v>
          </cell>
          <cell r="J190">
            <v>238111</v>
          </cell>
          <cell r="K190">
            <v>192429</v>
          </cell>
          <cell r="L190">
            <v>2477234</v>
          </cell>
          <cell r="M190">
            <v>0</v>
          </cell>
          <cell r="N190">
            <v>0</v>
          </cell>
          <cell r="O190">
            <v>0</v>
          </cell>
          <cell r="P190">
            <v>0</v>
          </cell>
          <cell r="Q190">
            <v>0</v>
          </cell>
          <cell r="R190">
            <v>1135210</v>
          </cell>
          <cell r="S190">
            <v>0</v>
          </cell>
          <cell r="T190">
            <v>22872</v>
          </cell>
          <cell r="U190">
            <v>14168</v>
          </cell>
          <cell r="V190">
            <v>0</v>
          </cell>
          <cell r="W190">
            <v>289</v>
          </cell>
          <cell r="X190">
            <v>8710</v>
          </cell>
          <cell r="Y190">
            <v>0</v>
          </cell>
          <cell r="Z190">
            <v>178</v>
          </cell>
          <cell r="AA190">
            <v>43787</v>
          </cell>
          <cell r="AB190">
            <v>0</v>
          </cell>
          <cell r="AC190">
            <v>894</v>
          </cell>
          <cell r="AD190">
            <v>0</v>
          </cell>
          <cell r="AE190">
            <v>0</v>
          </cell>
          <cell r="AF190">
            <v>0</v>
          </cell>
          <cell r="AG190">
            <v>0</v>
          </cell>
          <cell r="AH190">
            <v>0</v>
          </cell>
          <cell r="AI190">
            <v>0</v>
          </cell>
          <cell r="AM190">
            <v>0</v>
          </cell>
          <cell r="AN190">
            <v>0</v>
          </cell>
          <cell r="AO190">
            <v>0</v>
          </cell>
          <cell r="AP190">
            <v>602851</v>
          </cell>
          <cell r="AQ190">
            <v>0</v>
          </cell>
          <cell r="AR190">
            <v>11485</v>
          </cell>
          <cell r="AS190">
            <v>-872000</v>
          </cell>
          <cell r="AT190">
            <v>-854560</v>
          </cell>
          <cell r="AU190">
            <v>0</v>
          </cell>
          <cell r="AV190">
            <v>-17440</v>
          </cell>
          <cell r="AW190">
            <v>-1744000</v>
          </cell>
          <cell r="AX190">
            <v>-4928501</v>
          </cell>
          <cell r="AY190">
            <v>-4829930</v>
          </cell>
          <cell r="AZ190">
            <v>0</v>
          </cell>
          <cell r="BA190">
            <v>-98569</v>
          </cell>
          <cell r="BB190">
            <v>-9857000</v>
          </cell>
          <cell r="BC190">
            <v>82764253</v>
          </cell>
          <cell r="BD190">
            <v>-3731414</v>
          </cell>
          <cell r="BE190">
            <v>2461850</v>
          </cell>
          <cell r="BF190">
            <v>0</v>
          </cell>
          <cell r="BG190">
            <v>-2423743</v>
          </cell>
          <cell r="BH190">
            <v>-38836</v>
          </cell>
          <cell r="BI190">
            <v>-23585</v>
          </cell>
          <cell r="BJ190">
            <v>-97355</v>
          </cell>
          <cell r="BK190">
            <v>-4544424</v>
          </cell>
          <cell r="BL190">
            <v>-80812</v>
          </cell>
          <cell r="BM190">
            <v>-136434</v>
          </cell>
          <cell r="BN190">
            <v>-3254</v>
          </cell>
          <cell r="BO190">
            <v>-23475</v>
          </cell>
          <cell r="BP190">
            <v>-5144</v>
          </cell>
          <cell r="BQ190">
            <v>0</v>
          </cell>
          <cell r="BR190">
            <v>0</v>
          </cell>
          <cell r="BS190">
            <v>0</v>
          </cell>
          <cell r="BT190">
            <v>90839152</v>
          </cell>
          <cell r="BU190">
            <v>-831341</v>
          </cell>
          <cell r="BV190">
            <v>4093686</v>
          </cell>
          <cell r="BW190">
            <v>-258032</v>
          </cell>
          <cell r="BX190">
            <v>-9184108</v>
          </cell>
          <cell r="BY190">
            <v>-2644087</v>
          </cell>
          <cell r="BZ190">
            <v>76455045</v>
          </cell>
          <cell r="CA190">
            <v>-4592054</v>
          </cell>
          <cell r="CB190">
            <v>-4500213</v>
          </cell>
          <cell r="CC190">
            <v>0</v>
          </cell>
          <cell r="CD190">
            <v>-91841</v>
          </cell>
          <cell r="CE190">
            <v>-1322043</v>
          </cell>
          <cell r="CF190">
            <v>-1295603</v>
          </cell>
          <cell r="CG190">
            <v>0</v>
          </cell>
          <cell r="CH190">
            <v>-26441</v>
          </cell>
        </row>
        <row r="191">
          <cell r="A191">
            <v>184</v>
          </cell>
          <cell r="B191" t="str">
            <v>North Norfolk</v>
          </cell>
          <cell r="C191" t="str">
            <v>E2635</v>
          </cell>
          <cell r="D191">
            <v>247838</v>
          </cell>
          <cell r="H191">
            <v>2489097</v>
          </cell>
          <cell r="I191">
            <v>17091</v>
          </cell>
          <cell r="J191">
            <v>247838</v>
          </cell>
          <cell r="K191">
            <v>17091</v>
          </cell>
          <cell r="L191">
            <v>592645</v>
          </cell>
          <cell r="M191">
            <v>0</v>
          </cell>
          <cell r="N191">
            <v>26737</v>
          </cell>
          <cell r="O191">
            <v>26737</v>
          </cell>
          <cell r="P191">
            <v>0</v>
          </cell>
          <cell r="Q191">
            <v>0</v>
          </cell>
          <cell r="R191">
            <v>1133906</v>
          </cell>
          <cell r="S191">
            <v>283477</v>
          </cell>
          <cell r="T191">
            <v>0</v>
          </cell>
          <cell r="U191">
            <v>317</v>
          </cell>
          <cell r="V191">
            <v>79</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M191">
            <v>0</v>
          </cell>
          <cell r="AN191">
            <v>0</v>
          </cell>
          <cell r="AO191">
            <v>0</v>
          </cell>
          <cell r="AP191">
            <v>161173</v>
          </cell>
          <cell r="AQ191">
            <v>37903</v>
          </cell>
          <cell r="AR191">
            <v>0</v>
          </cell>
          <cell r="AS191">
            <v>-95084</v>
          </cell>
          <cell r="AT191">
            <v>-76067</v>
          </cell>
          <cell r="AU191">
            <v>-19016</v>
          </cell>
          <cell r="AV191">
            <v>0</v>
          </cell>
          <cell r="AW191">
            <v>-190167</v>
          </cell>
          <cell r="AX191">
            <v>-953698</v>
          </cell>
          <cell r="AY191">
            <v>-762957</v>
          </cell>
          <cell r="AZ191">
            <v>-190738</v>
          </cell>
          <cell r="BA191">
            <v>0</v>
          </cell>
          <cell r="BB191">
            <v>-1907393</v>
          </cell>
          <cell r="BC191">
            <v>24769334</v>
          </cell>
          <cell r="BD191">
            <v>-4749464</v>
          </cell>
          <cell r="BE191">
            <v>599061</v>
          </cell>
          <cell r="BF191">
            <v>0</v>
          </cell>
          <cell r="BG191">
            <v>-1771567</v>
          </cell>
          <cell r="BH191">
            <v>-39044</v>
          </cell>
          <cell r="BI191">
            <v>-101438</v>
          </cell>
          <cell r="BJ191">
            <v>-31191</v>
          </cell>
          <cell r="BK191">
            <v>-403938</v>
          </cell>
          <cell r="BL191">
            <v>-5491</v>
          </cell>
          <cell r="BM191">
            <v>0</v>
          </cell>
          <cell r="BN191">
            <v>0</v>
          </cell>
          <cell r="BO191">
            <v>-8403</v>
          </cell>
          <cell r="BP191">
            <v>0</v>
          </cell>
          <cell r="BQ191">
            <v>-76138</v>
          </cell>
          <cell r="BR191">
            <v>-76138</v>
          </cell>
          <cell r="BS191">
            <v>0</v>
          </cell>
          <cell r="BT191">
            <v>25455364</v>
          </cell>
          <cell r="BU191">
            <v>-48275</v>
          </cell>
          <cell r="BV191">
            <v>331919</v>
          </cell>
          <cell r="BW191">
            <v>-284576</v>
          </cell>
          <cell r="BX191">
            <v>-623940</v>
          </cell>
          <cell r="BY191">
            <v>-483061</v>
          </cell>
          <cell r="BZ191">
            <v>25232572</v>
          </cell>
          <cell r="CA191">
            <v>-311971</v>
          </cell>
          <cell r="CB191">
            <v>-249575</v>
          </cell>
          <cell r="CC191">
            <v>-62394</v>
          </cell>
          <cell r="CD191">
            <v>0</v>
          </cell>
          <cell r="CE191">
            <v>-241531</v>
          </cell>
          <cell r="CF191">
            <v>-193224</v>
          </cell>
          <cell r="CG191">
            <v>-48306</v>
          </cell>
          <cell r="CH191">
            <v>0</v>
          </cell>
        </row>
        <row r="192">
          <cell r="A192">
            <v>185</v>
          </cell>
          <cell r="B192" t="str">
            <v>North Somerset</v>
          </cell>
          <cell r="C192" t="str">
            <v>E0104</v>
          </cell>
          <cell r="D192">
            <v>261366</v>
          </cell>
          <cell r="H192">
            <v>-1597119</v>
          </cell>
          <cell r="I192">
            <v>-95317</v>
          </cell>
          <cell r="J192">
            <v>261366</v>
          </cell>
          <cell r="K192">
            <v>490850</v>
          </cell>
          <cell r="L192">
            <v>91443</v>
          </cell>
          <cell r="M192">
            <v>0</v>
          </cell>
          <cell r="N192">
            <v>0</v>
          </cell>
          <cell r="O192">
            <v>0</v>
          </cell>
          <cell r="P192">
            <v>0</v>
          </cell>
          <cell r="Q192">
            <v>0</v>
          </cell>
          <cell r="R192">
            <v>1594711</v>
          </cell>
          <cell r="S192">
            <v>0</v>
          </cell>
          <cell r="T192">
            <v>31620</v>
          </cell>
          <cell r="U192">
            <v>9929</v>
          </cell>
          <cell r="V192">
            <v>0</v>
          </cell>
          <cell r="W192">
            <v>203</v>
          </cell>
          <cell r="X192">
            <v>0</v>
          </cell>
          <cell r="Y192">
            <v>0</v>
          </cell>
          <cell r="Z192">
            <v>0</v>
          </cell>
          <cell r="AA192">
            <v>0</v>
          </cell>
          <cell r="AB192">
            <v>0</v>
          </cell>
          <cell r="AC192">
            <v>0</v>
          </cell>
          <cell r="AD192">
            <v>0</v>
          </cell>
          <cell r="AE192">
            <v>0</v>
          </cell>
          <cell r="AF192">
            <v>0</v>
          </cell>
          <cell r="AG192">
            <v>0</v>
          </cell>
          <cell r="AH192">
            <v>0</v>
          </cell>
          <cell r="AI192">
            <v>0</v>
          </cell>
          <cell r="AM192">
            <v>0</v>
          </cell>
          <cell r="AN192">
            <v>0</v>
          </cell>
          <cell r="AO192">
            <v>0</v>
          </cell>
          <cell r="AP192">
            <v>444562</v>
          </cell>
          <cell r="AQ192">
            <v>0</v>
          </cell>
          <cell r="AR192">
            <v>8644</v>
          </cell>
          <cell r="AS192">
            <v>-1047065.3</v>
          </cell>
          <cell r="AT192">
            <v>-1026127</v>
          </cell>
          <cell r="AU192">
            <v>0</v>
          </cell>
          <cell r="AV192">
            <v>-20943</v>
          </cell>
          <cell r="AW192">
            <v>-2094135.2999999998</v>
          </cell>
          <cell r="AX192">
            <v>-1542149.4</v>
          </cell>
          <cell r="AY192">
            <v>-1511305</v>
          </cell>
          <cell r="AZ192">
            <v>0</v>
          </cell>
          <cell r="BA192">
            <v>-30842</v>
          </cell>
          <cell r="BB192">
            <v>-3084296.4</v>
          </cell>
          <cell r="BC192">
            <v>62033798</v>
          </cell>
          <cell r="BD192">
            <v>-4238007</v>
          </cell>
          <cell r="BE192">
            <v>1659191</v>
          </cell>
          <cell r="BF192">
            <v>0</v>
          </cell>
          <cell r="BG192">
            <v>-4902324</v>
          </cell>
          <cell r="BH192">
            <v>-112559</v>
          </cell>
          <cell r="BI192">
            <v>-11816</v>
          </cell>
          <cell r="BJ192">
            <v>-1116</v>
          </cell>
          <cell r="BK192">
            <v>-2415298</v>
          </cell>
          <cell r="BL192">
            <v>-73164</v>
          </cell>
          <cell r="BM192">
            <v>-457859</v>
          </cell>
          <cell r="BN192">
            <v>0</v>
          </cell>
          <cell r="BO192">
            <v>-3176</v>
          </cell>
          <cell r="BP192">
            <v>-1502</v>
          </cell>
          <cell r="BQ192">
            <v>0</v>
          </cell>
          <cell r="BR192">
            <v>0</v>
          </cell>
          <cell r="BS192">
            <v>0</v>
          </cell>
          <cell r="BT192">
            <v>62374252</v>
          </cell>
          <cell r="BU192">
            <v>-385719</v>
          </cell>
          <cell r="BV192">
            <v>4181107</v>
          </cell>
          <cell r="BW192">
            <v>-1809571</v>
          </cell>
          <cell r="BX192">
            <v>990010</v>
          </cell>
          <cell r="BY192">
            <v>971579</v>
          </cell>
          <cell r="BZ192">
            <v>57543172</v>
          </cell>
          <cell r="CA192">
            <v>495005</v>
          </cell>
          <cell r="CB192">
            <v>485105</v>
          </cell>
          <cell r="CC192">
            <v>0</v>
          </cell>
          <cell r="CD192">
            <v>9900</v>
          </cell>
          <cell r="CE192">
            <v>485789</v>
          </cell>
          <cell r="CF192">
            <v>476074</v>
          </cell>
          <cell r="CG192">
            <v>0</v>
          </cell>
          <cell r="CH192">
            <v>9716</v>
          </cell>
        </row>
        <row r="193">
          <cell r="A193">
            <v>186</v>
          </cell>
          <cell r="B193" t="str">
            <v>North Tyneside</v>
          </cell>
          <cell r="C193" t="str">
            <v>E4503</v>
          </cell>
          <cell r="D193">
            <v>226812</v>
          </cell>
          <cell r="H193">
            <v>-2568893</v>
          </cell>
          <cell r="I193">
            <v>13872</v>
          </cell>
          <cell r="J193">
            <v>226812</v>
          </cell>
          <cell r="K193">
            <v>163744</v>
          </cell>
          <cell r="L193">
            <v>0</v>
          </cell>
          <cell r="M193">
            <v>0</v>
          </cell>
          <cell r="N193">
            <v>10109</v>
          </cell>
          <cell r="O193">
            <v>10109</v>
          </cell>
          <cell r="P193">
            <v>0</v>
          </cell>
          <cell r="Q193">
            <v>0</v>
          </cell>
          <cell r="R193">
            <v>1263368</v>
          </cell>
          <cell r="S193">
            <v>0</v>
          </cell>
          <cell r="T193">
            <v>25654</v>
          </cell>
          <cell r="U193">
            <v>3441</v>
          </cell>
          <cell r="V193">
            <v>0</v>
          </cell>
          <cell r="W193">
            <v>70</v>
          </cell>
          <cell r="X193">
            <v>0</v>
          </cell>
          <cell r="Y193">
            <v>0</v>
          </cell>
          <cell r="Z193">
            <v>0</v>
          </cell>
          <cell r="AA193">
            <v>1017</v>
          </cell>
          <cell r="AB193">
            <v>0</v>
          </cell>
          <cell r="AC193">
            <v>21</v>
          </cell>
          <cell r="AD193">
            <v>0</v>
          </cell>
          <cell r="AE193">
            <v>0</v>
          </cell>
          <cell r="AF193">
            <v>0</v>
          </cell>
          <cell r="AG193">
            <v>0</v>
          </cell>
          <cell r="AH193">
            <v>0</v>
          </cell>
          <cell r="AI193">
            <v>0</v>
          </cell>
          <cell r="AM193">
            <v>0</v>
          </cell>
          <cell r="AN193">
            <v>0</v>
          </cell>
          <cell r="AO193">
            <v>0</v>
          </cell>
          <cell r="AP193">
            <v>397920</v>
          </cell>
          <cell r="AQ193">
            <v>0</v>
          </cell>
          <cell r="AR193">
            <v>8068</v>
          </cell>
          <cell r="AS193">
            <v>-1175040</v>
          </cell>
          <cell r="AT193">
            <v>-1151540</v>
          </cell>
          <cell r="AU193">
            <v>0</v>
          </cell>
          <cell r="AV193">
            <v>-23500</v>
          </cell>
          <cell r="AW193">
            <v>-2350080</v>
          </cell>
          <cell r="AX193">
            <v>-1453189</v>
          </cell>
          <cell r="AY193">
            <v>-1424126</v>
          </cell>
          <cell r="AZ193">
            <v>0</v>
          </cell>
          <cell r="BA193">
            <v>-29064</v>
          </cell>
          <cell r="BB193">
            <v>-2906379</v>
          </cell>
          <cell r="BC193">
            <v>59598106</v>
          </cell>
          <cell r="BD193">
            <v>-3845169</v>
          </cell>
          <cell r="BE193">
            <v>1654957</v>
          </cell>
          <cell r="BF193">
            <v>0</v>
          </cell>
          <cell r="BG193">
            <v>-4334251</v>
          </cell>
          <cell r="BH193">
            <v>-59616</v>
          </cell>
          <cell r="BI193">
            <v>0</v>
          </cell>
          <cell r="BJ193">
            <v>-19808</v>
          </cell>
          <cell r="BK193">
            <v>-2578809</v>
          </cell>
          <cell r="BL193">
            <v>-299895</v>
          </cell>
          <cell r="BM193">
            <v>-32013</v>
          </cell>
          <cell r="BN193">
            <v>-14904</v>
          </cell>
          <cell r="BO193">
            <v>0</v>
          </cell>
          <cell r="BP193">
            <v>0</v>
          </cell>
          <cell r="BQ193">
            <v>-62934</v>
          </cell>
          <cell r="BR193">
            <v>-63845</v>
          </cell>
          <cell r="BS193">
            <v>0</v>
          </cell>
          <cell r="BT193">
            <v>60228296</v>
          </cell>
          <cell r="BU193">
            <v>-1489113</v>
          </cell>
          <cell r="BV193">
            <v>5331335</v>
          </cell>
          <cell r="BW193">
            <v>-1669681</v>
          </cell>
          <cell r="BX193">
            <v>-1685417</v>
          </cell>
          <cell r="BY193">
            <v>-1049719</v>
          </cell>
          <cell r="BZ193">
            <v>53706683</v>
          </cell>
          <cell r="CA193">
            <v>-842708</v>
          </cell>
          <cell r="CB193">
            <v>-825854</v>
          </cell>
          <cell r="CC193">
            <v>0</v>
          </cell>
          <cell r="CD193">
            <v>-16855</v>
          </cell>
          <cell r="CE193">
            <v>-524860</v>
          </cell>
          <cell r="CF193">
            <v>-514362</v>
          </cell>
          <cell r="CG193">
            <v>0</v>
          </cell>
          <cell r="CH193">
            <v>-10497</v>
          </cell>
        </row>
        <row r="194">
          <cell r="A194">
            <v>187</v>
          </cell>
          <cell r="B194" t="str">
            <v>North Warwickshire</v>
          </cell>
          <cell r="C194" t="str">
            <v>E3731</v>
          </cell>
          <cell r="D194">
            <v>107553</v>
          </cell>
          <cell r="H194">
            <v>-201874</v>
          </cell>
          <cell r="I194">
            <v>0</v>
          </cell>
          <cell r="J194">
            <v>107553</v>
          </cell>
          <cell r="K194">
            <v>0</v>
          </cell>
          <cell r="L194">
            <v>0</v>
          </cell>
          <cell r="M194">
            <v>0</v>
          </cell>
          <cell r="N194">
            <v>0</v>
          </cell>
          <cell r="O194">
            <v>0</v>
          </cell>
          <cell r="P194">
            <v>0</v>
          </cell>
          <cell r="Q194">
            <v>0</v>
          </cell>
          <cell r="R194">
            <v>383330</v>
          </cell>
          <cell r="S194">
            <v>95833</v>
          </cell>
          <cell r="T194">
            <v>0</v>
          </cell>
          <cell r="U194">
            <v>5059</v>
          </cell>
          <cell r="V194">
            <v>1265</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M194">
            <v>0</v>
          </cell>
          <cell r="AN194">
            <v>0</v>
          </cell>
          <cell r="AO194">
            <v>0</v>
          </cell>
          <cell r="AP194">
            <v>258967</v>
          </cell>
          <cell r="AQ194">
            <v>64742</v>
          </cell>
          <cell r="AR194">
            <v>0</v>
          </cell>
          <cell r="AS194">
            <v>-36064</v>
          </cell>
          <cell r="AT194">
            <v>-28852</v>
          </cell>
          <cell r="AU194">
            <v>-7214</v>
          </cell>
          <cell r="AV194">
            <v>0</v>
          </cell>
          <cell r="AW194">
            <v>-72130</v>
          </cell>
          <cell r="AX194">
            <v>-2508662</v>
          </cell>
          <cell r="AY194">
            <v>-2006930</v>
          </cell>
          <cell r="AZ194">
            <v>-501731</v>
          </cell>
          <cell r="BA194">
            <v>0</v>
          </cell>
          <cell r="BB194">
            <v>-5017323</v>
          </cell>
          <cell r="BC194">
            <v>44032087</v>
          </cell>
          <cell r="BD194">
            <v>-1460706</v>
          </cell>
          <cell r="BE194">
            <v>1170090</v>
          </cell>
          <cell r="BF194">
            <v>0</v>
          </cell>
          <cell r="BG194">
            <v>-850182</v>
          </cell>
          <cell r="BH194">
            <v>-27325</v>
          </cell>
          <cell r="BI194">
            <v>-15763</v>
          </cell>
          <cell r="BJ194">
            <v>0</v>
          </cell>
          <cell r="BK194">
            <v>-1171618</v>
          </cell>
          <cell r="BL194">
            <v>-29371</v>
          </cell>
          <cell r="BM194">
            <v>-4440</v>
          </cell>
          <cell r="BN194">
            <v>-2097</v>
          </cell>
          <cell r="BO194">
            <v>0</v>
          </cell>
          <cell r="BP194">
            <v>-4820</v>
          </cell>
          <cell r="BQ194">
            <v>0</v>
          </cell>
          <cell r="BR194">
            <v>0</v>
          </cell>
          <cell r="BS194">
            <v>0</v>
          </cell>
          <cell r="BT194">
            <v>43695012</v>
          </cell>
          <cell r="BU194">
            <v>-170692</v>
          </cell>
          <cell r="BV194">
            <v>298890</v>
          </cell>
          <cell r="BW194">
            <v>-42748</v>
          </cell>
          <cell r="BX194">
            <v>-52571</v>
          </cell>
          <cell r="BY194">
            <v>-1463754</v>
          </cell>
          <cell r="BZ194">
            <v>43099527</v>
          </cell>
          <cell r="CA194">
            <v>-26287</v>
          </cell>
          <cell r="CB194">
            <v>-21028</v>
          </cell>
          <cell r="CC194">
            <v>-5256</v>
          </cell>
          <cell r="CD194">
            <v>0</v>
          </cell>
          <cell r="CE194">
            <v>-731877</v>
          </cell>
          <cell r="CF194">
            <v>-585502</v>
          </cell>
          <cell r="CG194">
            <v>-146375</v>
          </cell>
          <cell r="CH194">
            <v>0</v>
          </cell>
        </row>
        <row r="195">
          <cell r="A195">
            <v>188</v>
          </cell>
          <cell r="B195" t="str">
            <v>North West Leicestershire</v>
          </cell>
          <cell r="C195" t="str">
            <v>E2437</v>
          </cell>
          <cell r="D195">
            <v>145430</v>
          </cell>
          <cell r="H195">
            <v>569088</v>
          </cell>
          <cell r="I195">
            <v>0</v>
          </cell>
          <cell r="J195">
            <v>145430</v>
          </cell>
          <cell r="K195">
            <v>0</v>
          </cell>
          <cell r="L195">
            <v>172754</v>
          </cell>
          <cell r="M195">
            <v>0</v>
          </cell>
          <cell r="N195">
            <v>0</v>
          </cell>
          <cell r="O195">
            <v>0</v>
          </cell>
          <cell r="P195">
            <v>0</v>
          </cell>
          <cell r="Q195">
            <v>0</v>
          </cell>
          <cell r="R195">
            <v>502073</v>
          </cell>
          <cell r="S195">
            <v>112966</v>
          </cell>
          <cell r="T195">
            <v>12552</v>
          </cell>
          <cell r="U195">
            <v>4007</v>
          </cell>
          <cell r="V195">
            <v>901</v>
          </cell>
          <cell r="W195">
            <v>100</v>
          </cell>
          <cell r="X195">
            <v>30451</v>
          </cell>
          <cell r="Y195">
            <v>6851</v>
          </cell>
          <cell r="Z195">
            <v>761</v>
          </cell>
          <cell r="AA195">
            <v>0</v>
          </cell>
          <cell r="AB195">
            <v>0</v>
          </cell>
          <cell r="AC195">
            <v>0</v>
          </cell>
          <cell r="AD195">
            <v>0</v>
          </cell>
          <cell r="AE195">
            <v>0</v>
          </cell>
          <cell r="AF195">
            <v>0</v>
          </cell>
          <cell r="AG195">
            <v>0</v>
          </cell>
          <cell r="AH195">
            <v>0</v>
          </cell>
          <cell r="AI195">
            <v>0</v>
          </cell>
          <cell r="AM195">
            <v>0</v>
          </cell>
          <cell r="AN195">
            <v>0</v>
          </cell>
          <cell r="AO195">
            <v>0</v>
          </cell>
          <cell r="AP195">
            <v>348113</v>
          </cell>
          <cell r="AQ195">
            <v>77742</v>
          </cell>
          <cell r="AR195">
            <v>8638</v>
          </cell>
          <cell r="AS195">
            <v>-129861.91999999998</v>
          </cell>
          <cell r="AT195">
            <v>-103887</v>
          </cell>
          <cell r="AU195">
            <v>-23374</v>
          </cell>
          <cell r="AV195">
            <v>-2597</v>
          </cell>
          <cell r="AW195">
            <v>-259719.92000000004</v>
          </cell>
          <cell r="AX195">
            <v>-4275695</v>
          </cell>
          <cell r="AY195">
            <v>-3420558</v>
          </cell>
          <cell r="AZ195">
            <v>-769625</v>
          </cell>
          <cell r="BA195">
            <v>-85514</v>
          </cell>
          <cell r="BB195">
            <v>-8551392</v>
          </cell>
          <cell r="BC195">
            <v>52006617</v>
          </cell>
          <cell r="BD195">
            <v>-2050166</v>
          </cell>
          <cell r="BE195">
            <v>1415391</v>
          </cell>
          <cell r="BF195">
            <v>0</v>
          </cell>
          <cell r="BG195">
            <v>-1449412</v>
          </cell>
          <cell r="BH195">
            <v>-22305</v>
          </cell>
          <cell r="BI195">
            <v>-12424</v>
          </cell>
          <cell r="BJ195">
            <v>-282958</v>
          </cell>
          <cell r="BK195">
            <v>-1091743</v>
          </cell>
          <cell r="BL195">
            <v>-58504</v>
          </cell>
          <cell r="BM195">
            <v>-84312</v>
          </cell>
          <cell r="BN195">
            <v>-1311</v>
          </cell>
          <cell r="BO195">
            <v>-12424</v>
          </cell>
          <cell r="BP195">
            <v>-240</v>
          </cell>
          <cell r="BQ195">
            <v>0</v>
          </cell>
          <cell r="BR195">
            <v>0</v>
          </cell>
          <cell r="BS195">
            <v>0</v>
          </cell>
          <cell r="BT195">
            <v>54288547</v>
          </cell>
          <cell r="BU195">
            <v>-368895</v>
          </cell>
          <cell r="BV195">
            <v>464780</v>
          </cell>
          <cell r="BW195">
            <v>-1495957</v>
          </cell>
          <cell r="BX195">
            <v>-181752</v>
          </cell>
          <cell r="BY195">
            <v>1482297</v>
          </cell>
          <cell r="BZ195">
            <v>57504060</v>
          </cell>
          <cell r="CA195">
            <v>-90877</v>
          </cell>
          <cell r="CB195">
            <v>-72700</v>
          </cell>
          <cell r="CC195">
            <v>-16358</v>
          </cell>
          <cell r="CD195">
            <v>-1817</v>
          </cell>
          <cell r="CE195">
            <v>741148</v>
          </cell>
          <cell r="CF195">
            <v>592919</v>
          </cell>
          <cell r="CG195">
            <v>133407</v>
          </cell>
          <cell r="CH195">
            <v>14823</v>
          </cell>
        </row>
        <row r="196">
          <cell r="A196">
            <v>189</v>
          </cell>
          <cell r="B196" t="str">
            <v>Northampton</v>
          </cell>
          <cell r="C196" t="str">
            <v>E2835</v>
          </cell>
          <cell r="D196">
            <v>282973</v>
          </cell>
          <cell r="H196">
            <v>-4345399</v>
          </cell>
          <cell r="I196">
            <v>-340892</v>
          </cell>
          <cell r="J196">
            <v>282973</v>
          </cell>
          <cell r="K196">
            <v>0</v>
          </cell>
          <cell r="L196">
            <v>0</v>
          </cell>
          <cell r="M196">
            <v>0</v>
          </cell>
          <cell r="N196">
            <v>1197743</v>
          </cell>
          <cell r="O196">
            <v>1197743</v>
          </cell>
          <cell r="P196">
            <v>0</v>
          </cell>
          <cell r="Q196">
            <v>0</v>
          </cell>
          <cell r="R196">
            <v>1023779</v>
          </cell>
          <cell r="S196">
            <v>243112</v>
          </cell>
          <cell r="T196">
            <v>0</v>
          </cell>
          <cell r="U196">
            <v>0</v>
          </cell>
          <cell r="V196">
            <v>0</v>
          </cell>
          <cell r="W196">
            <v>0</v>
          </cell>
          <cell r="X196">
            <v>0</v>
          </cell>
          <cell r="Y196">
            <v>0</v>
          </cell>
          <cell r="Z196">
            <v>0</v>
          </cell>
          <cell r="AA196">
            <v>18670</v>
          </cell>
          <cell r="AB196">
            <v>4667</v>
          </cell>
          <cell r="AC196">
            <v>0</v>
          </cell>
          <cell r="AD196">
            <v>0</v>
          </cell>
          <cell r="AE196">
            <v>0</v>
          </cell>
          <cell r="AF196">
            <v>0</v>
          </cell>
          <cell r="AG196">
            <v>0</v>
          </cell>
          <cell r="AH196">
            <v>0</v>
          </cell>
          <cell r="AI196">
            <v>0</v>
          </cell>
          <cell r="AM196">
            <v>0</v>
          </cell>
          <cell r="AN196">
            <v>0</v>
          </cell>
          <cell r="AO196">
            <v>0</v>
          </cell>
          <cell r="AP196">
            <v>571959</v>
          </cell>
          <cell r="AQ196">
            <v>138492</v>
          </cell>
          <cell r="AR196">
            <v>0</v>
          </cell>
          <cell r="AS196">
            <v>-309998.73</v>
          </cell>
          <cell r="AT196">
            <v>-248000</v>
          </cell>
          <cell r="AU196">
            <v>-61999</v>
          </cell>
          <cell r="AV196">
            <v>0</v>
          </cell>
          <cell r="AW196">
            <v>-619997.73</v>
          </cell>
          <cell r="AX196">
            <v>-5933485.4000000004</v>
          </cell>
          <cell r="AY196">
            <v>-4746789</v>
          </cell>
          <cell r="AZ196">
            <v>-1186696</v>
          </cell>
          <cell r="BA196">
            <v>0</v>
          </cell>
          <cell r="BB196">
            <v>-11866970.4</v>
          </cell>
          <cell r="BC196">
            <v>99208551</v>
          </cell>
          <cell r="BD196">
            <v>-3757024</v>
          </cell>
          <cell r="BE196">
            <v>2859367</v>
          </cell>
          <cell r="BF196">
            <v>0</v>
          </cell>
          <cell r="BG196">
            <v>-7125437</v>
          </cell>
          <cell r="BH196">
            <v>-15904</v>
          </cell>
          <cell r="BI196">
            <v>0</v>
          </cell>
          <cell r="BJ196">
            <v>-213324</v>
          </cell>
          <cell r="BK196">
            <v>-3280481</v>
          </cell>
          <cell r="BL196">
            <v>-237158</v>
          </cell>
          <cell r="BM196">
            <v>-241592</v>
          </cell>
          <cell r="BN196">
            <v>-2982</v>
          </cell>
          <cell r="BO196">
            <v>0</v>
          </cell>
          <cell r="BP196">
            <v>0</v>
          </cell>
          <cell r="BQ196">
            <v>-2036907</v>
          </cell>
          <cell r="BR196">
            <v>-1977530</v>
          </cell>
          <cell r="BS196">
            <v>0</v>
          </cell>
          <cell r="BT196">
            <v>103585253</v>
          </cell>
          <cell r="BU196">
            <v>-580143</v>
          </cell>
          <cell r="BV196">
            <v>4992120</v>
          </cell>
          <cell r="BW196">
            <v>-1867038</v>
          </cell>
          <cell r="BX196">
            <v>-4104556</v>
          </cell>
          <cell r="BY196">
            <v>-2798792</v>
          </cell>
          <cell r="BZ196">
            <v>92195950</v>
          </cell>
          <cell r="CA196">
            <v>-2052278</v>
          </cell>
          <cell r="CB196">
            <v>-1641822</v>
          </cell>
          <cell r="CC196">
            <v>-410456</v>
          </cell>
          <cell r="CD196">
            <v>0</v>
          </cell>
          <cell r="CE196">
            <v>-1399396</v>
          </cell>
          <cell r="CF196">
            <v>-1119517</v>
          </cell>
          <cell r="CG196">
            <v>-279879</v>
          </cell>
          <cell r="CH196">
            <v>0</v>
          </cell>
        </row>
        <row r="197">
          <cell r="A197">
            <v>190</v>
          </cell>
          <cell r="B197" t="str">
            <v>Northumberland UA</v>
          </cell>
          <cell r="C197" t="str">
            <v>E2901</v>
          </cell>
          <cell r="D197">
            <v>479269</v>
          </cell>
          <cell r="H197">
            <v>1883856</v>
          </cell>
          <cell r="I197">
            <v>29189</v>
          </cell>
          <cell r="J197">
            <v>479269</v>
          </cell>
          <cell r="K197">
            <v>184394</v>
          </cell>
          <cell r="L197">
            <v>1860077</v>
          </cell>
          <cell r="M197">
            <v>0</v>
          </cell>
          <cell r="N197">
            <v>127854</v>
          </cell>
          <cell r="O197">
            <v>127854</v>
          </cell>
          <cell r="P197">
            <v>0</v>
          </cell>
          <cell r="Q197">
            <v>0</v>
          </cell>
          <cell r="R197">
            <v>2639541</v>
          </cell>
          <cell r="S197">
            <v>0</v>
          </cell>
          <cell r="T197">
            <v>0</v>
          </cell>
          <cell r="U197">
            <v>21825</v>
          </cell>
          <cell r="V197">
            <v>0</v>
          </cell>
          <cell r="W197">
            <v>0</v>
          </cell>
          <cell r="X197">
            <v>2538</v>
          </cell>
          <cell r="Y197">
            <v>0</v>
          </cell>
          <cell r="Z197">
            <v>0</v>
          </cell>
          <cell r="AA197">
            <v>10959</v>
          </cell>
          <cell r="AB197">
            <v>0</v>
          </cell>
          <cell r="AC197">
            <v>0</v>
          </cell>
          <cell r="AD197">
            <v>0</v>
          </cell>
          <cell r="AE197">
            <v>0</v>
          </cell>
          <cell r="AF197">
            <v>0</v>
          </cell>
          <cell r="AG197">
            <v>0</v>
          </cell>
          <cell r="AH197">
            <v>0</v>
          </cell>
          <cell r="AI197">
            <v>0</v>
          </cell>
          <cell r="AM197">
            <v>0</v>
          </cell>
          <cell r="AN197">
            <v>0</v>
          </cell>
          <cell r="AO197">
            <v>0</v>
          </cell>
          <cell r="AP197">
            <v>599065</v>
          </cell>
          <cell r="AQ197">
            <v>0</v>
          </cell>
          <cell r="AR197">
            <v>0</v>
          </cell>
          <cell r="AS197">
            <v>-785224.37</v>
          </cell>
          <cell r="AT197">
            <v>-785226</v>
          </cell>
          <cell r="AU197">
            <v>0</v>
          </cell>
          <cell r="AV197">
            <v>0</v>
          </cell>
          <cell r="AW197">
            <v>-1570450.3</v>
          </cell>
          <cell r="AX197">
            <v>-4229296</v>
          </cell>
          <cell r="AY197">
            <v>-4229296</v>
          </cell>
          <cell r="AZ197">
            <v>0</v>
          </cell>
          <cell r="BA197">
            <v>0</v>
          </cell>
          <cell r="BB197">
            <v>-8458592</v>
          </cell>
          <cell r="BC197">
            <v>75700312</v>
          </cell>
          <cell r="BD197">
            <v>-8492487</v>
          </cell>
          <cell r="BE197">
            <v>2079348</v>
          </cell>
          <cell r="BF197">
            <v>0</v>
          </cell>
          <cell r="BG197">
            <v>-6545461</v>
          </cell>
          <cell r="BH197">
            <v>-167873</v>
          </cell>
          <cell r="BI197">
            <v>-89473</v>
          </cell>
          <cell r="BJ197">
            <v>0</v>
          </cell>
          <cell r="BK197">
            <v>-2492563</v>
          </cell>
          <cell r="BL197">
            <v>-697370</v>
          </cell>
          <cell r="BM197">
            <v>-451075</v>
          </cell>
          <cell r="BN197">
            <v>-17351</v>
          </cell>
          <cell r="BO197">
            <v>-18714</v>
          </cell>
          <cell r="BP197">
            <v>-28991</v>
          </cell>
          <cell r="BQ197">
            <v>-141297</v>
          </cell>
          <cell r="BR197">
            <v>-140844</v>
          </cell>
          <cell r="BS197">
            <v>0</v>
          </cell>
          <cell r="BT197">
            <v>79156505</v>
          </cell>
          <cell r="BU197">
            <v>-656608</v>
          </cell>
          <cell r="BV197">
            <v>2874345</v>
          </cell>
          <cell r="BW197">
            <v>-276137</v>
          </cell>
          <cell r="BX197">
            <v>-2338876</v>
          </cell>
          <cell r="BY197">
            <v>-1385811</v>
          </cell>
          <cell r="BZ197">
            <v>75416571</v>
          </cell>
          <cell r="CA197">
            <v>-1169438</v>
          </cell>
          <cell r="CB197">
            <v>-1169438</v>
          </cell>
          <cell r="CC197">
            <v>0</v>
          </cell>
          <cell r="CD197">
            <v>0</v>
          </cell>
          <cell r="CE197">
            <v>-692905</v>
          </cell>
          <cell r="CF197">
            <v>-692906</v>
          </cell>
          <cell r="CG197">
            <v>0</v>
          </cell>
          <cell r="CH197">
            <v>0</v>
          </cell>
        </row>
        <row r="198">
          <cell r="A198">
            <v>191</v>
          </cell>
          <cell r="B198" t="str">
            <v>Norwich</v>
          </cell>
          <cell r="C198" t="str">
            <v>E2636</v>
          </cell>
          <cell r="D198">
            <v>270765</v>
          </cell>
          <cell r="H198">
            <v>-1056118</v>
          </cell>
          <cell r="I198">
            <v>0</v>
          </cell>
          <cell r="J198">
            <v>270765</v>
          </cell>
          <cell r="K198">
            <v>0</v>
          </cell>
          <cell r="L198">
            <v>0</v>
          </cell>
          <cell r="M198">
            <v>0</v>
          </cell>
          <cell r="N198">
            <v>0</v>
          </cell>
          <cell r="O198">
            <v>0</v>
          </cell>
          <cell r="P198">
            <v>0</v>
          </cell>
          <cell r="Q198">
            <v>0</v>
          </cell>
          <cell r="R198">
            <v>973122</v>
          </cell>
          <cell r="S198">
            <v>243280</v>
          </cell>
          <cell r="T198">
            <v>0</v>
          </cell>
          <cell r="U198">
            <v>2839</v>
          </cell>
          <cell r="V198">
            <v>710</v>
          </cell>
          <cell r="W198">
            <v>0</v>
          </cell>
          <cell r="X198">
            <v>0</v>
          </cell>
          <cell r="Y198">
            <v>0</v>
          </cell>
          <cell r="Z198">
            <v>0</v>
          </cell>
          <cell r="AA198">
            <v>24256</v>
          </cell>
          <cell r="AB198">
            <v>6064</v>
          </cell>
          <cell r="AC198">
            <v>0</v>
          </cell>
          <cell r="AD198">
            <v>0</v>
          </cell>
          <cell r="AE198">
            <v>0</v>
          </cell>
          <cell r="AF198">
            <v>0</v>
          </cell>
          <cell r="AG198">
            <v>0</v>
          </cell>
          <cell r="AH198">
            <v>0</v>
          </cell>
          <cell r="AI198">
            <v>0</v>
          </cell>
          <cell r="AM198">
            <v>0</v>
          </cell>
          <cell r="AN198">
            <v>0</v>
          </cell>
          <cell r="AO198">
            <v>0</v>
          </cell>
          <cell r="AP198">
            <v>453196</v>
          </cell>
          <cell r="AQ198">
            <v>113299</v>
          </cell>
          <cell r="AR198">
            <v>0</v>
          </cell>
          <cell r="AS198">
            <v>-1019259</v>
          </cell>
          <cell r="AT198">
            <v>-815406.2</v>
          </cell>
          <cell r="AU198">
            <v>-203851.8</v>
          </cell>
          <cell r="AV198">
            <v>0</v>
          </cell>
          <cell r="AW198">
            <v>-2038517</v>
          </cell>
          <cell r="AX198">
            <v>-2702822</v>
          </cell>
          <cell r="AY198">
            <v>-2162259</v>
          </cell>
          <cell r="AZ198">
            <v>-540565</v>
          </cell>
          <cell r="BA198">
            <v>0</v>
          </cell>
          <cell r="BB198">
            <v>-5405646</v>
          </cell>
          <cell r="BC198">
            <v>77669940</v>
          </cell>
          <cell r="BD198">
            <v>-3573189</v>
          </cell>
          <cell r="BE198">
            <v>2220459</v>
          </cell>
          <cell r="BF198">
            <v>0</v>
          </cell>
          <cell r="BG198">
            <v>-5847834</v>
          </cell>
          <cell r="BH198">
            <v>-24830</v>
          </cell>
          <cell r="BI198">
            <v>0</v>
          </cell>
          <cell r="BJ198">
            <v>-30854</v>
          </cell>
          <cell r="BK198">
            <v>-3861010</v>
          </cell>
          <cell r="BL198">
            <v>-102371</v>
          </cell>
          <cell r="BM198">
            <v>-93123</v>
          </cell>
          <cell r="BN198">
            <v>0</v>
          </cell>
          <cell r="BO198">
            <v>0</v>
          </cell>
          <cell r="BP198">
            <v>0</v>
          </cell>
          <cell r="BQ198">
            <v>0</v>
          </cell>
          <cell r="BR198">
            <v>0</v>
          </cell>
          <cell r="BS198">
            <v>0</v>
          </cell>
          <cell r="BT198">
            <v>80867435</v>
          </cell>
          <cell r="BU198">
            <v>-447552</v>
          </cell>
          <cell r="BV198">
            <v>3514145</v>
          </cell>
          <cell r="BW198">
            <v>-1066217</v>
          </cell>
          <cell r="BX198">
            <v>-122672</v>
          </cell>
          <cell r="BY198">
            <v>-329576</v>
          </cell>
          <cell r="BZ198">
            <v>75424790</v>
          </cell>
          <cell r="CA198">
            <v>-61335</v>
          </cell>
          <cell r="CB198">
            <v>-49069</v>
          </cell>
          <cell r="CC198">
            <v>-12268</v>
          </cell>
          <cell r="CD198">
            <v>0</v>
          </cell>
          <cell r="CE198">
            <v>-164788</v>
          </cell>
          <cell r="CF198">
            <v>-131830</v>
          </cell>
          <cell r="CG198">
            <v>-32958</v>
          </cell>
          <cell r="CH198">
            <v>0</v>
          </cell>
        </row>
        <row r="199">
          <cell r="A199">
            <v>192</v>
          </cell>
          <cell r="B199" t="str">
            <v>Nottingham</v>
          </cell>
          <cell r="C199" t="str">
            <v>E3001</v>
          </cell>
          <cell r="D199">
            <v>493121</v>
          </cell>
          <cell r="H199">
            <v>7340042</v>
          </cell>
          <cell r="I199">
            <v>472695</v>
          </cell>
          <cell r="J199">
            <v>498121</v>
          </cell>
          <cell r="K199">
            <v>0</v>
          </cell>
          <cell r="L199">
            <v>0</v>
          </cell>
          <cell r="M199">
            <v>0</v>
          </cell>
          <cell r="N199">
            <v>0</v>
          </cell>
          <cell r="O199">
            <v>0</v>
          </cell>
          <cell r="P199">
            <v>0</v>
          </cell>
          <cell r="Q199">
            <v>0</v>
          </cell>
          <cell r="R199">
            <v>1960933</v>
          </cell>
          <cell r="S199">
            <v>0</v>
          </cell>
          <cell r="T199">
            <v>35419</v>
          </cell>
          <cell r="U199">
            <v>16433</v>
          </cell>
          <cell r="V199">
            <v>0</v>
          </cell>
          <cell r="W199">
            <v>273</v>
          </cell>
          <cell r="X199">
            <v>0</v>
          </cell>
          <cell r="Y199">
            <v>0</v>
          </cell>
          <cell r="Z199">
            <v>0</v>
          </cell>
          <cell r="AA199">
            <v>6527</v>
          </cell>
          <cell r="AB199">
            <v>0</v>
          </cell>
          <cell r="AC199">
            <v>71</v>
          </cell>
          <cell r="AD199">
            <v>0</v>
          </cell>
          <cell r="AE199">
            <v>0</v>
          </cell>
          <cell r="AF199">
            <v>0</v>
          </cell>
          <cell r="AG199">
            <v>0</v>
          </cell>
          <cell r="AH199">
            <v>0</v>
          </cell>
          <cell r="AI199">
            <v>0</v>
          </cell>
          <cell r="AM199">
            <v>0</v>
          </cell>
          <cell r="AN199">
            <v>0</v>
          </cell>
          <cell r="AO199">
            <v>0</v>
          </cell>
          <cell r="AP199">
            <v>1013783</v>
          </cell>
          <cell r="AQ199">
            <v>0</v>
          </cell>
          <cell r="AR199">
            <v>20689</v>
          </cell>
          <cell r="AS199">
            <v>-3309724</v>
          </cell>
          <cell r="AT199">
            <v>-3243531</v>
          </cell>
          <cell r="AU199">
            <v>0</v>
          </cell>
          <cell r="AV199">
            <v>-66195</v>
          </cell>
          <cell r="AW199">
            <v>-6619450</v>
          </cell>
          <cell r="AX199">
            <v>-9494433</v>
          </cell>
          <cell r="AY199">
            <v>-9304545</v>
          </cell>
          <cell r="AZ199">
            <v>0</v>
          </cell>
          <cell r="BA199">
            <v>-189889</v>
          </cell>
          <cell r="BB199">
            <v>-18988867</v>
          </cell>
          <cell r="BC199">
            <v>132103516</v>
          </cell>
          <cell r="BD199">
            <v>-5909812</v>
          </cell>
          <cell r="BE199">
            <v>3782081</v>
          </cell>
          <cell r="BF199">
            <v>0</v>
          </cell>
          <cell r="BG199">
            <v>-13290357</v>
          </cell>
          <cell r="BH199">
            <v>-66291</v>
          </cell>
          <cell r="BI199">
            <v>0</v>
          </cell>
          <cell r="BJ199">
            <v>-422536</v>
          </cell>
          <cell r="BK199">
            <v>-6186070</v>
          </cell>
          <cell r="BL199">
            <v>-189435</v>
          </cell>
          <cell r="BM199">
            <v>-574528</v>
          </cell>
          <cell r="BN199">
            <v>-845</v>
          </cell>
          <cell r="BO199">
            <v>0</v>
          </cell>
          <cell r="BP199">
            <v>0</v>
          </cell>
          <cell r="BQ199">
            <v>-71608</v>
          </cell>
          <cell r="BR199">
            <v>0</v>
          </cell>
          <cell r="BS199">
            <v>0</v>
          </cell>
          <cell r="BT199">
            <v>131248233</v>
          </cell>
          <cell r="BU199">
            <v>-997600</v>
          </cell>
          <cell r="BV199">
            <v>10735128</v>
          </cell>
          <cell r="BW199">
            <v>-2212665</v>
          </cell>
          <cell r="BX199">
            <v>-6126742</v>
          </cell>
          <cell r="BY199">
            <v>-8587596</v>
          </cell>
          <cell r="BZ199">
            <v>137732616</v>
          </cell>
          <cell r="CA199">
            <v>-3063372</v>
          </cell>
          <cell r="CB199">
            <v>-3002103</v>
          </cell>
          <cell r="CC199">
            <v>0</v>
          </cell>
          <cell r="CD199">
            <v>-61267</v>
          </cell>
          <cell r="CE199">
            <v>-4293798</v>
          </cell>
          <cell r="CF199">
            <v>-4207922</v>
          </cell>
          <cell r="CG199">
            <v>0</v>
          </cell>
          <cell r="CH199">
            <v>-85876</v>
          </cell>
        </row>
        <row r="200">
          <cell r="A200">
            <v>193</v>
          </cell>
          <cell r="B200" t="str">
            <v>Nuneaton and Bedworth</v>
          </cell>
          <cell r="C200" t="str">
            <v>E3732</v>
          </cell>
          <cell r="D200">
            <v>130142</v>
          </cell>
          <cell r="H200">
            <v>-1150933.27</v>
          </cell>
          <cell r="I200">
            <v>0</v>
          </cell>
          <cell r="J200">
            <v>130142</v>
          </cell>
          <cell r="K200">
            <v>0</v>
          </cell>
          <cell r="L200">
            <v>0</v>
          </cell>
          <cell r="M200">
            <v>0</v>
          </cell>
          <cell r="N200">
            <v>0</v>
          </cell>
          <cell r="O200">
            <v>0</v>
          </cell>
          <cell r="P200">
            <v>0</v>
          </cell>
          <cell r="Q200">
            <v>0</v>
          </cell>
          <cell r="R200">
            <v>592779</v>
          </cell>
          <cell r="S200">
            <v>148195</v>
          </cell>
          <cell r="T200">
            <v>0</v>
          </cell>
          <cell r="U200">
            <v>0</v>
          </cell>
          <cell r="V200">
            <v>0</v>
          </cell>
          <cell r="W200">
            <v>0</v>
          </cell>
          <cell r="X200">
            <v>75</v>
          </cell>
          <cell r="Y200">
            <v>19</v>
          </cell>
          <cell r="Z200">
            <v>0</v>
          </cell>
          <cell r="AA200">
            <v>2187</v>
          </cell>
          <cell r="AB200">
            <v>547</v>
          </cell>
          <cell r="AC200">
            <v>0</v>
          </cell>
          <cell r="AD200">
            <v>0</v>
          </cell>
          <cell r="AE200">
            <v>0</v>
          </cell>
          <cell r="AF200">
            <v>0</v>
          </cell>
          <cell r="AG200">
            <v>0</v>
          </cell>
          <cell r="AH200">
            <v>0</v>
          </cell>
          <cell r="AI200">
            <v>0</v>
          </cell>
          <cell r="AM200">
            <v>0</v>
          </cell>
          <cell r="AN200">
            <v>0</v>
          </cell>
          <cell r="AO200">
            <v>0</v>
          </cell>
          <cell r="AP200">
            <v>200937</v>
          </cell>
          <cell r="AQ200">
            <v>50234</v>
          </cell>
          <cell r="AR200">
            <v>0</v>
          </cell>
          <cell r="AS200">
            <v>-151550</v>
          </cell>
          <cell r="AT200">
            <v>-121240</v>
          </cell>
          <cell r="AU200">
            <v>-30310</v>
          </cell>
          <cell r="AV200">
            <v>0</v>
          </cell>
          <cell r="AW200">
            <v>-303100</v>
          </cell>
          <cell r="AX200">
            <v>-1753217.5</v>
          </cell>
          <cell r="AY200">
            <v>-1402575</v>
          </cell>
          <cell r="AZ200">
            <v>-350644</v>
          </cell>
          <cell r="BA200">
            <v>0</v>
          </cell>
          <cell r="BB200">
            <v>-3506436.5</v>
          </cell>
          <cell r="BC200">
            <v>36214084</v>
          </cell>
          <cell r="BD200">
            <v>-2099144</v>
          </cell>
          <cell r="BE200">
            <v>930804</v>
          </cell>
          <cell r="BF200">
            <v>0</v>
          </cell>
          <cell r="BG200">
            <v>-2020479</v>
          </cell>
          <cell r="BH200">
            <v>-23757</v>
          </cell>
          <cell r="BI200">
            <v>0</v>
          </cell>
          <cell r="BJ200">
            <v>0</v>
          </cell>
          <cell r="BK200">
            <v>-1098491</v>
          </cell>
          <cell r="BL200">
            <v>-13027</v>
          </cell>
          <cell r="BM200">
            <v>-23976</v>
          </cell>
          <cell r="BN200">
            <v>0</v>
          </cell>
          <cell r="BO200">
            <v>0</v>
          </cell>
          <cell r="BP200">
            <v>0</v>
          </cell>
          <cell r="BQ200">
            <v>-50244</v>
          </cell>
          <cell r="BR200">
            <v>0</v>
          </cell>
          <cell r="BS200">
            <v>0</v>
          </cell>
          <cell r="BT200">
            <v>35731104</v>
          </cell>
          <cell r="BU200">
            <v>-275856</v>
          </cell>
          <cell r="BV200">
            <v>1358265</v>
          </cell>
          <cell r="BW200">
            <v>-153368</v>
          </cell>
          <cell r="BX200">
            <v>1126497</v>
          </cell>
          <cell r="BY200">
            <v>591698</v>
          </cell>
          <cell r="BZ200">
            <v>33441651</v>
          </cell>
          <cell r="CA200">
            <v>563249</v>
          </cell>
          <cell r="CB200">
            <v>450599</v>
          </cell>
          <cell r="CC200">
            <v>112649</v>
          </cell>
          <cell r="CD200">
            <v>0</v>
          </cell>
          <cell r="CE200">
            <v>295849</v>
          </cell>
          <cell r="CF200">
            <v>236679</v>
          </cell>
          <cell r="CG200">
            <v>59170</v>
          </cell>
          <cell r="CH200">
            <v>0</v>
          </cell>
        </row>
        <row r="201">
          <cell r="A201">
            <v>194</v>
          </cell>
          <cell r="B201" t="str">
            <v>Oadby and Wigston</v>
          </cell>
          <cell r="C201" t="str">
            <v>E2438</v>
          </cell>
          <cell r="D201">
            <v>55691</v>
          </cell>
          <cell r="H201">
            <v>426264</v>
          </cell>
          <cell r="I201">
            <v>0</v>
          </cell>
          <cell r="J201">
            <v>55691</v>
          </cell>
          <cell r="K201">
            <v>0</v>
          </cell>
          <cell r="L201">
            <v>0</v>
          </cell>
          <cell r="M201">
            <v>0</v>
          </cell>
          <cell r="N201">
            <v>0</v>
          </cell>
          <cell r="O201">
            <v>0</v>
          </cell>
          <cell r="P201">
            <v>0</v>
          </cell>
          <cell r="Q201">
            <v>0</v>
          </cell>
          <cell r="R201">
            <v>316324</v>
          </cell>
          <cell r="S201">
            <v>71173</v>
          </cell>
          <cell r="T201">
            <v>7908</v>
          </cell>
          <cell r="U201">
            <v>4059</v>
          </cell>
          <cell r="V201">
            <v>914</v>
          </cell>
          <cell r="W201">
            <v>102</v>
          </cell>
          <cell r="X201">
            <v>0</v>
          </cell>
          <cell r="Y201">
            <v>0</v>
          </cell>
          <cell r="Z201">
            <v>0</v>
          </cell>
          <cell r="AA201">
            <v>0</v>
          </cell>
          <cell r="AB201">
            <v>0</v>
          </cell>
          <cell r="AC201">
            <v>0</v>
          </cell>
          <cell r="AD201">
            <v>0</v>
          </cell>
          <cell r="AE201">
            <v>0</v>
          </cell>
          <cell r="AF201">
            <v>0</v>
          </cell>
          <cell r="AG201">
            <v>0</v>
          </cell>
          <cell r="AH201">
            <v>0</v>
          </cell>
          <cell r="AI201">
            <v>0</v>
          </cell>
          <cell r="AM201">
            <v>0</v>
          </cell>
          <cell r="AN201">
            <v>0</v>
          </cell>
          <cell r="AO201">
            <v>0</v>
          </cell>
          <cell r="AP201">
            <v>72339</v>
          </cell>
          <cell r="AQ201">
            <v>16276</v>
          </cell>
          <cell r="AR201">
            <v>1808</v>
          </cell>
          <cell r="AS201">
            <v>-148199.20000000001</v>
          </cell>
          <cell r="AT201">
            <v>-118562</v>
          </cell>
          <cell r="AU201">
            <v>-26676</v>
          </cell>
          <cell r="AV201">
            <v>-2965</v>
          </cell>
          <cell r="AW201">
            <v>-296402.2</v>
          </cell>
          <cell r="AX201">
            <v>-719415</v>
          </cell>
          <cell r="AY201">
            <v>-575531</v>
          </cell>
          <cell r="AZ201">
            <v>-129495</v>
          </cell>
          <cell r="BA201">
            <v>-14388</v>
          </cell>
          <cell r="BB201">
            <v>-1438829</v>
          </cell>
          <cell r="BC201">
            <v>12091292</v>
          </cell>
          <cell r="BD201">
            <v>-1031933</v>
          </cell>
          <cell r="BE201">
            <v>327326</v>
          </cell>
          <cell r="BF201">
            <v>0</v>
          </cell>
          <cell r="BG201">
            <v>-1526742</v>
          </cell>
          <cell r="BH201">
            <v>0</v>
          </cell>
          <cell r="BI201">
            <v>0</v>
          </cell>
          <cell r="BJ201">
            <v>0</v>
          </cell>
          <cell r="BK201">
            <v>-418443</v>
          </cell>
          <cell r="BL201">
            <v>-73802</v>
          </cell>
          <cell r="BM201">
            <v>-13518</v>
          </cell>
          <cell r="BN201">
            <v>0</v>
          </cell>
          <cell r="BO201">
            <v>0</v>
          </cell>
          <cell r="BP201">
            <v>0</v>
          </cell>
          <cell r="BQ201">
            <v>0</v>
          </cell>
          <cell r="BR201">
            <v>0</v>
          </cell>
          <cell r="BS201">
            <v>0</v>
          </cell>
          <cell r="BT201">
            <v>12219154</v>
          </cell>
          <cell r="BU201">
            <v>-69179</v>
          </cell>
          <cell r="BV201">
            <v>986312</v>
          </cell>
          <cell r="BW201">
            <v>-380690</v>
          </cell>
          <cell r="BX201">
            <v>-138289</v>
          </cell>
          <cell r="BY201">
            <v>99585</v>
          </cell>
          <cell r="BZ201">
            <v>12039270</v>
          </cell>
          <cell r="CA201">
            <v>-69145</v>
          </cell>
          <cell r="CB201">
            <v>-55315</v>
          </cell>
          <cell r="CC201">
            <v>-12446</v>
          </cell>
          <cell r="CD201">
            <v>-1383</v>
          </cell>
          <cell r="CE201">
            <v>49792</v>
          </cell>
          <cell r="CF201">
            <v>39834</v>
          </cell>
          <cell r="CG201">
            <v>8963</v>
          </cell>
          <cell r="CH201">
            <v>996</v>
          </cell>
        </row>
        <row r="202">
          <cell r="A202">
            <v>195</v>
          </cell>
          <cell r="B202" t="str">
            <v>Oldham</v>
          </cell>
          <cell r="C202" t="str">
            <v>E4204</v>
          </cell>
          <cell r="D202">
            <v>307642</v>
          </cell>
          <cell r="H202">
            <v>-3113266</v>
          </cell>
          <cell r="I202">
            <v>0</v>
          </cell>
          <cell r="J202">
            <v>307642</v>
          </cell>
          <cell r="K202">
            <v>0</v>
          </cell>
          <cell r="L202">
            <v>2048</v>
          </cell>
          <cell r="M202">
            <v>0</v>
          </cell>
          <cell r="N202">
            <v>0</v>
          </cell>
          <cell r="O202">
            <v>0</v>
          </cell>
          <cell r="P202">
            <v>0</v>
          </cell>
          <cell r="Q202">
            <v>0</v>
          </cell>
          <cell r="R202">
            <v>3919181</v>
          </cell>
          <cell r="S202">
            <v>0</v>
          </cell>
          <cell r="T202">
            <v>39588</v>
          </cell>
          <cell r="U202">
            <v>201</v>
          </cell>
          <cell r="V202">
            <v>0</v>
          </cell>
          <cell r="W202">
            <v>2</v>
          </cell>
          <cell r="X202">
            <v>93238</v>
          </cell>
          <cell r="Y202">
            <v>0</v>
          </cell>
          <cell r="Z202">
            <v>942</v>
          </cell>
          <cell r="AA202">
            <v>10557</v>
          </cell>
          <cell r="AB202">
            <v>0</v>
          </cell>
          <cell r="AC202">
            <v>107</v>
          </cell>
          <cell r="AD202">
            <v>0</v>
          </cell>
          <cell r="AE202">
            <v>0</v>
          </cell>
          <cell r="AF202">
            <v>0</v>
          </cell>
          <cell r="AG202">
            <v>0</v>
          </cell>
          <cell r="AH202">
            <v>0</v>
          </cell>
          <cell r="AI202">
            <v>0</v>
          </cell>
          <cell r="AM202">
            <v>0</v>
          </cell>
          <cell r="AN202">
            <v>0</v>
          </cell>
          <cell r="AO202">
            <v>0</v>
          </cell>
          <cell r="AP202">
            <v>804066</v>
          </cell>
          <cell r="AQ202">
            <v>0</v>
          </cell>
          <cell r="AR202">
            <v>8122</v>
          </cell>
          <cell r="AS202">
            <v>-1824006</v>
          </cell>
          <cell r="AT202">
            <v>-1787527</v>
          </cell>
          <cell r="AU202">
            <v>0</v>
          </cell>
          <cell r="AV202">
            <v>-36482</v>
          </cell>
          <cell r="AW202">
            <v>-3648015</v>
          </cell>
          <cell r="AX202">
            <v>-3839804</v>
          </cell>
          <cell r="AY202">
            <v>-3763009</v>
          </cell>
          <cell r="AZ202">
            <v>0</v>
          </cell>
          <cell r="BA202">
            <v>-76798</v>
          </cell>
          <cell r="BB202">
            <v>-7679611</v>
          </cell>
          <cell r="BC202">
            <v>56059207</v>
          </cell>
          <cell r="BD202">
            <v>-6297076</v>
          </cell>
          <cell r="BE202">
            <v>1676966</v>
          </cell>
          <cell r="BF202">
            <v>0</v>
          </cell>
          <cell r="BG202">
            <v>-5937055</v>
          </cell>
          <cell r="BH202">
            <v>-84937</v>
          </cell>
          <cell r="BI202">
            <v>-7964</v>
          </cell>
          <cell r="BJ202">
            <v>-2336</v>
          </cell>
          <cell r="BK202">
            <v>-3490971</v>
          </cell>
          <cell r="BL202">
            <v>-220162</v>
          </cell>
          <cell r="BM202">
            <v>-115383</v>
          </cell>
          <cell r="BN202">
            <v>-152</v>
          </cell>
          <cell r="BO202">
            <v>-746</v>
          </cell>
          <cell r="BP202">
            <v>0</v>
          </cell>
          <cell r="BQ202">
            <v>0</v>
          </cell>
          <cell r="BR202">
            <v>0</v>
          </cell>
          <cell r="BS202">
            <v>0</v>
          </cell>
          <cell r="BT202">
            <v>58810160</v>
          </cell>
          <cell r="BU202">
            <v>-1649992</v>
          </cell>
          <cell r="BV202">
            <v>5849630</v>
          </cell>
          <cell r="BW202">
            <v>-2227735</v>
          </cell>
          <cell r="BX202">
            <v>-2647271</v>
          </cell>
          <cell r="BY202">
            <v>0</v>
          </cell>
          <cell r="BZ202">
            <v>54066419</v>
          </cell>
          <cell r="CA202">
            <v>-1323636</v>
          </cell>
          <cell r="CB202">
            <v>-1297163</v>
          </cell>
          <cell r="CC202">
            <v>0</v>
          </cell>
          <cell r="CD202">
            <v>-26472</v>
          </cell>
          <cell r="CE202">
            <v>0</v>
          </cell>
          <cell r="CF202">
            <v>0</v>
          </cell>
          <cell r="CG202">
            <v>0</v>
          </cell>
          <cell r="CH202">
            <v>0</v>
          </cell>
        </row>
        <row r="203">
          <cell r="A203">
            <v>196</v>
          </cell>
          <cell r="B203" t="str">
            <v>Oxford</v>
          </cell>
          <cell r="C203" t="str">
            <v>E3132</v>
          </cell>
          <cell r="D203">
            <v>218144</v>
          </cell>
          <cell r="H203">
            <v>613046</v>
          </cell>
          <cell r="I203">
            <v>0</v>
          </cell>
          <cell r="J203">
            <v>218144</v>
          </cell>
          <cell r="K203">
            <v>0</v>
          </cell>
          <cell r="L203">
            <v>7456</v>
          </cell>
          <cell r="M203">
            <v>0</v>
          </cell>
          <cell r="N203">
            <v>0</v>
          </cell>
          <cell r="O203">
            <v>0</v>
          </cell>
          <cell r="P203">
            <v>0</v>
          </cell>
          <cell r="Q203">
            <v>0</v>
          </cell>
          <cell r="R203">
            <v>362574</v>
          </cell>
          <cell r="S203">
            <v>90644</v>
          </cell>
          <cell r="T203">
            <v>0</v>
          </cell>
          <cell r="U203">
            <v>1665</v>
          </cell>
          <cell r="V203">
            <v>416</v>
          </cell>
          <cell r="W203">
            <v>0</v>
          </cell>
          <cell r="X203">
            <v>8120</v>
          </cell>
          <cell r="Y203">
            <v>2030</v>
          </cell>
          <cell r="Z203">
            <v>0</v>
          </cell>
          <cell r="AA203">
            <v>8120</v>
          </cell>
          <cell r="AB203">
            <v>2030</v>
          </cell>
          <cell r="AC203">
            <v>0</v>
          </cell>
          <cell r="AD203">
            <v>0</v>
          </cell>
          <cell r="AE203">
            <v>0</v>
          </cell>
          <cell r="AF203">
            <v>0</v>
          </cell>
          <cell r="AG203">
            <v>0</v>
          </cell>
          <cell r="AH203">
            <v>0</v>
          </cell>
          <cell r="AI203">
            <v>0</v>
          </cell>
          <cell r="AM203">
            <v>0</v>
          </cell>
          <cell r="AN203">
            <v>0</v>
          </cell>
          <cell r="AO203">
            <v>0</v>
          </cell>
          <cell r="AP203">
            <v>545863</v>
          </cell>
          <cell r="AQ203">
            <v>136438</v>
          </cell>
          <cell r="AR203">
            <v>0</v>
          </cell>
          <cell r="AS203">
            <v>-565791</v>
          </cell>
          <cell r="AT203">
            <v>-452634</v>
          </cell>
          <cell r="AU203">
            <v>-113159</v>
          </cell>
          <cell r="AV203">
            <v>0</v>
          </cell>
          <cell r="AW203">
            <v>-1131584</v>
          </cell>
          <cell r="AX203">
            <v>-6452042</v>
          </cell>
          <cell r="AY203">
            <v>-5161634</v>
          </cell>
          <cell r="AZ203">
            <v>-1290409</v>
          </cell>
          <cell r="BA203">
            <v>0</v>
          </cell>
          <cell r="BB203">
            <v>-12904085</v>
          </cell>
          <cell r="BC203">
            <v>86290997</v>
          </cell>
          <cell r="BD203">
            <v>-1233277</v>
          </cell>
          <cell r="BE203">
            <v>2774738</v>
          </cell>
          <cell r="BF203">
            <v>0</v>
          </cell>
          <cell r="BG203">
            <v>-20766110</v>
          </cell>
          <cell r="BH203">
            <v>-35009</v>
          </cell>
          <cell r="BI203">
            <v>0</v>
          </cell>
          <cell r="BJ203">
            <v>-23037</v>
          </cell>
          <cell r="BK203">
            <v>-1022129</v>
          </cell>
          <cell r="BL203">
            <v>0</v>
          </cell>
          <cell r="BM203">
            <v>-40140</v>
          </cell>
          <cell r="BN203">
            <v>0</v>
          </cell>
          <cell r="BO203">
            <v>0</v>
          </cell>
          <cell r="BP203">
            <v>0</v>
          </cell>
          <cell r="BQ203">
            <v>0</v>
          </cell>
          <cell r="BR203">
            <v>0</v>
          </cell>
          <cell r="BS203">
            <v>0</v>
          </cell>
          <cell r="BT203">
            <v>86126365</v>
          </cell>
          <cell r="BU203">
            <v>0</v>
          </cell>
          <cell r="BV203">
            <v>2045407</v>
          </cell>
          <cell r="BW203">
            <v>-2980815</v>
          </cell>
          <cell r="BX203">
            <v>1360025</v>
          </cell>
          <cell r="BY203">
            <v>513833</v>
          </cell>
          <cell r="BZ203">
            <v>90828491</v>
          </cell>
          <cell r="CA203">
            <v>680012</v>
          </cell>
          <cell r="CB203">
            <v>544010</v>
          </cell>
          <cell r="CC203">
            <v>136003</v>
          </cell>
          <cell r="CD203">
            <v>0</v>
          </cell>
          <cell r="CE203">
            <v>256917</v>
          </cell>
          <cell r="CF203">
            <v>205533</v>
          </cell>
          <cell r="CG203">
            <v>51383</v>
          </cell>
          <cell r="CH203">
            <v>0</v>
          </cell>
        </row>
        <row r="204">
          <cell r="A204">
            <v>197</v>
          </cell>
          <cell r="B204" t="str">
            <v>Pendle</v>
          </cell>
          <cell r="C204" t="str">
            <v>E2338</v>
          </cell>
          <cell r="D204">
            <v>133965</v>
          </cell>
          <cell r="H204">
            <v>-946778</v>
          </cell>
          <cell r="I204">
            <v>0</v>
          </cell>
          <cell r="J204">
            <v>133965</v>
          </cell>
          <cell r="K204">
            <v>0</v>
          </cell>
          <cell r="L204">
            <v>0</v>
          </cell>
          <cell r="M204">
            <v>0</v>
          </cell>
          <cell r="N204">
            <v>0</v>
          </cell>
          <cell r="O204">
            <v>0</v>
          </cell>
          <cell r="P204">
            <v>0</v>
          </cell>
          <cell r="Q204">
            <v>0</v>
          </cell>
          <cell r="R204">
            <v>674259</v>
          </cell>
          <cell r="S204">
            <v>151709</v>
          </cell>
          <cell r="T204">
            <v>16857</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M204">
            <v>0</v>
          </cell>
          <cell r="AN204">
            <v>0</v>
          </cell>
          <cell r="AO204">
            <v>0</v>
          </cell>
          <cell r="AP204">
            <v>102147</v>
          </cell>
          <cell r="AQ204">
            <v>22983</v>
          </cell>
          <cell r="AR204">
            <v>2554</v>
          </cell>
          <cell r="AS204">
            <v>-340000</v>
          </cell>
          <cell r="AT204">
            <v>-272000</v>
          </cell>
          <cell r="AU204">
            <v>-61200</v>
          </cell>
          <cell r="AV204">
            <v>-6800</v>
          </cell>
          <cell r="AW204">
            <v>-680000</v>
          </cell>
          <cell r="AX204">
            <v>-1593499</v>
          </cell>
          <cell r="AY204">
            <v>-1274801</v>
          </cell>
          <cell r="AZ204">
            <v>-286831</v>
          </cell>
          <cell r="BA204">
            <v>-31869</v>
          </cell>
          <cell r="BB204">
            <v>-3187000</v>
          </cell>
          <cell r="BC204">
            <v>20695442</v>
          </cell>
          <cell r="BD204">
            <v>-2928812</v>
          </cell>
          <cell r="BE204">
            <v>536370</v>
          </cell>
          <cell r="BF204">
            <v>0</v>
          </cell>
          <cell r="BG204">
            <v>-1198020</v>
          </cell>
          <cell r="BH204">
            <v>0</v>
          </cell>
          <cell r="BI204">
            <v>-951</v>
          </cell>
          <cell r="BJ204">
            <v>0</v>
          </cell>
          <cell r="BK204">
            <v>-1002015</v>
          </cell>
          <cell r="BL204">
            <v>-128007</v>
          </cell>
          <cell r="BM204">
            <v>-116105</v>
          </cell>
          <cell r="BN204">
            <v>0</v>
          </cell>
          <cell r="BO204">
            <v>-951</v>
          </cell>
          <cell r="BP204">
            <v>0</v>
          </cell>
          <cell r="BQ204">
            <v>0</v>
          </cell>
          <cell r="BR204">
            <v>0</v>
          </cell>
          <cell r="BS204">
            <v>0</v>
          </cell>
          <cell r="BT204">
            <v>20304085</v>
          </cell>
          <cell r="BU204">
            <v>0</v>
          </cell>
          <cell r="BV204">
            <v>631116</v>
          </cell>
          <cell r="BW204">
            <v>-243780</v>
          </cell>
          <cell r="BX204">
            <v>-56672</v>
          </cell>
          <cell r="BY204">
            <v>-1047864</v>
          </cell>
          <cell r="BZ204">
            <v>17000188</v>
          </cell>
          <cell r="CA204">
            <v>-28337</v>
          </cell>
          <cell r="CB204">
            <v>-22668</v>
          </cell>
          <cell r="CC204">
            <v>-5100</v>
          </cell>
          <cell r="CD204">
            <v>-567</v>
          </cell>
          <cell r="CE204">
            <v>-523931</v>
          </cell>
          <cell r="CF204">
            <v>-419146</v>
          </cell>
          <cell r="CG204">
            <v>-94308</v>
          </cell>
          <cell r="CH204">
            <v>-10479</v>
          </cell>
        </row>
        <row r="205">
          <cell r="A205">
            <v>198</v>
          </cell>
          <cell r="B205" t="str">
            <v>Peterborough</v>
          </cell>
          <cell r="C205" t="str">
            <v>E0501</v>
          </cell>
          <cell r="D205">
            <v>268347</v>
          </cell>
          <cell r="H205">
            <v>-4544544</v>
          </cell>
          <cell r="I205">
            <v>0</v>
          </cell>
          <cell r="J205">
            <v>268347</v>
          </cell>
          <cell r="K205">
            <v>0</v>
          </cell>
          <cell r="L205">
            <v>279000</v>
          </cell>
          <cell r="M205">
            <v>0</v>
          </cell>
          <cell r="N205">
            <v>0</v>
          </cell>
          <cell r="O205">
            <v>0</v>
          </cell>
          <cell r="P205">
            <v>0</v>
          </cell>
          <cell r="Q205">
            <v>0</v>
          </cell>
          <cell r="R205">
            <v>1336112</v>
          </cell>
          <cell r="S205">
            <v>0</v>
          </cell>
          <cell r="T205">
            <v>27268</v>
          </cell>
          <cell r="U205">
            <v>10951</v>
          </cell>
          <cell r="V205">
            <v>0</v>
          </cell>
          <cell r="W205">
            <v>223</v>
          </cell>
          <cell r="X205">
            <v>0</v>
          </cell>
          <cell r="Y205">
            <v>0</v>
          </cell>
          <cell r="Z205">
            <v>0</v>
          </cell>
          <cell r="AA205">
            <v>5063</v>
          </cell>
          <cell r="AB205">
            <v>0</v>
          </cell>
          <cell r="AC205">
            <v>103</v>
          </cell>
          <cell r="AD205">
            <v>0</v>
          </cell>
          <cell r="AE205">
            <v>0</v>
          </cell>
          <cell r="AF205">
            <v>0</v>
          </cell>
          <cell r="AG205">
            <v>0</v>
          </cell>
          <cell r="AH205">
            <v>0</v>
          </cell>
          <cell r="AI205">
            <v>0</v>
          </cell>
          <cell r="AM205">
            <v>0</v>
          </cell>
          <cell r="AN205">
            <v>0</v>
          </cell>
          <cell r="AO205">
            <v>0</v>
          </cell>
          <cell r="AP205">
            <v>656929</v>
          </cell>
          <cell r="AQ205">
            <v>0</v>
          </cell>
          <cell r="AR205">
            <v>13321</v>
          </cell>
          <cell r="AS205">
            <v>-4230382</v>
          </cell>
          <cell r="AT205">
            <v>-4145776</v>
          </cell>
          <cell r="AU205">
            <v>0</v>
          </cell>
          <cell r="AV205">
            <v>-84608</v>
          </cell>
          <cell r="AW205">
            <v>-8460766</v>
          </cell>
          <cell r="AX205">
            <v>-4680429</v>
          </cell>
          <cell r="AY205">
            <v>-4586819</v>
          </cell>
          <cell r="AZ205">
            <v>0</v>
          </cell>
          <cell r="BA205">
            <v>-93608</v>
          </cell>
          <cell r="BB205">
            <v>-9360856</v>
          </cell>
          <cell r="BC205">
            <v>97386434</v>
          </cell>
          <cell r="BD205">
            <v>-3362317</v>
          </cell>
          <cell r="BE205">
            <v>2694012</v>
          </cell>
          <cell r="BF205">
            <v>0</v>
          </cell>
          <cell r="BG205">
            <v>-6224139</v>
          </cell>
          <cell r="BH205">
            <v>-60584</v>
          </cell>
          <cell r="BI205">
            <v>-16153</v>
          </cell>
          <cell r="BJ205">
            <v>-5379</v>
          </cell>
          <cell r="BK205">
            <v>-2333672</v>
          </cell>
          <cell r="BL205">
            <v>-306575</v>
          </cell>
          <cell r="BM205">
            <v>-51961</v>
          </cell>
          <cell r="BN205">
            <v>-3216</v>
          </cell>
          <cell r="BO205">
            <v>-3032</v>
          </cell>
          <cell r="BP205">
            <v>-445</v>
          </cell>
          <cell r="BQ205">
            <v>0</v>
          </cell>
          <cell r="BR205">
            <v>0</v>
          </cell>
          <cell r="BS205">
            <v>0</v>
          </cell>
          <cell r="BT205">
            <v>99085061</v>
          </cell>
          <cell r="BU205">
            <v>-281762</v>
          </cell>
          <cell r="BV205">
            <v>10591316</v>
          </cell>
          <cell r="BW205">
            <v>-2619982</v>
          </cell>
          <cell r="BX205">
            <v>-2311152</v>
          </cell>
          <cell r="BY205">
            <v>-2364000</v>
          </cell>
          <cell r="BZ205">
            <v>88681000</v>
          </cell>
          <cell r="CA205">
            <v>-1155576</v>
          </cell>
          <cell r="CB205">
            <v>-1132464</v>
          </cell>
          <cell r="CC205">
            <v>0</v>
          </cell>
          <cell r="CD205">
            <v>-23112</v>
          </cell>
          <cell r="CE205">
            <v>-1182000</v>
          </cell>
          <cell r="CF205">
            <v>-1158360</v>
          </cell>
          <cell r="CG205">
            <v>0</v>
          </cell>
          <cell r="CH205">
            <v>-23640</v>
          </cell>
        </row>
        <row r="206">
          <cell r="A206">
            <v>199</v>
          </cell>
          <cell r="B206" t="str">
            <v>Plymouth</v>
          </cell>
          <cell r="C206" t="str">
            <v>E1101</v>
          </cell>
          <cell r="D206">
            <v>310944</v>
          </cell>
          <cell r="H206">
            <v>-4890736</v>
          </cell>
          <cell r="I206">
            <v>0</v>
          </cell>
          <cell r="J206">
            <v>310944</v>
          </cell>
          <cell r="K206">
            <v>0</v>
          </cell>
          <cell r="L206">
            <v>213987</v>
          </cell>
          <cell r="M206">
            <v>0</v>
          </cell>
          <cell r="N206">
            <v>0</v>
          </cell>
          <cell r="O206">
            <v>0</v>
          </cell>
          <cell r="P206">
            <v>0</v>
          </cell>
          <cell r="Q206">
            <v>0</v>
          </cell>
          <cell r="R206">
            <v>1596249</v>
          </cell>
          <cell r="S206">
            <v>0</v>
          </cell>
          <cell r="T206">
            <v>32576</v>
          </cell>
          <cell r="U206">
            <v>6963</v>
          </cell>
          <cell r="V206">
            <v>0</v>
          </cell>
          <cell r="W206">
            <v>142</v>
          </cell>
          <cell r="X206">
            <v>19845</v>
          </cell>
          <cell r="Y206">
            <v>0</v>
          </cell>
          <cell r="Z206">
            <v>405</v>
          </cell>
          <cell r="AA206">
            <v>45951</v>
          </cell>
          <cell r="AB206">
            <v>0</v>
          </cell>
          <cell r="AC206">
            <v>938</v>
          </cell>
          <cell r="AD206">
            <v>0</v>
          </cell>
          <cell r="AE206">
            <v>0</v>
          </cell>
          <cell r="AF206">
            <v>0</v>
          </cell>
          <cell r="AG206">
            <v>0</v>
          </cell>
          <cell r="AH206">
            <v>0</v>
          </cell>
          <cell r="AI206">
            <v>0</v>
          </cell>
          <cell r="AM206">
            <v>0</v>
          </cell>
          <cell r="AN206">
            <v>0</v>
          </cell>
          <cell r="AO206">
            <v>0</v>
          </cell>
          <cell r="AP206">
            <v>648363</v>
          </cell>
          <cell r="AQ206">
            <v>0</v>
          </cell>
          <cell r="AR206">
            <v>13166</v>
          </cell>
          <cell r="AS206">
            <v>-315442.59000000003</v>
          </cell>
          <cell r="AT206">
            <v>-309135</v>
          </cell>
          <cell r="AU206">
            <v>0</v>
          </cell>
          <cell r="AV206">
            <v>-6309</v>
          </cell>
          <cell r="AW206">
            <v>-630886.59</v>
          </cell>
          <cell r="AX206">
            <v>-1080869</v>
          </cell>
          <cell r="AY206">
            <v>-1059251</v>
          </cell>
          <cell r="AZ206">
            <v>0</v>
          </cell>
          <cell r="BA206">
            <v>-21616</v>
          </cell>
          <cell r="BB206">
            <v>-2161736</v>
          </cell>
          <cell r="BC206">
            <v>89693953</v>
          </cell>
          <cell r="BD206">
            <v>-4849878</v>
          </cell>
          <cell r="BE206">
            <v>2595239</v>
          </cell>
          <cell r="BF206">
            <v>0</v>
          </cell>
          <cell r="BG206">
            <v>-10383450</v>
          </cell>
          <cell r="BH206">
            <v>-11479</v>
          </cell>
          <cell r="BI206">
            <v>0</v>
          </cell>
          <cell r="BJ206">
            <v>-28576</v>
          </cell>
          <cell r="BK206">
            <v>-2936964</v>
          </cell>
          <cell r="BL206">
            <v>0</v>
          </cell>
          <cell r="BM206">
            <v>-63275</v>
          </cell>
          <cell r="BN206">
            <v>0</v>
          </cell>
          <cell r="BO206">
            <v>0</v>
          </cell>
          <cell r="BP206">
            <v>0</v>
          </cell>
          <cell r="BQ206">
            <v>-65347</v>
          </cell>
          <cell r="BR206">
            <v>0</v>
          </cell>
          <cell r="BS206">
            <v>0</v>
          </cell>
          <cell r="BT206">
            <v>91614773</v>
          </cell>
          <cell r="BU206">
            <v>-655447</v>
          </cell>
          <cell r="BV206">
            <v>2337891</v>
          </cell>
          <cell r="BW206">
            <v>-1897902</v>
          </cell>
          <cell r="BX206">
            <v>-6573785</v>
          </cell>
          <cell r="BY206">
            <v>-746565</v>
          </cell>
          <cell r="BZ206">
            <v>87649972</v>
          </cell>
          <cell r="CA206">
            <v>-3286892</v>
          </cell>
          <cell r="CB206">
            <v>-3221155</v>
          </cell>
          <cell r="CC206">
            <v>0</v>
          </cell>
          <cell r="CD206">
            <v>-65738</v>
          </cell>
          <cell r="CE206">
            <v>-373282</v>
          </cell>
          <cell r="CF206">
            <v>-365817</v>
          </cell>
          <cell r="CG206">
            <v>0</v>
          </cell>
          <cell r="CH206">
            <v>-7466</v>
          </cell>
        </row>
        <row r="207">
          <cell r="A207">
            <v>200</v>
          </cell>
          <cell r="B207" t="str">
            <v>Poole</v>
          </cell>
          <cell r="C207" t="str">
            <v>E1201</v>
          </cell>
          <cell r="D207">
            <v>230423</v>
          </cell>
          <cell r="H207">
            <v>-1069200</v>
          </cell>
          <cell r="I207">
            <v>0</v>
          </cell>
          <cell r="J207">
            <v>230423</v>
          </cell>
          <cell r="K207">
            <v>0</v>
          </cell>
          <cell r="L207">
            <v>395</v>
          </cell>
          <cell r="M207">
            <v>0</v>
          </cell>
          <cell r="N207">
            <v>0</v>
          </cell>
          <cell r="O207">
            <v>0</v>
          </cell>
          <cell r="P207">
            <v>0</v>
          </cell>
          <cell r="Q207">
            <v>0</v>
          </cell>
          <cell r="R207">
            <v>1094157</v>
          </cell>
          <cell r="S207">
            <v>0</v>
          </cell>
          <cell r="T207">
            <v>22330</v>
          </cell>
          <cell r="U207">
            <v>5192</v>
          </cell>
          <cell r="V207">
            <v>0</v>
          </cell>
          <cell r="W207">
            <v>106</v>
          </cell>
          <cell r="X207">
            <v>0</v>
          </cell>
          <cell r="Y207">
            <v>0</v>
          </cell>
          <cell r="Z207">
            <v>0</v>
          </cell>
          <cell r="AA207">
            <v>9485</v>
          </cell>
          <cell r="AB207">
            <v>0</v>
          </cell>
          <cell r="AC207">
            <v>194</v>
          </cell>
          <cell r="AD207">
            <v>0</v>
          </cell>
          <cell r="AE207">
            <v>0</v>
          </cell>
          <cell r="AF207">
            <v>0</v>
          </cell>
          <cell r="AG207">
            <v>0</v>
          </cell>
          <cell r="AH207">
            <v>0</v>
          </cell>
          <cell r="AI207">
            <v>0</v>
          </cell>
          <cell r="AM207">
            <v>0</v>
          </cell>
          <cell r="AN207">
            <v>0</v>
          </cell>
          <cell r="AO207">
            <v>0</v>
          </cell>
          <cell r="AP207">
            <v>420001</v>
          </cell>
          <cell r="AQ207">
            <v>0</v>
          </cell>
          <cell r="AR207">
            <v>8571</v>
          </cell>
          <cell r="AS207">
            <v>-220365</v>
          </cell>
          <cell r="AT207">
            <v>-215956</v>
          </cell>
          <cell r="AU207">
            <v>0</v>
          </cell>
          <cell r="AV207">
            <v>-4408</v>
          </cell>
          <cell r="AW207">
            <v>-440728</v>
          </cell>
          <cell r="AX207">
            <v>-2794013</v>
          </cell>
          <cell r="AY207">
            <v>-2738130</v>
          </cell>
          <cell r="AZ207">
            <v>0</v>
          </cell>
          <cell r="BA207">
            <v>-55879</v>
          </cell>
          <cell r="BB207">
            <v>-5588023</v>
          </cell>
          <cell r="BC207">
            <v>62324464</v>
          </cell>
          <cell r="BD207">
            <v>-3212743</v>
          </cell>
          <cell r="BE207">
            <v>1731333</v>
          </cell>
          <cell r="BF207">
            <v>0</v>
          </cell>
          <cell r="BG207">
            <v>-5686660</v>
          </cell>
          <cell r="BH207">
            <v>-50989</v>
          </cell>
          <cell r="BI207">
            <v>0</v>
          </cell>
          <cell r="BJ207">
            <v>-40519</v>
          </cell>
          <cell r="BK207">
            <v>-1665502</v>
          </cell>
          <cell r="BL207">
            <v>-182216</v>
          </cell>
          <cell r="BM207">
            <v>-39718</v>
          </cell>
          <cell r="BN207">
            <v>-4557</v>
          </cell>
          <cell r="BO207">
            <v>0</v>
          </cell>
          <cell r="BP207">
            <v>0</v>
          </cell>
          <cell r="BQ207">
            <v>0</v>
          </cell>
          <cell r="BR207">
            <v>0</v>
          </cell>
          <cell r="BS207">
            <v>0</v>
          </cell>
          <cell r="BT207">
            <v>62764720</v>
          </cell>
          <cell r="BU207">
            <v>-301351</v>
          </cell>
          <cell r="BV207">
            <v>1208671</v>
          </cell>
          <cell r="BW207">
            <v>-1200806</v>
          </cell>
          <cell r="BX207">
            <v>2401994</v>
          </cell>
          <cell r="BY207">
            <v>2364959</v>
          </cell>
          <cell r="BZ207">
            <v>57060586</v>
          </cell>
          <cell r="CA207">
            <v>1200996</v>
          </cell>
          <cell r="CB207">
            <v>1176977</v>
          </cell>
          <cell r="CC207">
            <v>0</v>
          </cell>
          <cell r="CD207">
            <v>24021</v>
          </cell>
          <cell r="CE207">
            <v>1182479</v>
          </cell>
          <cell r="CF207">
            <v>1158830</v>
          </cell>
          <cell r="CG207">
            <v>0</v>
          </cell>
          <cell r="CH207">
            <v>23650</v>
          </cell>
        </row>
        <row r="208">
          <cell r="A208">
            <v>201</v>
          </cell>
          <cell r="B208" t="str">
            <v>Portsmouth</v>
          </cell>
          <cell r="C208" t="str">
            <v>E1701</v>
          </cell>
          <cell r="D208">
            <v>274758</v>
          </cell>
          <cell r="H208">
            <v>0</v>
          </cell>
          <cell r="I208">
            <v>0</v>
          </cell>
          <cell r="J208">
            <v>274758</v>
          </cell>
          <cell r="K208">
            <v>0</v>
          </cell>
          <cell r="L208">
            <v>0</v>
          </cell>
          <cell r="M208">
            <v>0</v>
          </cell>
          <cell r="N208">
            <v>0</v>
          </cell>
          <cell r="O208">
            <v>0</v>
          </cell>
          <cell r="P208">
            <v>0</v>
          </cell>
          <cell r="Q208">
            <v>0</v>
          </cell>
          <cell r="R208">
            <v>1591553</v>
          </cell>
          <cell r="S208">
            <v>0</v>
          </cell>
          <cell r="T208">
            <v>32481</v>
          </cell>
          <cell r="U208">
            <v>0</v>
          </cell>
          <cell r="V208">
            <v>0</v>
          </cell>
          <cell r="W208">
            <v>0</v>
          </cell>
          <cell r="X208">
            <v>0</v>
          </cell>
          <cell r="Y208">
            <v>0</v>
          </cell>
          <cell r="Z208">
            <v>0</v>
          </cell>
          <cell r="AA208">
            <v>24868</v>
          </cell>
          <cell r="AB208">
            <v>0</v>
          </cell>
          <cell r="AC208">
            <v>508</v>
          </cell>
          <cell r="AD208">
            <v>0</v>
          </cell>
          <cell r="AE208">
            <v>0</v>
          </cell>
          <cell r="AF208">
            <v>0</v>
          </cell>
          <cell r="AG208">
            <v>0</v>
          </cell>
          <cell r="AH208">
            <v>0</v>
          </cell>
          <cell r="AI208">
            <v>0</v>
          </cell>
          <cell r="AM208">
            <v>0</v>
          </cell>
          <cell r="AN208">
            <v>0</v>
          </cell>
          <cell r="AO208">
            <v>0</v>
          </cell>
          <cell r="AP208">
            <v>600155</v>
          </cell>
          <cell r="AQ208">
            <v>0</v>
          </cell>
          <cell r="AR208">
            <v>12248</v>
          </cell>
          <cell r="AS208">
            <v>-1456500</v>
          </cell>
          <cell r="AT208">
            <v>-1427370</v>
          </cell>
          <cell r="AU208">
            <v>0</v>
          </cell>
          <cell r="AV208">
            <v>-29130</v>
          </cell>
          <cell r="AW208">
            <v>-2913000</v>
          </cell>
          <cell r="AX208">
            <v>-7204427</v>
          </cell>
          <cell r="AY208">
            <v>-7060338</v>
          </cell>
          <cell r="AZ208">
            <v>0</v>
          </cell>
          <cell r="BA208">
            <v>-144090</v>
          </cell>
          <cell r="BB208">
            <v>-14408855</v>
          </cell>
          <cell r="BC208">
            <v>84065031</v>
          </cell>
          <cell r="BD208">
            <v>-3766813</v>
          </cell>
          <cell r="BE208">
            <v>2331710</v>
          </cell>
          <cell r="BF208">
            <v>0</v>
          </cell>
          <cell r="BG208">
            <v>-6956859</v>
          </cell>
          <cell r="BH208">
            <v>-34842</v>
          </cell>
          <cell r="BI208">
            <v>0</v>
          </cell>
          <cell r="BJ208">
            <v>-10927</v>
          </cell>
          <cell r="BK208">
            <v>-2237985</v>
          </cell>
          <cell r="BL208">
            <v>-204932</v>
          </cell>
          <cell r="BM208">
            <v>0</v>
          </cell>
          <cell r="BN208">
            <v>-924</v>
          </cell>
          <cell r="BO208">
            <v>0</v>
          </cell>
          <cell r="BP208">
            <v>0</v>
          </cell>
          <cell r="BQ208">
            <v>0</v>
          </cell>
          <cell r="BR208">
            <v>0</v>
          </cell>
          <cell r="BS208">
            <v>0</v>
          </cell>
          <cell r="BT208">
            <v>86550295</v>
          </cell>
          <cell r="BU208">
            <v>-740631</v>
          </cell>
          <cell r="BV208">
            <v>3407220</v>
          </cell>
          <cell r="BW208">
            <v>-2621411</v>
          </cell>
          <cell r="BX208">
            <v>3221406</v>
          </cell>
          <cell r="BY208">
            <v>3017262</v>
          </cell>
          <cell r="BZ208">
            <v>81537055</v>
          </cell>
          <cell r="CA208">
            <v>1610703</v>
          </cell>
          <cell r="CB208">
            <v>1578489</v>
          </cell>
          <cell r="CC208">
            <v>0</v>
          </cell>
          <cell r="CD208">
            <v>32214</v>
          </cell>
          <cell r="CE208">
            <v>1508631</v>
          </cell>
          <cell r="CF208">
            <v>1478458</v>
          </cell>
          <cell r="CG208">
            <v>0</v>
          </cell>
          <cell r="CH208">
            <v>30173</v>
          </cell>
        </row>
        <row r="209">
          <cell r="A209">
            <v>202</v>
          </cell>
          <cell r="B209" t="str">
            <v>Preston</v>
          </cell>
          <cell r="C209" t="str">
            <v>E2339</v>
          </cell>
          <cell r="D209">
            <v>224997</v>
          </cell>
          <cell r="H209">
            <v>-8711463</v>
          </cell>
          <cell r="I209">
            <v>0</v>
          </cell>
          <cell r="J209">
            <v>224997</v>
          </cell>
          <cell r="K209">
            <v>0</v>
          </cell>
          <cell r="L209">
            <v>15543</v>
          </cell>
          <cell r="M209">
            <v>0</v>
          </cell>
          <cell r="N209">
            <v>0</v>
          </cell>
          <cell r="O209">
            <v>0</v>
          </cell>
          <cell r="P209">
            <v>0</v>
          </cell>
          <cell r="Q209">
            <v>0</v>
          </cell>
          <cell r="R209">
            <v>876396</v>
          </cell>
          <cell r="S209">
            <v>197189</v>
          </cell>
          <cell r="T209">
            <v>21910</v>
          </cell>
          <cell r="U209">
            <v>8158</v>
          </cell>
          <cell r="V209">
            <v>1835</v>
          </cell>
          <cell r="W209">
            <v>204</v>
          </cell>
          <cell r="X209">
            <v>0</v>
          </cell>
          <cell r="Y209">
            <v>0</v>
          </cell>
          <cell r="Z209">
            <v>0</v>
          </cell>
          <cell r="AA209">
            <v>17846</v>
          </cell>
          <cell r="AB209">
            <v>4015</v>
          </cell>
          <cell r="AC209">
            <v>446</v>
          </cell>
          <cell r="AD209">
            <v>0</v>
          </cell>
          <cell r="AE209">
            <v>0</v>
          </cell>
          <cell r="AF209">
            <v>0</v>
          </cell>
          <cell r="AG209">
            <v>0</v>
          </cell>
          <cell r="AH209">
            <v>0</v>
          </cell>
          <cell r="AI209">
            <v>0</v>
          </cell>
          <cell r="AM209">
            <v>0</v>
          </cell>
          <cell r="AN209">
            <v>0</v>
          </cell>
          <cell r="AO209">
            <v>0</v>
          </cell>
          <cell r="AP209">
            <v>320883</v>
          </cell>
          <cell r="AQ209">
            <v>72146</v>
          </cell>
          <cell r="AR209">
            <v>8016</v>
          </cell>
          <cell r="AS209">
            <v>-1934669.8</v>
          </cell>
          <cell r="AT209">
            <v>-1547734</v>
          </cell>
          <cell r="AU209">
            <v>-348239</v>
          </cell>
          <cell r="AV209">
            <v>-38693</v>
          </cell>
          <cell r="AW209">
            <v>-3869335.8</v>
          </cell>
          <cell r="AX209">
            <v>-3972585.2</v>
          </cell>
          <cell r="AY209">
            <v>-3178068</v>
          </cell>
          <cell r="AZ209">
            <v>-715064</v>
          </cell>
          <cell r="BA209">
            <v>-79452</v>
          </cell>
          <cell r="BB209">
            <v>-7945169.1999999993</v>
          </cell>
          <cell r="BC209">
            <v>69782996</v>
          </cell>
          <cell r="BD209">
            <v>-3550373</v>
          </cell>
          <cell r="BE209">
            <v>1949726</v>
          </cell>
          <cell r="BF209">
            <v>0</v>
          </cell>
          <cell r="BG209">
            <v>-5056227</v>
          </cell>
          <cell r="BH209">
            <v>-95873</v>
          </cell>
          <cell r="BI209">
            <v>-1839</v>
          </cell>
          <cell r="BJ209">
            <v>-975</v>
          </cell>
          <cell r="BK209">
            <v>-3069777</v>
          </cell>
          <cell r="BL209">
            <v>-88289</v>
          </cell>
          <cell r="BM209">
            <v>-27362</v>
          </cell>
          <cell r="BN209">
            <v>-5477</v>
          </cell>
          <cell r="BO209">
            <v>-1218</v>
          </cell>
          <cell r="BP209">
            <v>0</v>
          </cell>
          <cell r="BQ209">
            <v>0</v>
          </cell>
          <cell r="BR209">
            <v>0</v>
          </cell>
          <cell r="BS209">
            <v>0</v>
          </cell>
          <cell r="BT209">
            <v>69491624</v>
          </cell>
          <cell r="BU209">
            <v>-235990</v>
          </cell>
          <cell r="BV209">
            <v>5662820</v>
          </cell>
          <cell r="BW209">
            <v>-1754885</v>
          </cell>
          <cell r="BX209">
            <v>-838984</v>
          </cell>
          <cell r="BY209">
            <v>-4463891</v>
          </cell>
          <cell r="BZ209">
            <v>53365287</v>
          </cell>
          <cell r="CA209">
            <v>-419492</v>
          </cell>
          <cell r="CB209">
            <v>-335594</v>
          </cell>
          <cell r="CC209">
            <v>-75508</v>
          </cell>
          <cell r="CD209">
            <v>-8390</v>
          </cell>
          <cell r="CE209">
            <v>-2231946</v>
          </cell>
          <cell r="CF209">
            <v>-1785556</v>
          </cell>
          <cell r="CG209">
            <v>-401750</v>
          </cell>
          <cell r="CH209">
            <v>-44639</v>
          </cell>
        </row>
        <row r="210">
          <cell r="A210">
            <v>203</v>
          </cell>
          <cell r="B210" t="str">
            <v>Purbeck</v>
          </cell>
          <cell r="C210" t="str">
            <v>E1236</v>
          </cell>
          <cell r="D210">
            <v>98958</v>
          </cell>
          <cell r="H210">
            <v>367229</v>
          </cell>
          <cell r="I210">
            <v>0</v>
          </cell>
          <cell r="J210">
            <v>98958</v>
          </cell>
          <cell r="K210">
            <v>0</v>
          </cell>
          <cell r="L210">
            <v>105380</v>
          </cell>
          <cell r="M210">
            <v>0</v>
          </cell>
          <cell r="N210">
            <v>0</v>
          </cell>
          <cell r="O210">
            <v>0</v>
          </cell>
          <cell r="P210">
            <v>0</v>
          </cell>
          <cell r="Q210">
            <v>0</v>
          </cell>
          <cell r="R210">
            <v>472535</v>
          </cell>
          <cell r="S210">
            <v>106320</v>
          </cell>
          <cell r="T210">
            <v>11813</v>
          </cell>
          <cell r="U210">
            <v>0</v>
          </cell>
          <cell r="V210">
            <v>0</v>
          </cell>
          <cell r="W210">
            <v>0</v>
          </cell>
          <cell r="X210">
            <v>6138</v>
          </cell>
          <cell r="Y210">
            <v>1381</v>
          </cell>
          <cell r="Z210">
            <v>153</v>
          </cell>
          <cell r="AA210">
            <v>0</v>
          </cell>
          <cell r="AB210">
            <v>0</v>
          </cell>
          <cell r="AC210">
            <v>0</v>
          </cell>
          <cell r="AD210">
            <v>0</v>
          </cell>
          <cell r="AE210">
            <v>0</v>
          </cell>
          <cell r="AF210">
            <v>0</v>
          </cell>
          <cell r="AG210">
            <v>0</v>
          </cell>
          <cell r="AH210">
            <v>0</v>
          </cell>
          <cell r="AI210">
            <v>0</v>
          </cell>
          <cell r="AM210">
            <v>0</v>
          </cell>
          <cell r="AN210">
            <v>0</v>
          </cell>
          <cell r="AO210">
            <v>0</v>
          </cell>
          <cell r="AP210">
            <v>96289</v>
          </cell>
          <cell r="AQ210">
            <v>21309</v>
          </cell>
          <cell r="AR210">
            <v>2368</v>
          </cell>
          <cell r="AS210">
            <v>-85302</v>
          </cell>
          <cell r="AT210">
            <v>-68242</v>
          </cell>
          <cell r="AU210">
            <v>-15355</v>
          </cell>
          <cell r="AV210">
            <v>-1706</v>
          </cell>
          <cell r="AW210">
            <v>-170605</v>
          </cell>
          <cell r="AX210">
            <v>-1948544</v>
          </cell>
          <cell r="AY210">
            <v>-1558834</v>
          </cell>
          <cell r="AZ210">
            <v>-350738</v>
          </cell>
          <cell r="BA210">
            <v>-38971</v>
          </cell>
          <cell r="BB210">
            <v>-3897087</v>
          </cell>
          <cell r="BC210">
            <v>9983731</v>
          </cell>
          <cell r="BD210">
            <v>-1955000</v>
          </cell>
          <cell r="BE210">
            <v>402696</v>
          </cell>
          <cell r="BF210">
            <v>0</v>
          </cell>
          <cell r="BG210">
            <v>-1044139</v>
          </cell>
          <cell r="BH210">
            <v>-46221</v>
          </cell>
          <cell r="BI210">
            <v>-7381</v>
          </cell>
          <cell r="BJ210">
            <v>0</v>
          </cell>
          <cell r="BK210">
            <v>-194731</v>
          </cell>
          <cell r="BL210">
            <v>-16616</v>
          </cell>
          <cell r="BM210">
            <v>-5168</v>
          </cell>
          <cell r="BN210">
            <v>-1700</v>
          </cell>
          <cell r="BO210">
            <v>-4064</v>
          </cell>
          <cell r="BP210">
            <v>0</v>
          </cell>
          <cell r="BQ210">
            <v>0</v>
          </cell>
          <cell r="BR210">
            <v>0</v>
          </cell>
          <cell r="BS210">
            <v>0</v>
          </cell>
          <cell r="BT210">
            <v>11138239</v>
          </cell>
          <cell r="BU210">
            <v>-96783</v>
          </cell>
          <cell r="BV210">
            <v>539107</v>
          </cell>
          <cell r="BW210">
            <v>-368021</v>
          </cell>
          <cell r="BX210">
            <v>-7901121</v>
          </cell>
          <cell r="BY210">
            <v>-7896242</v>
          </cell>
          <cell r="BZ210">
            <v>15761836</v>
          </cell>
          <cell r="CA210">
            <v>-3950560</v>
          </cell>
          <cell r="CB210">
            <v>-3160449</v>
          </cell>
          <cell r="CC210">
            <v>-711100</v>
          </cell>
          <cell r="CD210">
            <v>-79012</v>
          </cell>
          <cell r="CE210">
            <v>-3948121</v>
          </cell>
          <cell r="CF210">
            <v>-3158497</v>
          </cell>
          <cell r="CG210">
            <v>-710662</v>
          </cell>
          <cell r="CH210">
            <v>-78962</v>
          </cell>
        </row>
        <row r="211">
          <cell r="A211">
            <v>204</v>
          </cell>
          <cell r="B211" t="str">
            <v>Reading</v>
          </cell>
          <cell r="C211" t="str">
            <v>E0303</v>
          </cell>
          <cell r="D211">
            <v>282531</v>
          </cell>
          <cell r="H211">
            <v>5808733</v>
          </cell>
          <cell r="I211">
            <v>0</v>
          </cell>
          <cell r="J211">
            <v>282531</v>
          </cell>
          <cell r="K211">
            <v>0</v>
          </cell>
          <cell r="L211">
            <v>0</v>
          </cell>
          <cell r="M211">
            <v>0</v>
          </cell>
          <cell r="N211">
            <v>0</v>
          </cell>
          <cell r="O211">
            <v>0</v>
          </cell>
          <cell r="P211">
            <v>0</v>
          </cell>
          <cell r="Q211">
            <v>0</v>
          </cell>
          <cell r="R211">
            <v>676662</v>
          </cell>
          <cell r="S211">
            <v>0</v>
          </cell>
          <cell r="T211">
            <v>13809</v>
          </cell>
          <cell r="U211">
            <v>0</v>
          </cell>
          <cell r="V211">
            <v>0</v>
          </cell>
          <cell r="W211">
            <v>0</v>
          </cell>
          <cell r="X211">
            <v>49498</v>
          </cell>
          <cell r="Y211">
            <v>0</v>
          </cell>
          <cell r="Z211">
            <v>1010</v>
          </cell>
          <cell r="AA211">
            <v>2806</v>
          </cell>
          <cell r="AB211">
            <v>0</v>
          </cell>
          <cell r="AC211">
            <v>57</v>
          </cell>
          <cell r="AD211">
            <v>0</v>
          </cell>
          <cell r="AE211">
            <v>0</v>
          </cell>
          <cell r="AF211">
            <v>0</v>
          </cell>
          <cell r="AG211">
            <v>0</v>
          </cell>
          <cell r="AH211">
            <v>0</v>
          </cell>
          <cell r="AI211">
            <v>0</v>
          </cell>
          <cell r="AM211">
            <v>0</v>
          </cell>
          <cell r="AN211">
            <v>0</v>
          </cell>
          <cell r="AO211">
            <v>0</v>
          </cell>
          <cell r="AP211">
            <v>912704</v>
          </cell>
          <cell r="AQ211">
            <v>0</v>
          </cell>
          <cell r="AR211">
            <v>18627</v>
          </cell>
          <cell r="AS211">
            <v>-1454749.1</v>
          </cell>
          <cell r="AT211">
            <v>-1425654</v>
          </cell>
          <cell r="AU211">
            <v>0</v>
          </cell>
          <cell r="AV211">
            <v>-29096</v>
          </cell>
          <cell r="AW211">
            <v>-2909499.1</v>
          </cell>
          <cell r="AX211">
            <v>-5275000.2899999991</v>
          </cell>
          <cell r="AY211">
            <v>-5169500</v>
          </cell>
          <cell r="AZ211">
            <v>0</v>
          </cell>
          <cell r="BA211">
            <v>-105500</v>
          </cell>
          <cell r="BB211">
            <v>-10550000.289999999</v>
          </cell>
          <cell r="BC211">
            <v>118500000</v>
          </cell>
          <cell r="BD211">
            <v>-1947087</v>
          </cell>
          <cell r="BE211">
            <v>3053780</v>
          </cell>
          <cell r="BF211">
            <v>0</v>
          </cell>
          <cell r="BG211">
            <v>-4314048</v>
          </cell>
          <cell r="BH211">
            <v>-6839</v>
          </cell>
          <cell r="BI211">
            <v>0</v>
          </cell>
          <cell r="BJ211">
            <v>-31630</v>
          </cell>
          <cell r="BK211">
            <v>-3712261</v>
          </cell>
          <cell r="BL211">
            <v>-748</v>
          </cell>
          <cell r="BM211">
            <v>0</v>
          </cell>
          <cell r="BN211">
            <v>0</v>
          </cell>
          <cell r="BO211">
            <v>0</v>
          </cell>
          <cell r="BP211">
            <v>0</v>
          </cell>
          <cell r="BQ211">
            <v>0</v>
          </cell>
          <cell r="BR211">
            <v>0</v>
          </cell>
          <cell r="BS211">
            <v>0</v>
          </cell>
          <cell r="BT211">
            <v>113422254</v>
          </cell>
          <cell r="BU211">
            <v>-265739</v>
          </cell>
          <cell r="BV211">
            <v>6075322</v>
          </cell>
          <cell r="BW211">
            <v>-2625725</v>
          </cell>
          <cell r="BX211">
            <v>11199999.710000008</v>
          </cell>
          <cell r="BY211">
            <v>1800000</v>
          </cell>
          <cell r="BZ211">
            <v>124000000</v>
          </cell>
          <cell r="CA211">
            <v>5599999.7100000083</v>
          </cell>
          <cell r="CB211">
            <v>5488000</v>
          </cell>
          <cell r="CC211">
            <v>0</v>
          </cell>
          <cell r="CD211">
            <v>112000</v>
          </cell>
          <cell r="CE211">
            <v>900000</v>
          </cell>
          <cell r="CF211">
            <v>882000</v>
          </cell>
          <cell r="CG211">
            <v>0</v>
          </cell>
          <cell r="CH211">
            <v>18000</v>
          </cell>
        </row>
        <row r="212">
          <cell r="A212">
            <v>205</v>
          </cell>
          <cell r="B212" t="str">
            <v>Redbridge</v>
          </cell>
          <cell r="C212" t="str">
            <v>E5046</v>
          </cell>
          <cell r="D212">
            <v>281336</v>
          </cell>
          <cell r="H212">
            <v>3967979</v>
          </cell>
          <cell r="I212">
            <v>0</v>
          </cell>
          <cell r="J212">
            <v>281336</v>
          </cell>
          <cell r="K212">
            <v>0</v>
          </cell>
          <cell r="L212">
            <v>0</v>
          </cell>
          <cell r="M212">
            <v>0</v>
          </cell>
          <cell r="N212">
            <v>0</v>
          </cell>
          <cell r="O212">
            <v>0</v>
          </cell>
          <cell r="P212">
            <v>0</v>
          </cell>
          <cell r="Q212">
            <v>0</v>
          </cell>
          <cell r="R212">
            <v>806099</v>
          </cell>
          <cell r="S212">
            <v>994190</v>
          </cell>
          <cell r="T212">
            <v>0</v>
          </cell>
          <cell r="U212">
            <v>3328</v>
          </cell>
          <cell r="V212">
            <v>4104</v>
          </cell>
          <cell r="W212">
            <v>0</v>
          </cell>
          <cell r="X212">
            <v>423</v>
          </cell>
          <cell r="Y212">
            <v>522</v>
          </cell>
          <cell r="Z212">
            <v>0</v>
          </cell>
          <cell r="AA212">
            <v>8855</v>
          </cell>
          <cell r="AB212">
            <v>10920</v>
          </cell>
          <cell r="AC212">
            <v>0</v>
          </cell>
          <cell r="AD212">
            <v>0</v>
          </cell>
          <cell r="AE212">
            <v>0</v>
          </cell>
          <cell r="AF212">
            <v>0</v>
          </cell>
          <cell r="AG212">
            <v>0</v>
          </cell>
          <cell r="AH212">
            <v>0</v>
          </cell>
          <cell r="AI212">
            <v>0</v>
          </cell>
          <cell r="AM212">
            <v>0</v>
          </cell>
          <cell r="AN212">
            <v>0</v>
          </cell>
          <cell r="AO212">
            <v>0</v>
          </cell>
          <cell r="AP212">
            <v>265380</v>
          </cell>
          <cell r="AQ212">
            <v>327302</v>
          </cell>
          <cell r="AR212">
            <v>0</v>
          </cell>
          <cell r="AS212">
            <v>-4173175</v>
          </cell>
          <cell r="AT212">
            <v>-2503905</v>
          </cell>
          <cell r="AU212">
            <v>-1669269</v>
          </cell>
          <cell r="AV212">
            <v>0</v>
          </cell>
          <cell r="AW212">
            <v>-8346349</v>
          </cell>
          <cell r="AX212">
            <v>-275000</v>
          </cell>
          <cell r="AY212">
            <v>-165000</v>
          </cell>
          <cell r="AZ212">
            <v>-110000</v>
          </cell>
          <cell r="BA212">
            <v>0</v>
          </cell>
          <cell r="BB212">
            <v>-550000</v>
          </cell>
          <cell r="BC212">
            <v>54239720</v>
          </cell>
          <cell r="BD212">
            <v>-4111130</v>
          </cell>
          <cell r="BE212">
            <v>1261944</v>
          </cell>
          <cell r="BF212">
            <v>0</v>
          </cell>
          <cell r="BG212">
            <v>-4796768</v>
          </cell>
          <cell r="BH212">
            <v>-130681</v>
          </cell>
          <cell r="BI212">
            <v>0</v>
          </cell>
          <cell r="BJ212">
            <v>-7920</v>
          </cell>
          <cell r="BK212">
            <v>-1904646</v>
          </cell>
          <cell r="BL212">
            <v>-134203</v>
          </cell>
          <cell r="BM212">
            <v>-17569</v>
          </cell>
          <cell r="BN212">
            <v>0</v>
          </cell>
          <cell r="BO212">
            <v>0</v>
          </cell>
          <cell r="BP212">
            <v>0</v>
          </cell>
          <cell r="BQ212">
            <v>0</v>
          </cell>
          <cell r="BR212">
            <v>0</v>
          </cell>
          <cell r="BS212">
            <v>0</v>
          </cell>
          <cell r="BT212">
            <v>55206733</v>
          </cell>
          <cell r="BU212">
            <v>-1391164</v>
          </cell>
          <cell r="BV212">
            <v>9379417</v>
          </cell>
          <cell r="BW212">
            <v>-3306138</v>
          </cell>
          <cell r="BX212">
            <v>-236131</v>
          </cell>
          <cell r="BY212">
            <v>-207056</v>
          </cell>
          <cell r="BZ212">
            <v>58889106</v>
          </cell>
          <cell r="CA212">
            <v>-118065</v>
          </cell>
          <cell r="CB212">
            <v>-70840</v>
          </cell>
          <cell r="CC212">
            <v>-47226</v>
          </cell>
          <cell r="CD212">
            <v>0</v>
          </cell>
          <cell r="CE212">
            <v>-103528</v>
          </cell>
          <cell r="CF212">
            <v>-62117</v>
          </cell>
          <cell r="CG212">
            <v>-41411</v>
          </cell>
          <cell r="CH212">
            <v>0</v>
          </cell>
        </row>
        <row r="213">
          <cell r="A213">
            <v>206</v>
          </cell>
          <cell r="B213" t="str">
            <v>Redcar and Cleveland</v>
          </cell>
          <cell r="C213" t="str">
            <v>E0703</v>
          </cell>
          <cell r="D213">
            <v>157055</v>
          </cell>
          <cell r="H213">
            <v>-790999</v>
          </cell>
          <cell r="I213">
            <v>0</v>
          </cell>
          <cell r="J213">
            <v>157055</v>
          </cell>
          <cell r="K213">
            <v>356805</v>
          </cell>
          <cell r="L213">
            <v>0</v>
          </cell>
          <cell r="M213">
            <v>0</v>
          </cell>
          <cell r="N213">
            <v>0</v>
          </cell>
          <cell r="O213">
            <v>0</v>
          </cell>
          <cell r="P213">
            <v>0</v>
          </cell>
          <cell r="Q213">
            <v>0</v>
          </cell>
          <cell r="R213">
            <v>788027</v>
          </cell>
          <cell r="S213">
            <v>0</v>
          </cell>
          <cell r="T213">
            <v>16082</v>
          </cell>
          <cell r="U213">
            <v>0</v>
          </cell>
          <cell r="V213">
            <v>0</v>
          </cell>
          <cell r="W213">
            <v>0</v>
          </cell>
          <cell r="X213">
            <v>0</v>
          </cell>
          <cell r="Y213">
            <v>0</v>
          </cell>
          <cell r="Z213">
            <v>0</v>
          </cell>
          <cell r="AA213">
            <v>99472</v>
          </cell>
          <cell r="AB213">
            <v>0</v>
          </cell>
          <cell r="AC213">
            <v>2030</v>
          </cell>
          <cell r="AD213">
            <v>0</v>
          </cell>
          <cell r="AE213">
            <v>0</v>
          </cell>
          <cell r="AF213">
            <v>0</v>
          </cell>
          <cell r="AG213">
            <v>0</v>
          </cell>
          <cell r="AH213">
            <v>0</v>
          </cell>
          <cell r="AI213">
            <v>0</v>
          </cell>
          <cell r="AM213">
            <v>0</v>
          </cell>
          <cell r="AN213">
            <v>0</v>
          </cell>
          <cell r="AO213">
            <v>0</v>
          </cell>
          <cell r="AP213">
            <v>259372</v>
          </cell>
          <cell r="AQ213">
            <v>0</v>
          </cell>
          <cell r="AR213">
            <v>5184</v>
          </cell>
          <cell r="AS213">
            <v>-5894772</v>
          </cell>
          <cell r="AT213">
            <v>-5776877</v>
          </cell>
          <cell r="AU213">
            <v>0</v>
          </cell>
          <cell r="AV213">
            <v>-117896</v>
          </cell>
          <cell r="AW213">
            <v>-11789545</v>
          </cell>
          <cell r="AX213">
            <v>-2262882.2999999998</v>
          </cell>
          <cell r="AY213">
            <v>-2217627</v>
          </cell>
          <cell r="AZ213">
            <v>0</v>
          </cell>
          <cell r="BA213">
            <v>-45257</v>
          </cell>
          <cell r="BB213">
            <v>-4525766.3</v>
          </cell>
          <cell r="BC213">
            <v>36185584</v>
          </cell>
          <cell r="BD213">
            <v>-2674008</v>
          </cell>
          <cell r="BE213">
            <v>1330748</v>
          </cell>
          <cell r="BF213">
            <v>0</v>
          </cell>
          <cell r="BG213">
            <v>-2969312</v>
          </cell>
          <cell r="BH213">
            <v>-53101</v>
          </cell>
          <cell r="BI213">
            <v>-609</v>
          </cell>
          <cell r="BJ213">
            <v>0</v>
          </cell>
          <cell r="BK213">
            <v>-10819405</v>
          </cell>
          <cell r="BL213">
            <v>-34658</v>
          </cell>
          <cell r="BM213">
            <v>-313457</v>
          </cell>
          <cell r="BN213">
            <v>0</v>
          </cell>
          <cell r="BO213">
            <v>0</v>
          </cell>
          <cell r="BP213">
            <v>-7334</v>
          </cell>
          <cell r="BQ213">
            <v>0</v>
          </cell>
          <cell r="BR213">
            <v>0</v>
          </cell>
          <cell r="BS213">
            <v>0</v>
          </cell>
          <cell r="BT213">
            <v>37056401</v>
          </cell>
          <cell r="BU213">
            <v>-226224</v>
          </cell>
          <cell r="BV213">
            <v>14060645</v>
          </cell>
          <cell r="BW213">
            <v>-1247291</v>
          </cell>
          <cell r="BX213">
            <v>919533</v>
          </cell>
          <cell r="BY213">
            <v>1019093</v>
          </cell>
          <cell r="BZ213">
            <v>34510165</v>
          </cell>
          <cell r="CA213">
            <v>459766</v>
          </cell>
          <cell r="CB213">
            <v>450571</v>
          </cell>
          <cell r="CC213">
            <v>0</v>
          </cell>
          <cell r="CD213">
            <v>9196</v>
          </cell>
          <cell r="CE213">
            <v>509546</v>
          </cell>
          <cell r="CF213">
            <v>499356</v>
          </cell>
          <cell r="CG213">
            <v>0</v>
          </cell>
          <cell r="CH213">
            <v>10191</v>
          </cell>
        </row>
        <row r="214">
          <cell r="A214">
            <v>207</v>
          </cell>
          <cell r="B214" t="str">
            <v>Redditch</v>
          </cell>
          <cell r="C214" t="str">
            <v>E1835</v>
          </cell>
          <cell r="D214">
            <v>106549</v>
          </cell>
          <cell r="H214">
            <v>-2980302.81</v>
          </cell>
          <cell r="I214">
            <v>0</v>
          </cell>
          <cell r="J214">
            <v>106549</v>
          </cell>
          <cell r="K214">
            <v>0</v>
          </cell>
          <cell r="L214">
            <v>0</v>
          </cell>
          <cell r="M214">
            <v>0</v>
          </cell>
          <cell r="N214">
            <v>0</v>
          </cell>
          <cell r="O214">
            <v>0</v>
          </cell>
          <cell r="P214">
            <v>0</v>
          </cell>
          <cell r="Q214">
            <v>0</v>
          </cell>
          <cell r="R214">
            <v>402467</v>
          </cell>
          <cell r="S214">
            <v>90555</v>
          </cell>
          <cell r="T214">
            <v>10062</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M214">
            <v>0</v>
          </cell>
          <cell r="AN214">
            <v>0</v>
          </cell>
          <cell r="AO214">
            <v>0</v>
          </cell>
          <cell r="AP214">
            <v>190156</v>
          </cell>
          <cell r="AQ214">
            <v>42785</v>
          </cell>
          <cell r="AR214">
            <v>4754</v>
          </cell>
          <cell r="AS214">
            <v>-832572</v>
          </cell>
          <cell r="AT214">
            <v>-666057</v>
          </cell>
          <cell r="AU214">
            <v>-149863</v>
          </cell>
          <cell r="AV214">
            <v>-16651</v>
          </cell>
          <cell r="AW214">
            <v>-1665143</v>
          </cell>
          <cell r="AX214">
            <v>-1420970</v>
          </cell>
          <cell r="AY214">
            <v>-1136775</v>
          </cell>
          <cell r="AZ214">
            <v>-255773</v>
          </cell>
          <cell r="BA214">
            <v>-28420</v>
          </cell>
          <cell r="BB214">
            <v>-2841938</v>
          </cell>
          <cell r="BC214">
            <v>36632693</v>
          </cell>
          <cell r="BD214">
            <v>-1502660</v>
          </cell>
          <cell r="BE214">
            <v>968276</v>
          </cell>
          <cell r="BF214">
            <v>0</v>
          </cell>
          <cell r="BG214">
            <v>-1177093</v>
          </cell>
          <cell r="BH214">
            <v>-13777</v>
          </cell>
          <cell r="BI214">
            <v>-1416</v>
          </cell>
          <cell r="BJ214">
            <v>-50474</v>
          </cell>
          <cell r="BK214">
            <v>-1157448</v>
          </cell>
          <cell r="BL214">
            <v>-28993</v>
          </cell>
          <cell r="BM214">
            <v>-51303</v>
          </cell>
          <cell r="BN214">
            <v>0</v>
          </cell>
          <cell r="BO214">
            <v>-1416</v>
          </cell>
          <cell r="BP214">
            <v>0</v>
          </cell>
          <cell r="BQ214">
            <v>0</v>
          </cell>
          <cell r="BR214">
            <v>0</v>
          </cell>
          <cell r="BS214">
            <v>0</v>
          </cell>
          <cell r="BT214">
            <v>37073228</v>
          </cell>
          <cell r="BU214">
            <v>-175575</v>
          </cell>
          <cell r="BV214">
            <v>2774253</v>
          </cell>
          <cell r="BW214">
            <v>-309513</v>
          </cell>
          <cell r="BX214">
            <v>-239083.89999999991</v>
          </cell>
          <cell r="BY214">
            <v>-1217929</v>
          </cell>
          <cell r="BZ214">
            <v>31647374</v>
          </cell>
          <cell r="CA214">
            <v>-119541.89999999991</v>
          </cell>
          <cell r="CB214">
            <v>-95634</v>
          </cell>
          <cell r="CC214">
            <v>-21518</v>
          </cell>
          <cell r="CD214">
            <v>-2390</v>
          </cell>
          <cell r="CE214">
            <v>-608964</v>
          </cell>
          <cell r="CF214">
            <v>-487172</v>
          </cell>
          <cell r="CG214">
            <v>-109614</v>
          </cell>
          <cell r="CH214">
            <v>-12179</v>
          </cell>
        </row>
        <row r="215">
          <cell r="A215">
            <v>208</v>
          </cell>
          <cell r="B215" t="str">
            <v>Reigate and Banstead</v>
          </cell>
          <cell r="C215" t="str">
            <v>E3635</v>
          </cell>
          <cell r="D215">
            <v>174020</v>
          </cell>
          <cell r="H215">
            <v>769898</v>
          </cell>
          <cell r="I215">
            <v>0</v>
          </cell>
          <cell r="J215">
            <v>174020</v>
          </cell>
          <cell r="K215">
            <v>0</v>
          </cell>
          <cell r="L215">
            <v>0</v>
          </cell>
          <cell r="M215">
            <v>0</v>
          </cell>
          <cell r="N215">
            <v>0</v>
          </cell>
          <cell r="O215">
            <v>0</v>
          </cell>
          <cell r="P215">
            <v>0</v>
          </cell>
          <cell r="Q215">
            <v>0</v>
          </cell>
          <cell r="R215">
            <v>552818</v>
          </cell>
          <cell r="S215">
            <v>138205</v>
          </cell>
          <cell r="T215">
            <v>0</v>
          </cell>
          <cell r="U215">
            <v>1967</v>
          </cell>
          <cell r="V215">
            <v>492</v>
          </cell>
          <cell r="W215">
            <v>0</v>
          </cell>
          <cell r="X215">
            <v>16428</v>
          </cell>
          <cell r="Y215">
            <v>4107</v>
          </cell>
          <cell r="Z215">
            <v>0</v>
          </cell>
          <cell r="AA215">
            <v>0</v>
          </cell>
          <cell r="AB215">
            <v>0</v>
          </cell>
          <cell r="AC215">
            <v>0</v>
          </cell>
          <cell r="AD215">
            <v>0</v>
          </cell>
          <cell r="AE215">
            <v>0</v>
          </cell>
          <cell r="AF215">
            <v>0</v>
          </cell>
          <cell r="AG215">
            <v>0</v>
          </cell>
          <cell r="AH215">
            <v>0</v>
          </cell>
          <cell r="AI215">
            <v>0</v>
          </cell>
          <cell r="AM215">
            <v>0</v>
          </cell>
          <cell r="AN215">
            <v>0</v>
          </cell>
          <cell r="AO215">
            <v>0</v>
          </cell>
          <cell r="AP215">
            <v>338129</v>
          </cell>
          <cell r="AQ215">
            <v>84532</v>
          </cell>
          <cell r="AR215">
            <v>0</v>
          </cell>
          <cell r="AS215">
            <v>-47577.100000000006</v>
          </cell>
          <cell r="AT215">
            <v>-38060</v>
          </cell>
          <cell r="AU215">
            <v>-9515</v>
          </cell>
          <cell r="AV215">
            <v>0</v>
          </cell>
          <cell r="AW215">
            <v>-95152.1</v>
          </cell>
          <cell r="AX215">
            <v>-2087873</v>
          </cell>
          <cell r="AY215">
            <v>-1670301</v>
          </cell>
          <cell r="AZ215">
            <v>-417576</v>
          </cell>
          <cell r="BA215">
            <v>0</v>
          </cell>
          <cell r="BB215">
            <v>-4175750</v>
          </cell>
          <cell r="BC215">
            <v>49719722</v>
          </cell>
          <cell r="BD215">
            <v>-2057689</v>
          </cell>
          <cell r="BE215">
            <v>1361521</v>
          </cell>
          <cell r="BF215">
            <v>0</v>
          </cell>
          <cell r="BG215">
            <v>-3433121</v>
          </cell>
          <cell r="BH215">
            <v>-68635</v>
          </cell>
          <cell r="BI215">
            <v>0</v>
          </cell>
          <cell r="BJ215">
            <v>-73542</v>
          </cell>
          <cell r="BK215">
            <v>-1941313</v>
          </cell>
          <cell r="BL215">
            <v>-48720</v>
          </cell>
          <cell r="BM215">
            <v>-61153</v>
          </cell>
          <cell r="BN215">
            <v>-2032</v>
          </cell>
          <cell r="BO215">
            <v>-2635</v>
          </cell>
          <cell r="BP215">
            <v>0</v>
          </cell>
          <cell r="BQ215">
            <v>0</v>
          </cell>
          <cell r="BR215">
            <v>0</v>
          </cell>
          <cell r="BS215">
            <v>0</v>
          </cell>
          <cell r="BT215">
            <v>50551701</v>
          </cell>
          <cell r="BU215">
            <v>-157407</v>
          </cell>
          <cell r="BV215">
            <v>571552</v>
          </cell>
          <cell r="BW215">
            <v>-1747481</v>
          </cell>
          <cell r="BX215">
            <v>3561165</v>
          </cell>
          <cell r="BY215">
            <v>4641668</v>
          </cell>
          <cell r="BZ215">
            <v>56274311</v>
          </cell>
          <cell r="CA215">
            <v>1780583</v>
          </cell>
          <cell r="CB215">
            <v>1424466</v>
          </cell>
          <cell r="CC215">
            <v>356116</v>
          </cell>
          <cell r="CD215">
            <v>0</v>
          </cell>
          <cell r="CE215">
            <v>2320834</v>
          </cell>
          <cell r="CF215">
            <v>1856667</v>
          </cell>
          <cell r="CG215">
            <v>464167</v>
          </cell>
          <cell r="CH215">
            <v>0</v>
          </cell>
        </row>
        <row r="216">
          <cell r="A216">
            <v>209</v>
          </cell>
          <cell r="B216" t="str">
            <v>Ribble Valley</v>
          </cell>
          <cell r="C216" t="str">
            <v>E2340</v>
          </cell>
          <cell r="D216">
            <v>88997</v>
          </cell>
          <cell r="H216">
            <v>-23552</v>
          </cell>
          <cell r="I216">
            <v>0</v>
          </cell>
          <cell r="J216">
            <v>88997</v>
          </cell>
          <cell r="K216">
            <v>21152</v>
          </cell>
          <cell r="L216">
            <v>29091</v>
          </cell>
          <cell r="M216">
            <v>0</v>
          </cell>
          <cell r="N216">
            <v>0</v>
          </cell>
          <cell r="O216">
            <v>0</v>
          </cell>
          <cell r="P216">
            <v>0</v>
          </cell>
          <cell r="Q216">
            <v>0</v>
          </cell>
          <cell r="R216">
            <v>549639</v>
          </cell>
          <cell r="S216">
            <v>123669</v>
          </cell>
          <cell r="T216">
            <v>13741</v>
          </cell>
          <cell r="U216">
            <v>1851</v>
          </cell>
          <cell r="V216">
            <v>416</v>
          </cell>
          <cell r="W216">
            <v>46</v>
          </cell>
          <cell r="X216">
            <v>0</v>
          </cell>
          <cell r="Y216">
            <v>0</v>
          </cell>
          <cell r="Z216">
            <v>0</v>
          </cell>
          <cell r="AA216">
            <v>0</v>
          </cell>
          <cell r="AB216">
            <v>0</v>
          </cell>
          <cell r="AC216">
            <v>0</v>
          </cell>
          <cell r="AD216">
            <v>0</v>
          </cell>
          <cell r="AE216">
            <v>0</v>
          </cell>
          <cell r="AF216">
            <v>0</v>
          </cell>
          <cell r="AG216">
            <v>0</v>
          </cell>
          <cell r="AH216">
            <v>0</v>
          </cell>
          <cell r="AI216">
            <v>0</v>
          </cell>
          <cell r="AM216">
            <v>0</v>
          </cell>
          <cell r="AN216">
            <v>0</v>
          </cell>
          <cell r="AO216">
            <v>0</v>
          </cell>
          <cell r="AP216">
            <v>86529</v>
          </cell>
          <cell r="AQ216">
            <v>19299</v>
          </cell>
          <cell r="AR216">
            <v>2144</v>
          </cell>
          <cell r="AS216">
            <v>-165000</v>
          </cell>
          <cell r="AT216">
            <v>-132000</v>
          </cell>
          <cell r="AU216">
            <v>-29700</v>
          </cell>
          <cell r="AV216">
            <v>-3300</v>
          </cell>
          <cell r="AW216">
            <v>-330000</v>
          </cell>
          <cell r="AX216">
            <v>-634450</v>
          </cell>
          <cell r="AY216">
            <v>-507560</v>
          </cell>
          <cell r="AZ216">
            <v>-114201</v>
          </cell>
          <cell r="BA216">
            <v>-12689</v>
          </cell>
          <cell r="BB216">
            <v>-1268900</v>
          </cell>
          <cell r="BC216">
            <v>14805649</v>
          </cell>
          <cell r="BD216">
            <v>-2028878</v>
          </cell>
          <cell r="BE216">
            <v>380045</v>
          </cell>
          <cell r="BF216">
            <v>0</v>
          </cell>
          <cell r="BG216">
            <v>-954433</v>
          </cell>
          <cell r="BH216">
            <v>-42235</v>
          </cell>
          <cell r="BI216">
            <v>-26858</v>
          </cell>
          <cell r="BJ216">
            <v>0</v>
          </cell>
          <cell r="BK216">
            <v>-417266</v>
          </cell>
          <cell r="BL216">
            <v>-30857</v>
          </cell>
          <cell r="BM216">
            <v>-10422</v>
          </cell>
          <cell r="BN216">
            <v>0</v>
          </cell>
          <cell r="BO216">
            <v>-11883</v>
          </cell>
          <cell r="BP216">
            <v>-1634</v>
          </cell>
          <cell r="BQ216">
            <v>0</v>
          </cell>
          <cell r="BR216">
            <v>0</v>
          </cell>
          <cell r="BS216">
            <v>0</v>
          </cell>
          <cell r="BT216">
            <v>15227605</v>
          </cell>
          <cell r="BU216">
            <v>-130947</v>
          </cell>
          <cell r="BV216">
            <v>495809</v>
          </cell>
          <cell r="BW216">
            <v>-139946</v>
          </cell>
          <cell r="BX216">
            <v>87265</v>
          </cell>
          <cell r="BY216">
            <v>113422</v>
          </cell>
          <cell r="BZ216">
            <v>14275299</v>
          </cell>
          <cell r="CA216">
            <v>43633</v>
          </cell>
          <cell r="CB216">
            <v>34906</v>
          </cell>
          <cell r="CC216">
            <v>7854</v>
          </cell>
          <cell r="CD216">
            <v>872</v>
          </cell>
          <cell r="CE216">
            <v>56711</v>
          </cell>
          <cell r="CF216">
            <v>45369</v>
          </cell>
          <cell r="CG216">
            <v>10208</v>
          </cell>
          <cell r="CH216">
            <v>1134</v>
          </cell>
        </row>
        <row r="217">
          <cell r="A217">
            <v>210</v>
          </cell>
          <cell r="B217" t="str">
            <v>Richmond upon Thames</v>
          </cell>
          <cell r="C217" t="str">
            <v>E5047</v>
          </cell>
          <cell r="D217">
            <v>287918</v>
          </cell>
          <cell r="H217">
            <v>2512534</v>
          </cell>
          <cell r="I217">
            <v>0</v>
          </cell>
          <cell r="J217">
            <v>287918</v>
          </cell>
          <cell r="K217">
            <v>0</v>
          </cell>
          <cell r="L217">
            <v>0</v>
          </cell>
          <cell r="M217">
            <v>0</v>
          </cell>
          <cell r="N217">
            <v>0</v>
          </cell>
          <cell r="O217">
            <v>0</v>
          </cell>
          <cell r="P217">
            <v>0</v>
          </cell>
          <cell r="Q217">
            <v>0</v>
          </cell>
          <cell r="R217">
            <v>626809</v>
          </cell>
          <cell r="S217">
            <v>773065</v>
          </cell>
          <cell r="T217">
            <v>0</v>
          </cell>
          <cell r="U217">
            <v>0</v>
          </cell>
          <cell r="V217">
            <v>0</v>
          </cell>
          <cell r="W217">
            <v>0</v>
          </cell>
          <cell r="X217">
            <v>11289</v>
          </cell>
          <cell r="Y217">
            <v>13924</v>
          </cell>
          <cell r="Z217">
            <v>0</v>
          </cell>
          <cell r="AA217">
            <v>15162</v>
          </cell>
          <cell r="AB217">
            <v>18700</v>
          </cell>
          <cell r="AC217">
            <v>0</v>
          </cell>
          <cell r="AD217">
            <v>0</v>
          </cell>
          <cell r="AE217">
            <v>0</v>
          </cell>
          <cell r="AF217">
            <v>0</v>
          </cell>
          <cell r="AG217">
            <v>0</v>
          </cell>
          <cell r="AH217">
            <v>0</v>
          </cell>
          <cell r="AI217">
            <v>0</v>
          </cell>
          <cell r="AM217">
            <v>0</v>
          </cell>
          <cell r="AN217">
            <v>0</v>
          </cell>
          <cell r="AO217">
            <v>0</v>
          </cell>
          <cell r="AP217">
            <v>384746</v>
          </cell>
          <cell r="AQ217">
            <v>474521</v>
          </cell>
          <cell r="AR217">
            <v>0</v>
          </cell>
          <cell r="AS217">
            <v>-54066</v>
          </cell>
          <cell r="AT217">
            <v>-32440</v>
          </cell>
          <cell r="AU217">
            <v>-21626</v>
          </cell>
          <cell r="AV217">
            <v>0</v>
          </cell>
          <cell r="AW217">
            <v>-108132</v>
          </cell>
          <cell r="AX217">
            <v>-4543862</v>
          </cell>
          <cell r="AY217">
            <v>-2726319</v>
          </cell>
          <cell r="AZ217">
            <v>-1817546</v>
          </cell>
          <cell r="BA217">
            <v>0</v>
          </cell>
          <cell r="BB217">
            <v>-9087727</v>
          </cell>
          <cell r="BC217">
            <v>82994148</v>
          </cell>
          <cell r="BD217">
            <v>-2367727</v>
          </cell>
          <cell r="BE217">
            <v>2113382</v>
          </cell>
          <cell r="BF217">
            <v>0</v>
          </cell>
          <cell r="BG217">
            <v>-9143209</v>
          </cell>
          <cell r="BH217">
            <v>-67139</v>
          </cell>
          <cell r="BI217">
            <v>0</v>
          </cell>
          <cell r="BJ217">
            <v>0</v>
          </cell>
          <cell r="BK217">
            <v>-2369741</v>
          </cell>
          <cell r="BL217">
            <v>-156159</v>
          </cell>
          <cell r="BM217">
            <v>-164577</v>
          </cell>
          <cell r="BN217">
            <v>-6709</v>
          </cell>
          <cell r="BO217">
            <v>0</v>
          </cell>
          <cell r="BP217">
            <v>0</v>
          </cell>
          <cell r="BQ217">
            <v>0</v>
          </cell>
          <cell r="BR217">
            <v>0</v>
          </cell>
          <cell r="BS217">
            <v>0</v>
          </cell>
          <cell r="BT217">
            <v>83156720</v>
          </cell>
          <cell r="BU217">
            <v>0</v>
          </cell>
          <cell r="BV217">
            <v>3563756</v>
          </cell>
          <cell r="BW217">
            <v>-2833259</v>
          </cell>
          <cell r="BX217">
            <v>-6562157</v>
          </cell>
          <cell r="BY217">
            <v>-5000000</v>
          </cell>
          <cell r="BZ217">
            <v>85377064</v>
          </cell>
          <cell r="CA217">
            <v>-3281078</v>
          </cell>
          <cell r="CB217">
            <v>-1968648</v>
          </cell>
          <cell r="CC217">
            <v>-1312431</v>
          </cell>
          <cell r="CD217">
            <v>0</v>
          </cell>
          <cell r="CE217">
            <v>-2500000</v>
          </cell>
          <cell r="CF217">
            <v>-1500000</v>
          </cell>
          <cell r="CG217">
            <v>-1000000</v>
          </cell>
          <cell r="CH217">
            <v>0</v>
          </cell>
        </row>
        <row r="218">
          <cell r="A218">
            <v>211</v>
          </cell>
          <cell r="B218" t="str">
            <v>Richmondshire</v>
          </cell>
          <cell r="C218" t="str">
            <v>E2734</v>
          </cell>
          <cell r="D218">
            <v>98663</v>
          </cell>
          <cell r="H218">
            <v>373392</v>
          </cell>
          <cell r="I218">
            <v>0</v>
          </cell>
          <cell r="J218">
            <v>98663</v>
          </cell>
          <cell r="K218">
            <v>0</v>
          </cell>
          <cell r="L218">
            <v>0</v>
          </cell>
          <cell r="M218">
            <v>0</v>
          </cell>
          <cell r="N218">
            <v>0</v>
          </cell>
          <cell r="O218">
            <v>0</v>
          </cell>
          <cell r="P218">
            <v>0</v>
          </cell>
          <cell r="Q218">
            <v>0</v>
          </cell>
          <cell r="R218">
            <v>490447</v>
          </cell>
          <cell r="S218">
            <v>110351</v>
          </cell>
          <cell r="T218">
            <v>12261</v>
          </cell>
          <cell r="U218">
            <v>39957</v>
          </cell>
          <cell r="V218">
            <v>8990</v>
          </cell>
          <cell r="W218">
            <v>999</v>
          </cell>
          <cell r="X218">
            <v>25166</v>
          </cell>
          <cell r="Y218">
            <v>5662</v>
          </cell>
          <cell r="Z218">
            <v>629</v>
          </cell>
          <cell r="AA218">
            <v>0</v>
          </cell>
          <cell r="AB218">
            <v>0</v>
          </cell>
          <cell r="AC218">
            <v>0</v>
          </cell>
          <cell r="AD218">
            <v>0</v>
          </cell>
          <cell r="AE218">
            <v>0</v>
          </cell>
          <cell r="AF218">
            <v>0</v>
          </cell>
          <cell r="AG218">
            <v>0</v>
          </cell>
          <cell r="AH218">
            <v>0</v>
          </cell>
          <cell r="AI218">
            <v>0</v>
          </cell>
          <cell r="AM218">
            <v>0</v>
          </cell>
          <cell r="AN218">
            <v>0</v>
          </cell>
          <cell r="AO218">
            <v>0</v>
          </cell>
          <cell r="AP218">
            <v>77890</v>
          </cell>
          <cell r="AQ218">
            <v>17525</v>
          </cell>
          <cell r="AR218">
            <v>1947</v>
          </cell>
          <cell r="AS218">
            <v>-80496</v>
          </cell>
          <cell r="AT218">
            <v>-64396</v>
          </cell>
          <cell r="AU218">
            <v>-14489</v>
          </cell>
          <cell r="AV218">
            <v>-1610</v>
          </cell>
          <cell r="AW218">
            <v>-160991</v>
          </cell>
          <cell r="AX218">
            <v>-583941</v>
          </cell>
          <cell r="AY218">
            <v>-467154</v>
          </cell>
          <cell r="AZ218">
            <v>-105110</v>
          </cell>
          <cell r="BA218">
            <v>-11679</v>
          </cell>
          <cell r="BB218">
            <v>-1167884</v>
          </cell>
          <cell r="BC218">
            <v>12535386</v>
          </cell>
          <cell r="BD218">
            <v>-2092252</v>
          </cell>
          <cell r="BE218">
            <v>328793</v>
          </cell>
          <cell r="BF218">
            <v>0</v>
          </cell>
          <cell r="BG218">
            <v>-571807</v>
          </cell>
          <cell r="BH218">
            <v>-50428</v>
          </cell>
          <cell r="BI218">
            <v>-45841</v>
          </cell>
          <cell r="BJ218">
            <v>-810</v>
          </cell>
          <cell r="BK218">
            <v>-332701</v>
          </cell>
          <cell r="BL218">
            <v>-32463</v>
          </cell>
          <cell r="BM218">
            <v>-4208</v>
          </cell>
          <cell r="BN218">
            <v>-3065</v>
          </cell>
          <cell r="BO218">
            <v>-23373</v>
          </cell>
          <cell r="BP218">
            <v>0</v>
          </cell>
          <cell r="BQ218">
            <v>0</v>
          </cell>
          <cell r="BR218">
            <v>0</v>
          </cell>
          <cell r="BS218">
            <v>0</v>
          </cell>
          <cell r="BT218">
            <v>13233303</v>
          </cell>
          <cell r="BU218">
            <v>-130041</v>
          </cell>
          <cell r="BV218">
            <v>330523</v>
          </cell>
          <cell r="BW218">
            <v>-201454</v>
          </cell>
          <cell r="BX218">
            <v>-300051</v>
          </cell>
          <cell r="BY218">
            <v>-1014177</v>
          </cell>
          <cell r="BZ218">
            <v>12963132</v>
          </cell>
          <cell r="CA218">
            <v>-150025</v>
          </cell>
          <cell r="CB218">
            <v>-120021</v>
          </cell>
          <cell r="CC218">
            <v>-27004</v>
          </cell>
          <cell r="CD218">
            <v>-3001</v>
          </cell>
          <cell r="CE218">
            <v>-507088</v>
          </cell>
          <cell r="CF218">
            <v>-405671</v>
          </cell>
          <cell r="CG218">
            <v>-91276</v>
          </cell>
          <cell r="CH218">
            <v>-10142</v>
          </cell>
        </row>
        <row r="219">
          <cell r="A219">
            <v>212</v>
          </cell>
          <cell r="B219" t="str">
            <v>Rochdale</v>
          </cell>
          <cell r="C219" t="str">
            <v>E4205</v>
          </cell>
          <cell r="D219">
            <v>281477</v>
          </cell>
          <cell r="H219">
            <v>-3093178</v>
          </cell>
          <cell r="I219">
            <v>0</v>
          </cell>
          <cell r="J219">
            <v>281477</v>
          </cell>
          <cell r="K219">
            <v>0</v>
          </cell>
          <cell r="L219">
            <v>495837</v>
          </cell>
          <cell r="M219">
            <v>0</v>
          </cell>
          <cell r="N219">
            <v>0</v>
          </cell>
          <cell r="O219">
            <v>0</v>
          </cell>
          <cell r="P219">
            <v>0</v>
          </cell>
          <cell r="Q219">
            <v>0</v>
          </cell>
          <cell r="R219">
            <v>3768267</v>
          </cell>
          <cell r="S219">
            <v>0</v>
          </cell>
          <cell r="T219">
            <v>38063</v>
          </cell>
          <cell r="U219">
            <v>0</v>
          </cell>
          <cell r="V219">
            <v>0</v>
          </cell>
          <cell r="W219">
            <v>0</v>
          </cell>
          <cell r="X219">
            <v>120585</v>
          </cell>
          <cell r="Y219">
            <v>0</v>
          </cell>
          <cell r="Z219">
            <v>1218</v>
          </cell>
          <cell r="AA219">
            <v>2010</v>
          </cell>
          <cell r="AB219">
            <v>0</v>
          </cell>
          <cell r="AC219">
            <v>20</v>
          </cell>
          <cell r="AD219">
            <v>0</v>
          </cell>
          <cell r="AE219">
            <v>0</v>
          </cell>
          <cell r="AF219">
            <v>0</v>
          </cell>
          <cell r="AG219">
            <v>0</v>
          </cell>
          <cell r="AH219">
            <v>0</v>
          </cell>
          <cell r="AI219">
            <v>0</v>
          </cell>
          <cell r="AM219">
            <v>0</v>
          </cell>
          <cell r="AN219">
            <v>0</v>
          </cell>
          <cell r="AO219">
            <v>0</v>
          </cell>
          <cell r="AP219">
            <v>839943</v>
          </cell>
          <cell r="AQ219">
            <v>0</v>
          </cell>
          <cell r="AR219">
            <v>8409</v>
          </cell>
          <cell r="AS219">
            <v>-349329</v>
          </cell>
          <cell r="AT219">
            <v>-342340</v>
          </cell>
          <cell r="AU219">
            <v>0</v>
          </cell>
          <cell r="AV219">
            <v>-6986</v>
          </cell>
          <cell r="AW219">
            <v>-698655</v>
          </cell>
          <cell r="AX219">
            <v>-4947853</v>
          </cell>
          <cell r="AY219">
            <v>-4848896</v>
          </cell>
          <cell r="AZ219">
            <v>0</v>
          </cell>
          <cell r="BA219">
            <v>-98955</v>
          </cell>
          <cell r="BB219">
            <v>-9895704</v>
          </cell>
          <cell r="BC219">
            <v>62363354</v>
          </cell>
          <cell r="BD219">
            <v>-5622636</v>
          </cell>
          <cell r="BE219">
            <v>1845937</v>
          </cell>
          <cell r="BF219">
            <v>0</v>
          </cell>
          <cell r="BG219">
            <v>-3636211</v>
          </cell>
          <cell r="BH219">
            <v>-83148</v>
          </cell>
          <cell r="BI219">
            <v>0</v>
          </cell>
          <cell r="BJ219">
            <v>-156482</v>
          </cell>
          <cell r="BK219">
            <v>-4955513</v>
          </cell>
          <cell r="BL219">
            <v>-289284</v>
          </cell>
          <cell r="BM219">
            <v>-124547</v>
          </cell>
          <cell r="BN219">
            <v>-9259</v>
          </cell>
          <cell r="BO219">
            <v>0</v>
          </cell>
          <cell r="BP219">
            <v>0</v>
          </cell>
          <cell r="BQ219">
            <v>-404963</v>
          </cell>
          <cell r="BR219">
            <v>0</v>
          </cell>
          <cell r="BS219">
            <v>0</v>
          </cell>
          <cell r="BT219">
            <v>65305007</v>
          </cell>
          <cell r="BU219">
            <v>-890350</v>
          </cell>
          <cell r="BV219">
            <v>1808362</v>
          </cell>
          <cell r="BW219">
            <v>-1167553</v>
          </cell>
          <cell r="BX219">
            <v>-101263</v>
          </cell>
          <cell r="BY219">
            <v>-57446</v>
          </cell>
          <cell r="BZ219">
            <v>55980163</v>
          </cell>
          <cell r="CA219">
            <v>-50631</v>
          </cell>
          <cell r="CB219">
            <v>-49619</v>
          </cell>
          <cell r="CC219">
            <v>0</v>
          </cell>
          <cell r="CD219">
            <v>-1013</v>
          </cell>
          <cell r="CE219">
            <v>-28723</v>
          </cell>
          <cell r="CF219">
            <v>-28149</v>
          </cell>
          <cell r="CG219">
            <v>0</v>
          </cell>
          <cell r="CH219">
            <v>-574</v>
          </cell>
        </row>
        <row r="220">
          <cell r="A220">
            <v>213</v>
          </cell>
          <cell r="B220" t="str">
            <v>Rochford</v>
          </cell>
          <cell r="C220" t="str">
            <v>E1540</v>
          </cell>
          <cell r="D220">
            <v>84456</v>
          </cell>
          <cell r="H220">
            <v>305269</v>
          </cell>
          <cell r="I220">
            <v>0</v>
          </cell>
          <cell r="J220">
            <v>84456</v>
          </cell>
          <cell r="K220">
            <v>0</v>
          </cell>
          <cell r="L220">
            <v>11855</v>
          </cell>
          <cell r="M220">
            <v>0</v>
          </cell>
          <cell r="N220">
            <v>0</v>
          </cell>
          <cell r="O220">
            <v>0</v>
          </cell>
          <cell r="P220">
            <v>0</v>
          </cell>
          <cell r="Q220">
            <v>0</v>
          </cell>
          <cell r="R220">
            <v>485462</v>
          </cell>
          <cell r="S220">
            <v>109229</v>
          </cell>
          <cell r="T220">
            <v>12137</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M220">
            <v>0</v>
          </cell>
          <cell r="AN220">
            <v>0</v>
          </cell>
          <cell r="AO220">
            <v>0</v>
          </cell>
          <cell r="AP220">
            <v>98596</v>
          </cell>
          <cell r="AQ220">
            <v>22144</v>
          </cell>
          <cell r="AR220">
            <v>2460</v>
          </cell>
          <cell r="AS220">
            <v>-78976</v>
          </cell>
          <cell r="AT220">
            <v>-63182</v>
          </cell>
          <cell r="AU220">
            <v>-14217</v>
          </cell>
          <cell r="AV220">
            <v>-1579</v>
          </cell>
          <cell r="AW220">
            <v>-157954</v>
          </cell>
          <cell r="AX220">
            <v>-278684</v>
          </cell>
          <cell r="AY220">
            <v>-222947</v>
          </cell>
          <cell r="AZ220">
            <v>-50163</v>
          </cell>
          <cell r="BA220">
            <v>-5574</v>
          </cell>
          <cell r="BB220">
            <v>-557368</v>
          </cell>
          <cell r="BC220">
            <v>15306375</v>
          </cell>
          <cell r="BD220">
            <v>-1886743</v>
          </cell>
          <cell r="BE220">
            <v>385836</v>
          </cell>
          <cell r="BF220">
            <v>0</v>
          </cell>
          <cell r="BG220">
            <v>-1279620</v>
          </cell>
          <cell r="BH220">
            <v>-13627</v>
          </cell>
          <cell r="BI220">
            <v>-87</v>
          </cell>
          <cell r="BJ220">
            <v>0</v>
          </cell>
          <cell r="BK220">
            <v>-325890</v>
          </cell>
          <cell r="BL220">
            <v>-6920</v>
          </cell>
          <cell r="BM220">
            <v>0</v>
          </cell>
          <cell r="BN220">
            <v>-86</v>
          </cell>
          <cell r="BO220">
            <v>0</v>
          </cell>
          <cell r="BP220">
            <v>0</v>
          </cell>
          <cell r="BQ220">
            <v>0</v>
          </cell>
          <cell r="BR220">
            <v>0</v>
          </cell>
          <cell r="BS220">
            <v>0</v>
          </cell>
          <cell r="BT220">
            <v>15760115</v>
          </cell>
          <cell r="BU220">
            <v>0</v>
          </cell>
          <cell r="BV220">
            <v>296558</v>
          </cell>
          <cell r="BW220">
            <v>-179029</v>
          </cell>
          <cell r="BX220">
            <v>-850857</v>
          </cell>
          <cell r="BY220">
            <v>-19313</v>
          </cell>
          <cell r="BZ220">
            <v>16379551</v>
          </cell>
          <cell r="CA220">
            <v>-425428</v>
          </cell>
          <cell r="CB220">
            <v>-340344</v>
          </cell>
          <cell r="CC220">
            <v>-76577</v>
          </cell>
          <cell r="CD220">
            <v>-8508</v>
          </cell>
          <cell r="CE220">
            <v>-9657</v>
          </cell>
          <cell r="CF220">
            <v>-7725</v>
          </cell>
          <cell r="CG220">
            <v>-1738</v>
          </cell>
          <cell r="CH220">
            <v>-193</v>
          </cell>
        </row>
        <row r="221">
          <cell r="A221">
            <v>214</v>
          </cell>
          <cell r="B221" t="str">
            <v>Rossendale</v>
          </cell>
          <cell r="C221" t="str">
            <v>E2341</v>
          </cell>
          <cell r="D221">
            <v>98815</v>
          </cell>
          <cell r="H221">
            <v>-759702</v>
          </cell>
          <cell r="I221">
            <v>0</v>
          </cell>
          <cell r="J221">
            <v>98815</v>
          </cell>
          <cell r="K221">
            <v>0</v>
          </cell>
          <cell r="L221">
            <v>152836</v>
          </cell>
          <cell r="M221">
            <v>0</v>
          </cell>
          <cell r="N221">
            <v>0</v>
          </cell>
          <cell r="O221">
            <v>0</v>
          </cell>
          <cell r="P221">
            <v>0</v>
          </cell>
          <cell r="Q221">
            <v>0</v>
          </cell>
          <cell r="R221">
            <v>534325</v>
          </cell>
          <cell r="S221">
            <v>120223</v>
          </cell>
          <cell r="T221">
            <v>13358</v>
          </cell>
          <cell r="U221">
            <v>6121</v>
          </cell>
          <cell r="V221">
            <v>1377</v>
          </cell>
          <cell r="W221">
            <v>153</v>
          </cell>
          <cell r="X221">
            <v>0</v>
          </cell>
          <cell r="Y221">
            <v>0</v>
          </cell>
          <cell r="Z221">
            <v>0</v>
          </cell>
          <cell r="AA221">
            <v>0</v>
          </cell>
          <cell r="AB221">
            <v>0</v>
          </cell>
          <cell r="AC221">
            <v>0</v>
          </cell>
          <cell r="AD221">
            <v>0</v>
          </cell>
          <cell r="AE221">
            <v>0</v>
          </cell>
          <cell r="AF221">
            <v>0</v>
          </cell>
          <cell r="AG221">
            <v>0</v>
          </cell>
          <cell r="AH221">
            <v>0</v>
          </cell>
          <cell r="AI221">
            <v>0</v>
          </cell>
          <cell r="AM221">
            <v>0</v>
          </cell>
          <cell r="AN221">
            <v>0</v>
          </cell>
          <cell r="AO221">
            <v>0</v>
          </cell>
          <cell r="AP221">
            <v>71465</v>
          </cell>
          <cell r="AQ221">
            <v>15563</v>
          </cell>
          <cell r="AR221">
            <v>1729</v>
          </cell>
          <cell r="AS221">
            <v>-570896</v>
          </cell>
          <cell r="AT221">
            <v>-456720</v>
          </cell>
          <cell r="AU221">
            <v>-102762</v>
          </cell>
          <cell r="AV221">
            <v>-11418</v>
          </cell>
          <cell r="AW221">
            <v>-1141796</v>
          </cell>
          <cell r="AX221">
            <v>-1251496</v>
          </cell>
          <cell r="AY221">
            <v>-1001196</v>
          </cell>
          <cell r="AZ221">
            <v>-225268</v>
          </cell>
          <cell r="BA221">
            <v>-25029</v>
          </cell>
          <cell r="BB221">
            <v>-2502989</v>
          </cell>
          <cell r="BC221">
            <v>14031570</v>
          </cell>
          <cell r="BD221">
            <v>-2193505</v>
          </cell>
          <cell r="BE221">
            <v>358455</v>
          </cell>
          <cell r="BF221">
            <v>0</v>
          </cell>
          <cell r="BG221">
            <v>-505506</v>
          </cell>
          <cell r="BH221">
            <v>-49766</v>
          </cell>
          <cell r="BI221">
            <v>0</v>
          </cell>
          <cell r="BJ221">
            <v>0</v>
          </cell>
          <cell r="BK221">
            <v>-741510</v>
          </cell>
          <cell r="BL221">
            <v>-56777</v>
          </cell>
          <cell r="BM221">
            <v>-25542</v>
          </cell>
          <cell r="BN221">
            <v>-3084</v>
          </cell>
          <cell r="BO221">
            <v>0</v>
          </cell>
          <cell r="BP221">
            <v>0</v>
          </cell>
          <cell r="BQ221">
            <v>0</v>
          </cell>
          <cell r="BR221">
            <v>0</v>
          </cell>
          <cell r="BS221">
            <v>0</v>
          </cell>
          <cell r="BT221">
            <v>14739591</v>
          </cell>
          <cell r="BU221">
            <v>-92766</v>
          </cell>
          <cell r="BV221">
            <v>1511030</v>
          </cell>
          <cell r="BW221">
            <v>-157746</v>
          </cell>
          <cell r="BX221">
            <v>-1085661</v>
          </cell>
          <cell r="BY221">
            <v>-621860</v>
          </cell>
          <cell r="BZ221">
            <v>11511667</v>
          </cell>
          <cell r="CA221">
            <v>-542832</v>
          </cell>
          <cell r="CB221">
            <v>-434264</v>
          </cell>
          <cell r="CC221">
            <v>-97709</v>
          </cell>
          <cell r="CD221">
            <v>-10856</v>
          </cell>
          <cell r="CE221">
            <v>-310930</v>
          </cell>
          <cell r="CF221">
            <v>-248744</v>
          </cell>
          <cell r="CG221">
            <v>-55967</v>
          </cell>
          <cell r="CH221">
            <v>-6219</v>
          </cell>
        </row>
        <row r="222">
          <cell r="A222">
            <v>215</v>
          </cell>
          <cell r="B222" t="str">
            <v>Rother</v>
          </cell>
          <cell r="C222" t="str">
            <v>E1436</v>
          </cell>
          <cell r="D222">
            <v>146049</v>
          </cell>
          <cell r="H222">
            <v>893929</v>
          </cell>
          <cell r="I222">
            <v>0</v>
          </cell>
          <cell r="J222">
            <v>146049</v>
          </cell>
          <cell r="K222">
            <v>0</v>
          </cell>
          <cell r="L222">
            <v>0</v>
          </cell>
          <cell r="M222">
            <v>0</v>
          </cell>
          <cell r="N222">
            <v>0</v>
          </cell>
          <cell r="O222">
            <v>0</v>
          </cell>
          <cell r="P222">
            <v>0</v>
          </cell>
          <cell r="Q222">
            <v>0</v>
          </cell>
          <cell r="R222">
            <v>781586</v>
          </cell>
          <cell r="S222">
            <v>175857</v>
          </cell>
          <cell r="T222">
            <v>19540</v>
          </cell>
          <cell r="U222">
            <v>1262</v>
          </cell>
          <cell r="V222">
            <v>284</v>
          </cell>
          <cell r="W222">
            <v>32</v>
          </cell>
          <cell r="X222">
            <v>0</v>
          </cell>
          <cell r="Y222">
            <v>0</v>
          </cell>
          <cell r="Z222">
            <v>0</v>
          </cell>
          <cell r="AA222">
            <v>6126</v>
          </cell>
          <cell r="AB222">
            <v>1378</v>
          </cell>
          <cell r="AC222">
            <v>153</v>
          </cell>
          <cell r="AD222">
            <v>0</v>
          </cell>
          <cell r="AE222">
            <v>0</v>
          </cell>
          <cell r="AF222">
            <v>0</v>
          </cell>
          <cell r="AG222">
            <v>0</v>
          </cell>
          <cell r="AH222">
            <v>0</v>
          </cell>
          <cell r="AI222">
            <v>0</v>
          </cell>
          <cell r="AM222">
            <v>0</v>
          </cell>
          <cell r="AN222">
            <v>0</v>
          </cell>
          <cell r="AO222">
            <v>0</v>
          </cell>
          <cell r="AP222">
            <v>105169</v>
          </cell>
          <cell r="AQ222">
            <v>23663</v>
          </cell>
          <cell r="AR222">
            <v>2629</v>
          </cell>
          <cell r="AS222">
            <v>-249224.39</v>
          </cell>
          <cell r="AT222">
            <v>-199381</v>
          </cell>
          <cell r="AU222">
            <v>-44862</v>
          </cell>
          <cell r="AV222">
            <v>-4985</v>
          </cell>
          <cell r="AW222">
            <v>-498452.39</v>
          </cell>
          <cell r="AX222">
            <v>-858285</v>
          </cell>
          <cell r="AY222">
            <v>-686628</v>
          </cell>
          <cell r="AZ222">
            <v>-154492</v>
          </cell>
          <cell r="BA222">
            <v>-17166</v>
          </cell>
          <cell r="BB222">
            <v>-1716571</v>
          </cell>
          <cell r="BC222">
            <v>17399592</v>
          </cell>
          <cell r="BD222">
            <v>-3119269</v>
          </cell>
          <cell r="BE222">
            <v>438062</v>
          </cell>
          <cell r="BF222">
            <v>0</v>
          </cell>
          <cell r="BG222">
            <v>-2246303</v>
          </cell>
          <cell r="BH222">
            <v>-71558</v>
          </cell>
          <cell r="BI222">
            <v>-35332</v>
          </cell>
          <cell r="BJ222">
            <v>-1642</v>
          </cell>
          <cell r="BK222">
            <v>-389735</v>
          </cell>
          <cell r="BL222">
            <v>-51662</v>
          </cell>
          <cell r="BM222">
            <v>0</v>
          </cell>
          <cell r="BN222">
            <v>-6759</v>
          </cell>
          <cell r="BO222">
            <v>-17056</v>
          </cell>
          <cell r="BP222">
            <v>0</v>
          </cell>
          <cell r="BQ222">
            <v>0</v>
          </cell>
          <cell r="BR222">
            <v>0</v>
          </cell>
          <cell r="BS222">
            <v>0</v>
          </cell>
          <cell r="BT222">
            <v>17711215</v>
          </cell>
          <cell r="BU222">
            <v>0</v>
          </cell>
          <cell r="BV222">
            <v>738356</v>
          </cell>
          <cell r="BW222">
            <v>-206025</v>
          </cell>
          <cell r="BX222">
            <v>-54066</v>
          </cell>
          <cell r="BY222">
            <v>-80872</v>
          </cell>
          <cell r="BZ222">
            <v>17503191</v>
          </cell>
          <cell r="CA222">
            <v>-27033</v>
          </cell>
          <cell r="CB222">
            <v>-21626</v>
          </cell>
          <cell r="CC222">
            <v>-4866</v>
          </cell>
          <cell r="CD222">
            <v>-541</v>
          </cell>
          <cell r="CE222">
            <v>-40436</v>
          </cell>
          <cell r="CF222">
            <v>-32349</v>
          </cell>
          <cell r="CG222">
            <v>-7278</v>
          </cell>
          <cell r="CH222">
            <v>-809</v>
          </cell>
        </row>
        <row r="223">
          <cell r="A223">
            <v>216</v>
          </cell>
          <cell r="B223" t="str">
            <v>Rotherham</v>
          </cell>
          <cell r="C223" t="str">
            <v>E4403</v>
          </cell>
          <cell r="D223">
            <v>302614</v>
          </cell>
          <cell r="H223">
            <v>-4676228</v>
          </cell>
          <cell r="I223">
            <v>-1477</v>
          </cell>
          <cell r="J223">
            <v>302614</v>
          </cell>
          <cell r="K223">
            <v>0</v>
          </cell>
          <cell r="L223">
            <v>189477</v>
          </cell>
          <cell r="M223">
            <v>0</v>
          </cell>
          <cell r="N223">
            <v>203404</v>
          </cell>
          <cell r="O223">
            <v>203404</v>
          </cell>
          <cell r="P223">
            <v>0</v>
          </cell>
          <cell r="Q223">
            <v>0</v>
          </cell>
          <cell r="R223">
            <v>1651044</v>
          </cell>
          <cell r="S223">
            <v>0</v>
          </cell>
          <cell r="T223">
            <v>33695</v>
          </cell>
          <cell r="U223">
            <v>6301</v>
          </cell>
          <cell r="V223">
            <v>0</v>
          </cell>
          <cell r="W223">
            <v>129</v>
          </cell>
          <cell r="X223">
            <v>0</v>
          </cell>
          <cell r="Y223">
            <v>0</v>
          </cell>
          <cell r="Z223">
            <v>0</v>
          </cell>
          <cell r="AA223">
            <v>0</v>
          </cell>
          <cell r="AB223">
            <v>0</v>
          </cell>
          <cell r="AC223">
            <v>0</v>
          </cell>
          <cell r="AD223">
            <v>0</v>
          </cell>
          <cell r="AE223">
            <v>0</v>
          </cell>
          <cell r="AF223">
            <v>0</v>
          </cell>
          <cell r="AG223">
            <v>0</v>
          </cell>
          <cell r="AH223">
            <v>0</v>
          </cell>
          <cell r="AI223">
            <v>0</v>
          </cell>
          <cell r="AM223">
            <v>0</v>
          </cell>
          <cell r="AN223">
            <v>0</v>
          </cell>
          <cell r="AO223">
            <v>0</v>
          </cell>
          <cell r="AP223">
            <v>501970</v>
          </cell>
          <cell r="AQ223">
            <v>0</v>
          </cell>
          <cell r="AR223">
            <v>10124</v>
          </cell>
          <cell r="AS223">
            <v>-564624</v>
          </cell>
          <cell r="AT223">
            <v>-553331</v>
          </cell>
          <cell r="AU223">
            <v>0</v>
          </cell>
          <cell r="AV223">
            <v>-11293</v>
          </cell>
          <cell r="AW223">
            <v>-1129248</v>
          </cell>
          <cell r="AX223">
            <v>-3292250</v>
          </cell>
          <cell r="AY223">
            <v>-3226405</v>
          </cell>
          <cell r="AZ223">
            <v>0</v>
          </cell>
          <cell r="BA223">
            <v>-65847</v>
          </cell>
          <cell r="BB223">
            <v>-6584502</v>
          </cell>
          <cell r="BC223">
            <v>77103829</v>
          </cell>
          <cell r="BD223">
            <v>-5432355</v>
          </cell>
          <cell r="BE223">
            <v>2083869</v>
          </cell>
          <cell r="BF223">
            <v>0</v>
          </cell>
          <cell r="BG223">
            <v>-4824512</v>
          </cell>
          <cell r="BH223">
            <v>-14552</v>
          </cell>
          <cell r="BI223">
            <v>-11542</v>
          </cell>
          <cell r="BJ223">
            <v>0</v>
          </cell>
          <cell r="BK223">
            <v>-2473473</v>
          </cell>
          <cell r="BL223">
            <v>-120574</v>
          </cell>
          <cell r="BM223">
            <v>-643325</v>
          </cell>
          <cell r="BN223">
            <v>-3638</v>
          </cell>
          <cell r="BO223">
            <v>-2743</v>
          </cell>
          <cell r="BP223">
            <v>0</v>
          </cell>
          <cell r="BQ223">
            <v>-389638</v>
          </cell>
          <cell r="BR223">
            <v>-398113</v>
          </cell>
          <cell r="BS223">
            <v>0</v>
          </cell>
          <cell r="BT223">
            <v>75400000</v>
          </cell>
          <cell r="BU223">
            <v>-551595</v>
          </cell>
          <cell r="BV223">
            <v>2817004</v>
          </cell>
          <cell r="BW223">
            <v>-851449</v>
          </cell>
          <cell r="BX223">
            <v>2998102</v>
          </cell>
          <cell r="BY223">
            <v>3735921</v>
          </cell>
          <cell r="BZ223">
            <v>67395884</v>
          </cell>
          <cell r="CA223">
            <v>1499052</v>
          </cell>
          <cell r="CB223">
            <v>1469070</v>
          </cell>
          <cell r="CC223">
            <v>0</v>
          </cell>
          <cell r="CD223">
            <v>29980</v>
          </cell>
          <cell r="CE223">
            <v>1867961</v>
          </cell>
          <cell r="CF223">
            <v>1830601</v>
          </cell>
          <cell r="CG223">
            <v>0</v>
          </cell>
          <cell r="CH223">
            <v>37359</v>
          </cell>
        </row>
        <row r="224">
          <cell r="A224">
            <v>217</v>
          </cell>
          <cell r="B224" t="str">
            <v>Rugby</v>
          </cell>
          <cell r="C224" t="str">
            <v>E3733</v>
          </cell>
          <cell r="D224">
            <v>135863</v>
          </cell>
          <cell r="H224">
            <v>-2272397</v>
          </cell>
          <cell r="I224">
            <v>0</v>
          </cell>
          <cell r="J224">
            <v>135863</v>
          </cell>
          <cell r="K224">
            <v>0</v>
          </cell>
          <cell r="L224">
            <v>0</v>
          </cell>
          <cell r="M224">
            <v>0</v>
          </cell>
          <cell r="N224">
            <v>0</v>
          </cell>
          <cell r="O224">
            <v>0</v>
          </cell>
          <cell r="P224">
            <v>0</v>
          </cell>
          <cell r="Q224">
            <v>0</v>
          </cell>
          <cell r="R224">
            <v>561233</v>
          </cell>
          <cell r="S224">
            <v>140308</v>
          </cell>
          <cell r="T224">
            <v>0</v>
          </cell>
          <cell r="U224">
            <v>0</v>
          </cell>
          <cell r="V224">
            <v>0</v>
          </cell>
          <cell r="W224">
            <v>0</v>
          </cell>
          <cell r="X224">
            <v>0</v>
          </cell>
          <cell r="Y224">
            <v>0</v>
          </cell>
          <cell r="Z224">
            <v>0</v>
          </cell>
          <cell r="AA224">
            <v>2620</v>
          </cell>
          <cell r="AB224">
            <v>655</v>
          </cell>
          <cell r="AC224">
            <v>0</v>
          </cell>
          <cell r="AD224">
            <v>0</v>
          </cell>
          <cell r="AE224">
            <v>0</v>
          </cell>
          <cell r="AF224">
            <v>0</v>
          </cell>
          <cell r="AG224">
            <v>0</v>
          </cell>
          <cell r="AH224">
            <v>0</v>
          </cell>
          <cell r="AI224">
            <v>0</v>
          </cell>
          <cell r="AM224">
            <v>0</v>
          </cell>
          <cell r="AN224">
            <v>0</v>
          </cell>
          <cell r="AO224">
            <v>0</v>
          </cell>
          <cell r="AP224">
            <v>271515</v>
          </cell>
          <cell r="AQ224">
            <v>67879</v>
          </cell>
          <cell r="AR224">
            <v>0</v>
          </cell>
          <cell r="AS224">
            <v>-110716</v>
          </cell>
          <cell r="AT224">
            <v>-88574</v>
          </cell>
          <cell r="AU224">
            <v>-22143</v>
          </cell>
          <cell r="AV224">
            <v>0</v>
          </cell>
          <cell r="AW224">
            <v>-221433</v>
          </cell>
          <cell r="AX224">
            <v>-2471282</v>
          </cell>
          <cell r="AY224">
            <v>-1977026</v>
          </cell>
          <cell r="AZ224">
            <v>-494257</v>
          </cell>
          <cell r="BA224">
            <v>0</v>
          </cell>
          <cell r="BB224">
            <v>-4942565</v>
          </cell>
          <cell r="BC224">
            <v>47805339</v>
          </cell>
          <cell r="BD224">
            <v>-1962193</v>
          </cell>
          <cell r="BE224">
            <v>1327024</v>
          </cell>
          <cell r="BF224">
            <v>0</v>
          </cell>
          <cell r="BG224">
            <v>-3062339</v>
          </cell>
          <cell r="BH224">
            <v>-75966</v>
          </cell>
          <cell r="BI224">
            <v>-11233</v>
          </cell>
          <cell r="BJ224">
            <v>-205582</v>
          </cell>
          <cell r="BK224">
            <v>-1094407</v>
          </cell>
          <cell r="BL224">
            <v>-99687</v>
          </cell>
          <cell r="BM224">
            <v>-28261</v>
          </cell>
          <cell r="BN224">
            <v>0</v>
          </cell>
          <cell r="BO224">
            <v>0</v>
          </cell>
          <cell r="BP224">
            <v>0</v>
          </cell>
          <cell r="BQ224">
            <v>0</v>
          </cell>
          <cell r="BR224">
            <v>0</v>
          </cell>
          <cell r="BS224">
            <v>0</v>
          </cell>
          <cell r="BT224">
            <v>49350973</v>
          </cell>
          <cell r="BU224">
            <v>-55112</v>
          </cell>
          <cell r="BV224">
            <v>1152502</v>
          </cell>
          <cell r="BW224">
            <v>-418678</v>
          </cell>
          <cell r="BX224">
            <v>208883</v>
          </cell>
          <cell r="BY224">
            <v>601570</v>
          </cell>
          <cell r="BZ224">
            <v>45187874</v>
          </cell>
          <cell r="CA224">
            <v>104440</v>
          </cell>
          <cell r="CB224">
            <v>83554</v>
          </cell>
          <cell r="CC224">
            <v>20889</v>
          </cell>
          <cell r="CD224">
            <v>0</v>
          </cell>
          <cell r="CE224">
            <v>300785</v>
          </cell>
          <cell r="CF224">
            <v>240628</v>
          </cell>
          <cell r="CG224">
            <v>60157</v>
          </cell>
          <cell r="CH224">
            <v>0</v>
          </cell>
        </row>
        <row r="225">
          <cell r="A225">
            <v>218</v>
          </cell>
          <cell r="B225" t="str">
            <v>Runnymede</v>
          </cell>
          <cell r="C225" t="str">
            <v>E3636</v>
          </cell>
          <cell r="D225">
            <v>131332</v>
          </cell>
          <cell r="H225">
            <v>2264469</v>
          </cell>
          <cell r="I225">
            <v>1518</v>
          </cell>
          <cell r="J225">
            <v>131332</v>
          </cell>
          <cell r="K225">
            <v>0</v>
          </cell>
          <cell r="L225">
            <v>0</v>
          </cell>
          <cell r="M225">
            <v>0</v>
          </cell>
          <cell r="N225">
            <v>0</v>
          </cell>
          <cell r="O225">
            <v>0</v>
          </cell>
          <cell r="P225">
            <v>0</v>
          </cell>
          <cell r="Q225">
            <v>0</v>
          </cell>
          <cell r="R225">
            <v>368879</v>
          </cell>
          <cell r="S225">
            <v>92220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M225">
            <v>0</v>
          </cell>
          <cell r="AN225">
            <v>0</v>
          </cell>
          <cell r="AO225">
            <v>0</v>
          </cell>
          <cell r="AP225">
            <v>342951</v>
          </cell>
          <cell r="AQ225">
            <v>85738</v>
          </cell>
          <cell r="AR225">
            <v>0</v>
          </cell>
          <cell r="AS225">
            <v>-313950</v>
          </cell>
          <cell r="AT225">
            <v>-251160</v>
          </cell>
          <cell r="AU225">
            <v>-62790</v>
          </cell>
          <cell r="AV225">
            <v>0</v>
          </cell>
          <cell r="AW225">
            <v>-627900</v>
          </cell>
          <cell r="AX225">
            <v>-3911149.06</v>
          </cell>
          <cell r="AY225">
            <v>-3128921</v>
          </cell>
          <cell r="AZ225">
            <v>-782230</v>
          </cell>
          <cell r="BA225">
            <v>0</v>
          </cell>
          <cell r="BB225">
            <v>-7822300.0600000005</v>
          </cell>
          <cell r="BC225">
            <v>44697379</v>
          </cell>
          <cell r="BD225">
            <v>-1341245</v>
          </cell>
          <cell r="BE225">
            <v>1269871</v>
          </cell>
          <cell r="BF225">
            <v>0</v>
          </cell>
          <cell r="BG225">
            <v>-3236541</v>
          </cell>
          <cell r="BH225">
            <v>-37943</v>
          </cell>
          <cell r="BI225">
            <v>-1694</v>
          </cell>
          <cell r="BJ225">
            <v>0</v>
          </cell>
          <cell r="BK225">
            <v>-1524003</v>
          </cell>
          <cell r="BL225">
            <v>-21853</v>
          </cell>
          <cell r="BM225">
            <v>-282</v>
          </cell>
          <cell r="BN225">
            <v>0</v>
          </cell>
          <cell r="BO225">
            <v>0</v>
          </cell>
          <cell r="BP225">
            <v>-2551</v>
          </cell>
          <cell r="BQ225">
            <v>0</v>
          </cell>
          <cell r="BR225">
            <v>0</v>
          </cell>
          <cell r="BS225">
            <v>0</v>
          </cell>
          <cell r="BT225">
            <v>46805719</v>
          </cell>
          <cell r="BU225">
            <v>0</v>
          </cell>
          <cell r="BV225">
            <v>983900</v>
          </cell>
          <cell r="BW225">
            <v>-1103300</v>
          </cell>
          <cell r="BX225">
            <v>1062434.2199999988</v>
          </cell>
          <cell r="BY225">
            <v>-5961367</v>
          </cell>
          <cell r="BZ225">
            <v>57076913</v>
          </cell>
          <cell r="CA225">
            <v>531217.21999999881</v>
          </cell>
          <cell r="CB225">
            <v>424973</v>
          </cell>
          <cell r="CC225">
            <v>106244</v>
          </cell>
          <cell r="CD225">
            <v>0</v>
          </cell>
          <cell r="CE225">
            <v>-2980683</v>
          </cell>
          <cell r="CF225">
            <v>-2384547</v>
          </cell>
          <cell r="CG225">
            <v>-596137</v>
          </cell>
          <cell r="CH225">
            <v>0</v>
          </cell>
        </row>
        <row r="226">
          <cell r="A226">
            <v>219</v>
          </cell>
          <cell r="B226" t="str">
            <v>Rushcliffe</v>
          </cell>
          <cell r="C226" t="str">
            <v>E3038</v>
          </cell>
          <cell r="D226">
            <v>111888</v>
          </cell>
          <cell r="H226">
            <v>-2977258</v>
          </cell>
          <cell r="I226">
            <v>0</v>
          </cell>
          <cell r="J226">
            <v>111888</v>
          </cell>
          <cell r="K226">
            <v>0</v>
          </cell>
          <cell r="L226">
            <v>117335</v>
          </cell>
          <cell r="M226">
            <v>0</v>
          </cell>
          <cell r="N226">
            <v>0</v>
          </cell>
          <cell r="O226">
            <v>0</v>
          </cell>
          <cell r="P226">
            <v>0</v>
          </cell>
          <cell r="Q226">
            <v>0</v>
          </cell>
          <cell r="R226">
            <v>500165</v>
          </cell>
          <cell r="S226">
            <v>112537</v>
          </cell>
          <cell r="T226">
            <v>12504</v>
          </cell>
          <cell r="U226">
            <v>4294</v>
          </cell>
          <cell r="V226">
            <v>966</v>
          </cell>
          <cell r="W226">
            <v>107</v>
          </cell>
          <cell r="X226">
            <v>1335</v>
          </cell>
          <cell r="Y226">
            <v>300</v>
          </cell>
          <cell r="Z226">
            <v>33</v>
          </cell>
          <cell r="AA226">
            <v>0</v>
          </cell>
          <cell r="AB226">
            <v>0</v>
          </cell>
          <cell r="AC226">
            <v>0</v>
          </cell>
          <cell r="AD226">
            <v>0</v>
          </cell>
          <cell r="AE226">
            <v>0</v>
          </cell>
          <cell r="AF226">
            <v>0</v>
          </cell>
          <cell r="AG226">
            <v>0</v>
          </cell>
          <cell r="AH226">
            <v>0</v>
          </cell>
          <cell r="AI226">
            <v>0</v>
          </cell>
          <cell r="AM226">
            <v>0</v>
          </cell>
          <cell r="AN226">
            <v>0</v>
          </cell>
          <cell r="AO226">
            <v>0</v>
          </cell>
          <cell r="AP226">
            <v>144904</v>
          </cell>
          <cell r="AQ226">
            <v>32207</v>
          </cell>
          <cell r="AR226">
            <v>3579</v>
          </cell>
          <cell r="AS226">
            <v>-190149</v>
          </cell>
          <cell r="AT226">
            <v>-152119</v>
          </cell>
          <cell r="AU226">
            <v>-34227</v>
          </cell>
          <cell r="AV226">
            <v>-3803</v>
          </cell>
          <cell r="AW226">
            <v>-380298</v>
          </cell>
          <cell r="AX226">
            <v>-1852733</v>
          </cell>
          <cell r="AY226">
            <v>-1482187</v>
          </cell>
          <cell r="AZ226">
            <v>-333493</v>
          </cell>
          <cell r="BA226">
            <v>-37054</v>
          </cell>
          <cell r="BB226">
            <v>-3705467</v>
          </cell>
          <cell r="BC226">
            <v>27251585</v>
          </cell>
          <cell r="BD226">
            <v>-2042029</v>
          </cell>
          <cell r="BE226">
            <v>769073</v>
          </cell>
          <cell r="BF226">
            <v>0</v>
          </cell>
          <cell r="BG226">
            <v>-2769094</v>
          </cell>
          <cell r="BH226">
            <v>-69588</v>
          </cell>
          <cell r="BI226">
            <v>-7789</v>
          </cell>
          <cell r="BJ226">
            <v>0</v>
          </cell>
          <cell r="BK226">
            <v>-374497</v>
          </cell>
          <cell r="BL226">
            <v>-15146</v>
          </cell>
          <cell r="BM226">
            <v>-270891</v>
          </cell>
          <cell r="BN226">
            <v>0</v>
          </cell>
          <cell r="BO226">
            <v>-635</v>
          </cell>
          <cell r="BP226">
            <v>-8198</v>
          </cell>
          <cell r="BQ226">
            <v>0</v>
          </cell>
          <cell r="BR226">
            <v>0</v>
          </cell>
          <cell r="BS226">
            <v>0</v>
          </cell>
          <cell r="BT226">
            <v>28876335</v>
          </cell>
          <cell r="BU226">
            <v>-249593</v>
          </cell>
          <cell r="BV226">
            <v>521724</v>
          </cell>
          <cell r="BW226">
            <v>-723016</v>
          </cell>
          <cell r="BX226">
            <v>520090</v>
          </cell>
          <cell r="BY226">
            <v>277814</v>
          </cell>
          <cell r="BZ226">
            <v>23822848</v>
          </cell>
          <cell r="CA226">
            <v>260046</v>
          </cell>
          <cell r="CB226">
            <v>208036</v>
          </cell>
          <cell r="CC226">
            <v>46808</v>
          </cell>
          <cell r="CD226">
            <v>5200</v>
          </cell>
          <cell r="CE226">
            <v>138907</v>
          </cell>
          <cell r="CF226">
            <v>111126</v>
          </cell>
          <cell r="CG226">
            <v>25003</v>
          </cell>
          <cell r="CH226">
            <v>2778</v>
          </cell>
        </row>
        <row r="227">
          <cell r="A227">
            <v>220</v>
          </cell>
          <cell r="B227" t="str">
            <v>Rushmoor</v>
          </cell>
          <cell r="C227" t="str">
            <v>E1740</v>
          </cell>
          <cell r="D227">
            <v>120627</v>
          </cell>
          <cell r="H227">
            <v>341199</v>
          </cell>
          <cell r="I227">
            <v>0</v>
          </cell>
          <cell r="J227">
            <v>120627</v>
          </cell>
          <cell r="K227">
            <v>0</v>
          </cell>
          <cell r="L227">
            <v>0</v>
          </cell>
          <cell r="M227">
            <v>0</v>
          </cell>
          <cell r="N227">
            <v>0</v>
          </cell>
          <cell r="O227">
            <v>0</v>
          </cell>
          <cell r="P227">
            <v>0</v>
          </cell>
          <cell r="Q227">
            <v>0</v>
          </cell>
          <cell r="R227">
            <v>336595</v>
          </cell>
          <cell r="S227">
            <v>75734</v>
          </cell>
          <cell r="T227">
            <v>8415</v>
          </cell>
          <cell r="U227">
            <v>4259</v>
          </cell>
          <cell r="V227">
            <v>958</v>
          </cell>
          <cell r="W227">
            <v>106</v>
          </cell>
          <cell r="X227">
            <v>0</v>
          </cell>
          <cell r="Y227">
            <v>0</v>
          </cell>
          <cell r="Z227">
            <v>0</v>
          </cell>
          <cell r="AA227">
            <v>0</v>
          </cell>
          <cell r="AB227">
            <v>0</v>
          </cell>
          <cell r="AC227">
            <v>0</v>
          </cell>
          <cell r="AD227">
            <v>0</v>
          </cell>
          <cell r="AE227">
            <v>0</v>
          </cell>
          <cell r="AF227">
            <v>0</v>
          </cell>
          <cell r="AG227">
            <v>0</v>
          </cell>
          <cell r="AH227">
            <v>0</v>
          </cell>
          <cell r="AI227">
            <v>0</v>
          </cell>
          <cell r="AM227">
            <v>0</v>
          </cell>
          <cell r="AN227">
            <v>0</v>
          </cell>
          <cell r="AO227">
            <v>0</v>
          </cell>
          <cell r="AP227">
            <v>285251</v>
          </cell>
          <cell r="AQ227">
            <v>64181</v>
          </cell>
          <cell r="AR227">
            <v>7131</v>
          </cell>
          <cell r="AS227">
            <v>-387866.73</v>
          </cell>
          <cell r="AT227">
            <v>-310294</v>
          </cell>
          <cell r="AU227">
            <v>-69817</v>
          </cell>
          <cell r="AV227">
            <v>-7759</v>
          </cell>
          <cell r="AW227">
            <v>-775736.73</v>
          </cell>
          <cell r="AX227">
            <v>-3422551</v>
          </cell>
          <cell r="AY227">
            <v>-2738043</v>
          </cell>
          <cell r="AZ227">
            <v>-616060</v>
          </cell>
          <cell r="BA227">
            <v>-68452</v>
          </cell>
          <cell r="BB227">
            <v>-6845106</v>
          </cell>
          <cell r="BC227">
            <v>46602819</v>
          </cell>
          <cell r="BD227">
            <v>-1278433</v>
          </cell>
          <cell r="BE227">
            <v>1294618</v>
          </cell>
          <cell r="BF227">
            <v>0</v>
          </cell>
          <cell r="BG227">
            <v>-1705336</v>
          </cell>
          <cell r="BH227">
            <v>-15785</v>
          </cell>
          <cell r="BI227">
            <v>0</v>
          </cell>
          <cell r="BJ227">
            <v>-234248</v>
          </cell>
          <cell r="BK227">
            <v>-1639283</v>
          </cell>
          <cell r="BL227">
            <v>-67728</v>
          </cell>
          <cell r="BM227">
            <v>-316202</v>
          </cell>
          <cell r="BN227">
            <v>-3946</v>
          </cell>
          <cell r="BO227">
            <v>0</v>
          </cell>
          <cell r="BP227">
            <v>0</v>
          </cell>
          <cell r="BQ227">
            <v>0</v>
          </cell>
          <cell r="BR227">
            <v>0</v>
          </cell>
          <cell r="BS227">
            <v>0</v>
          </cell>
          <cell r="BT227">
            <v>47886987</v>
          </cell>
          <cell r="BU227">
            <v>-260288</v>
          </cell>
          <cell r="BV227">
            <v>1523730</v>
          </cell>
          <cell r="BW227">
            <v>-1346802</v>
          </cell>
          <cell r="BX227">
            <v>-1904219</v>
          </cell>
          <cell r="BY227">
            <v>-1947042</v>
          </cell>
          <cell r="BZ227">
            <v>47473860</v>
          </cell>
          <cell r="CA227">
            <v>-952109</v>
          </cell>
          <cell r="CB227">
            <v>-761688</v>
          </cell>
          <cell r="CC227">
            <v>-171380</v>
          </cell>
          <cell r="CD227">
            <v>-19042</v>
          </cell>
          <cell r="CE227">
            <v>-973521</v>
          </cell>
          <cell r="CF227">
            <v>-778817</v>
          </cell>
          <cell r="CG227">
            <v>-175234</v>
          </cell>
          <cell r="CH227">
            <v>-19470</v>
          </cell>
        </row>
        <row r="228">
          <cell r="A228">
            <v>221</v>
          </cell>
          <cell r="B228" t="str">
            <v>Rutland</v>
          </cell>
          <cell r="C228" t="str">
            <v>E2402</v>
          </cell>
          <cell r="D228">
            <v>58754</v>
          </cell>
          <cell r="H228">
            <v>687754</v>
          </cell>
          <cell r="I228">
            <v>0</v>
          </cell>
          <cell r="J228">
            <v>58754</v>
          </cell>
          <cell r="K228">
            <v>0</v>
          </cell>
          <cell r="L228">
            <v>20477</v>
          </cell>
          <cell r="M228">
            <v>0</v>
          </cell>
          <cell r="N228">
            <v>0</v>
          </cell>
          <cell r="O228">
            <v>0</v>
          </cell>
          <cell r="P228">
            <v>0</v>
          </cell>
          <cell r="Q228">
            <v>0</v>
          </cell>
          <cell r="R228">
            <v>303246</v>
          </cell>
          <cell r="S228">
            <v>0</v>
          </cell>
          <cell r="T228">
            <v>6189</v>
          </cell>
          <cell r="U228">
            <v>0</v>
          </cell>
          <cell r="V228">
            <v>0</v>
          </cell>
          <cell r="W228">
            <v>0</v>
          </cell>
          <cell r="X228">
            <v>0</v>
          </cell>
          <cell r="Y228">
            <v>0</v>
          </cell>
          <cell r="Z228">
            <v>0</v>
          </cell>
          <cell r="AA228">
            <v>2735</v>
          </cell>
          <cell r="AB228">
            <v>0</v>
          </cell>
          <cell r="AC228">
            <v>56</v>
          </cell>
          <cell r="AD228">
            <v>0</v>
          </cell>
          <cell r="AE228">
            <v>0</v>
          </cell>
          <cell r="AF228">
            <v>0</v>
          </cell>
          <cell r="AG228">
            <v>0</v>
          </cell>
          <cell r="AH228">
            <v>0</v>
          </cell>
          <cell r="AI228">
            <v>0</v>
          </cell>
          <cell r="AM228">
            <v>0</v>
          </cell>
          <cell r="AN228">
            <v>0</v>
          </cell>
          <cell r="AO228">
            <v>0</v>
          </cell>
          <cell r="AP228">
            <v>83004</v>
          </cell>
          <cell r="AQ228">
            <v>0</v>
          </cell>
          <cell r="AR228">
            <v>1688</v>
          </cell>
          <cell r="AS228">
            <v>-34123</v>
          </cell>
          <cell r="AT228">
            <v>-33441</v>
          </cell>
          <cell r="AU228">
            <v>0</v>
          </cell>
          <cell r="AV228">
            <v>-682</v>
          </cell>
          <cell r="AW228">
            <v>-68246</v>
          </cell>
          <cell r="AX228">
            <v>-270265.40000000002</v>
          </cell>
          <cell r="AY228">
            <v>-264859</v>
          </cell>
          <cell r="AZ228">
            <v>0</v>
          </cell>
          <cell r="BA228">
            <v>-5405</v>
          </cell>
          <cell r="BB228">
            <v>-540529.4</v>
          </cell>
          <cell r="BC228">
            <v>10617748</v>
          </cell>
          <cell r="BD228">
            <v>-1113531</v>
          </cell>
          <cell r="BE228">
            <v>278443</v>
          </cell>
          <cell r="BF228">
            <v>0</v>
          </cell>
          <cell r="BG228">
            <v>-1291060</v>
          </cell>
          <cell r="BH228">
            <v>-22478</v>
          </cell>
          <cell r="BI228">
            <v>-11345</v>
          </cell>
          <cell r="BJ228">
            <v>0</v>
          </cell>
          <cell r="BK228">
            <v>-184423</v>
          </cell>
          <cell r="BL228">
            <v>-41497</v>
          </cell>
          <cell r="BM228">
            <v>-27210</v>
          </cell>
          <cell r="BN228">
            <v>-3563</v>
          </cell>
          <cell r="BO228">
            <v>-11345</v>
          </cell>
          <cell r="BP228">
            <v>-1573</v>
          </cell>
          <cell r="BQ228">
            <v>0</v>
          </cell>
          <cell r="BR228">
            <v>0</v>
          </cell>
          <cell r="BS228">
            <v>0</v>
          </cell>
          <cell r="BT228">
            <v>10742999</v>
          </cell>
          <cell r="BU228">
            <v>-10133</v>
          </cell>
          <cell r="BV228">
            <v>114527</v>
          </cell>
          <cell r="BW228">
            <v>-1462</v>
          </cell>
          <cell r="BX228">
            <v>9698</v>
          </cell>
          <cell r="BY228">
            <v>65902</v>
          </cell>
          <cell r="BZ228">
            <v>11235206</v>
          </cell>
          <cell r="CA228">
            <v>4848</v>
          </cell>
          <cell r="CB228">
            <v>4753</v>
          </cell>
          <cell r="CC228">
            <v>0</v>
          </cell>
          <cell r="CD228">
            <v>97</v>
          </cell>
          <cell r="CE228">
            <v>32951</v>
          </cell>
          <cell r="CF228">
            <v>32292</v>
          </cell>
          <cell r="CG228">
            <v>0</v>
          </cell>
          <cell r="CH228">
            <v>659</v>
          </cell>
        </row>
        <row r="229">
          <cell r="A229">
            <v>222</v>
          </cell>
          <cell r="B229" t="str">
            <v>Ryedale</v>
          </cell>
          <cell r="C229" t="str">
            <v>E2755</v>
          </cell>
          <cell r="D229">
            <v>110030</v>
          </cell>
          <cell r="H229">
            <v>1069000</v>
          </cell>
          <cell r="I229">
            <v>0</v>
          </cell>
          <cell r="J229">
            <v>110030</v>
          </cell>
          <cell r="K229">
            <v>0</v>
          </cell>
          <cell r="L229">
            <v>49000</v>
          </cell>
          <cell r="M229">
            <v>0</v>
          </cell>
          <cell r="N229">
            <v>0</v>
          </cell>
          <cell r="O229">
            <v>0</v>
          </cell>
          <cell r="P229">
            <v>0</v>
          </cell>
          <cell r="Q229">
            <v>0</v>
          </cell>
          <cell r="R229">
            <v>632358</v>
          </cell>
          <cell r="S229">
            <v>142281</v>
          </cell>
          <cell r="T229">
            <v>15809</v>
          </cell>
          <cell r="U229">
            <v>14211</v>
          </cell>
          <cell r="V229">
            <v>3197</v>
          </cell>
          <cell r="W229">
            <v>355</v>
          </cell>
          <cell r="X229">
            <v>0</v>
          </cell>
          <cell r="Y229">
            <v>0</v>
          </cell>
          <cell r="Z229">
            <v>0</v>
          </cell>
          <cell r="AA229">
            <v>1827</v>
          </cell>
          <cell r="AB229">
            <v>411</v>
          </cell>
          <cell r="AC229">
            <v>46</v>
          </cell>
          <cell r="AD229">
            <v>0</v>
          </cell>
          <cell r="AE229">
            <v>0</v>
          </cell>
          <cell r="AF229">
            <v>0</v>
          </cell>
          <cell r="AG229">
            <v>0</v>
          </cell>
          <cell r="AH229">
            <v>0</v>
          </cell>
          <cell r="AI229">
            <v>0</v>
          </cell>
          <cell r="AM229">
            <v>0</v>
          </cell>
          <cell r="AN229">
            <v>0</v>
          </cell>
          <cell r="AO229">
            <v>0</v>
          </cell>
          <cell r="AP229">
            <v>102383</v>
          </cell>
          <cell r="AQ229">
            <v>22871</v>
          </cell>
          <cell r="AR229">
            <v>2541</v>
          </cell>
          <cell r="AS229">
            <v>-30000</v>
          </cell>
          <cell r="AT229">
            <v>-24000</v>
          </cell>
          <cell r="AU229">
            <v>-5400</v>
          </cell>
          <cell r="AV229">
            <v>-600</v>
          </cell>
          <cell r="AW229">
            <v>-60000</v>
          </cell>
          <cell r="AX229">
            <v>-927500</v>
          </cell>
          <cell r="AY229">
            <v>-742000</v>
          </cell>
          <cell r="AZ229">
            <v>-166950</v>
          </cell>
          <cell r="BA229">
            <v>-18550</v>
          </cell>
          <cell r="BB229">
            <v>-1855000</v>
          </cell>
          <cell r="BC229">
            <v>16349089</v>
          </cell>
          <cell r="BD229">
            <v>-2202682</v>
          </cell>
          <cell r="BE229">
            <v>399024</v>
          </cell>
          <cell r="BF229">
            <v>0</v>
          </cell>
          <cell r="BG229">
            <v>-898396</v>
          </cell>
          <cell r="BH229">
            <v>-10208</v>
          </cell>
          <cell r="BI229">
            <v>-44001</v>
          </cell>
          <cell r="BJ229">
            <v>0</v>
          </cell>
          <cell r="BK229">
            <v>-388374</v>
          </cell>
          <cell r="BL229">
            <v>-78122</v>
          </cell>
          <cell r="BM229">
            <v>-66313</v>
          </cell>
          <cell r="BN229">
            <v>-2552</v>
          </cell>
          <cell r="BO229">
            <v>-5769</v>
          </cell>
          <cell r="BP229">
            <v>-1480</v>
          </cell>
          <cell r="BQ229">
            <v>0</v>
          </cell>
          <cell r="BR229">
            <v>0</v>
          </cell>
          <cell r="BS229">
            <v>0</v>
          </cell>
          <cell r="BT229">
            <v>16872649</v>
          </cell>
          <cell r="BU229">
            <v>-22062</v>
          </cell>
          <cell r="BV229">
            <v>126223</v>
          </cell>
          <cell r="BW229">
            <v>-174001</v>
          </cell>
          <cell r="BX229">
            <v>-591015</v>
          </cell>
          <cell r="BY229">
            <v>-189524</v>
          </cell>
          <cell r="BZ229">
            <v>16916955</v>
          </cell>
          <cell r="CA229">
            <v>-295509</v>
          </cell>
          <cell r="CB229">
            <v>-236405</v>
          </cell>
          <cell r="CC229">
            <v>-53191</v>
          </cell>
          <cell r="CD229">
            <v>-5910</v>
          </cell>
          <cell r="CE229">
            <v>-94762</v>
          </cell>
          <cell r="CF229">
            <v>-75810</v>
          </cell>
          <cell r="CG229">
            <v>-17057</v>
          </cell>
          <cell r="CH229">
            <v>-1895</v>
          </cell>
        </row>
        <row r="230">
          <cell r="A230">
            <v>223</v>
          </cell>
          <cell r="B230" t="str">
            <v>Salford</v>
          </cell>
          <cell r="C230" t="str">
            <v>E4206</v>
          </cell>
          <cell r="D230">
            <v>449977</v>
          </cell>
          <cell r="H230">
            <v>-6411141</v>
          </cell>
          <cell r="I230">
            <v>0</v>
          </cell>
          <cell r="J230">
            <v>449977</v>
          </cell>
          <cell r="K230">
            <v>0</v>
          </cell>
          <cell r="L230">
            <v>0</v>
          </cell>
          <cell r="M230">
            <v>0</v>
          </cell>
          <cell r="N230">
            <v>0</v>
          </cell>
          <cell r="O230">
            <v>0</v>
          </cell>
          <cell r="P230">
            <v>0</v>
          </cell>
          <cell r="Q230">
            <v>0</v>
          </cell>
          <cell r="R230">
            <v>3056129</v>
          </cell>
          <cell r="S230">
            <v>0</v>
          </cell>
          <cell r="T230">
            <v>30870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M230">
            <v>0</v>
          </cell>
          <cell r="AN230">
            <v>0</v>
          </cell>
          <cell r="AO230">
            <v>0</v>
          </cell>
          <cell r="AP230">
            <v>1299364</v>
          </cell>
          <cell r="AQ230">
            <v>0</v>
          </cell>
          <cell r="AR230">
            <v>13125</v>
          </cell>
          <cell r="AS230">
            <v>-6911878</v>
          </cell>
          <cell r="AT230">
            <v>-6773644</v>
          </cell>
          <cell r="AU230">
            <v>0</v>
          </cell>
          <cell r="AV230">
            <v>-138238</v>
          </cell>
          <cell r="AW230">
            <v>-13823760</v>
          </cell>
          <cell r="AX230">
            <v>-7554335</v>
          </cell>
          <cell r="AY230">
            <v>-7403252</v>
          </cell>
          <cell r="AZ230">
            <v>0</v>
          </cell>
          <cell r="BA230">
            <v>-151086</v>
          </cell>
          <cell r="BB230">
            <v>-15108673</v>
          </cell>
          <cell r="BC230">
            <v>92107771</v>
          </cell>
          <cell r="BD230">
            <v>-4963557</v>
          </cell>
          <cell r="BE230">
            <v>2786308</v>
          </cell>
          <cell r="BF230">
            <v>0</v>
          </cell>
          <cell r="BG230">
            <v>-6899939</v>
          </cell>
          <cell r="BH230">
            <v>-121545</v>
          </cell>
          <cell r="BI230">
            <v>0</v>
          </cell>
          <cell r="BJ230">
            <v>-80864</v>
          </cell>
          <cell r="BK230">
            <v>-6378126</v>
          </cell>
          <cell r="BL230">
            <v>-209405</v>
          </cell>
          <cell r="BM230">
            <v>-93070</v>
          </cell>
          <cell r="BN230">
            <v>-732</v>
          </cell>
          <cell r="BO230">
            <v>0</v>
          </cell>
          <cell r="BP230">
            <v>0</v>
          </cell>
          <cell r="BQ230">
            <v>0</v>
          </cell>
          <cell r="BR230">
            <v>0</v>
          </cell>
          <cell r="BS230">
            <v>0</v>
          </cell>
          <cell r="BT230">
            <v>97920072</v>
          </cell>
          <cell r="BU230">
            <v>-5159454</v>
          </cell>
          <cell r="BV230">
            <v>28016080</v>
          </cell>
          <cell r="BW230">
            <v>-6337401</v>
          </cell>
          <cell r="BX230">
            <v>-2769000</v>
          </cell>
          <cell r="BY230">
            <v>-1791134</v>
          </cell>
          <cell r="BZ230">
            <v>87374282</v>
          </cell>
          <cell r="CA230">
            <v>-1384501</v>
          </cell>
          <cell r="CB230">
            <v>-1356809</v>
          </cell>
          <cell r="CC230">
            <v>0</v>
          </cell>
          <cell r="CD230">
            <v>-27690</v>
          </cell>
          <cell r="CE230">
            <v>-895567</v>
          </cell>
          <cell r="CF230">
            <v>-877656</v>
          </cell>
          <cell r="CG230">
            <v>0</v>
          </cell>
          <cell r="CH230">
            <v>-17911</v>
          </cell>
        </row>
        <row r="231">
          <cell r="A231">
            <v>224</v>
          </cell>
          <cell r="B231" t="str">
            <v>Sandwell</v>
          </cell>
          <cell r="C231" t="str">
            <v>E4604</v>
          </cell>
          <cell r="D231">
            <v>443826</v>
          </cell>
          <cell r="H231">
            <v>-3625539</v>
          </cell>
          <cell r="I231">
            <v>0</v>
          </cell>
          <cell r="J231">
            <v>443826</v>
          </cell>
          <cell r="K231">
            <v>0</v>
          </cell>
          <cell r="L231">
            <v>0</v>
          </cell>
          <cell r="M231">
            <v>0</v>
          </cell>
          <cell r="N231">
            <v>0</v>
          </cell>
          <cell r="O231">
            <v>0</v>
          </cell>
          <cell r="P231">
            <v>0</v>
          </cell>
          <cell r="Q231">
            <v>0</v>
          </cell>
          <cell r="R231">
            <v>5393654</v>
          </cell>
          <cell r="S231">
            <v>0</v>
          </cell>
          <cell r="T231">
            <v>54481</v>
          </cell>
          <cell r="U231">
            <v>24210</v>
          </cell>
          <cell r="V231">
            <v>0</v>
          </cell>
          <cell r="W231">
            <v>245</v>
          </cell>
          <cell r="X231">
            <v>0</v>
          </cell>
          <cell r="Y231">
            <v>0</v>
          </cell>
          <cell r="Z231">
            <v>0</v>
          </cell>
          <cell r="AA231">
            <v>9902</v>
          </cell>
          <cell r="AB231">
            <v>0</v>
          </cell>
          <cell r="AC231">
            <v>100</v>
          </cell>
          <cell r="AD231">
            <v>0</v>
          </cell>
          <cell r="AE231">
            <v>0</v>
          </cell>
          <cell r="AF231">
            <v>0</v>
          </cell>
          <cell r="AG231">
            <v>0</v>
          </cell>
          <cell r="AH231">
            <v>0</v>
          </cell>
          <cell r="AI231">
            <v>0</v>
          </cell>
          <cell r="AM231">
            <v>0</v>
          </cell>
          <cell r="AN231">
            <v>0</v>
          </cell>
          <cell r="AO231">
            <v>0</v>
          </cell>
          <cell r="AP231">
            <v>1462959</v>
          </cell>
          <cell r="AQ231">
            <v>0</v>
          </cell>
          <cell r="AR231">
            <v>14777</v>
          </cell>
          <cell r="AS231">
            <v>-666896</v>
          </cell>
          <cell r="AT231">
            <v>-653559</v>
          </cell>
          <cell r="AU231">
            <v>0</v>
          </cell>
          <cell r="AV231">
            <v>-13337</v>
          </cell>
          <cell r="AW231">
            <v>-1333792</v>
          </cell>
          <cell r="AX231">
            <v>-903729</v>
          </cell>
          <cell r="AY231">
            <v>-885654</v>
          </cell>
          <cell r="AZ231">
            <v>0</v>
          </cell>
          <cell r="BA231">
            <v>-18075</v>
          </cell>
          <cell r="BB231">
            <v>-1807458</v>
          </cell>
          <cell r="BC231">
            <v>101030034</v>
          </cell>
          <cell r="BD231">
            <v>-8477470</v>
          </cell>
          <cell r="BE231">
            <v>2783078</v>
          </cell>
          <cell r="BF231">
            <v>0</v>
          </cell>
          <cell r="BG231">
            <v>-5962327</v>
          </cell>
          <cell r="BH231">
            <v>-75091</v>
          </cell>
          <cell r="BI231">
            <v>0</v>
          </cell>
          <cell r="BJ231">
            <v>-268500</v>
          </cell>
          <cell r="BK231">
            <v>-4082636</v>
          </cell>
          <cell r="BL231">
            <v>-503426</v>
          </cell>
          <cell r="BM231">
            <v>-383219</v>
          </cell>
          <cell r="BN231">
            <v>-3704</v>
          </cell>
          <cell r="BO231">
            <v>0</v>
          </cell>
          <cell r="BP231">
            <v>0</v>
          </cell>
          <cell r="BQ231">
            <v>0</v>
          </cell>
          <cell r="BR231">
            <v>0</v>
          </cell>
          <cell r="BS231">
            <v>0</v>
          </cell>
          <cell r="BT231">
            <v>104341472</v>
          </cell>
          <cell r="BU231">
            <v>-3025272</v>
          </cell>
          <cell r="BV231">
            <v>4517730</v>
          </cell>
          <cell r="BW231">
            <v>-781530</v>
          </cell>
          <cell r="BX231">
            <v>-8433769</v>
          </cell>
          <cell r="BY231">
            <v>-9272003</v>
          </cell>
          <cell r="BZ231">
            <v>98374992</v>
          </cell>
          <cell r="CA231">
            <v>-4216885</v>
          </cell>
          <cell r="CB231">
            <v>-4132546</v>
          </cell>
          <cell r="CC231">
            <v>0</v>
          </cell>
          <cell r="CD231">
            <v>-84338</v>
          </cell>
          <cell r="CE231">
            <v>-4636002</v>
          </cell>
          <cell r="CF231">
            <v>-4543281</v>
          </cell>
          <cell r="CG231">
            <v>0</v>
          </cell>
          <cell r="CH231">
            <v>-92720</v>
          </cell>
        </row>
        <row r="232">
          <cell r="A232">
            <v>225</v>
          </cell>
          <cell r="B232" t="str">
            <v>Scarborough</v>
          </cell>
          <cell r="C232" t="str">
            <v>E2736</v>
          </cell>
          <cell r="D232">
            <v>259507</v>
          </cell>
          <cell r="H232">
            <v>3537381</v>
          </cell>
          <cell r="I232">
            <v>0</v>
          </cell>
          <cell r="J232">
            <v>259507</v>
          </cell>
          <cell r="K232">
            <v>0</v>
          </cell>
          <cell r="L232">
            <v>0</v>
          </cell>
          <cell r="M232">
            <v>0</v>
          </cell>
          <cell r="N232">
            <v>0</v>
          </cell>
          <cell r="O232">
            <v>0</v>
          </cell>
          <cell r="P232">
            <v>0</v>
          </cell>
          <cell r="Q232">
            <v>0</v>
          </cell>
          <cell r="R232">
            <v>1169232</v>
          </cell>
          <cell r="S232">
            <v>263077</v>
          </cell>
          <cell r="T232">
            <v>29231</v>
          </cell>
          <cell r="U232">
            <v>7</v>
          </cell>
          <cell r="V232">
            <v>2</v>
          </cell>
          <cell r="W232">
            <v>0</v>
          </cell>
          <cell r="X232">
            <v>0</v>
          </cell>
          <cell r="Y232">
            <v>0</v>
          </cell>
          <cell r="Z232">
            <v>0</v>
          </cell>
          <cell r="AA232">
            <v>407</v>
          </cell>
          <cell r="AB232">
            <v>91</v>
          </cell>
          <cell r="AC232">
            <v>10</v>
          </cell>
          <cell r="AD232">
            <v>0</v>
          </cell>
          <cell r="AE232">
            <v>0</v>
          </cell>
          <cell r="AF232">
            <v>0</v>
          </cell>
          <cell r="AG232">
            <v>0</v>
          </cell>
          <cell r="AH232">
            <v>0</v>
          </cell>
          <cell r="AI232">
            <v>0</v>
          </cell>
          <cell r="AM232">
            <v>0</v>
          </cell>
          <cell r="AN232">
            <v>0</v>
          </cell>
          <cell r="AO232">
            <v>0</v>
          </cell>
          <cell r="AP232">
            <v>215056</v>
          </cell>
          <cell r="AQ232">
            <v>48388</v>
          </cell>
          <cell r="AR232">
            <v>5376</v>
          </cell>
          <cell r="AS232">
            <v>-419352</v>
          </cell>
          <cell r="AT232">
            <v>-335481</v>
          </cell>
          <cell r="AU232">
            <v>-75484</v>
          </cell>
          <cell r="AV232">
            <v>-8386</v>
          </cell>
          <cell r="AW232">
            <v>-838703</v>
          </cell>
          <cell r="AX232">
            <v>-1712286</v>
          </cell>
          <cell r="AY232">
            <v>-1369829</v>
          </cell>
          <cell r="AZ232">
            <v>-308210</v>
          </cell>
          <cell r="BA232">
            <v>-34246</v>
          </cell>
          <cell r="BB232">
            <v>-3424571</v>
          </cell>
          <cell r="BC232">
            <v>33793341</v>
          </cell>
          <cell r="BD232">
            <v>-5609077</v>
          </cell>
          <cell r="BE232">
            <v>843340</v>
          </cell>
          <cell r="BF232">
            <v>0</v>
          </cell>
          <cell r="BG232">
            <v>-1887137</v>
          </cell>
          <cell r="BH232">
            <v>-106495</v>
          </cell>
          <cell r="BI232">
            <v>-31589</v>
          </cell>
          <cell r="BJ232">
            <v>-7516</v>
          </cell>
          <cell r="BK232">
            <v>-579712</v>
          </cell>
          <cell r="BL232">
            <v>-159575</v>
          </cell>
          <cell r="BM232">
            <v>-83823</v>
          </cell>
          <cell r="BN232">
            <v>0</v>
          </cell>
          <cell r="BO232">
            <v>-3496</v>
          </cell>
          <cell r="BP232">
            <v>0</v>
          </cell>
          <cell r="BQ232">
            <v>0</v>
          </cell>
          <cell r="BR232">
            <v>0</v>
          </cell>
          <cell r="BS232">
            <v>0</v>
          </cell>
          <cell r="BT232">
            <v>34277198</v>
          </cell>
          <cell r="BU232">
            <v>-330465</v>
          </cell>
          <cell r="BV232">
            <v>1510475</v>
          </cell>
          <cell r="BW232">
            <v>-1083658</v>
          </cell>
          <cell r="BX232">
            <v>550842</v>
          </cell>
          <cell r="BY232">
            <v>-96961</v>
          </cell>
          <cell r="BZ232">
            <v>35791403</v>
          </cell>
          <cell r="CA232">
            <v>275421</v>
          </cell>
          <cell r="CB232">
            <v>220337</v>
          </cell>
          <cell r="CC232">
            <v>49576</v>
          </cell>
          <cell r="CD232">
            <v>5508</v>
          </cell>
          <cell r="CE232">
            <v>-48481</v>
          </cell>
          <cell r="CF232">
            <v>-38784</v>
          </cell>
          <cell r="CG232">
            <v>-8726</v>
          </cell>
          <cell r="CH232">
            <v>-970</v>
          </cell>
        </row>
        <row r="233">
          <cell r="A233">
            <v>226</v>
          </cell>
          <cell r="B233" t="str">
            <v>Sedgemoor</v>
          </cell>
          <cell r="C233" t="str">
            <v>E3332</v>
          </cell>
          <cell r="D233">
            <v>163085</v>
          </cell>
          <cell r="H233">
            <v>-328911</v>
          </cell>
          <cell r="I233">
            <v>0</v>
          </cell>
          <cell r="J233">
            <v>163085</v>
          </cell>
          <cell r="K233">
            <v>0</v>
          </cell>
          <cell r="L233">
            <v>208290</v>
          </cell>
          <cell r="M233">
            <v>0</v>
          </cell>
          <cell r="N233">
            <v>0</v>
          </cell>
          <cell r="O233">
            <v>0</v>
          </cell>
          <cell r="P233">
            <v>0</v>
          </cell>
          <cell r="Q233">
            <v>0</v>
          </cell>
          <cell r="R233">
            <v>818727</v>
          </cell>
          <cell r="S233">
            <v>183655</v>
          </cell>
          <cell r="T233">
            <v>20406</v>
          </cell>
          <cell r="U233">
            <v>763</v>
          </cell>
          <cell r="V233">
            <v>172</v>
          </cell>
          <cell r="W233">
            <v>19</v>
          </cell>
          <cell r="X233">
            <v>5776</v>
          </cell>
          <cell r="Y233">
            <v>1299</v>
          </cell>
          <cell r="Z233">
            <v>144</v>
          </cell>
          <cell r="AA233">
            <v>115</v>
          </cell>
          <cell r="AB233">
            <v>26</v>
          </cell>
          <cell r="AC233">
            <v>3</v>
          </cell>
          <cell r="AD233">
            <v>0</v>
          </cell>
          <cell r="AE233">
            <v>0</v>
          </cell>
          <cell r="AF233">
            <v>0</v>
          </cell>
          <cell r="AG233">
            <v>0</v>
          </cell>
          <cell r="AH233">
            <v>0</v>
          </cell>
          <cell r="AI233">
            <v>0</v>
          </cell>
          <cell r="AM233">
            <v>0</v>
          </cell>
          <cell r="AN233">
            <v>0</v>
          </cell>
          <cell r="AO233">
            <v>0</v>
          </cell>
          <cell r="AP233">
            <v>233804</v>
          </cell>
          <cell r="AQ233">
            <v>51902</v>
          </cell>
          <cell r="AR233">
            <v>5767</v>
          </cell>
          <cell r="AS233">
            <v>-190598</v>
          </cell>
          <cell r="AT233">
            <v>-152479</v>
          </cell>
          <cell r="AU233">
            <v>-34307</v>
          </cell>
          <cell r="AV233">
            <v>-3813</v>
          </cell>
          <cell r="AW233">
            <v>-381197</v>
          </cell>
          <cell r="AX233">
            <v>-1816048</v>
          </cell>
          <cell r="AY233">
            <v>-1452840</v>
          </cell>
          <cell r="AZ233">
            <v>-326890</v>
          </cell>
          <cell r="BA233">
            <v>-36321</v>
          </cell>
          <cell r="BB233">
            <v>-3632099</v>
          </cell>
          <cell r="BC233">
            <v>38949578</v>
          </cell>
          <cell r="BD233">
            <v>-2979364</v>
          </cell>
          <cell r="BE233">
            <v>1031522</v>
          </cell>
          <cell r="BF233">
            <v>0</v>
          </cell>
          <cell r="BG233">
            <v>-2481893</v>
          </cell>
          <cell r="BH233">
            <v>-28448</v>
          </cell>
          <cell r="BI233">
            <v>-67444</v>
          </cell>
          <cell r="BJ233">
            <v>0</v>
          </cell>
          <cell r="BK233">
            <v>-1230347</v>
          </cell>
          <cell r="BL233">
            <v>-70863</v>
          </cell>
          <cell r="BM233">
            <v>-32792</v>
          </cell>
          <cell r="BN233">
            <v>0</v>
          </cell>
          <cell r="BO233">
            <v>-34604</v>
          </cell>
          <cell r="BP233">
            <v>-368</v>
          </cell>
          <cell r="BQ233">
            <v>0</v>
          </cell>
          <cell r="BR233">
            <v>0</v>
          </cell>
          <cell r="BS233">
            <v>0</v>
          </cell>
          <cell r="BT233">
            <v>39023307</v>
          </cell>
          <cell r="BU233">
            <v>-136632</v>
          </cell>
          <cell r="BV233">
            <v>853581</v>
          </cell>
          <cell r="BW233">
            <v>-1875563</v>
          </cell>
          <cell r="BX233">
            <v>40163</v>
          </cell>
          <cell r="BY233">
            <v>-669872</v>
          </cell>
          <cell r="BZ233">
            <v>38390903</v>
          </cell>
          <cell r="CA233">
            <v>20082</v>
          </cell>
          <cell r="CB233">
            <v>16065</v>
          </cell>
          <cell r="CC233">
            <v>3614</v>
          </cell>
          <cell r="CD233">
            <v>402</v>
          </cell>
          <cell r="CE233">
            <v>-334936</v>
          </cell>
          <cell r="CF233">
            <v>-267949</v>
          </cell>
          <cell r="CG233">
            <v>-60288</v>
          </cell>
          <cell r="CH233">
            <v>-6699</v>
          </cell>
        </row>
        <row r="234">
          <cell r="A234">
            <v>227</v>
          </cell>
          <cell r="B234" t="str">
            <v>Sefton</v>
          </cell>
          <cell r="C234" t="str">
            <v>E4304</v>
          </cell>
          <cell r="D234">
            <v>321434</v>
          </cell>
          <cell r="H234">
            <v>-1825745</v>
          </cell>
          <cell r="I234">
            <v>0</v>
          </cell>
          <cell r="J234">
            <v>321434</v>
          </cell>
          <cell r="K234">
            <v>0</v>
          </cell>
          <cell r="L234">
            <v>0</v>
          </cell>
          <cell r="M234">
            <v>0</v>
          </cell>
          <cell r="N234">
            <v>0</v>
          </cell>
          <cell r="O234">
            <v>0</v>
          </cell>
          <cell r="P234">
            <v>0</v>
          </cell>
          <cell r="Q234">
            <v>0</v>
          </cell>
          <cell r="R234">
            <v>3749992</v>
          </cell>
          <cell r="S234">
            <v>0</v>
          </cell>
          <cell r="T234">
            <v>37879</v>
          </cell>
          <cell r="U234">
            <v>8843</v>
          </cell>
          <cell r="V234">
            <v>0</v>
          </cell>
          <cell r="W234">
            <v>89</v>
          </cell>
          <cell r="X234">
            <v>60292</v>
          </cell>
          <cell r="Y234">
            <v>0</v>
          </cell>
          <cell r="Z234">
            <v>609</v>
          </cell>
          <cell r="AA234">
            <v>55268</v>
          </cell>
          <cell r="AB234">
            <v>0</v>
          </cell>
          <cell r="AC234">
            <v>558</v>
          </cell>
          <cell r="AD234">
            <v>0</v>
          </cell>
          <cell r="AE234">
            <v>0</v>
          </cell>
          <cell r="AF234">
            <v>0</v>
          </cell>
          <cell r="AG234">
            <v>0</v>
          </cell>
          <cell r="AH234">
            <v>0</v>
          </cell>
          <cell r="AI234">
            <v>0</v>
          </cell>
          <cell r="AM234">
            <v>0</v>
          </cell>
          <cell r="AN234">
            <v>0</v>
          </cell>
          <cell r="AO234">
            <v>0</v>
          </cell>
          <cell r="AP234">
            <v>945670</v>
          </cell>
          <cell r="AQ234">
            <v>0</v>
          </cell>
          <cell r="AR234">
            <v>9552</v>
          </cell>
          <cell r="AS234">
            <v>-637750</v>
          </cell>
          <cell r="AT234">
            <v>-624995</v>
          </cell>
          <cell r="AU234">
            <v>0</v>
          </cell>
          <cell r="AV234">
            <v>-12755</v>
          </cell>
          <cell r="AW234">
            <v>-1275500</v>
          </cell>
          <cell r="AX234">
            <v>-10053000</v>
          </cell>
          <cell r="AY234">
            <v>-9851940</v>
          </cell>
          <cell r="AZ234">
            <v>0</v>
          </cell>
          <cell r="BA234">
            <v>-201060</v>
          </cell>
          <cell r="BB234">
            <v>-20106000</v>
          </cell>
          <cell r="BC234">
            <v>66080913</v>
          </cell>
          <cell r="BD234">
            <v>-6109679</v>
          </cell>
          <cell r="BE234">
            <v>1933623</v>
          </cell>
          <cell r="BF234">
            <v>0</v>
          </cell>
          <cell r="BG234">
            <v>-4447807</v>
          </cell>
          <cell r="BH234">
            <v>-27334</v>
          </cell>
          <cell r="BI234">
            <v>-363</v>
          </cell>
          <cell r="BJ234">
            <v>0</v>
          </cell>
          <cell r="BK234">
            <v>-3260616</v>
          </cell>
          <cell r="BL234">
            <v>-221337</v>
          </cell>
          <cell r="BM234">
            <v>-83193</v>
          </cell>
          <cell r="BN234">
            <v>0</v>
          </cell>
          <cell r="BO234">
            <v>0</v>
          </cell>
          <cell r="BP234">
            <v>0</v>
          </cell>
          <cell r="BQ234">
            <v>0</v>
          </cell>
          <cell r="BR234">
            <v>0</v>
          </cell>
          <cell r="BS234">
            <v>0</v>
          </cell>
          <cell r="BT234">
            <v>71886728</v>
          </cell>
          <cell r="BU234">
            <v>-823509</v>
          </cell>
          <cell r="BV234">
            <v>2086242</v>
          </cell>
          <cell r="BW234">
            <v>-1552237</v>
          </cell>
          <cell r="BX234">
            <v>-3652507</v>
          </cell>
          <cell r="BY234">
            <v>-2437379</v>
          </cell>
          <cell r="BZ234">
            <v>63590541</v>
          </cell>
          <cell r="CA234">
            <v>-1826254</v>
          </cell>
          <cell r="CB234">
            <v>-1789729</v>
          </cell>
          <cell r="CC234">
            <v>0</v>
          </cell>
          <cell r="CD234">
            <v>-36524</v>
          </cell>
          <cell r="CE234">
            <v>-1218689</v>
          </cell>
          <cell r="CF234">
            <v>-1194316</v>
          </cell>
          <cell r="CG234">
            <v>0</v>
          </cell>
          <cell r="CH234">
            <v>-24374</v>
          </cell>
        </row>
        <row r="235">
          <cell r="A235">
            <v>228</v>
          </cell>
          <cell r="B235" t="str">
            <v>Selby</v>
          </cell>
          <cell r="C235" t="str">
            <v>E2757</v>
          </cell>
          <cell r="D235">
            <v>112514</v>
          </cell>
          <cell r="H235">
            <v>-3154014</v>
          </cell>
          <cell r="I235">
            <v>0</v>
          </cell>
          <cell r="J235">
            <v>112514</v>
          </cell>
          <cell r="K235">
            <v>0</v>
          </cell>
          <cell r="L235">
            <v>7862212</v>
          </cell>
          <cell r="M235">
            <v>0</v>
          </cell>
          <cell r="N235">
            <v>0</v>
          </cell>
          <cell r="O235">
            <v>0</v>
          </cell>
          <cell r="P235">
            <v>0</v>
          </cell>
          <cell r="Q235">
            <v>0</v>
          </cell>
          <cell r="R235">
            <v>470268</v>
          </cell>
          <cell r="S235">
            <v>105810</v>
          </cell>
          <cell r="T235">
            <v>11757</v>
          </cell>
          <cell r="U235">
            <v>439</v>
          </cell>
          <cell r="V235">
            <v>99</v>
          </cell>
          <cell r="W235">
            <v>11</v>
          </cell>
          <cell r="X235">
            <v>0</v>
          </cell>
          <cell r="Y235">
            <v>0</v>
          </cell>
          <cell r="Z235">
            <v>0</v>
          </cell>
          <cell r="AA235">
            <v>380</v>
          </cell>
          <cell r="AB235">
            <v>85</v>
          </cell>
          <cell r="AC235">
            <v>9</v>
          </cell>
          <cell r="AD235">
            <v>0</v>
          </cell>
          <cell r="AE235">
            <v>0</v>
          </cell>
          <cell r="AF235">
            <v>0</v>
          </cell>
          <cell r="AG235">
            <v>0</v>
          </cell>
          <cell r="AH235">
            <v>0</v>
          </cell>
          <cell r="AI235">
            <v>0</v>
          </cell>
          <cell r="AM235">
            <v>0</v>
          </cell>
          <cell r="AN235">
            <v>0</v>
          </cell>
          <cell r="AO235">
            <v>0</v>
          </cell>
          <cell r="AP235">
            <v>273636</v>
          </cell>
          <cell r="AQ235">
            <v>34995</v>
          </cell>
          <cell r="AR235">
            <v>3888</v>
          </cell>
          <cell r="AS235">
            <v>-213650</v>
          </cell>
          <cell r="AT235">
            <v>-170921</v>
          </cell>
          <cell r="AU235">
            <v>-38457</v>
          </cell>
          <cell r="AV235">
            <v>-4272</v>
          </cell>
          <cell r="AW235">
            <v>-427300</v>
          </cell>
          <cell r="AX235">
            <v>-1907297</v>
          </cell>
          <cell r="AY235">
            <v>-1525839</v>
          </cell>
          <cell r="AZ235">
            <v>-343313</v>
          </cell>
          <cell r="BA235">
            <v>-38147</v>
          </cell>
          <cell r="BB235">
            <v>-3814596</v>
          </cell>
          <cell r="BC235">
            <v>34404644</v>
          </cell>
          <cell r="BD235">
            <v>-1824605</v>
          </cell>
          <cell r="BE235">
            <v>1103037</v>
          </cell>
          <cell r="BF235">
            <v>0</v>
          </cell>
          <cell r="BG235">
            <v>-1090313</v>
          </cell>
          <cell r="BH235">
            <v>-50371</v>
          </cell>
          <cell r="BI235">
            <v>-20291</v>
          </cell>
          <cell r="BJ235">
            <v>-503</v>
          </cell>
          <cell r="BK235">
            <v>-559067</v>
          </cell>
          <cell r="BL235">
            <v>-101146</v>
          </cell>
          <cell r="BM235">
            <v>-18455</v>
          </cell>
          <cell r="BN235">
            <v>-1389</v>
          </cell>
          <cell r="BO235">
            <v>-12570</v>
          </cell>
          <cell r="BP235">
            <v>-2868</v>
          </cell>
          <cell r="BQ235">
            <v>-9386</v>
          </cell>
          <cell r="BR235">
            <v>0</v>
          </cell>
          <cell r="BS235">
            <v>0</v>
          </cell>
          <cell r="BT235">
            <v>40923009</v>
          </cell>
          <cell r="BU235">
            <v>-243362</v>
          </cell>
          <cell r="BV235">
            <v>1161094</v>
          </cell>
          <cell r="BW235">
            <v>-595232</v>
          </cell>
          <cell r="BX235">
            <v>-1485038</v>
          </cell>
          <cell r="BY235">
            <v>-3088230</v>
          </cell>
          <cell r="BZ235">
            <v>25885393</v>
          </cell>
          <cell r="CA235">
            <v>-742520</v>
          </cell>
          <cell r="CB235">
            <v>-594015</v>
          </cell>
          <cell r="CC235">
            <v>-133653</v>
          </cell>
          <cell r="CD235">
            <v>-14850</v>
          </cell>
          <cell r="CE235">
            <v>-1544115</v>
          </cell>
          <cell r="CF235">
            <v>-1235292</v>
          </cell>
          <cell r="CG235">
            <v>-277941</v>
          </cell>
          <cell r="CH235">
            <v>-30882</v>
          </cell>
        </row>
        <row r="236">
          <cell r="A236">
            <v>229</v>
          </cell>
          <cell r="B236" t="str">
            <v>Sevenoaks</v>
          </cell>
          <cell r="C236" t="str">
            <v>E2239</v>
          </cell>
          <cell r="D236">
            <v>163555</v>
          </cell>
          <cell r="H236">
            <v>317286</v>
          </cell>
          <cell r="I236">
            <v>0</v>
          </cell>
          <cell r="J236">
            <v>163555</v>
          </cell>
          <cell r="K236">
            <v>0</v>
          </cell>
          <cell r="L236">
            <v>0</v>
          </cell>
          <cell r="M236">
            <v>0</v>
          </cell>
          <cell r="N236">
            <v>0</v>
          </cell>
          <cell r="O236">
            <v>0</v>
          </cell>
          <cell r="P236">
            <v>0</v>
          </cell>
          <cell r="Q236">
            <v>0</v>
          </cell>
          <cell r="R236">
            <v>859652</v>
          </cell>
          <cell r="S236">
            <v>193422</v>
          </cell>
          <cell r="T236">
            <v>21491</v>
          </cell>
          <cell r="U236">
            <v>7795</v>
          </cell>
          <cell r="V236">
            <v>1754</v>
          </cell>
          <cell r="W236">
            <v>195</v>
          </cell>
          <cell r="X236">
            <v>5446</v>
          </cell>
          <cell r="Y236">
            <v>1225</v>
          </cell>
          <cell r="Z236">
            <v>136</v>
          </cell>
          <cell r="AA236">
            <v>1631</v>
          </cell>
          <cell r="AB236">
            <v>367</v>
          </cell>
          <cell r="AC236">
            <v>41</v>
          </cell>
          <cell r="AD236">
            <v>0</v>
          </cell>
          <cell r="AE236">
            <v>0</v>
          </cell>
          <cell r="AF236">
            <v>0</v>
          </cell>
          <cell r="AG236">
            <v>0</v>
          </cell>
          <cell r="AH236">
            <v>0</v>
          </cell>
          <cell r="AI236">
            <v>0</v>
          </cell>
          <cell r="AM236">
            <v>0</v>
          </cell>
          <cell r="AN236">
            <v>0</v>
          </cell>
          <cell r="AO236">
            <v>0</v>
          </cell>
          <cell r="AP236">
            <v>202867</v>
          </cell>
          <cell r="AQ236">
            <v>45645</v>
          </cell>
          <cell r="AR236">
            <v>5072</v>
          </cell>
          <cell r="AS236">
            <v>-393450</v>
          </cell>
          <cell r="AT236">
            <v>-314760</v>
          </cell>
          <cell r="AU236">
            <v>-70821</v>
          </cell>
          <cell r="AV236">
            <v>-7869</v>
          </cell>
          <cell r="AW236">
            <v>-786900</v>
          </cell>
          <cell r="AX236">
            <v>-3085844</v>
          </cell>
          <cell r="AY236">
            <v>-2468675</v>
          </cell>
          <cell r="AZ236">
            <v>-555453</v>
          </cell>
          <cell r="BA236">
            <v>-61717</v>
          </cell>
          <cell r="BB236">
            <v>-6171689</v>
          </cell>
          <cell r="BC236">
            <v>36100519</v>
          </cell>
          <cell r="BD236">
            <v>-2532970</v>
          </cell>
          <cell r="BE236">
            <v>935762</v>
          </cell>
          <cell r="BF236">
            <v>0</v>
          </cell>
          <cell r="BG236">
            <v>-2682393</v>
          </cell>
          <cell r="BH236">
            <v>-88777</v>
          </cell>
          <cell r="BI236">
            <v>-14032</v>
          </cell>
          <cell r="BJ236">
            <v>0</v>
          </cell>
          <cell r="BK236">
            <v>-1201164</v>
          </cell>
          <cell r="BL236">
            <v>-122218</v>
          </cell>
          <cell r="BM236">
            <v>-42305</v>
          </cell>
          <cell r="BN236">
            <v>0</v>
          </cell>
          <cell r="BO236">
            <v>-1291</v>
          </cell>
          <cell r="BP236">
            <v>-7335</v>
          </cell>
          <cell r="BQ236">
            <v>0</v>
          </cell>
          <cell r="BR236">
            <v>0</v>
          </cell>
          <cell r="BS236">
            <v>0</v>
          </cell>
          <cell r="BT236">
            <v>36322837</v>
          </cell>
          <cell r="BU236">
            <v>-219586</v>
          </cell>
          <cell r="BV236">
            <v>1736700</v>
          </cell>
          <cell r="BW236">
            <v>-1515535</v>
          </cell>
          <cell r="BX236">
            <v>-471876</v>
          </cell>
          <cell r="BY236">
            <v>-287351</v>
          </cell>
          <cell r="BZ236">
            <v>33762869</v>
          </cell>
          <cell r="CA236">
            <v>-235937</v>
          </cell>
          <cell r="CB236">
            <v>-188750</v>
          </cell>
          <cell r="CC236">
            <v>-42469</v>
          </cell>
          <cell r="CD236">
            <v>-4720</v>
          </cell>
          <cell r="CE236">
            <v>-143675</v>
          </cell>
          <cell r="CF236">
            <v>-114940</v>
          </cell>
          <cell r="CG236">
            <v>-25862</v>
          </cell>
          <cell r="CH236">
            <v>-2874</v>
          </cell>
        </row>
        <row r="237">
          <cell r="A237">
            <v>230</v>
          </cell>
          <cell r="B237" t="str">
            <v>Sheffield</v>
          </cell>
          <cell r="C237" t="str">
            <v>E4404</v>
          </cell>
          <cell r="D237">
            <v>765222</v>
          </cell>
          <cell r="H237">
            <v>-13644403</v>
          </cell>
          <cell r="I237">
            <v>-291051</v>
          </cell>
          <cell r="J237">
            <v>765222</v>
          </cell>
          <cell r="K237">
            <v>904151</v>
          </cell>
          <cell r="L237">
            <v>1043840</v>
          </cell>
          <cell r="M237">
            <v>0</v>
          </cell>
          <cell r="N237">
            <v>57198</v>
          </cell>
          <cell r="O237">
            <v>57198</v>
          </cell>
          <cell r="P237">
            <v>0</v>
          </cell>
          <cell r="Q237">
            <v>0</v>
          </cell>
          <cell r="R237">
            <v>3959504</v>
          </cell>
          <cell r="S237">
            <v>0</v>
          </cell>
          <cell r="T237">
            <v>79851</v>
          </cell>
          <cell r="U237">
            <v>32328</v>
          </cell>
          <cell r="V237">
            <v>0</v>
          </cell>
          <cell r="W237">
            <v>660</v>
          </cell>
          <cell r="X237">
            <v>0</v>
          </cell>
          <cell r="Y237">
            <v>0</v>
          </cell>
          <cell r="Z237">
            <v>0</v>
          </cell>
          <cell r="AA237">
            <v>57991</v>
          </cell>
          <cell r="AB237">
            <v>0</v>
          </cell>
          <cell r="AC237">
            <v>1183</v>
          </cell>
          <cell r="AD237">
            <v>0</v>
          </cell>
          <cell r="AE237">
            <v>0</v>
          </cell>
          <cell r="AF237">
            <v>0</v>
          </cell>
          <cell r="AG237">
            <v>0</v>
          </cell>
          <cell r="AH237">
            <v>0</v>
          </cell>
          <cell r="AI237">
            <v>0</v>
          </cell>
          <cell r="AM237">
            <v>0</v>
          </cell>
          <cell r="AN237">
            <v>0</v>
          </cell>
          <cell r="AO237">
            <v>0</v>
          </cell>
          <cell r="AP237">
            <v>1467707</v>
          </cell>
          <cell r="AQ237">
            <v>0</v>
          </cell>
          <cell r="AR237">
            <v>29338</v>
          </cell>
          <cell r="AS237">
            <v>-4901833</v>
          </cell>
          <cell r="AT237">
            <v>-4803796</v>
          </cell>
          <cell r="AU237">
            <v>0</v>
          </cell>
          <cell r="AV237">
            <v>-98037</v>
          </cell>
          <cell r="AW237">
            <v>-9803666</v>
          </cell>
          <cell r="AX237">
            <v>-13619109</v>
          </cell>
          <cell r="AY237">
            <v>-13346727</v>
          </cell>
          <cell r="AZ237">
            <v>0</v>
          </cell>
          <cell r="BA237">
            <v>-272382</v>
          </cell>
          <cell r="BB237">
            <v>-27238218</v>
          </cell>
          <cell r="BC237">
            <v>207535236</v>
          </cell>
          <cell r="BD237">
            <v>-11876021</v>
          </cell>
          <cell r="BE237">
            <v>6148433</v>
          </cell>
          <cell r="BF237">
            <v>0</v>
          </cell>
          <cell r="BG237">
            <v>-20693937</v>
          </cell>
          <cell r="BH237">
            <v>-25124</v>
          </cell>
          <cell r="BI237">
            <v>0</v>
          </cell>
          <cell r="BJ237">
            <v>-106594</v>
          </cell>
          <cell r="BK237">
            <v>-8925162</v>
          </cell>
          <cell r="BL237">
            <v>0</v>
          </cell>
          <cell r="BM237">
            <v>-280511</v>
          </cell>
          <cell r="BN237">
            <v>0</v>
          </cell>
          <cell r="BO237">
            <v>0</v>
          </cell>
          <cell r="BP237">
            <v>0</v>
          </cell>
          <cell r="BQ237">
            <v>-79022</v>
          </cell>
          <cell r="BR237">
            <v>-55000</v>
          </cell>
          <cell r="BS237">
            <v>0</v>
          </cell>
          <cell r="BT237">
            <v>217720521</v>
          </cell>
          <cell r="BU237">
            <v>-1424904</v>
          </cell>
          <cell r="BV237">
            <v>13824846</v>
          </cell>
          <cell r="BW237">
            <v>-4878410</v>
          </cell>
          <cell r="BX237">
            <v>-14888073</v>
          </cell>
          <cell r="BY237">
            <v>-12079325</v>
          </cell>
          <cell r="BZ237">
            <v>195310547</v>
          </cell>
          <cell r="CA237">
            <v>-7444036</v>
          </cell>
          <cell r="CB237">
            <v>-7295156</v>
          </cell>
          <cell r="CC237">
            <v>0</v>
          </cell>
          <cell r="CD237">
            <v>-148881</v>
          </cell>
          <cell r="CE237">
            <v>-6039663</v>
          </cell>
          <cell r="CF237">
            <v>-5918869</v>
          </cell>
          <cell r="CG237">
            <v>0</v>
          </cell>
          <cell r="CH237">
            <v>-120793</v>
          </cell>
        </row>
        <row r="238">
          <cell r="A238">
            <v>231</v>
          </cell>
          <cell r="B238" t="str">
            <v>Shepway</v>
          </cell>
          <cell r="C238" t="str">
            <v>E2240</v>
          </cell>
          <cell r="D238">
            <v>147234</v>
          </cell>
          <cell r="H238">
            <v>-2139399</v>
          </cell>
          <cell r="I238">
            <v>0</v>
          </cell>
          <cell r="J238">
            <v>147234</v>
          </cell>
          <cell r="K238">
            <v>0</v>
          </cell>
          <cell r="L238">
            <v>0</v>
          </cell>
          <cell r="M238">
            <v>0</v>
          </cell>
          <cell r="N238">
            <v>0</v>
          </cell>
          <cell r="O238">
            <v>0</v>
          </cell>
          <cell r="P238">
            <v>0</v>
          </cell>
          <cell r="Q238">
            <v>0</v>
          </cell>
          <cell r="R238">
            <v>755585</v>
          </cell>
          <cell r="S238">
            <v>170007</v>
          </cell>
          <cell r="T238">
            <v>18890</v>
          </cell>
          <cell r="U238">
            <v>6255</v>
          </cell>
          <cell r="V238">
            <v>1407</v>
          </cell>
          <cell r="W238">
            <v>156</v>
          </cell>
          <cell r="X238">
            <v>0</v>
          </cell>
          <cell r="Y238">
            <v>0</v>
          </cell>
          <cell r="Z238">
            <v>0</v>
          </cell>
          <cell r="AA238">
            <v>1845</v>
          </cell>
          <cell r="AB238">
            <v>415</v>
          </cell>
          <cell r="AC238">
            <v>46</v>
          </cell>
          <cell r="AD238">
            <v>0</v>
          </cell>
          <cell r="AE238">
            <v>0</v>
          </cell>
          <cell r="AF238">
            <v>0</v>
          </cell>
          <cell r="AG238">
            <v>0</v>
          </cell>
          <cell r="AH238">
            <v>0</v>
          </cell>
          <cell r="AI238">
            <v>0</v>
          </cell>
          <cell r="AM238">
            <v>0</v>
          </cell>
          <cell r="AN238">
            <v>0</v>
          </cell>
          <cell r="AO238">
            <v>0</v>
          </cell>
          <cell r="AP238">
            <v>163380</v>
          </cell>
          <cell r="AQ238">
            <v>36760</v>
          </cell>
          <cell r="AR238">
            <v>4084</v>
          </cell>
          <cell r="AS238">
            <v>-123304</v>
          </cell>
          <cell r="AT238">
            <v>-98642</v>
          </cell>
          <cell r="AU238">
            <v>-22195</v>
          </cell>
          <cell r="AV238">
            <v>-2465</v>
          </cell>
          <cell r="AW238">
            <v>-246606</v>
          </cell>
          <cell r="AX238">
            <v>-1601278</v>
          </cell>
          <cell r="AY238">
            <v>-1281024</v>
          </cell>
          <cell r="AZ238">
            <v>-288231</v>
          </cell>
          <cell r="BA238">
            <v>-32026</v>
          </cell>
          <cell r="BB238">
            <v>-3202559</v>
          </cell>
          <cell r="BC238">
            <v>28453684</v>
          </cell>
          <cell r="BD238">
            <v>-2947275</v>
          </cell>
          <cell r="BE238">
            <v>772383</v>
          </cell>
          <cell r="BF238">
            <v>0</v>
          </cell>
          <cell r="BG238">
            <v>-2486152</v>
          </cell>
          <cell r="BH238">
            <v>-94661</v>
          </cell>
          <cell r="BI238">
            <v>-21056</v>
          </cell>
          <cell r="BJ238">
            <v>-22096</v>
          </cell>
          <cell r="BK238">
            <v>-862218</v>
          </cell>
          <cell r="BL238">
            <v>-66167</v>
          </cell>
          <cell r="BM238">
            <v>-3570</v>
          </cell>
          <cell r="BN238">
            <v>-1327</v>
          </cell>
          <cell r="BO238">
            <v>0</v>
          </cell>
          <cell r="BP238">
            <v>0</v>
          </cell>
          <cell r="BQ238">
            <v>-130520</v>
          </cell>
          <cell r="BR238">
            <v>0</v>
          </cell>
          <cell r="BS238">
            <v>0</v>
          </cell>
          <cell r="BT238">
            <v>28821103</v>
          </cell>
          <cell r="BU238">
            <v>-135657</v>
          </cell>
          <cell r="BV238">
            <v>732835</v>
          </cell>
          <cell r="BW238">
            <v>-644366</v>
          </cell>
          <cell r="BX238">
            <v>-141474</v>
          </cell>
          <cell r="BY238">
            <v>870936</v>
          </cell>
          <cell r="BZ238">
            <v>27191018</v>
          </cell>
          <cell r="CA238">
            <v>-70738</v>
          </cell>
          <cell r="CB238">
            <v>-56589</v>
          </cell>
          <cell r="CC238">
            <v>-12732</v>
          </cell>
          <cell r="CD238">
            <v>-1415</v>
          </cell>
          <cell r="CE238">
            <v>435469</v>
          </cell>
          <cell r="CF238">
            <v>348374</v>
          </cell>
          <cell r="CG238">
            <v>78384</v>
          </cell>
          <cell r="CH238">
            <v>8709</v>
          </cell>
        </row>
        <row r="239">
          <cell r="A239">
            <v>232</v>
          </cell>
          <cell r="B239" t="str">
            <v>Shropshire UA</v>
          </cell>
          <cell r="C239" t="str">
            <v>E3202</v>
          </cell>
          <cell r="D239">
            <v>462690</v>
          </cell>
          <cell r="H239">
            <v>4522012</v>
          </cell>
          <cell r="I239">
            <v>0</v>
          </cell>
          <cell r="J239">
            <v>462690</v>
          </cell>
          <cell r="K239">
            <v>0</v>
          </cell>
          <cell r="L239">
            <v>467024</v>
          </cell>
          <cell r="M239">
            <v>0</v>
          </cell>
          <cell r="N239">
            <v>0</v>
          </cell>
          <cell r="O239">
            <v>0</v>
          </cell>
          <cell r="P239">
            <v>0</v>
          </cell>
          <cell r="Q239">
            <v>0</v>
          </cell>
          <cell r="R239">
            <v>2690070</v>
          </cell>
          <cell r="S239">
            <v>0</v>
          </cell>
          <cell r="T239">
            <v>54899</v>
          </cell>
          <cell r="U239">
            <v>11939</v>
          </cell>
          <cell r="V239">
            <v>0</v>
          </cell>
          <cell r="W239">
            <v>244</v>
          </cell>
          <cell r="X239">
            <v>0</v>
          </cell>
          <cell r="Y239">
            <v>0</v>
          </cell>
          <cell r="Z239">
            <v>0</v>
          </cell>
          <cell r="AA239">
            <v>0</v>
          </cell>
          <cell r="AB239">
            <v>0</v>
          </cell>
          <cell r="AC239">
            <v>0</v>
          </cell>
          <cell r="AD239">
            <v>0</v>
          </cell>
          <cell r="AE239">
            <v>0</v>
          </cell>
          <cell r="AF239">
            <v>0</v>
          </cell>
          <cell r="AG239">
            <v>0</v>
          </cell>
          <cell r="AH239">
            <v>0</v>
          </cell>
          <cell r="AI239">
            <v>0</v>
          </cell>
          <cell r="AM239">
            <v>0</v>
          </cell>
          <cell r="AN239">
            <v>0</v>
          </cell>
          <cell r="AO239">
            <v>0</v>
          </cell>
          <cell r="AP239">
            <v>632225</v>
          </cell>
          <cell r="AQ239">
            <v>0</v>
          </cell>
          <cell r="AR239">
            <v>12759</v>
          </cell>
          <cell r="AS239">
            <v>-904867</v>
          </cell>
          <cell r="AT239">
            <v>-886770</v>
          </cell>
          <cell r="AU239">
            <v>0</v>
          </cell>
          <cell r="AV239">
            <v>-18096</v>
          </cell>
          <cell r="AW239">
            <v>-1809733</v>
          </cell>
          <cell r="AX239">
            <v>-3392255</v>
          </cell>
          <cell r="AY239">
            <v>-3324408</v>
          </cell>
          <cell r="AZ239">
            <v>0</v>
          </cell>
          <cell r="BA239">
            <v>-67846</v>
          </cell>
          <cell r="BB239">
            <v>-6784509</v>
          </cell>
          <cell r="BC239">
            <v>80024143</v>
          </cell>
          <cell r="BD239">
            <v>-8810702</v>
          </cell>
          <cell r="BE239">
            <v>2053153</v>
          </cell>
          <cell r="BF239">
            <v>0</v>
          </cell>
          <cell r="BG239">
            <v>-6864919</v>
          </cell>
          <cell r="BH239">
            <v>-134602</v>
          </cell>
          <cell r="BI239">
            <v>-73547</v>
          </cell>
          <cell r="BJ239">
            <v>-1945</v>
          </cell>
          <cell r="BK239">
            <v>-2444480</v>
          </cell>
          <cell r="BL239">
            <v>-572793</v>
          </cell>
          <cell r="BM239">
            <v>-366248</v>
          </cell>
          <cell r="BN239">
            <v>-22239</v>
          </cell>
          <cell r="BO239">
            <v>-8881</v>
          </cell>
          <cell r="BP239">
            <v>0</v>
          </cell>
          <cell r="BQ239">
            <v>0</v>
          </cell>
          <cell r="BR239">
            <v>0</v>
          </cell>
          <cell r="BS239">
            <v>0</v>
          </cell>
          <cell r="BT239">
            <v>78790098</v>
          </cell>
          <cell r="BU239">
            <v>-238463</v>
          </cell>
          <cell r="BV239">
            <v>3619020</v>
          </cell>
          <cell r="BW239">
            <v>-3363560</v>
          </cell>
          <cell r="BX239">
            <v>4247100</v>
          </cell>
          <cell r="BY239">
            <v>2863636</v>
          </cell>
          <cell r="BZ239">
            <v>84940995</v>
          </cell>
          <cell r="CA239">
            <v>2123551</v>
          </cell>
          <cell r="CB239">
            <v>2081079</v>
          </cell>
          <cell r="CC239">
            <v>0</v>
          </cell>
          <cell r="CD239">
            <v>42470</v>
          </cell>
          <cell r="CE239">
            <v>1431818</v>
          </cell>
          <cell r="CF239">
            <v>1403182</v>
          </cell>
          <cell r="CG239">
            <v>0</v>
          </cell>
          <cell r="CH239">
            <v>28636</v>
          </cell>
        </row>
        <row r="240">
          <cell r="A240">
            <v>233</v>
          </cell>
          <cell r="B240" t="str">
            <v>Slough</v>
          </cell>
          <cell r="C240" t="str">
            <v>E0304</v>
          </cell>
          <cell r="D240">
            <v>207734</v>
          </cell>
          <cell r="H240">
            <v>-505049</v>
          </cell>
          <cell r="I240">
            <v>0</v>
          </cell>
          <cell r="J240">
            <v>207734</v>
          </cell>
          <cell r="K240">
            <v>0</v>
          </cell>
          <cell r="L240">
            <v>0</v>
          </cell>
          <cell r="M240">
            <v>0</v>
          </cell>
          <cell r="N240">
            <v>0</v>
          </cell>
          <cell r="O240">
            <v>0</v>
          </cell>
          <cell r="P240">
            <v>0</v>
          </cell>
          <cell r="Q240">
            <v>0</v>
          </cell>
          <cell r="R240">
            <v>506259</v>
          </cell>
          <cell r="S240">
            <v>0</v>
          </cell>
          <cell r="T240">
            <v>10332</v>
          </cell>
          <cell r="U240">
            <v>5423</v>
          </cell>
          <cell r="V240">
            <v>0</v>
          </cell>
          <cell r="W240">
            <v>111</v>
          </cell>
          <cell r="X240">
            <v>0</v>
          </cell>
          <cell r="Y240">
            <v>0</v>
          </cell>
          <cell r="Z240">
            <v>0</v>
          </cell>
          <cell r="AA240">
            <v>8923</v>
          </cell>
          <cell r="AB240">
            <v>0</v>
          </cell>
          <cell r="AC240">
            <v>182</v>
          </cell>
          <cell r="AD240">
            <v>0</v>
          </cell>
          <cell r="AE240">
            <v>0</v>
          </cell>
          <cell r="AF240">
            <v>0</v>
          </cell>
          <cell r="AG240">
            <v>0</v>
          </cell>
          <cell r="AH240">
            <v>0</v>
          </cell>
          <cell r="AI240">
            <v>0</v>
          </cell>
          <cell r="AM240">
            <v>0</v>
          </cell>
          <cell r="AN240">
            <v>0</v>
          </cell>
          <cell r="AO240">
            <v>0</v>
          </cell>
          <cell r="AP240">
            <v>750555</v>
          </cell>
          <cell r="AQ240">
            <v>0</v>
          </cell>
          <cell r="AR240">
            <v>15317</v>
          </cell>
          <cell r="AS240">
            <v>-1056255.8999999999</v>
          </cell>
          <cell r="AT240">
            <v>-1035132</v>
          </cell>
          <cell r="AU240">
            <v>0</v>
          </cell>
          <cell r="AV240">
            <v>-21125</v>
          </cell>
          <cell r="AW240">
            <v>-2112512.9</v>
          </cell>
          <cell r="AX240">
            <v>-1030230</v>
          </cell>
          <cell r="AY240">
            <v>-1009627</v>
          </cell>
          <cell r="AZ240">
            <v>0</v>
          </cell>
          <cell r="BA240">
            <v>-20605</v>
          </cell>
          <cell r="BB240">
            <v>-2060462</v>
          </cell>
          <cell r="BC240">
            <v>97603359</v>
          </cell>
          <cell r="BD240">
            <v>-1394527</v>
          </cell>
          <cell r="BE240">
            <v>2774867</v>
          </cell>
          <cell r="BF240">
            <v>0</v>
          </cell>
          <cell r="BG240">
            <v>-3908294</v>
          </cell>
          <cell r="BH240">
            <v>0</v>
          </cell>
          <cell r="BI240">
            <v>0</v>
          </cell>
          <cell r="BJ240">
            <v>-49647</v>
          </cell>
          <cell r="BK240">
            <v>-5536934</v>
          </cell>
          <cell r="BL240">
            <v>-107112</v>
          </cell>
          <cell r="BM240">
            <v>-87154</v>
          </cell>
          <cell r="BN240">
            <v>0</v>
          </cell>
          <cell r="BO240">
            <v>0</v>
          </cell>
          <cell r="BP240">
            <v>0</v>
          </cell>
          <cell r="BQ240">
            <v>0</v>
          </cell>
          <cell r="BR240">
            <v>0</v>
          </cell>
          <cell r="BS240">
            <v>0</v>
          </cell>
          <cell r="BT240">
            <v>99093139</v>
          </cell>
          <cell r="BU240">
            <v>-1326883</v>
          </cell>
          <cell r="BV240">
            <v>4041585</v>
          </cell>
          <cell r="BW240">
            <v>-596810</v>
          </cell>
          <cell r="BX240">
            <v>-1905893</v>
          </cell>
          <cell r="BY240">
            <v>-722792</v>
          </cell>
          <cell r="BZ240">
            <v>101970399</v>
          </cell>
          <cell r="CA240">
            <v>-952947</v>
          </cell>
          <cell r="CB240">
            <v>-933887</v>
          </cell>
          <cell r="CC240">
            <v>0</v>
          </cell>
          <cell r="CD240">
            <v>-19059</v>
          </cell>
          <cell r="CE240">
            <v>-361396</v>
          </cell>
          <cell r="CF240">
            <v>-354168</v>
          </cell>
          <cell r="CG240">
            <v>0</v>
          </cell>
          <cell r="CH240">
            <v>-7228</v>
          </cell>
        </row>
        <row r="241">
          <cell r="A241">
            <v>234</v>
          </cell>
          <cell r="B241" t="str">
            <v>Solihull</v>
          </cell>
          <cell r="C241" t="str">
            <v>E4605</v>
          </cell>
          <cell r="D241">
            <v>246543</v>
          </cell>
          <cell r="H241">
            <v>-7380918</v>
          </cell>
          <cell r="I241">
            <v>0</v>
          </cell>
          <cell r="J241">
            <v>246543</v>
          </cell>
          <cell r="K241">
            <v>0</v>
          </cell>
          <cell r="L241">
            <v>0</v>
          </cell>
          <cell r="M241">
            <v>0</v>
          </cell>
          <cell r="N241">
            <v>0</v>
          </cell>
          <cell r="O241">
            <v>0</v>
          </cell>
          <cell r="P241">
            <v>0</v>
          </cell>
          <cell r="Q241">
            <v>0</v>
          </cell>
          <cell r="R241">
            <v>1681093</v>
          </cell>
          <cell r="S241">
            <v>0</v>
          </cell>
          <cell r="T241">
            <v>16981</v>
          </cell>
          <cell r="U241">
            <v>3015</v>
          </cell>
          <cell r="V241">
            <v>0</v>
          </cell>
          <cell r="W241">
            <v>30</v>
          </cell>
          <cell r="X241">
            <v>1439</v>
          </cell>
          <cell r="Y241">
            <v>0</v>
          </cell>
          <cell r="Z241">
            <v>15</v>
          </cell>
          <cell r="AA241">
            <v>2905</v>
          </cell>
          <cell r="AB241">
            <v>0</v>
          </cell>
          <cell r="AC241">
            <v>29</v>
          </cell>
          <cell r="AD241">
            <v>0</v>
          </cell>
          <cell r="AE241">
            <v>0</v>
          </cell>
          <cell r="AF241">
            <v>0</v>
          </cell>
          <cell r="AG241">
            <v>0</v>
          </cell>
          <cell r="AH241">
            <v>0</v>
          </cell>
          <cell r="AI241">
            <v>0</v>
          </cell>
          <cell r="AM241">
            <v>0</v>
          </cell>
          <cell r="AN241">
            <v>0</v>
          </cell>
          <cell r="AO241">
            <v>0</v>
          </cell>
          <cell r="AP241">
            <v>1585240</v>
          </cell>
          <cell r="AQ241">
            <v>0</v>
          </cell>
          <cell r="AR241">
            <v>16013</v>
          </cell>
          <cell r="AS241">
            <v>-1014581</v>
          </cell>
          <cell r="AT241">
            <v>-994288</v>
          </cell>
          <cell r="AU241">
            <v>0</v>
          </cell>
          <cell r="AV241">
            <v>-20292</v>
          </cell>
          <cell r="AW241">
            <v>-2029161</v>
          </cell>
          <cell r="AX241">
            <v>-6708526</v>
          </cell>
          <cell r="AY241">
            <v>-6574355</v>
          </cell>
          <cell r="AZ241">
            <v>0</v>
          </cell>
          <cell r="BA241">
            <v>-134171</v>
          </cell>
          <cell r="BB241">
            <v>-13417052</v>
          </cell>
          <cell r="BC241">
            <v>111798291</v>
          </cell>
          <cell r="BD241">
            <v>-2389703</v>
          </cell>
          <cell r="BE241">
            <v>3299888</v>
          </cell>
          <cell r="BF241">
            <v>0</v>
          </cell>
          <cell r="BG241">
            <v>-5026763</v>
          </cell>
          <cell r="BH241">
            <v>-118060</v>
          </cell>
          <cell r="BI241">
            <v>-994</v>
          </cell>
          <cell r="BJ241">
            <v>-50640</v>
          </cell>
          <cell r="BK241">
            <v>-3413140</v>
          </cell>
          <cell r="BL241">
            <v>-33336</v>
          </cell>
          <cell r="BM241">
            <v>-379805</v>
          </cell>
          <cell r="BN241">
            <v>0</v>
          </cell>
          <cell r="BO241">
            <v>0</v>
          </cell>
          <cell r="BP241">
            <v>0</v>
          </cell>
          <cell r="BQ241">
            <v>0</v>
          </cell>
          <cell r="BR241">
            <v>0</v>
          </cell>
          <cell r="BS241">
            <v>0</v>
          </cell>
          <cell r="BT241">
            <v>116101566</v>
          </cell>
          <cell r="BU241">
            <v>-356906</v>
          </cell>
          <cell r="BV241">
            <v>3340899</v>
          </cell>
          <cell r="BW241">
            <v>-5330146</v>
          </cell>
          <cell r="BX241">
            <v>-8317795.5</v>
          </cell>
          <cell r="BY241">
            <v>-9078390</v>
          </cell>
          <cell r="BZ241">
            <v>106597691</v>
          </cell>
          <cell r="CA241">
            <v>-4158899.5</v>
          </cell>
          <cell r="CB241">
            <v>-4075719</v>
          </cell>
          <cell r="CC241">
            <v>0</v>
          </cell>
          <cell r="CD241">
            <v>-83177</v>
          </cell>
          <cell r="CE241">
            <v>-4539195</v>
          </cell>
          <cell r="CF241">
            <v>-4448411</v>
          </cell>
          <cell r="CG241">
            <v>0</v>
          </cell>
          <cell r="CH241">
            <v>-90784</v>
          </cell>
        </row>
        <row r="242">
          <cell r="A242">
            <v>235</v>
          </cell>
          <cell r="B242" t="str">
            <v>South Bucks</v>
          </cell>
          <cell r="C242" t="str">
            <v>E0434</v>
          </cell>
          <cell r="D242">
            <v>95679</v>
          </cell>
          <cell r="H242">
            <v>-222751</v>
          </cell>
          <cell r="I242">
            <v>0</v>
          </cell>
          <cell r="J242">
            <v>95679</v>
          </cell>
          <cell r="K242">
            <v>0</v>
          </cell>
          <cell r="L242">
            <v>0</v>
          </cell>
          <cell r="M242">
            <v>0</v>
          </cell>
          <cell r="N242">
            <v>0</v>
          </cell>
          <cell r="O242">
            <v>0</v>
          </cell>
          <cell r="P242">
            <v>0</v>
          </cell>
          <cell r="Q242">
            <v>0</v>
          </cell>
          <cell r="R242">
            <v>277762</v>
          </cell>
          <cell r="S242">
            <v>62497</v>
          </cell>
          <cell r="T242">
            <v>6944</v>
          </cell>
          <cell r="U242">
            <v>588</v>
          </cell>
          <cell r="V242">
            <v>133</v>
          </cell>
          <cell r="W242">
            <v>15</v>
          </cell>
          <cell r="X242">
            <v>0</v>
          </cell>
          <cell r="Y242">
            <v>0</v>
          </cell>
          <cell r="Z242">
            <v>0</v>
          </cell>
          <cell r="AA242">
            <v>0</v>
          </cell>
          <cell r="AB242">
            <v>0</v>
          </cell>
          <cell r="AC242">
            <v>0</v>
          </cell>
          <cell r="AD242">
            <v>0</v>
          </cell>
          <cell r="AE242">
            <v>0</v>
          </cell>
          <cell r="AF242">
            <v>0</v>
          </cell>
          <cell r="AG242">
            <v>0</v>
          </cell>
          <cell r="AH242">
            <v>0</v>
          </cell>
          <cell r="AI242">
            <v>0</v>
          </cell>
          <cell r="AM242">
            <v>0</v>
          </cell>
          <cell r="AN242">
            <v>0</v>
          </cell>
          <cell r="AO242">
            <v>0</v>
          </cell>
          <cell r="AP242">
            <v>183096</v>
          </cell>
          <cell r="AQ242">
            <v>41197</v>
          </cell>
          <cell r="AR242">
            <v>4577</v>
          </cell>
          <cell r="AS242">
            <v>-336000</v>
          </cell>
          <cell r="AT242">
            <v>-268800</v>
          </cell>
          <cell r="AU242">
            <v>-60480</v>
          </cell>
          <cell r="AV242">
            <v>-6720</v>
          </cell>
          <cell r="AW242">
            <v>-672000</v>
          </cell>
          <cell r="AX242">
            <v>-2085596</v>
          </cell>
          <cell r="AY242">
            <v>-1668477</v>
          </cell>
          <cell r="AZ242">
            <v>-375406</v>
          </cell>
          <cell r="BA242">
            <v>-41711</v>
          </cell>
          <cell r="BB242">
            <v>-4171190</v>
          </cell>
          <cell r="BC242">
            <v>30849105</v>
          </cell>
          <cell r="BD242">
            <v>-959982</v>
          </cell>
          <cell r="BE242">
            <v>875399</v>
          </cell>
          <cell r="BF242">
            <v>0</v>
          </cell>
          <cell r="BG242">
            <v>-1962466</v>
          </cell>
          <cell r="BH242">
            <v>-67592</v>
          </cell>
          <cell r="BI242">
            <v>-1168</v>
          </cell>
          <cell r="BJ242">
            <v>-8800</v>
          </cell>
          <cell r="BK242">
            <v>-2022384</v>
          </cell>
          <cell r="BL242">
            <v>-21409</v>
          </cell>
          <cell r="BM242">
            <v>-27832</v>
          </cell>
          <cell r="BN242">
            <v>-263</v>
          </cell>
          <cell r="BO242">
            <v>0</v>
          </cell>
          <cell r="BP242">
            <v>0</v>
          </cell>
          <cell r="BQ242">
            <v>0</v>
          </cell>
          <cell r="BR242">
            <v>0</v>
          </cell>
          <cell r="BS242">
            <v>0</v>
          </cell>
          <cell r="BT242">
            <v>31420356</v>
          </cell>
          <cell r="BU242">
            <v>-46556</v>
          </cell>
          <cell r="BV242">
            <v>1337257</v>
          </cell>
          <cell r="BW242">
            <v>-453932</v>
          </cell>
          <cell r="BX242">
            <v>-1831106</v>
          </cell>
          <cell r="BY242">
            <v>-449801</v>
          </cell>
          <cell r="BZ242">
            <v>30472344</v>
          </cell>
          <cell r="CA242">
            <v>-915553</v>
          </cell>
          <cell r="CB242">
            <v>-732443</v>
          </cell>
          <cell r="CC242">
            <v>-164800</v>
          </cell>
          <cell r="CD242">
            <v>-18310</v>
          </cell>
          <cell r="CE242">
            <v>-224901</v>
          </cell>
          <cell r="CF242">
            <v>-179920</v>
          </cell>
          <cell r="CG242">
            <v>-40482</v>
          </cell>
          <cell r="CH242">
            <v>-4498</v>
          </cell>
        </row>
        <row r="243">
          <cell r="A243">
            <v>236</v>
          </cell>
          <cell r="B243" t="str">
            <v>South Cambridgeshire</v>
          </cell>
          <cell r="C243" t="str">
            <v>E0536</v>
          </cell>
          <cell r="D243">
            <v>229729</v>
          </cell>
          <cell r="H243">
            <v>-53865</v>
          </cell>
          <cell r="I243">
            <v>0</v>
          </cell>
          <cell r="J243">
            <v>229729</v>
          </cell>
          <cell r="K243">
            <v>701750</v>
          </cell>
          <cell r="L243">
            <v>877024</v>
          </cell>
          <cell r="M243">
            <v>0</v>
          </cell>
          <cell r="N243">
            <v>165000</v>
          </cell>
          <cell r="O243">
            <v>165000</v>
          </cell>
          <cell r="P243">
            <v>0</v>
          </cell>
          <cell r="Q243">
            <v>0</v>
          </cell>
          <cell r="R243">
            <v>1280304</v>
          </cell>
          <cell r="S243">
            <v>288068</v>
          </cell>
          <cell r="T243">
            <v>32008</v>
          </cell>
          <cell r="U243">
            <v>7609</v>
          </cell>
          <cell r="V243">
            <v>1712</v>
          </cell>
          <cell r="W243">
            <v>190</v>
          </cell>
          <cell r="X243">
            <v>8140</v>
          </cell>
          <cell r="Y243">
            <v>1832</v>
          </cell>
          <cell r="Z243">
            <v>204</v>
          </cell>
          <cell r="AA243">
            <v>0</v>
          </cell>
          <cell r="AB243">
            <v>0</v>
          </cell>
          <cell r="AC243">
            <v>0</v>
          </cell>
          <cell r="AD243">
            <v>0</v>
          </cell>
          <cell r="AE243">
            <v>0</v>
          </cell>
          <cell r="AF243">
            <v>0</v>
          </cell>
          <cell r="AG243">
            <v>0</v>
          </cell>
          <cell r="AH243">
            <v>0</v>
          </cell>
          <cell r="AI243">
            <v>0</v>
          </cell>
          <cell r="AM243">
            <v>0</v>
          </cell>
          <cell r="AN243">
            <v>0</v>
          </cell>
          <cell r="AO243">
            <v>0</v>
          </cell>
          <cell r="AP243">
            <v>436928</v>
          </cell>
          <cell r="AQ243">
            <v>92415</v>
          </cell>
          <cell r="AR243">
            <v>10268</v>
          </cell>
          <cell r="AS243">
            <v>-100001</v>
          </cell>
          <cell r="AT243">
            <v>-79999</v>
          </cell>
          <cell r="AU243">
            <v>-18000</v>
          </cell>
          <cell r="AV243">
            <v>-2000</v>
          </cell>
          <cell r="AW243">
            <v>-200000</v>
          </cell>
          <cell r="AX243">
            <v>-3534083</v>
          </cell>
          <cell r="AY243">
            <v>-2827270</v>
          </cell>
          <cell r="AZ243">
            <v>-636136</v>
          </cell>
          <cell r="BA243">
            <v>-70683</v>
          </cell>
          <cell r="BB243">
            <v>-7068172</v>
          </cell>
          <cell r="BC243">
            <v>76290958</v>
          </cell>
          <cell r="BD243">
            <v>-2823239</v>
          </cell>
          <cell r="BE243">
            <v>2177666</v>
          </cell>
          <cell r="BF243">
            <v>0</v>
          </cell>
          <cell r="BG243">
            <v>-9436392</v>
          </cell>
          <cell r="BH243">
            <v>-29995</v>
          </cell>
          <cell r="BI243">
            <v>-78559</v>
          </cell>
          <cell r="BJ243">
            <v>0</v>
          </cell>
          <cell r="BK243">
            <v>-2174268</v>
          </cell>
          <cell r="BL243">
            <v>-100368</v>
          </cell>
          <cell r="BM243">
            <v>-48439</v>
          </cell>
          <cell r="BN243">
            <v>0</v>
          </cell>
          <cell r="BO243">
            <v>-78559</v>
          </cell>
          <cell r="BP243">
            <v>-72798</v>
          </cell>
          <cell r="BQ243">
            <v>0</v>
          </cell>
          <cell r="BR243">
            <v>0</v>
          </cell>
          <cell r="BS243">
            <v>0</v>
          </cell>
          <cell r="BT243">
            <v>78903023</v>
          </cell>
          <cell r="BU243">
            <v>-57772</v>
          </cell>
          <cell r="BV243">
            <v>331559</v>
          </cell>
          <cell r="BW243">
            <v>-2495466</v>
          </cell>
          <cell r="BX243">
            <v>2479162</v>
          </cell>
          <cell r="BY243">
            <v>3793946</v>
          </cell>
          <cell r="BZ243">
            <v>68357820</v>
          </cell>
          <cell r="CA243">
            <v>1239582</v>
          </cell>
          <cell r="CB243">
            <v>991664</v>
          </cell>
          <cell r="CC243">
            <v>223124</v>
          </cell>
          <cell r="CD243">
            <v>24792</v>
          </cell>
          <cell r="CE243">
            <v>1896974</v>
          </cell>
          <cell r="CF243">
            <v>1517578</v>
          </cell>
          <cell r="CG243">
            <v>341455</v>
          </cell>
          <cell r="CH243">
            <v>37939</v>
          </cell>
        </row>
        <row r="244">
          <cell r="A244">
            <v>237</v>
          </cell>
          <cell r="B244" t="str">
            <v>South Derbyshire</v>
          </cell>
          <cell r="C244" t="str">
            <v>E1039</v>
          </cell>
          <cell r="D244">
            <v>90800</v>
          </cell>
          <cell r="H244">
            <v>665961</v>
          </cell>
          <cell r="I244">
            <v>0</v>
          </cell>
          <cell r="J244">
            <v>90800</v>
          </cell>
          <cell r="K244">
            <v>0</v>
          </cell>
          <cell r="L244">
            <v>0</v>
          </cell>
          <cell r="M244">
            <v>0</v>
          </cell>
          <cell r="N244">
            <v>0</v>
          </cell>
          <cell r="O244">
            <v>0</v>
          </cell>
          <cell r="P244">
            <v>0</v>
          </cell>
          <cell r="Q244">
            <v>0</v>
          </cell>
          <cell r="R244">
            <v>384744</v>
          </cell>
          <cell r="S244">
            <v>86567</v>
          </cell>
          <cell r="T244">
            <v>9619</v>
          </cell>
          <cell r="U244">
            <v>2517</v>
          </cell>
          <cell r="V244">
            <v>566</v>
          </cell>
          <cell r="W244">
            <v>63</v>
          </cell>
          <cell r="X244">
            <v>0</v>
          </cell>
          <cell r="Y244">
            <v>0</v>
          </cell>
          <cell r="Z244">
            <v>0</v>
          </cell>
          <cell r="AA244">
            <v>3418</v>
          </cell>
          <cell r="AB244">
            <v>769</v>
          </cell>
          <cell r="AC244">
            <v>85</v>
          </cell>
          <cell r="AD244">
            <v>0</v>
          </cell>
          <cell r="AE244">
            <v>0</v>
          </cell>
          <cell r="AF244">
            <v>0</v>
          </cell>
          <cell r="AG244">
            <v>0</v>
          </cell>
          <cell r="AH244">
            <v>0</v>
          </cell>
          <cell r="AI244">
            <v>0</v>
          </cell>
          <cell r="AM244">
            <v>0</v>
          </cell>
          <cell r="AN244">
            <v>0</v>
          </cell>
          <cell r="AO244">
            <v>0</v>
          </cell>
          <cell r="AP244">
            <v>149040</v>
          </cell>
          <cell r="AQ244">
            <v>33534</v>
          </cell>
          <cell r="AR244">
            <v>3726</v>
          </cell>
          <cell r="AS244">
            <v>-621042</v>
          </cell>
          <cell r="AT244">
            <v>-496835</v>
          </cell>
          <cell r="AU244">
            <v>-111789</v>
          </cell>
          <cell r="AV244">
            <v>-12421</v>
          </cell>
          <cell r="AW244">
            <v>-1242087</v>
          </cell>
          <cell r="AX244">
            <v>-1240843</v>
          </cell>
          <cell r="AY244">
            <v>-992675</v>
          </cell>
          <cell r="AZ244">
            <v>-223352</v>
          </cell>
          <cell r="BA244">
            <v>-24817</v>
          </cell>
          <cell r="BB244">
            <v>-2481687</v>
          </cell>
          <cell r="BC244">
            <v>23142898</v>
          </cell>
          <cell r="BD244">
            <v>-1534250</v>
          </cell>
          <cell r="BE244">
            <v>626609</v>
          </cell>
          <cell r="BF244">
            <v>0</v>
          </cell>
          <cell r="BG244">
            <v>-1201723</v>
          </cell>
          <cell r="BH244">
            <v>-35078</v>
          </cell>
          <cell r="BI244">
            <v>-22981</v>
          </cell>
          <cell r="BJ244">
            <v>-491709</v>
          </cell>
          <cell r="BK244">
            <v>-484427</v>
          </cell>
          <cell r="BL244">
            <v>-42697</v>
          </cell>
          <cell r="BM244">
            <v>-30521</v>
          </cell>
          <cell r="BN244">
            <v>0</v>
          </cell>
          <cell r="BO244">
            <v>0</v>
          </cell>
          <cell r="BP244">
            <v>-1680</v>
          </cell>
          <cell r="BQ244">
            <v>0</v>
          </cell>
          <cell r="BR244">
            <v>0</v>
          </cell>
          <cell r="BS244">
            <v>0</v>
          </cell>
          <cell r="BT244">
            <v>23786839</v>
          </cell>
          <cell r="BU244">
            <v>-136968</v>
          </cell>
          <cell r="BV244">
            <v>2187816</v>
          </cell>
          <cell r="BW244">
            <v>-774227</v>
          </cell>
          <cell r="BX244">
            <v>-1339347</v>
          </cell>
          <cell r="BY244">
            <v>-712280</v>
          </cell>
          <cell r="BZ244">
            <v>24804466</v>
          </cell>
          <cell r="CA244">
            <v>-669673</v>
          </cell>
          <cell r="CB244">
            <v>-535740</v>
          </cell>
          <cell r="CC244">
            <v>-120541</v>
          </cell>
          <cell r="CD244">
            <v>-13393</v>
          </cell>
          <cell r="CE244">
            <v>-356140</v>
          </cell>
          <cell r="CF244">
            <v>-284912</v>
          </cell>
          <cell r="CG244">
            <v>-64105</v>
          </cell>
          <cell r="CH244">
            <v>-7123</v>
          </cell>
        </row>
        <row r="245">
          <cell r="A245">
            <v>238</v>
          </cell>
          <cell r="B245" t="str">
            <v>South Gloucestershire</v>
          </cell>
          <cell r="C245" t="str">
            <v>E0103</v>
          </cell>
          <cell r="D245">
            <v>333796</v>
          </cell>
          <cell r="H245">
            <v>-7207621</v>
          </cell>
          <cell r="I245">
            <v>64834</v>
          </cell>
          <cell r="J245">
            <v>333796</v>
          </cell>
          <cell r="K245">
            <v>5248696</v>
          </cell>
          <cell r="L245">
            <v>218667</v>
          </cell>
          <cell r="M245">
            <v>0</v>
          </cell>
          <cell r="N245">
            <v>0</v>
          </cell>
          <cell r="O245">
            <v>0</v>
          </cell>
          <cell r="P245">
            <v>0</v>
          </cell>
          <cell r="Q245">
            <v>0</v>
          </cell>
          <cell r="R245">
            <v>2311907</v>
          </cell>
          <cell r="S245">
            <v>122656</v>
          </cell>
          <cell r="T245">
            <v>24531</v>
          </cell>
          <cell r="U245">
            <v>34451</v>
          </cell>
          <cell r="V245">
            <v>1833</v>
          </cell>
          <cell r="W245">
            <v>367</v>
          </cell>
          <cell r="X245">
            <v>0</v>
          </cell>
          <cell r="Y245">
            <v>0</v>
          </cell>
          <cell r="Z245">
            <v>0</v>
          </cell>
          <cell r="AA245">
            <v>7836</v>
          </cell>
          <cell r="AB245">
            <v>417</v>
          </cell>
          <cell r="AC245">
            <v>83</v>
          </cell>
          <cell r="AD245">
            <v>0</v>
          </cell>
          <cell r="AE245">
            <v>0</v>
          </cell>
          <cell r="AF245">
            <v>0</v>
          </cell>
          <cell r="AG245">
            <v>0</v>
          </cell>
          <cell r="AH245">
            <v>0</v>
          </cell>
          <cell r="AI245">
            <v>0</v>
          </cell>
          <cell r="AM245">
            <v>0</v>
          </cell>
          <cell r="AN245">
            <v>0</v>
          </cell>
          <cell r="AO245">
            <v>0</v>
          </cell>
          <cell r="AP245">
            <v>1947144</v>
          </cell>
          <cell r="AQ245">
            <v>99203</v>
          </cell>
          <cell r="AR245">
            <v>19841</v>
          </cell>
          <cell r="AS245">
            <v>-163556</v>
          </cell>
          <cell r="AT245">
            <v>-160285</v>
          </cell>
          <cell r="AU245">
            <v>0</v>
          </cell>
          <cell r="AV245">
            <v>-3271</v>
          </cell>
          <cell r="AW245">
            <v>-327112</v>
          </cell>
          <cell r="AX245">
            <v>-8747992</v>
          </cell>
          <cell r="AY245">
            <v>-8573032</v>
          </cell>
          <cell r="AZ245">
            <v>0</v>
          </cell>
          <cell r="BA245">
            <v>-174961</v>
          </cell>
          <cell r="BB245">
            <v>-17495985</v>
          </cell>
          <cell r="BC245">
            <v>134753265</v>
          </cell>
          <cell r="BD245">
            <v>-3962901</v>
          </cell>
          <cell r="BE245">
            <v>3876750</v>
          </cell>
          <cell r="BF245">
            <v>0</v>
          </cell>
          <cell r="BG245">
            <v>-8088106</v>
          </cell>
          <cell r="BH245">
            <v>-80514</v>
          </cell>
          <cell r="BI245">
            <v>-29548</v>
          </cell>
          <cell r="BJ245">
            <v>-426909</v>
          </cell>
          <cell r="BK245">
            <v>-5177305</v>
          </cell>
          <cell r="BL245">
            <v>-31152</v>
          </cell>
          <cell r="BM245">
            <v>-80576</v>
          </cell>
          <cell r="BN245">
            <v>0</v>
          </cell>
          <cell r="BO245">
            <v>-27224</v>
          </cell>
          <cell r="BP245">
            <v>-21342</v>
          </cell>
          <cell r="BQ245">
            <v>-50888</v>
          </cell>
          <cell r="BR245">
            <v>0</v>
          </cell>
          <cell r="BS245">
            <v>0</v>
          </cell>
          <cell r="BT245">
            <v>138793723</v>
          </cell>
          <cell r="BU245">
            <v>-303120</v>
          </cell>
          <cell r="BV245">
            <v>824835</v>
          </cell>
          <cell r="BW245">
            <v>-2488263</v>
          </cell>
          <cell r="BX245">
            <v>-13643916</v>
          </cell>
          <cell r="BY245">
            <v>-13002325</v>
          </cell>
          <cell r="BZ245">
            <v>132081679</v>
          </cell>
          <cell r="CA245">
            <v>-6821958</v>
          </cell>
          <cell r="CB245">
            <v>-6685518</v>
          </cell>
          <cell r="CC245">
            <v>0</v>
          </cell>
          <cell r="CD245">
            <v>-136440</v>
          </cell>
          <cell r="CE245">
            <v>-6501163</v>
          </cell>
          <cell r="CF245">
            <v>-6371139</v>
          </cell>
          <cell r="CG245">
            <v>0</v>
          </cell>
          <cell r="CH245">
            <v>-130023</v>
          </cell>
        </row>
        <row r="246">
          <cell r="A246">
            <v>239</v>
          </cell>
          <cell r="B246" t="str">
            <v>South Hams</v>
          </cell>
          <cell r="C246" t="str">
            <v>E1136</v>
          </cell>
          <cell r="D246">
            <v>205674</v>
          </cell>
          <cell r="H246">
            <v>-567743</v>
          </cell>
          <cell r="I246">
            <v>0</v>
          </cell>
          <cell r="J246">
            <v>205674</v>
          </cell>
          <cell r="K246">
            <v>0</v>
          </cell>
          <cell r="L246">
            <v>0</v>
          </cell>
          <cell r="M246">
            <v>0</v>
          </cell>
          <cell r="N246">
            <v>0</v>
          </cell>
          <cell r="O246">
            <v>0</v>
          </cell>
          <cell r="P246">
            <v>0</v>
          </cell>
          <cell r="Q246">
            <v>0</v>
          </cell>
          <cell r="R246">
            <v>1286612</v>
          </cell>
          <cell r="S246">
            <v>289488</v>
          </cell>
          <cell r="T246">
            <v>32165</v>
          </cell>
          <cell r="U246">
            <v>0</v>
          </cell>
          <cell r="V246">
            <v>0</v>
          </cell>
          <cell r="W246">
            <v>0</v>
          </cell>
          <cell r="X246">
            <v>16240</v>
          </cell>
          <cell r="Y246">
            <v>3654</v>
          </cell>
          <cell r="Z246">
            <v>406</v>
          </cell>
          <cell r="AA246">
            <v>4059</v>
          </cell>
          <cell r="AB246">
            <v>914</v>
          </cell>
          <cell r="AC246">
            <v>102</v>
          </cell>
          <cell r="AD246">
            <v>0</v>
          </cell>
          <cell r="AE246">
            <v>0</v>
          </cell>
          <cell r="AF246">
            <v>0</v>
          </cell>
          <cell r="AG246">
            <v>0</v>
          </cell>
          <cell r="AH246">
            <v>0</v>
          </cell>
          <cell r="AI246">
            <v>0</v>
          </cell>
          <cell r="AM246">
            <v>0</v>
          </cell>
          <cell r="AN246">
            <v>0</v>
          </cell>
          <cell r="AO246">
            <v>0</v>
          </cell>
          <cell r="AP246">
            <v>145090</v>
          </cell>
          <cell r="AQ246">
            <v>32645</v>
          </cell>
          <cell r="AR246">
            <v>3627</v>
          </cell>
          <cell r="AS246">
            <v>-319120</v>
          </cell>
          <cell r="AT246">
            <v>-255296</v>
          </cell>
          <cell r="AU246">
            <v>-57441</v>
          </cell>
          <cell r="AV246">
            <v>-6382</v>
          </cell>
          <cell r="AW246">
            <v>-638239</v>
          </cell>
          <cell r="AX246">
            <v>-948341</v>
          </cell>
          <cell r="AY246">
            <v>-758672</v>
          </cell>
          <cell r="AZ246">
            <v>-170702</v>
          </cell>
          <cell r="BA246">
            <v>-18967</v>
          </cell>
          <cell r="BB246">
            <v>-1896682</v>
          </cell>
          <cell r="BC246">
            <v>56606442</v>
          </cell>
          <cell r="BD246">
            <v>-4536645</v>
          </cell>
          <cell r="BE246">
            <v>797478</v>
          </cell>
          <cell r="BF246">
            <v>0</v>
          </cell>
          <cell r="BG246">
            <v>-2348105</v>
          </cell>
          <cell r="BH246">
            <v>-90738</v>
          </cell>
          <cell r="BI246">
            <v>-48076</v>
          </cell>
          <cell r="BJ246">
            <v>0</v>
          </cell>
          <cell r="BK246">
            <v>-887073</v>
          </cell>
          <cell r="BL246">
            <v>-162304</v>
          </cell>
          <cell r="BM246">
            <v>-28649</v>
          </cell>
          <cell r="BN246">
            <v>-11231</v>
          </cell>
          <cell r="BO246">
            <v>-14549</v>
          </cell>
          <cell r="BP246">
            <v>0</v>
          </cell>
          <cell r="BQ246">
            <v>0</v>
          </cell>
          <cell r="BR246">
            <v>0</v>
          </cell>
          <cell r="BS246">
            <v>0</v>
          </cell>
          <cell r="BT246">
            <v>30856048</v>
          </cell>
          <cell r="BU246">
            <v>-68781</v>
          </cell>
          <cell r="BV246">
            <v>2572378</v>
          </cell>
          <cell r="BW246">
            <v>-652821</v>
          </cell>
          <cell r="BX246">
            <v>580594</v>
          </cell>
          <cell r="BY246">
            <v>-30581307</v>
          </cell>
          <cell r="BZ246">
            <v>24147114</v>
          </cell>
          <cell r="CA246">
            <v>290296</v>
          </cell>
          <cell r="CB246">
            <v>232238</v>
          </cell>
          <cell r="CC246">
            <v>52254</v>
          </cell>
          <cell r="CD246">
            <v>5806</v>
          </cell>
          <cell r="CE246">
            <v>-15290653</v>
          </cell>
          <cell r="CF246">
            <v>-12232523</v>
          </cell>
          <cell r="CG246">
            <v>-2752318</v>
          </cell>
          <cell r="CH246">
            <v>-305813</v>
          </cell>
        </row>
        <row r="247">
          <cell r="A247">
            <v>240</v>
          </cell>
          <cell r="B247" t="str">
            <v>South Holland</v>
          </cell>
          <cell r="C247" t="str">
            <v>E2535</v>
          </cell>
          <cell r="D247">
            <v>106913</v>
          </cell>
          <cell r="H247">
            <v>-2734374</v>
          </cell>
          <cell r="I247">
            <v>0</v>
          </cell>
          <cell r="J247">
            <v>106913</v>
          </cell>
          <cell r="K247">
            <v>0</v>
          </cell>
          <cell r="L247">
            <v>243855</v>
          </cell>
          <cell r="M247">
            <v>0</v>
          </cell>
          <cell r="N247">
            <v>0</v>
          </cell>
          <cell r="O247">
            <v>0</v>
          </cell>
          <cell r="P247">
            <v>0</v>
          </cell>
          <cell r="Q247">
            <v>0</v>
          </cell>
          <cell r="R247">
            <v>476722</v>
          </cell>
          <cell r="S247">
            <v>119181</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M247">
            <v>0</v>
          </cell>
          <cell r="AN247">
            <v>0</v>
          </cell>
          <cell r="AO247">
            <v>0</v>
          </cell>
          <cell r="AP247">
            <v>137245</v>
          </cell>
          <cell r="AQ247">
            <v>33395</v>
          </cell>
          <cell r="AR247">
            <v>0</v>
          </cell>
          <cell r="AS247">
            <v>-164000</v>
          </cell>
          <cell r="AT247">
            <v>-131200</v>
          </cell>
          <cell r="AU247">
            <v>-32799</v>
          </cell>
          <cell r="AV247">
            <v>0</v>
          </cell>
          <cell r="AW247">
            <v>-327999</v>
          </cell>
          <cell r="AX247">
            <v>-2289086</v>
          </cell>
          <cell r="AY247">
            <v>-1831270</v>
          </cell>
          <cell r="AZ247">
            <v>-457817</v>
          </cell>
          <cell r="BA247">
            <v>0</v>
          </cell>
          <cell r="BB247">
            <v>-4578173</v>
          </cell>
          <cell r="BC247">
            <v>23264250</v>
          </cell>
          <cell r="BD247">
            <v>-1843334</v>
          </cell>
          <cell r="BE247">
            <v>681268</v>
          </cell>
          <cell r="BF247">
            <v>0</v>
          </cell>
          <cell r="BG247">
            <v>-1208993</v>
          </cell>
          <cell r="BH247">
            <v>-50332</v>
          </cell>
          <cell r="BI247">
            <v>-33211</v>
          </cell>
          <cell r="BJ247">
            <v>0</v>
          </cell>
          <cell r="BK247">
            <v>-313637</v>
          </cell>
          <cell r="BL247">
            <v>-78748</v>
          </cell>
          <cell r="BM247">
            <v>-45225</v>
          </cell>
          <cell r="BN247">
            <v>-7014</v>
          </cell>
          <cell r="BO247">
            <v>-33211</v>
          </cell>
          <cell r="BP247">
            <v>0</v>
          </cell>
          <cell r="BQ247">
            <v>0</v>
          </cell>
          <cell r="BR247">
            <v>0</v>
          </cell>
          <cell r="BS247">
            <v>0</v>
          </cell>
          <cell r="BT247">
            <v>26549216</v>
          </cell>
          <cell r="BU247">
            <v>-202044</v>
          </cell>
          <cell r="BV247">
            <v>1232684</v>
          </cell>
          <cell r="BW247">
            <v>-853412</v>
          </cell>
          <cell r="BX247">
            <v>-2092380</v>
          </cell>
          <cell r="BY247">
            <v>-1432122</v>
          </cell>
          <cell r="BZ247">
            <v>22231787</v>
          </cell>
          <cell r="CA247">
            <v>-1046190</v>
          </cell>
          <cell r="CB247">
            <v>-836952</v>
          </cell>
          <cell r="CC247">
            <v>-209238</v>
          </cell>
          <cell r="CD247">
            <v>0</v>
          </cell>
          <cell r="CE247">
            <v>-716061</v>
          </cell>
          <cell r="CF247">
            <v>-572849</v>
          </cell>
          <cell r="CG247">
            <v>-143212</v>
          </cell>
          <cell r="CH247">
            <v>0</v>
          </cell>
        </row>
        <row r="248">
          <cell r="A248">
            <v>241</v>
          </cell>
          <cell r="B248" t="str">
            <v>South Kesteven</v>
          </cell>
          <cell r="C248" t="str">
            <v>E2536</v>
          </cell>
          <cell r="D248">
            <v>177446</v>
          </cell>
          <cell r="H248">
            <v>683</v>
          </cell>
          <cell r="I248">
            <v>0</v>
          </cell>
          <cell r="J248">
            <v>177446</v>
          </cell>
          <cell r="K248">
            <v>0</v>
          </cell>
          <cell r="L248">
            <v>201227</v>
          </cell>
          <cell r="M248">
            <v>0</v>
          </cell>
          <cell r="N248">
            <v>0</v>
          </cell>
          <cell r="O248">
            <v>0</v>
          </cell>
          <cell r="P248">
            <v>0</v>
          </cell>
          <cell r="Q248">
            <v>0</v>
          </cell>
          <cell r="R248">
            <v>764434</v>
          </cell>
          <cell r="S248">
            <v>191108</v>
          </cell>
          <cell r="T248">
            <v>0</v>
          </cell>
          <cell r="U248">
            <v>0</v>
          </cell>
          <cell r="V248">
            <v>0</v>
          </cell>
          <cell r="W248">
            <v>0</v>
          </cell>
          <cell r="X248">
            <v>5422</v>
          </cell>
          <cell r="Y248">
            <v>1356</v>
          </cell>
          <cell r="Z248">
            <v>0</v>
          </cell>
          <cell r="AA248">
            <v>18046</v>
          </cell>
          <cell r="AB248">
            <v>4512</v>
          </cell>
          <cell r="AC248">
            <v>0</v>
          </cell>
          <cell r="AD248">
            <v>0</v>
          </cell>
          <cell r="AE248">
            <v>0</v>
          </cell>
          <cell r="AF248">
            <v>0</v>
          </cell>
          <cell r="AG248">
            <v>0</v>
          </cell>
          <cell r="AH248">
            <v>0</v>
          </cell>
          <cell r="AI248">
            <v>0</v>
          </cell>
          <cell r="AM248">
            <v>0</v>
          </cell>
          <cell r="AN248">
            <v>0</v>
          </cell>
          <cell r="AO248">
            <v>0</v>
          </cell>
          <cell r="AP248">
            <v>241898</v>
          </cell>
          <cell r="AQ248">
            <v>59719</v>
          </cell>
          <cell r="AR248">
            <v>0</v>
          </cell>
          <cell r="AS248">
            <v>-322500</v>
          </cell>
          <cell r="AT248">
            <v>-258000</v>
          </cell>
          <cell r="AU248">
            <v>-64500</v>
          </cell>
          <cell r="AV248">
            <v>0</v>
          </cell>
          <cell r="AW248">
            <v>-645000</v>
          </cell>
          <cell r="AX248">
            <v>-1633264</v>
          </cell>
          <cell r="AY248">
            <v>-1306612</v>
          </cell>
          <cell r="AZ248">
            <v>-326653</v>
          </cell>
          <cell r="BA248">
            <v>0</v>
          </cell>
          <cell r="BB248">
            <v>-3266529</v>
          </cell>
          <cell r="BC248">
            <v>41047756</v>
          </cell>
          <cell r="BD248">
            <v>-2932728</v>
          </cell>
          <cell r="BE248">
            <v>1085155</v>
          </cell>
          <cell r="BF248">
            <v>0</v>
          </cell>
          <cell r="BG248">
            <v>-3384507</v>
          </cell>
          <cell r="BH248">
            <v>-102668</v>
          </cell>
          <cell r="BI248">
            <v>-43413</v>
          </cell>
          <cell r="BJ248">
            <v>0</v>
          </cell>
          <cell r="BK248">
            <v>-1351699</v>
          </cell>
          <cell r="BL248">
            <v>-15543</v>
          </cell>
          <cell r="BM248">
            <v>-2985</v>
          </cell>
          <cell r="BN248">
            <v>0</v>
          </cell>
          <cell r="BO248">
            <v>-20483</v>
          </cell>
          <cell r="BP248">
            <v>-60820</v>
          </cell>
          <cell r="BQ248">
            <v>0</v>
          </cell>
          <cell r="BR248">
            <v>0</v>
          </cell>
          <cell r="BS248">
            <v>0</v>
          </cell>
          <cell r="BT248">
            <v>42226643</v>
          </cell>
          <cell r="BU248">
            <v>0</v>
          </cell>
          <cell r="BV248">
            <v>1521799</v>
          </cell>
          <cell r="BW248">
            <v>-1939273</v>
          </cell>
          <cell r="BX248">
            <v>-2471144</v>
          </cell>
          <cell r="BY248">
            <v>-1863228</v>
          </cell>
          <cell r="BZ248">
            <v>39755589</v>
          </cell>
          <cell r="CA248">
            <v>-1235572</v>
          </cell>
          <cell r="CB248">
            <v>-988458</v>
          </cell>
          <cell r="CC248">
            <v>-247114</v>
          </cell>
          <cell r="CD248">
            <v>0</v>
          </cell>
          <cell r="CE248">
            <v>-931614</v>
          </cell>
          <cell r="CF248">
            <v>-745291</v>
          </cell>
          <cell r="CG248">
            <v>-186323</v>
          </cell>
          <cell r="CH248">
            <v>0</v>
          </cell>
        </row>
        <row r="249">
          <cell r="A249">
            <v>242</v>
          </cell>
          <cell r="B249" t="str">
            <v>South Lakeland</v>
          </cell>
          <cell r="C249" t="str">
            <v>E0936</v>
          </cell>
          <cell r="D249">
            <v>300847</v>
          </cell>
          <cell r="H249">
            <v>1235130</v>
          </cell>
          <cell r="I249">
            <v>0</v>
          </cell>
          <cell r="J249">
            <v>300847</v>
          </cell>
          <cell r="K249">
            <v>0</v>
          </cell>
          <cell r="L249">
            <v>0</v>
          </cell>
          <cell r="M249">
            <v>0</v>
          </cell>
          <cell r="N249">
            <v>0</v>
          </cell>
          <cell r="O249">
            <v>0</v>
          </cell>
          <cell r="P249">
            <v>0</v>
          </cell>
          <cell r="Q249">
            <v>0</v>
          </cell>
          <cell r="R249">
            <v>1960451</v>
          </cell>
          <cell r="S249">
            <v>490113</v>
          </cell>
          <cell r="T249">
            <v>0</v>
          </cell>
          <cell r="U249">
            <v>388</v>
          </cell>
          <cell r="V249">
            <v>97</v>
          </cell>
          <cell r="W249">
            <v>0</v>
          </cell>
          <cell r="X249">
            <v>358</v>
          </cell>
          <cell r="Y249">
            <v>90</v>
          </cell>
          <cell r="Z249">
            <v>0</v>
          </cell>
          <cell r="AA249">
            <v>3293</v>
          </cell>
          <cell r="AB249">
            <v>823</v>
          </cell>
          <cell r="AC249">
            <v>0</v>
          </cell>
          <cell r="AD249">
            <v>0</v>
          </cell>
          <cell r="AE249">
            <v>0</v>
          </cell>
          <cell r="AF249">
            <v>0</v>
          </cell>
          <cell r="AG249">
            <v>0</v>
          </cell>
          <cell r="AH249">
            <v>0</v>
          </cell>
          <cell r="AI249">
            <v>0</v>
          </cell>
          <cell r="AM249">
            <v>0</v>
          </cell>
          <cell r="AN249">
            <v>0</v>
          </cell>
          <cell r="AO249">
            <v>0</v>
          </cell>
          <cell r="AP249">
            <v>241682</v>
          </cell>
          <cell r="AQ249">
            <v>60420</v>
          </cell>
          <cell r="AR249">
            <v>0</v>
          </cell>
          <cell r="AS249">
            <v>-323090.86</v>
          </cell>
          <cell r="AT249">
            <v>-258473</v>
          </cell>
          <cell r="AU249">
            <v>-64617</v>
          </cell>
          <cell r="AV249">
            <v>0</v>
          </cell>
          <cell r="AW249">
            <v>-646180.86</v>
          </cell>
          <cell r="AX249">
            <v>-1110450</v>
          </cell>
          <cell r="AY249">
            <v>-888360</v>
          </cell>
          <cell r="AZ249">
            <v>-222090</v>
          </cell>
          <cell r="BA249">
            <v>0</v>
          </cell>
          <cell r="BB249">
            <v>-2220900</v>
          </cell>
          <cell r="BC249">
            <v>39709094</v>
          </cell>
          <cell r="BD249">
            <v>-6436832</v>
          </cell>
          <cell r="BE249">
            <v>996718</v>
          </cell>
          <cell r="BF249">
            <v>0</v>
          </cell>
          <cell r="BG249">
            <v>-3014527</v>
          </cell>
          <cell r="BH249">
            <v>-112747</v>
          </cell>
          <cell r="BI249">
            <v>-25844</v>
          </cell>
          <cell r="BJ249">
            <v>-10988</v>
          </cell>
          <cell r="BK249">
            <v>-813080</v>
          </cell>
          <cell r="BL249">
            <v>-102080</v>
          </cell>
          <cell r="BM249">
            <v>-2118</v>
          </cell>
          <cell r="BN249">
            <v>-11349</v>
          </cell>
          <cell r="BO249">
            <v>-17174</v>
          </cell>
          <cell r="BP249">
            <v>-8915</v>
          </cell>
          <cell r="BQ249">
            <v>-12516</v>
          </cell>
          <cell r="BR249">
            <v>0</v>
          </cell>
          <cell r="BS249">
            <v>0</v>
          </cell>
          <cell r="BT249">
            <v>40645513</v>
          </cell>
          <cell r="BU249">
            <v>-296808</v>
          </cell>
          <cell r="BV249">
            <v>1261262</v>
          </cell>
          <cell r="BW249">
            <v>-668674</v>
          </cell>
          <cell r="BX249">
            <v>-2324273</v>
          </cell>
          <cell r="BY249">
            <v>-2387738</v>
          </cell>
          <cell r="BZ249">
            <v>40222717</v>
          </cell>
          <cell r="CA249">
            <v>-1162137</v>
          </cell>
          <cell r="CB249">
            <v>-929708</v>
          </cell>
          <cell r="CC249">
            <v>-232428</v>
          </cell>
          <cell r="CD249">
            <v>0</v>
          </cell>
          <cell r="CE249">
            <v>-1193869</v>
          </cell>
          <cell r="CF249">
            <v>-955095</v>
          </cell>
          <cell r="CG249">
            <v>-238774</v>
          </cell>
          <cell r="CH249">
            <v>0</v>
          </cell>
        </row>
        <row r="250">
          <cell r="A250">
            <v>243</v>
          </cell>
          <cell r="B250" t="str">
            <v>South Norfolk</v>
          </cell>
          <cell r="C250" t="str">
            <v>E2637</v>
          </cell>
          <cell r="D250">
            <v>162366</v>
          </cell>
          <cell r="H250">
            <v>-416841</v>
          </cell>
          <cell r="I250">
            <v>-5077</v>
          </cell>
          <cell r="J250">
            <v>162366</v>
          </cell>
          <cell r="K250">
            <v>0</v>
          </cell>
          <cell r="L250">
            <v>149872</v>
          </cell>
          <cell r="M250">
            <v>0</v>
          </cell>
          <cell r="N250">
            <v>284686</v>
          </cell>
          <cell r="O250">
            <v>284686</v>
          </cell>
          <cell r="P250">
            <v>0</v>
          </cell>
          <cell r="Q250">
            <v>0</v>
          </cell>
          <cell r="R250">
            <v>762165</v>
          </cell>
          <cell r="S250">
            <v>189713</v>
          </cell>
          <cell r="T250">
            <v>0</v>
          </cell>
          <cell r="U250">
            <v>0</v>
          </cell>
          <cell r="V250">
            <v>0</v>
          </cell>
          <cell r="W250">
            <v>0</v>
          </cell>
          <cell r="X250">
            <v>8120</v>
          </cell>
          <cell r="Y250">
            <v>2030</v>
          </cell>
          <cell r="Z250">
            <v>0</v>
          </cell>
          <cell r="AA250">
            <v>0</v>
          </cell>
          <cell r="AB250">
            <v>0</v>
          </cell>
          <cell r="AC250">
            <v>0</v>
          </cell>
          <cell r="AD250">
            <v>0</v>
          </cell>
          <cell r="AE250">
            <v>0</v>
          </cell>
          <cell r="AF250">
            <v>0</v>
          </cell>
          <cell r="AG250">
            <v>0</v>
          </cell>
          <cell r="AH250">
            <v>0</v>
          </cell>
          <cell r="AI250">
            <v>0</v>
          </cell>
          <cell r="AM250">
            <v>0</v>
          </cell>
          <cell r="AN250">
            <v>0</v>
          </cell>
          <cell r="AO250">
            <v>0</v>
          </cell>
          <cell r="AP250">
            <v>183151</v>
          </cell>
          <cell r="AQ250">
            <v>44156</v>
          </cell>
          <cell r="AR250">
            <v>0</v>
          </cell>
          <cell r="AS250">
            <v>-254833</v>
          </cell>
          <cell r="AT250">
            <v>-203868</v>
          </cell>
          <cell r="AU250">
            <v>-50968</v>
          </cell>
          <cell r="AV250">
            <v>0</v>
          </cell>
          <cell r="AW250">
            <v>-509669</v>
          </cell>
          <cell r="AX250">
            <v>-1766329</v>
          </cell>
          <cell r="AY250">
            <v>-1413063</v>
          </cell>
          <cell r="AZ250">
            <v>-353266</v>
          </cell>
          <cell r="BA250">
            <v>0</v>
          </cell>
          <cell r="BB250">
            <v>-3532658</v>
          </cell>
          <cell r="BC250">
            <v>29590670</v>
          </cell>
          <cell r="BD250">
            <v>-2860332</v>
          </cell>
          <cell r="BE250">
            <v>850605</v>
          </cell>
          <cell r="BF250">
            <v>0</v>
          </cell>
          <cell r="BG250">
            <v>-3868326</v>
          </cell>
          <cell r="BH250">
            <v>-70063</v>
          </cell>
          <cell r="BI250">
            <v>-93881</v>
          </cell>
          <cell r="BJ250">
            <v>-6907</v>
          </cell>
          <cell r="BK250">
            <v>-690792</v>
          </cell>
          <cell r="BL250">
            <v>-128167</v>
          </cell>
          <cell r="BM250">
            <v>-129054</v>
          </cell>
          <cell r="BN250">
            <v>-5086</v>
          </cell>
          <cell r="BO250">
            <v>-40362</v>
          </cell>
          <cell r="BP250">
            <v>-26938</v>
          </cell>
          <cell r="BQ250">
            <v>-145310</v>
          </cell>
          <cell r="BR250">
            <v>-119904</v>
          </cell>
          <cell r="BS250">
            <v>0</v>
          </cell>
          <cell r="BT250">
            <v>31187528</v>
          </cell>
          <cell r="BU250">
            <v>-36044</v>
          </cell>
          <cell r="BV250">
            <v>1659192</v>
          </cell>
          <cell r="BW250">
            <v>-286779</v>
          </cell>
          <cell r="BX250">
            <v>-2054449</v>
          </cell>
          <cell r="BY250">
            <v>-1206489</v>
          </cell>
          <cell r="BZ250">
            <v>29395174</v>
          </cell>
          <cell r="CA250">
            <v>-1027225</v>
          </cell>
          <cell r="CB250">
            <v>-821779</v>
          </cell>
          <cell r="CC250">
            <v>-205445</v>
          </cell>
          <cell r="CD250">
            <v>0</v>
          </cell>
          <cell r="CE250">
            <v>-603244</v>
          </cell>
          <cell r="CF250">
            <v>-482596</v>
          </cell>
          <cell r="CG250">
            <v>-120649</v>
          </cell>
          <cell r="CH250">
            <v>0</v>
          </cell>
        </row>
        <row r="251">
          <cell r="A251">
            <v>244</v>
          </cell>
          <cell r="B251" t="str">
            <v>South Northamptonshire</v>
          </cell>
          <cell r="C251" t="str">
            <v>E2836</v>
          </cell>
          <cell r="D251">
            <v>107996</v>
          </cell>
          <cell r="H251">
            <v>-2762</v>
          </cell>
          <cell r="I251">
            <v>0</v>
          </cell>
          <cell r="J251">
            <v>107996</v>
          </cell>
          <cell r="K251">
            <v>0</v>
          </cell>
          <cell r="L251">
            <v>234453</v>
          </cell>
          <cell r="M251">
            <v>0</v>
          </cell>
          <cell r="N251">
            <v>0</v>
          </cell>
          <cell r="O251">
            <v>0</v>
          </cell>
          <cell r="P251">
            <v>0</v>
          </cell>
          <cell r="Q251">
            <v>0</v>
          </cell>
          <cell r="R251">
            <v>540113</v>
          </cell>
          <cell r="S251">
            <v>135028</v>
          </cell>
          <cell r="T251">
            <v>0</v>
          </cell>
          <cell r="U251">
            <v>1022</v>
          </cell>
          <cell r="V251">
            <v>255</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M251">
            <v>0</v>
          </cell>
          <cell r="AN251">
            <v>0</v>
          </cell>
          <cell r="AO251">
            <v>0</v>
          </cell>
          <cell r="AP251">
            <v>131828</v>
          </cell>
          <cell r="AQ251">
            <v>32077</v>
          </cell>
          <cell r="AR251">
            <v>0</v>
          </cell>
          <cell r="AS251">
            <v>-303551.67000000004</v>
          </cell>
          <cell r="AT251">
            <v>-242839</v>
          </cell>
          <cell r="AU251">
            <v>-60710</v>
          </cell>
          <cell r="AV251">
            <v>0</v>
          </cell>
          <cell r="AW251">
            <v>-607100.66999999993</v>
          </cell>
          <cell r="AX251">
            <v>-1320316</v>
          </cell>
          <cell r="AY251">
            <v>-1056253</v>
          </cell>
          <cell r="AZ251">
            <v>-264063</v>
          </cell>
          <cell r="BA251">
            <v>0</v>
          </cell>
          <cell r="BB251">
            <v>-2640632</v>
          </cell>
          <cell r="BC251">
            <v>22648671</v>
          </cell>
          <cell r="BD251">
            <v>-2009065</v>
          </cell>
          <cell r="BE251">
            <v>593272</v>
          </cell>
          <cell r="BF251">
            <v>0</v>
          </cell>
          <cell r="BG251">
            <v>-1664428</v>
          </cell>
          <cell r="BH251">
            <v>-6381</v>
          </cell>
          <cell r="BI251">
            <v>-57444</v>
          </cell>
          <cell r="BJ251">
            <v>0</v>
          </cell>
          <cell r="BK251">
            <v>-669911</v>
          </cell>
          <cell r="BL251">
            <v>-112917</v>
          </cell>
          <cell r="BM251">
            <v>-127030</v>
          </cell>
          <cell r="BN251">
            <v>-1595</v>
          </cell>
          <cell r="BO251">
            <v>-18460</v>
          </cell>
          <cell r="BP251">
            <v>-11568</v>
          </cell>
          <cell r="BQ251">
            <v>0</v>
          </cell>
          <cell r="BR251">
            <v>0</v>
          </cell>
          <cell r="BS251">
            <v>0</v>
          </cell>
          <cell r="BT251">
            <v>23069233</v>
          </cell>
          <cell r="BU251">
            <v>0</v>
          </cell>
          <cell r="BV251">
            <v>972054</v>
          </cell>
          <cell r="BW251">
            <v>-1145626</v>
          </cell>
          <cell r="BX251">
            <v>-338929</v>
          </cell>
          <cell r="BY251">
            <v>36065</v>
          </cell>
          <cell r="BZ251">
            <v>21353801</v>
          </cell>
          <cell r="CA251">
            <v>-169464</v>
          </cell>
          <cell r="CB251">
            <v>-135571</v>
          </cell>
          <cell r="CC251">
            <v>-33894</v>
          </cell>
          <cell r="CD251">
            <v>0</v>
          </cell>
          <cell r="CE251">
            <v>18032</v>
          </cell>
          <cell r="CF251">
            <v>14426</v>
          </cell>
          <cell r="CG251">
            <v>3607</v>
          </cell>
          <cell r="CH251">
            <v>0</v>
          </cell>
        </row>
        <row r="252">
          <cell r="A252">
            <v>245</v>
          </cell>
          <cell r="B252" t="str">
            <v>South Oxfordshire</v>
          </cell>
          <cell r="C252" t="str">
            <v>E3133</v>
          </cell>
          <cell r="D252">
            <v>183863</v>
          </cell>
          <cell r="H252">
            <v>1076846</v>
          </cell>
          <cell r="I252">
            <v>-1116</v>
          </cell>
          <cell r="J252">
            <v>183863</v>
          </cell>
          <cell r="K252">
            <v>36696</v>
          </cell>
          <cell r="L252">
            <v>90098</v>
          </cell>
          <cell r="M252">
            <v>0</v>
          </cell>
          <cell r="N252">
            <v>0</v>
          </cell>
          <cell r="O252">
            <v>0</v>
          </cell>
          <cell r="P252">
            <v>0</v>
          </cell>
          <cell r="Q252">
            <v>0</v>
          </cell>
          <cell r="R252">
            <v>735574</v>
          </cell>
          <cell r="S252">
            <v>183894</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M252">
            <v>0</v>
          </cell>
          <cell r="AN252">
            <v>0</v>
          </cell>
          <cell r="AO252">
            <v>0</v>
          </cell>
          <cell r="AP252">
            <v>261136</v>
          </cell>
          <cell r="AQ252">
            <v>64808</v>
          </cell>
          <cell r="AR252">
            <v>0</v>
          </cell>
          <cell r="AS252">
            <v>-572900</v>
          </cell>
          <cell r="AT252">
            <v>-458320</v>
          </cell>
          <cell r="AU252">
            <v>-114580</v>
          </cell>
          <cell r="AV252">
            <v>0</v>
          </cell>
          <cell r="AW252">
            <v>-1145800</v>
          </cell>
          <cell r="AX252">
            <v>-1614904</v>
          </cell>
          <cell r="AY252">
            <v>-1291924</v>
          </cell>
          <cell r="AZ252">
            <v>-322982</v>
          </cell>
          <cell r="BA252">
            <v>0</v>
          </cell>
          <cell r="BB252">
            <v>-3229810</v>
          </cell>
          <cell r="BC252">
            <v>42685610</v>
          </cell>
          <cell r="BD252">
            <v>-2626507</v>
          </cell>
          <cell r="BE252">
            <v>1156913</v>
          </cell>
          <cell r="BF252">
            <v>0</v>
          </cell>
          <cell r="BG252">
            <v>-4286269</v>
          </cell>
          <cell r="BH252">
            <v>-106398</v>
          </cell>
          <cell r="BI252">
            <v>-42933</v>
          </cell>
          <cell r="BJ252">
            <v>0</v>
          </cell>
          <cell r="BK252">
            <v>-1224631</v>
          </cell>
          <cell r="BL252">
            <v>-200985</v>
          </cell>
          <cell r="BM252">
            <v>-17230</v>
          </cell>
          <cell r="BN252">
            <v>-17176</v>
          </cell>
          <cell r="BO252">
            <v>-21187</v>
          </cell>
          <cell r="BP252">
            <v>0</v>
          </cell>
          <cell r="BQ252">
            <v>0</v>
          </cell>
          <cell r="BR252">
            <v>0</v>
          </cell>
          <cell r="BS252">
            <v>0</v>
          </cell>
          <cell r="BT252">
            <v>42501756</v>
          </cell>
          <cell r="BU252">
            <v>-249459</v>
          </cell>
          <cell r="BV252">
            <v>1952648</v>
          </cell>
          <cell r="BW252">
            <v>-1433530</v>
          </cell>
          <cell r="BX252">
            <v>-478887</v>
          </cell>
          <cell r="BY252">
            <v>-753840</v>
          </cell>
          <cell r="BZ252">
            <v>43143481</v>
          </cell>
          <cell r="CA252">
            <v>-239443</v>
          </cell>
          <cell r="CB252">
            <v>-191555</v>
          </cell>
          <cell r="CC252">
            <v>-47889</v>
          </cell>
          <cell r="CD252">
            <v>0</v>
          </cell>
          <cell r="CE252">
            <v>-376920</v>
          </cell>
          <cell r="CF252">
            <v>-301536</v>
          </cell>
          <cell r="CG252">
            <v>-75384</v>
          </cell>
          <cell r="CH252">
            <v>0</v>
          </cell>
        </row>
        <row r="253">
          <cell r="A253">
            <v>246</v>
          </cell>
          <cell r="B253" t="str">
            <v>South Ribble</v>
          </cell>
          <cell r="C253" t="str">
            <v>E2342</v>
          </cell>
          <cell r="D253">
            <v>124370</v>
          </cell>
          <cell r="H253">
            <v>-3041181</v>
          </cell>
          <cell r="I253">
            <v>0</v>
          </cell>
          <cell r="J253">
            <v>124370</v>
          </cell>
          <cell r="K253">
            <v>0</v>
          </cell>
          <cell r="L253">
            <v>0</v>
          </cell>
          <cell r="M253">
            <v>0</v>
          </cell>
          <cell r="N253">
            <v>0</v>
          </cell>
          <cell r="O253">
            <v>0</v>
          </cell>
          <cell r="P253">
            <v>0</v>
          </cell>
          <cell r="Q253">
            <v>0</v>
          </cell>
          <cell r="R253">
            <v>596894</v>
          </cell>
          <cell r="S253">
            <v>134301</v>
          </cell>
          <cell r="T253">
            <v>14922</v>
          </cell>
          <cell r="U253">
            <v>3474</v>
          </cell>
          <cell r="V253">
            <v>782</v>
          </cell>
          <cell r="W253">
            <v>87</v>
          </cell>
          <cell r="X253">
            <v>0</v>
          </cell>
          <cell r="Y253">
            <v>0</v>
          </cell>
          <cell r="Z253">
            <v>0</v>
          </cell>
          <cell r="AA253">
            <v>2672</v>
          </cell>
          <cell r="AB253">
            <v>601</v>
          </cell>
          <cell r="AC253">
            <v>67</v>
          </cell>
          <cell r="AD253">
            <v>0</v>
          </cell>
          <cell r="AE253">
            <v>0</v>
          </cell>
          <cell r="AF253">
            <v>0</v>
          </cell>
          <cell r="AG253">
            <v>0</v>
          </cell>
          <cell r="AH253">
            <v>0</v>
          </cell>
          <cell r="AI253">
            <v>0</v>
          </cell>
          <cell r="AM253">
            <v>0</v>
          </cell>
          <cell r="AN253">
            <v>0</v>
          </cell>
          <cell r="AO253">
            <v>0</v>
          </cell>
          <cell r="AP253">
            <v>196745</v>
          </cell>
          <cell r="AQ253">
            <v>44268</v>
          </cell>
          <cell r="AR253">
            <v>4919</v>
          </cell>
          <cell r="AS253">
            <v>-258449</v>
          </cell>
          <cell r="AT253">
            <v>-206756</v>
          </cell>
          <cell r="AU253">
            <v>-46520</v>
          </cell>
          <cell r="AV253">
            <v>-5167</v>
          </cell>
          <cell r="AW253">
            <v>-516892</v>
          </cell>
          <cell r="AX253">
            <v>-1500000</v>
          </cell>
          <cell r="AY253">
            <v>-1200000</v>
          </cell>
          <cell r="AZ253">
            <v>-270000</v>
          </cell>
          <cell r="BA253">
            <v>-30000</v>
          </cell>
          <cell r="BB253">
            <v>-3000000</v>
          </cell>
          <cell r="BC253">
            <v>39595072</v>
          </cell>
          <cell r="BD253">
            <v>-2343575</v>
          </cell>
          <cell r="BE253">
            <v>1024286</v>
          </cell>
          <cell r="BF253">
            <v>0</v>
          </cell>
          <cell r="BG253">
            <v>-1944843</v>
          </cell>
          <cell r="BH253">
            <v>-18369</v>
          </cell>
          <cell r="BI253">
            <v>-3926</v>
          </cell>
          <cell r="BJ253">
            <v>-4342</v>
          </cell>
          <cell r="BK253">
            <v>-874220</v>
          </cell>
          <cell r="BL253">
            <v>-113833</v>
          </cell>
          <cell r="BM253">
            <v>-25493</v>
          </cell>
          <cell r="BN253">
            <v>-825</v>
          </cell>
          <cell r="BO253">
            <v>-3926</v>
          </cell>
          <cell r="BP253">
            <v>0</v>
          </cell>
          <cell r="BQ253">
            <v>0</v>
          </cell>
          <cell r="BR253">
            <v>0</v>
          </cell>
          <cell r="BS253">
            <v>0</v>
          </cell>
          <cell r="BT253">
            <v>39508051</v>
          </cell>
          <cell r="BU253">
            <v>-195161</v>
          </cell>
          <cell r="BV253">
            <v>1154359</v>
          </cell>
          <cell r="BW253">
            <v>-771409</v>
          </cell>
          <cell r="BX253">
            <v>661596</v>
          </cell>
          <cell r="BY253">
            <v>627798</v>
          </cell>
          <cell r="BZ253">
            <v>32743922</v>
          </cell>
          <cell r="CA253">
            <v>330798</v>
          </cell>
          <cell r="CB253">
            <v>264638</v>
          </cell>
          <cell r="CC253">
            <v>59543</v>
          </cell>
          <cell r="CD253">
            <v>6617</v>
          </cell>
          <cell r="CE253">
            <v>313899</v>
          </cell>
          <cell r="CF253">
            <v>251119</v>
          </cell>
          <cell r="CG253">
            <v>56502</v>
          </cell>
          <cell r="CH253">
            <v>6278</v>
          </cell>
        </row>
        <row r="254">
          <cell r="A254">
            <v>247</v>
          </cell>
          <cell r="B254" t="str">
            <v>South Somerset</v>
          </cell>
          <cell r="C254" t="str">
            <v>E3334</v>
          </cell>
          <cell r="D254">
            <v>223868</v>
          </cell>
          <cell r="H254">
            <v>-1262789</v>
          </cell>
          <cell r="I254">
            <v>0</v>
          </cell>
          <cell r="J254">
            <v>223868</v>
          </cell>
          <cell r="K254">
            <v>0</v>
          </cell>
          <cell r="L254">
            <v>455039</v>
          </cell>
          <cell r="M254">
            <v>0</v>
          </cell>
          <cell r="N254">
            <v>0</v>
          </cell>
          <cell r="O254">
            <v>0</v>
          </cell>
          <cell r="P254">
            <v>0</v>
          </cell>
          <cell r="Q254">
            <v>0</v>
          </cell>
          <cell r="R254">
            <v>1010259</v>
          </cell>
          <cell r="S254">
            <v>227308</v>
          </cell>
          <cell r="T254">
            <v>25256</v>
          </cell>
          <cell r="U254">
            <v>5324</v>
          </cell>
          <cell r="V254">
            <v>1198</v>
          </cell>
          <cell r="W254">
            <v>133</v>
          </cell>
          <cell r="X254">
            <v>0</v>
          </cell>
          <cell r="Y254">
            <v>0</v>
          </cell>
          <cell r="Z254">
            <v>0</v>
          </cell>
          <cell r="AA254">
            <v>3724</v>
          </cell>
          <cell r="AB254">
            <v>838</v>
          </cell>
          <cell r="AC254">
            <v>93</v>
          </cell>
          <cell r="AD254">
            <v>0</v>
          </cell>
          <cell r="AE254">
            <v>0</v>
          </cell>
          <cell r="AF254">
            <v>0</v>
          </cell>
          <cell r="AG254">
            <v>0</v>
          </cell>
          <cell r="AH254">
            <v>0</v>
          </cell>
          <cell r="AI254">
            <v>0</v>
          </cell>
          <cell r="AM254">
            <v>0</v>
          </cell>
          <cell r="AN254">
            <v>0</v>
          </cell>
          <cell r="AO254">
            <v>0</v>
          </cell>
          <cell r="AP254">
            <v>257034</v>
          </cell>
          <cell r="AQ254">
            <v>56295</v>
          </cell>
          <cell r="AR254">
            <v>6255</v>
          </cell>
          <cell r="AS254">
            <v>-543801</v>
          </cell>
          <cell r="AT254">
            <v>-435039</v>
          </cell>
          <cell r="AU254">
            <v>-97884</v>
          </cell>
          <cell r="AV254">
            <v>-10876</v>
          </cell>
          <cell r="AW254">
            <v>-1087600</v>
          </cell>
          <cell r="AX254">
            <v>-2384487.6</v>
          </cell>
          <cell r="AY254">
            <v>-1907589</v>
          </cell>
          <cell r="AZ254">
            <v>-429206</v>
          </cell>
          <cell r="BA254">
            <v>-47688</v>
          </cell>
          <cell r="BB254">
            <v>-4768970.5999999996</v>
          </cell>
          <cell r="BC254">
            <v>44805263</v>
          </cell>
          <cell r="BD254">
            <v>-4130308</v>
          </cell>
          <cell r="BE254">
            <v>1173009</v>
          </cell>
          <cell r="BF254">
            <v>0</v>
          </cell>
          <cell r="BG254">
            <v>-3457780</v>
          </cell>
          <cell r="BH254">
            <v>-40178</v>
          </cell>
          <cell r="BI254">
            <v>-94483</v>
          </cell>
          <cell r="BJ254">
            <v>-51414</v>
          </cell>
          <cell r="BK254">
            <v>-1514982</v>
          </cell>
          <cell r="BL254">
            <v>-150073</v>
          </cell>
          <cell r="BM254">
            <v>-53009</v>
          </cell>
          <cell r="BN254">
            <v>-4125</v>
          </cell>
          <cell r="BO254">
            <v>-25861</v>
          </cell>
          <cell r="BP254">
            <v>-9982</v>
          </cell>
          <cell r="BQ254">
            <v>-7766</v>
          </cell>
          <cell r="BR254">
            <v>0</v>
          </cell>
          <cell r="BS254">
            <v>0</v>
          </cell>
          <cell r="BT254">
            <v>45617272</v>
          </cell>
          <cell r="BU254">
            <v>-755394</v>
          </cell>
          <cell r="BV254">
            <v>2248694</v>
          </cell>
          <cell r="BW254">
            <v>-791598</v>
          </cell>
          <cell r="BX254">
            <v>1471289</v>
          </cell>
          <cell r="BY254">
            <v>1296696</v>
          </cell>
          <cell r="BZ254">
            <v>41640226</v>
          </cell>
          <cell r="CA254">
            <v>735643</v>
          </cell>
          <cell r="CB254">
            <v>588516</v>
          </cell>
          <cell r="CC254">
            <v>132416</v>
          </cell>
          <cell r="CD254">
            <v>14714</v>
          </cell>
          <cell r="CE254">
            <v>648348</v>
          </cell>
          <cell r="CF254">
            <v>518678</v>
          </cell>
          <cell r="CG254">
            <v>116703</v>
          </cell>
          <cell r="CH254">
            <v>12967</v>
          </cell>
        </row>
        <row r="255">
          <cell r="A255">
            <v>248</v>
          </cell>
          <cell r="B255" t="str">
            <v>South Staffordshire</v>
          </cell>
          <cell r="C255" t="str">
            <v>E3435</v>
          </cell>
          <cell r="D255">
            <v>104320</v>
          </cell>
          <cell r="H255">
            <v>228508</v>
          </cell>
          <cell r="I255">
            <v>-146019</v>
          </cell>
          <cell r="J255">
            <v>104320</v>
          </cell>
          <cell r="K255">
            <v>2467483</v>
          </cell>
          <cell r="L255">
            <v>14236</v>
          </cell>
          <cell r="M255">
            <v>192777</v>
          </cell>
          <cell r="N255">
            <v>52387</v>
          </cell>
          <cell r="O255">
            <v>52387</v>
          </cell>
          <cell r="P255">
            <v>0</v>
          </cell>
          <cell r="Q255">
            <v>0</v>
          </cell>
          <cell r="R255">
            <v>598862</v>
          </cell>
          <cell r="S255">
            <v>134744</v>
          </cell>
          <cell r="T255">
            <v>14972</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M255">
            <v>0</v>
          </cell>
          <cell r="AN255">
            <v>0</v>
          </cell>
          <cell r="AO255">
            <v>0</v>
          </cell>
          <cell r="AP255">
            <v>164930</v>
          </cell>
          <cell r="AQ255">
            <v>31440</v>
          </cell>
          <cell r="AR255">
            <v>3172</v>
          </cell>
          <cell r="AS255">
            <v>-266500</v>
          </cell>
          <cell r="AT255">
            <v>-213200</v>
          </cell>
          <cell r="AU255">
            <v>-47970</v>
          </cell>
          <cell r="AV255">
            <v>-5330</v>
          </cell>
          <cell r="AW255">
            <v>-533000</v>
          </cell>
          <cell r="AX255">
            <v>-1436000</v>
          </cell>
          <cell r="AY255">
            <v>-1148800</v>
          </cell>
          <cell r="AZ255">
            <v>-258480</v>
          </cell>
          <cell r="BA255">
            <v>-28720</v>
          </cell>
          <cell r="BB255">
            <v>-2872000</v>
          </cell>
          <cell r="BC255">
            <v>21812461</v>
          </cell>
          <cell r="BD255">
            <v>-2203612</v>
          </cell>
          <cell r="BE255">
            <v>630038</v>
          </cell>
          <cell r="BF255">
            <v>0</v>
          </cell>
          <cell r="BG255">
            <v>-765416</v>
          </cell>
          <cell r="BH255">
            <v>-21351</v>
          </cell>
          <cell r="BI255">
            <v>-8671</v>
          </cell>
          <cell r="BJ255">
            <v>0</v>
          </cell>
          <cell r="BK255">
            <v>-408476</v>
          </cell>
          <cell r="BL255">
            <v>-46939</v>
          </cell>
          <cell r="BM255">
            <v>-243936</v>
          </cell>
          <cell r="BN255">
            <v>-4244</v>
          </cell>
          <cell r="BO255">
            <v>-3602</v>
          </cell>
          <cell r="BP255">
            <v>0</v>
          </cell>
          <cell r="BQ255">
            <v>-106422</v>
          </cell>
          <cell r="BR255">
            <v>-106422</v>
          </cell>
          <cell r="BS255">
            <v>0</v>
          </cell>
          <cell r="BT255">
            <v>24833341</v>
          </cell>
          <cell r="BU255">
            <v>-117583</v>
          </cell>
          <cell r="BV255">
            <v>929121</v>
          </cell>
          <cell r="BW255">
            <v>-200111</v>
          </cell>
          <cell r="BX255">
            <v>-864243</v>
          </cell>
          <cell r="BY255">
            <v>347</v>
          </cell>
          <cell r="BZ255">
            <v>21113827</v>
          </cell>
          <cell r="CA255">
            <v>-432120</v>
          </cell>
          <cell r="CB255">
            <v>-345698</v>
          </cell>
          <cell r="CC255">
            <v>-77783</v>
          </cell>
          <cell r="CD255">
            <v>-8642</v>
          </cell>
          <cell r="CE255">
            <v>174</v>
          </cell>
          <cell r="CF255">
            <v>139</v>
          </cell>
          <cell r="CG255">
            <v>31</v>
          </cell>
          <cell r="CH255">
            <v>3</v>
          </cell>
        </row>
        <row r="256">
          <cell r="A256">
            <v>249</v>
          </cell>
          <cell r="B256" t="str">
            <v>South Tyneside</v>
          </cell>
          <cell r="C256" t="str">
            <v>E4504</v>
          </cell>
          <cell r="D256">
            <v>150198</v>
          </cell>
          <cell r="H256">
            <v>-1706502</v>
          </cell>
          <cell r="I256">
            <v>0</v>
          </cell>
          <cell r="J256">
            <v>150198</v>
          </cell>
          <cell r="K256">
            <v>0</v>
          </cell>
          <cell r="L256">
            <v>0</v>
          </cell>
          <cell r="M256">
            <v>0</v>
          </cell>
          <cell r="N256">
            <v>0</v>
          </cell>
          <cell r="O256">
            <v>0</v>
          </cell>
          <cell r="P256">
            <v>0</v>
          </cell>
          <cell r="Q256">
            <v>0</v>
          </cell>
          <cell r="R256">
            <v>820645</v>
          </cell>
          <cell r="S256">
            <v>0</v>
          </cell>
          <cell r="T256">
            <v>16748</v>
          </cell>
          <cell r="U256">
            <v>0</v>
          </cell>
          <cell r="V256">
            <v>0</v>
          </cell>
          <cell r="W256">
            <v>0</v>
          </cell>
          <cell r="X256">
            <v>0</v>
          </cell>
          <cell r="Y256">
            <v>0</v>
          </cell>
          <cell r="Z256">
            <v>0</v>
          </cell>
          <cell r="AA256">
            <v>12434</v>
          </cell>
          <cell r="AB256">
            <v>0</v>
          </cell>
          <cell r="AC256">
            <v>254</v>
          </cell>
          <cell r="AD256">
            <v>0</v>
          </cell>
          <cell r="AE256">
            <v>0</v>
          </cell>
          <cell r="AF256">
            <v>0</v>
          </cell>
          <cell r="AG256">
            <v>0</v>
          </cell>
          <cell r="AH256">
            <v>0</v>
          </cell>
          <cell r="AI256">
            <v>0</v>
          </cell>
          <cell r="AM256">
            <v>0</v>
          </cell>
          <cell r="AN256">
            <v>0</v>
          </cell>
          <cell r="AO256">
            <v>0</v>
          </cell>
          <cell r="AP256">
            <v>215653</v>
          </cell>
          <cell r="AQ256">
            <v>0</v>
          </cell>
          <cell r="AR256">
            <v>4401</v>
          </cell>
          <cell r="AS256">
            <v>-373220.93</v>
          </cell>
          <cell r="AT256">
            <v>-365758</v>
          </cell>
          <cell r="AU256">
            <v>0</v>
          </cell>
          <cell r="AV256">
            <v>-7464</v>
          </cell>
          <cell r="AW256">
            <v>-746442.93</v>
          </cell>
          <cell r="AX256">
            <v>-972650</v>
          </cell>
          <cell r="AY256">
            <v>-953195</v>
          </cell>
          <cell r="AZ256">
            <v>0</v>
          </cell>
          <cell r="BA256">
            <v>-19453</v>
          </cell>
          <cell r="BB256">
            <v>-1945298</v>
          </cell>
          <cell r="BC256">
            <v>30914941</v>
          </cell>
          <cell r="BD256">
            <v>-2835536</v>
          </cell>
          <cell r="BE256">
            <v>859125</v>
          </cell>
          <cell r="BF256">
            <v>0</v>
          </cell>
          <cell r="BG256">
            <v>-1910352</v>
          </cell>
          <cell r="BH256">
            <v>-60572</v>
          </cell>
          <cell r="BI256">
            <v>0</v>
          </cell>
          <cell r="BJ256">
            <v>-15848</v>
          </cell>
          <cell r="BK256">
            <v>-1819578</v>
          </cell>
          <cell r="BL256">
            <v>-3738</v>
          </cell>
          <cell r="BM256">
            <v>-77557</v>
          </cell>
          <cell r="BN256">
            <v>0</v>
          </cell>
          <cell r="BO256">
            <v>0</v>
          </cell>
          <cell r="BP256">
            <v>0</v>
          </cell>
          <cell r="BQ256">
            <v>0</v>
          </cell>
          <cell r="BR256">
            <v>0</v>
          </cell>
          <cell r="BS256">
            <v>0</v>
          </cell>
          <cell r="BT256">
            <v>31579730</v>
          </cell>
          <cell r="BU256">
            <v>-177905</v>
          </cell>
          <cell r="BV256">
            <v>1733829</v>
          </cell>
          <cell r="BW256">
            <v>-888093</v>
          </cell>
          <cell r="BX256">
            <v>-1208212</v>
          </cell>
          <cell r="BY256">
            <v>-758709</v>
          </cell>
          <cell r="BZ256">
            <v>29298638</v>
          </cell>
          <cell r="CA256">
            <v>-604105</v>
          </cell>
          <cell r="CB256">
            <v>-592025</v>
          </cell>
          <cell r="CC256">
            <v>0</v>
          </cell>
          <cell r="CD256">
            <v>-12082</v>
          </cell>
          <cell r="CE256">
            <v>-379355</v>
          </cell>
          <cell r="CF256">
            <v>-371767</v>
          </cell>
          <cell r="CG256">
            <v>0</v>
          </cell>
          <cell r="CH256">
            <v>-7587</v>
          </cell>
        </row>
        <row r="257">
          <cell r="A257">
            <v>250</v>
          </cell>
          <cell r="B257" t="str">
            <v>Southampton</v>
          </cell>
          <cell r="C257" t="str">
            <v>E1702</v>
          </cell>
          <cell r="D257">
            <v>310662</v>
          </cell>
          <cell r="H257">
            <v>-2147453</v>
          </cell>
          <cell r="I257">
            <v>0</v>
          </cell>
          <cell r="J257">
            <v>310662</v>
          </cell>
          <cell r="K257">
            <v>0</v>
          </cell>
          <cell r="L257">
            <v>0</v>
          </cell>
          <cell r="M257">
            <v>0</v>
          </cell>
          <cell r="N257">
            <v>0</v>
          </cell>
          <cell r="O257">
            <v>0</v>
          </cell>
          <cell r="P257">
            <v>0</v>
          </cell>
          <cell r="Q257">
            <v>0</v>
          </cell>
          <cell r="R257">
            <v>1268931</v>
          </cell>
          <cell r="S257">
            <v>0</v>
          </cell>
          <cell r="T257">
            <v>25897</v>
          </cell>
          <cell r="U257">
            <v>11715</v>
          </cell>
          <cell r="V257">
            <v>0</v>
          </cell>
          <cell r="W257">
            <v>239</v>
          </cell>
          <cell r="X257">
            <v>21536</v>
          </cell>
          <cell r="Y257">
            <v>0</v>
          </cell>
          <cell r="Z257">
            <v>440</v>
          </cell>
          <cell r="AA257">
            <v>3084</v>
          </cell>
          <cell r="AB257">
            <v>0</v>
          </cell>
          <cell r="AC257">
            <v>63</v>
          </cell>
          <cell r="AD257">
            <v>0</v>
          </cell>
          <cell r="AE257">
            <v>0</v>
          </cell>
          <cell r="AF257">
            <v>0</v>
          </cell>
          <cell r="AG257">
            <v>0</v>
          </cell>
          <cell r="AH257">
            <v>0</v>
          </cell>
          <cell r="AI257">
            <v>0</v>
          </cell>
          <cell r="AM257">
            <v>0</v>
          </cell>
          <cell r="AN257">
            <v>0</v>
          </cell>
          <cell r="AO257">
            <v>0</v>
          </cell>
          <cell r="AP257">
            <v>719741</v>
          </cell>
          <cell r="AQ257">
            <v>0</v>
          </cell>
          <cell r="AR257">
            <v>14689</v>
          </cell>
          <cell r="AS257">
            <v>-1641195</v>
          </cell>
          <cell r="AT257">
            <v>-1608370.46</v>
          </cell>
          <cell r="AU257">
            <v>0</v>
          </cell>
          <cell r="AV257">
            <v>-32824.54</v>
          </cell>
          <cell r="AW257">
            <v>-3282390</v>
          </cell>
          <cell r="AX257">
            <v>-9411766</v>
          </cell>
          <cell r="AY257">
            <v>-9223531</v>
          </cell>
          <cell r="AZ257">
            <v>0</v>
          </cell>
          <cell r="BA257">
            <v>-188236</v>
          </cell>
          <cell r="BB257">
            <v>-18823533</v>
          </cell>
          <cell r="BC257">
            <v>101391649</v>
          </cell>
          <cell r="BD257">
            <v>-3633635</v>
          </cell>
          <cell r="BE257">
            <v>2938720</v>
          </cell>
          <cell r="BF257">
            <v>0</v>
          </cell>
          <cell r="BG257">
            <v>-9377492</v>
          </cell>
          <cell r="BH257">
            <v>-52676</v>
          </cell>
          <cell r="BI257">
            <v>0</v>
          </cell>
          <cell r="BJ257">
            <v>-23086</v>
          </cell>
          <cell r="BK257">
            <v>-3186236</v>
          </cell>
          <cell r="BL257">
            <v>-1174</v>
          </cell>
          <cell r="BM257">
            <v>-115712</v>
          </cell>
          <cell r="BN257">
            <v>0</v>
          </cell>
          <cell r="BO257">
            <v>0</v>
          </cell>
          <cell r="BP257">
            <v>0</v>
          </cell>
          <cell r="BQ257">
            <v>0</v>
          </cell>
          <cell r="BR257">
            <v>0</v>
          </cell>
          <cell r="BS257">
            <v>0</v>
          </cell>
          <cell r="BT257">
            <v>105692705</v>
          </cell>
          <cell r="BU257">
            <v>-1053520</v>
          </cell>
          <cell r="BV257">
            <v>5590557</v>
          </cell>
          <cell r="BW257">
            <v>-2909538</v>
          </cell>
          <cell r="BX257">
            <v>6175197</v>
          </cell>
          <cell r="BY257">
            <v>4740206</v>
          </cell>
          <cell r="BZ257">
            <v>97784052</v>
          </cell>
          <cell r="CA257">
            <v>3087599</v>
          </cell>
          <cell r="CB257">
            <v>3025847</v>
          </cell>
          <cell r="CC257">
            <v>0</v>
          </cell>
          <cell r="CD257">
            <v>61751</v>
          </cell>
          <cell r="CE257">
            <v>2370103</v>
          </cell>
          <cell r="CF257">
            <v>2322701</v>
          </cell>
          <cell r="CG257">
            <v>0</v>
          </cell>
          <cell r="CH257">
            <v>47402</v>
          </cell>
        </row>
        <row r="258">
          <cell r="A258">
            <v>251</v>
          </cell>
          <cell r="B258" t="str">
            <v>Southend-on-Sea</v>
          </cell>
          <cell r="C258" t="str">
            <v>E1501</v>
          </cell>
          <cell r="D258">
            <v>234382</v>
          </cell>
          <cell r="H258">
            <v>-2195152</v>
          </cell>
          <cell r="I258">
            <v>0</v>
          </cell>
          <cell r="J258">
            <v>234382</v>
          </cell>
          <cell r="K258">
            <v>0</v>
          </cell>
          <cell r="L258">
            <v>0</v>
          </cell>
          <cell r="M258">
            <v>0</v>
          </cell>
          <cell r="N258">
            <v>0</v>
          </cell>
          <cell r="O258">
            <v>0</v>
          </cell>
          <cell r="P258">
            <v>0</v>
          </cell>
          <cell r="Q258">
            <v>0</v>
          </cell>
          <cell r="R258">
            <v>1539998</v>
          </cell>
          <cell r="S258">
            <v>0</v>
          </cell>
          <cell r="T258">
            <v>31429</v>
          </cell>
          <cell r="U258">
            <v>6763</v>
          </cell>
          <cell r="V258">
            <v>0</v>
          </cell>
          <cell r="W258">
            <v>138</v>
          </cell>
          <cell r="X258">
            <v>0</v>
          </cell>
          <cell r="Y258">
            <v>0</v>
          </cell>
          <cell r="Z258">
            <v>0</v>
          </cell>
          <cell r="AA258">
            <v>0</v>
          </cell>
          <cell r="AB258">
            <v>0</v>
          </cell>
          <cell r="AC258">
            <v>0</v>
          </cell>
          <cell r="AD258">
            <v>0</v>
          </cell>
          <cell r="AE258">
            <v>0</v>
          </cell>
          <cell r="AF258">
            <v>0</v>
          </cell>
          <cell r="AG258">
            <v>0</v>
          </cell>
          <cell r="AH258">
            <v>0</v>
          </cell>
          <cell r="AI258">
            <v>0</v>
          </cell>
          <cell r="AM258">
            <v>0</v>
          </cell>
          <cell r="AN258">
            <v>0</v>
          </cell>
          <cell r="AO258">
            <v>0</v>
          </cell>
          <cell r="AP258">
            <v>310724</v>
          </cell>
          <cell r="AQ258">
            <v>0</v>
          </cell>
          <cell r="AR258">
            <v>6341</v>
          </cell>
          <cell r="AS258">
            <v>-360681.99</v>
          </cell>
          <cell r="AT258">
            <v>-353468</v>
          </cell>
          <cell r="AU258">
            <v>0</v>
          </cell>
          <cell r="AV258">
            <v>-7213</v>
          </cell>
          <cell r="AW258">
            <v>-721362.99</v>
          </cell>
          <cell r="AX258">
            <v>-2296154.2000000002</v>
          </cell>
          <cell r="AY258">
            <v>-2250231</v>
          </cell>
          <cell r="AZ258">
            <v>0</v>
          </cell>
          <cell r="BA258">
            <v>-45922</v>
          </cell>
          <cell r="BB258">
            <v>-4592307.2</v>
          </cell>
          <cell r="BC258">
            <v>46516666</v>
          </cell>
          <cell r="BD258">
            <v>-4963352</v>
          </cell>
          <cell r="BE258">
            <v>1246916</v>
          </cell>
          <cell r="BF258">
            <v>0</v>
          </cell>
          <cell r="BG258">
            <v>-4345751</v>
          </cell>
          <cell r="BH258">
            <v>-53744</v>
          </cell>
          <cell r="BI258">
            <v>0</v>
          </cell>
          <cell r="BJ258">
            <v>-13343</v>
          </cell>
          <cell r="BK258">
            <v>-1740435</v>
          </cell>
          <cell r="BL258">
            <v>-72706</v>
          </cell>
          <cell r="BM258">
            <v>-35468</v>
          </cell>
          <cell r="BN258">
            <v>-3827</v>
          </cell>
          <cell r="BO258">
            <v>0</v>
          </cell>
          <cell r="BP258">
            <v>0</v>
          </cell>
          <cell r="BQ258">
            <v>0</v>
          </cell>
          <cell r="BR258">
            <v>0</v>
          </cell>
          <cell r="BS258">
            <v>0</v>
          </cell>
          <cell r="BT258">
            <v>48191933</v>
          </cell>
          <cell r="BU258">
            <v>-367085</v>
          </cell>
          <cell r="BV258">
            <v>1728602</v>
          </cell>
          <cell r="BW258">
            <v>-1429433</v>
          </cell>
          <cell r="BX258">
            <v>-5100022</v>
          </cell>
          <cell r="BY258">
            <v>-4322184</v>
          </cell>
          <cell r="BZ258">
            <v>42215030</v>
          </cell>
          <cell r="CA258">
            <v>-2550011</v>
          </cell>
          <cell r="CB258">
            <v>-2499011</v>
          </cell>
          <cell r="CC258">
            <v>0</v>
          </cell>
          <cell r="CD258">
            <v>-51000</v>
          </cell>
          <cell r="CE258">
            <v>-2161092</v>
          </cell>
          <cell r="CF258">
            <v>-2117870</v>
          </cell>
          <cell r="CG258">
            <v>0</v>
          </cell>
          <cell r="CH258">
            <v>-43222</v>
          </cell>
        </row>
        <row r="259">
          <cell r="A259">
            <v>252</v>
          </cell>
          <cell r="B259" t="str">
            <v>Southwark</v>
          </cell>
          <cell r="C259" t="str">
            <v>E5019</v>
          </cell>
          <cell r="D259">
            <v>720423</v>
          </cell>
          <cell r="H259">
            <v>22881500</v>
          </cell>
          <cell r="I259">
            <v>0</v>
          </cell>
          <cell r="J259">
            <v>720423</v>
          </cell>
          <cell r="K259">
            <v>0</v>
          </cell>
          <cell r="L259">
            <v>0</v>
          </cell>
          <cell r="M259">
            <v>0</v>
          </cell>
          <cell r="N259">
            <v>0</v>
          </cell>
          <cell r="O259">
            <v>0</v>
          </cell>
          <cell r="P259">
            <v>0</v>
          </cell>
          <cell r="Q259">
            <v>0</v>
          </cell>
          <cell r="R259">
            <v>1080480</v>
          </cell>
          <cell r="S259">
            <v>1332592</v>
          </cell>
          <cell r="T259">
            <v>0</v>
          </cell>
          <cell r="U259">
            <v>0</v>
          </cell>
          <cell r="V259">
            <v>0</v>
          </cell>
          <cell r="W259">
            <v>0</v>
          </cell>
          <cell r="X259">
            <v>0</v>
          </cell>
          <cell r="Y259">
            <v>0</v>
          </cell>
          <cell r="Z259">
            <v>0</v>
          </cell>
          <cell r="AA259">
            <v>2857</v>
          </cell>
          <cell r="AB259">
            <v>3524</v>
          </cell>
          <cell r="AC259">
            <v>0</v>
          </cell>
          <cell r="AD259">
            <v>0</v>
          </cell>
          <cell r="AE259">
            <v>0</v>
          </cell>
          <cell r="AF259">
            <v>0</v>
          </cell>
          <cell r="AG259">
            <v>0</v>
          </cell>
          <cell r="AH259">
            <v>0</v>
          </cell>
          <cell r="AI259">
            <v>0</v>
          </cell>
          <cell r="AM259">
            <v>0</v>
          </cell>
          <cell r="AN259">
            <v>0</v>
          </cell>
          <cell r="AO259">
            <v>0</v>
          </cell>
          <cell r="AP259">
            <v>1237004</v>
          </cell>
          <cell r="AQ259">
            <v>1525638</v>
          </cell>
          <cell r="AR259">
            <v>0</v>
          </cell>
          <cell r="AS259">
            <v>-2841952</v>
          </cell>
          <cell r="AT259">
            <v>-1705169.8</v>
          </cell>
          <cell r="AU259">
            <v>-1136780</v>
          </cell>
          <cell r="AV259">
            <v>0</v>
          </cell>
          <cell r="AW259">
            <v>-5683902</v>
          </cell>
          <cell r="AX259">
            <v>-20164893</v>
          </cell>
          <cell r="AY259">
            <v>-12098937</v>
          </cell>
          <cell r="AZ259">
            <v>-8065957</v>
          </cell>
          <cell r="BA259">
            <v>0</v>
          </cell>
          <cell r="BB259">
            <v>-40329787</v>
          </cell>
          <cell r="BC259">
            <v>231139833</v>
          </cell>
          <cell r="BD259">
            <v>-5889937</v>
          </cell>
          <cell r="BE259">
            <v>8172214</v>
          </cell>
          <cell r="BF259">
            <v>0</v>
          </cell>
          <cell r="BG259">
            <v>-25222293</v>
          </cell>
          <cell r="BH259">
            <v>-45268</v>
          </cell>
          <cell r="BI259">
            <v>0</v>
          </cell>
          <cell r="BJ259">
            <v>-21441</v>
          </cell>
          <cell r="BK259">
            <v>-5920609</v>
          </cell>
          <cell r="BL259">
            <v>-225501</v>
          </cell>
          <cell r="BM259">
            <v>-61426</v>
          </cell>
          <cell r="BN259">
            <v>0</v>
          </cell>
          <cell r="BO259">
            <v>0</v>
          </cell>
          <cell r="BP259">
            <v>0</v>
          </cell>
          <cell r="BQ259">
            <v>0</v>
          </cell>
          <cell r="BR259">
            <v>0</v>
          </cell>
          <cell r="BS259">
            <v>0</v>
          </cell>
          <cell r="BT259">
            <v>256745187</v>
          </cell>
          <cell r="BU259">
            <v>-1468697</v>
          </cell>
          <cell r="BV259">
            <v>33635667</v>
          </cell>
          <cell r="BW259">
            <v>-17438369</v>
          </cell>
          <cell r="BX259">
            <v>1708609</v>
          </cell>
          <cell r="BY259">
            <v>15151180</v>
          </cell>
          <cell r="BZ259">
            <v>274497100</v>
          </cell>
          <cell r="CA259">
            <v>854304</v>
          </cell>
          <cell r="CB259">
            <v>512582</v>
          </cell>
          <cell r="CC259">
            <v>341723</v>
          </cell>
          <cell r="CD259">
            <v>0</v>
          </cell>
          <cell r="CE259">
            <v>7575590</v>
          </cell>
          <cell r="CF259">
            <v>4545354</v>
          </cell>
          <cell r="CG259">
            <v>3030236</v>
          </cell>
          <cell r="CH259">
            <v>0</v>
          </cell>
        </row>
        <row r="260">
          <cell r="A260">
            <v>253</v>
          </cell>
          <cell r="B260" t="str">
            <v>Spelthorne</v>
          </cell>
          <cell r="C260" t="str">
            <v>E3637</v>
          </cell>
          <cell r="D260">
            <v>128748</v>
          </cell>
          <cell r="H260">
            <v>1018095</v>
          </cell>
          <cell r="I260">
            <v>0</v>
          </cell>
          <cell r="J260">
            <v>128748</v>
          </cell>
          <cell r="K260">
            <v>0</v>
          </cell>
          <cell r="L260">
            <v>0</v>
          </cell>
          <cell r="M260">
            <v>0</v>
          </cell>
          <cell r="N260">
            <v>0</v>
          </cell>
          <cell r="O260">
            <v>0</v>
          </cell>
          <cell r="P260">
            <v>0</v>
          </cell>
          <cell r="Q260">
            <v>0</v>
          </cell>
          <cell r="R260">
            <v>356004</v>
          </cell>
          <cell r="S260">
            <v>89001</v>
          </cell>
          <cell r="T260">
            <v>0</v>
          </cell>
          <cell r="U260">
            <v>0</v>
          </cell>
          <cell r="V260">
            <v>0</v>
          </cell>
          <cell r="W260">
            <v>0</v>
          </cell>
          <cell r="X260">
            <v>0</v>
          </cell>
          <cell r="Y260">
            <v>0</v>
          </cell>
          <cell r="Z260">
            <v>0</v>
          </cell>
          <cell r="AA260">
            <v>1860</v>
          </cell>
          <cell r="AB260">
            <v>465</v>
          </cell>
          <cell r="AC260">
            <v>0</v>
          </cell>
          <cell r="AD260">
            <v>0</v>
          </cell>
          <cell r="AE260">
            <v>0</v>
          </cell>
          <cell r="AF260">
            <v>0</v>
          </cell>
          <cell r="AG260">
            <v>0</v>
          </cell>
          <cell r="AH260">
            <v>0</v>
          </cell>
          <cell r="AI260">
            <v>0</v>
          </cell>
          <cell r="AM260">
            <v>0</v>
          </cell>
          <cell r="AN260">
            <v>0</v>
          </cell>
          <cell r="AO260">
            <v>0</v>
          </cell>
          <cell r="AP260">
            <v>293077</v>
          </cell>
          <cell r="AQ260">
            <v>73269</v>
          </cell>
          <cell r="AR260">
            <v>0</v>
          </cell>
          <cell r="AS260">
            <v>-303723.5</v>
          </cell>
          <cell r="AT260">
            <v>-242978</v>
          </cell>
          <cell r="AU260">
            <v>-60744.5</v>
          </cell>
          <cell r="AV260">
            <v>0</v>
          </cell>
          <cell r="AW260">
            <v>-607446</v>
          </cell>
          <cell r="AX260">
            <v>-1541746</v>
          </cell>
          <cell r="AY260">
            <v>-1233396</v>
          </cell>
          <cell r="AZ260">
            <v>-308348</v>
          </cell>
          <cell r="BA260">
            <v>0</v>
          </cell>
          <cell r="BB260">
            <v>-3083490</v>
          </cell>
          <cell r="BC260">
            <v>42951504</v>
          </cell>
          <cell r="BD260">
            <v>-1357800</v>
          </cell>
          <cell r="BE260">
            <v>1220269</v>
          </cell>
          <cell r="BF260">
            <v>0</v>
          </cell>
          <cell r="BG260">
            <v>-2172590</v>
          </cell>
          <cell r="BH260">
            <v>-29820</v>
          </cell>
          <cell r="BI260">
            <v>0</v>
          </cell>
          <cell r="BJ260">
            <v>-8628</v>
          </cell>
          <cell r="BK260">
            <v>-937364</v>
          </cell>
          <cell r="BL260">
            <v>-52359</v>
          </cell>
          <cell r="BM260">
            <v>-47779</v>
          </cell>
          <cell r="BN260">
            <v>-6809</v>
          </cell>
          <cell r="BO260">
            <v>0</v>
          </cell>
          <cell r="BP260">
            <v>0</v>
          </cell>
          <cell r="BQ260">
            <v>0</v>
          </cell>
          <cell r="BR260">
            <v>0</v>
          </cell>
          <cell r="BS260">
            <v>0</v>
          </cell>
          <cell r="BT260">
            <v>42173171</v>
          </cell>
          <cell r="BU260">
            <v>-857889</v>
          </cell>
          <cell r="BV260">
            <v>957253</v>
          </cell>
          <cell r="BW260">
            <v>-2354653</v>
          </cell>
          <cell r="BX260">
            <v>76225</v>
          </cell>
          <cell r="BY260">
            <v>2259000</v>
          </cell>
          <cell r="BZ260">
            <v>48776376</v>
          </cell>
          <cell r="CA260">
            <v>38112</v>
          </cell>
          <cell r="CB260">
            <v>30491</v>
          </cell>
          <cell r="CC260">
            <v>7622</v>
          </cell>
          <cell r="CD260">
            <v>0</v>
          </cell>
          <cell r="CE260">
            <v>1129500</v>
          </cell>
          <cell r="CF260">
            <v>903600</v>
          </cell>
          <cell r="CG260">
            <v>225900</v>
          </cell>
          <cell r="CH260">
            <v>0</v>
          </cell>
        </row>
        <row r="261">
          <cell r="A261">
            <v>254</v>
          </cell>
          <cell r="B261" t="str">
            <v>St Albans</v>
          </cell>
          <cell r="C261" t="str">
            <v>E1936</v>
          </cell>
          <cell r="D261">
            <v>188622</v>
          </cell>
          <cell r="H261">
            <v>-2229175</v>
          </cell>
          <cell r="I261">
            <v>-167188</v>
          </cell>
          <cell r="J261">
            <v>188622</v>
          </cell>
          <cell r="K261">
            <v>0</v>
          </cell>
          <cell r="L261">
            <v>0</v>
          </cell>
          <cell r="M261">
            <v>0</v>
          </cell>
          <cell r="N261">
            <v>0</v>
          </cell>
          <cell r="O261">
            <v>0</v>
          </cell>
          <cell r="P261">
            <v>0</v>
          </cell>
          <cell r="Q261">
            <v>0</v>
          </cell>
          <cell r="R261">
            <v>540243</v>
          </cell>
          <cell r="S261">
            <v>135061</v>
          </cell>
          <cell r="T261">
            <v>0</v>
          </cell>
          <cell r="U261">
            <v>0</v>
          </cell>
          <cell r="V261">
            <v>0</v>
          </cell>
          <cell r="W261">
            <v>0</v>
          </cell>
          <cell r="X261">
            <v>0</v>
          </cell>
          <cell r="Y261">
            <v>0</v>
          </cell>
          <cell r="Z261">
            <v>0</v>
          </cell>
          <cell r="AA261">
            <v>1798</v>
          </cell>
          <cell r="AB261">
            <v>449</v>
          </cell>
          <cell r="AC261">
            <v>0</v>
          </cell>
          <cell r="AD261">
            <v>0</v>
          </cell>
          <cell r="AE261">
            <v>0</v>
          </cell>
          <cell r="AF261">
            <v>0</v>
          </cell>
          <cell r="AG261">
            <v>0</v>
          </cell>
          <cell r="AH261">
            <v>0</v>
          </cell>
          <cell r="AI261">
            <v>0</v>
          </cell>
          <cell r="AM261">
            <v>0</v>
          </cell>
          <cell r="AN261">
            <v>0</v>
          </cell>
          <cell r="AO261">
            <v>0</v>
          </cell>
          <cell r="AP261">
            <v>348304</v>
          </cell>
          <cell r="AQ261">
            <v>87076</v>
          </cell>
          <cell r="AR261">
            <v>0</v>
          </cell>
          <cell r="AS261">
            <v>-799500</v>
          </cell>
          <cell r="AT261">
            <v>-639600</v>
          </cell>
          <cell r="AU261">
            <v>-159900</v>
          </cell>
          <cell r="AV261">
            <v>0</v>
          </cell>
          <cell r="AW261">
            <v>-1599000</v>
          </cell>
          <cell r="AX261">
            <v>-4859999.8</v>
          </cell>
          <cell r="AY261">
            <v>-3888000</v>
          </cell>
          <cell r="AZ261">
            <v>-972001</v>
          </cell>
          <cell r="BA261">
            <v>0</v>
          </cell>
          <cell r="BB261">
            <v>-9720000.8000000007</v>
          </cell>
          <cell r="BC261">
            <v>60513885</v>
          </cell>
          <cell r="BD261">
            <v>-1733034</v>
          </cell>
          <cell r="BE261">
            <v>1760825</v>
          </cell>
          <cell r="BF261">
            <v>0</v>
          </cell>
          <cell r="BG261">
            <v>-5458015</v>
          </cell>
          <cell r="BH261">
            <v>-84786</v>
          </cell>
          <cell r="BI261">
            <v>0</v>
          </cell>
          <cell r="BJ261">
            <v>-4020</v>
          </cell>
          <cell r="BK261">
            <v>-2874302</v>
          </cell>
          <cell r="BL261">
            <v>-134949</v>
          </cell>
          <cell r="BM261">
            <v>-21689</v>
          </cell>
          <cell r="BN261">
            <v>-1168</v>
          </cell>
          <cell r="BO261">
            <v>0</v>
          </cell>
          <cell r="BP261">
            <v>0</v>
          </cell>
          <cell r="BQ261">
            <v>0</v>
          </cell>
          <cell r="BR261">
            <v>0</v>
          </cell>
          <cell r="BS261">
            <v>0</v>
          </cell>
          <cell r="BT261">
            <v>61928154</v>
          </cell>
          <cell r="BU261">
            <v>0</v>
          </cell>
          <cell r="BV261">
            <v>2468367</v>
          </cell>
          <cell r="BW261">
            <v>-1282005</v>
          </cell>
          <cell r="BX261">
            <v>-6242755</v>
          </cell>
          <cell r="BY261">
            <v>-288652</v>
          </cell>
          <cell r="BZ261">
            <v>57967698</v>
          </cell>
          <cell r="CA261">
            <v>-3121377</v>
          </cell>
          <cell r="CB261">
            <v>-2497102</v>
          </cell>
          <cell r="CC261">
            <v>-624276</v>
          </cell>
          <cell r="CD261">
            <v>0</v>
          </cell>
          <cell r="CE261">
            <v>-144326</v>
          </cell>
          <cell r="CF261">
            <v>-115461</v>
          </cell>
          <cell r="CG261">
            <v>-28865</v>
          </cell>
          <cell r="CH261">
            <v>0</v>
          </cell>
        </row>
        <row r="262">
          <cell r="A262">
            <v>255</v>
          </cell>
          <cell r="B262" t="str">
            <v>St Edmundsbury</v>
          </cell>
          <cell r="C262" t="str">
            <v>E3535</v>
          </cell>
          <cell r="D262">
            <v>158330</v>
          </cell>
          <cell r="H262">
            <v>-1283993</v>
          </cell>
          <cell r="I262">
            <v>0</v>
          </cell>
          <cell r="J262">
            <v>158330</v>
          </cell>
          <cell r="K262">
            <v>0</v>
          </cell>
          <cell r="L262">
            <v>238498</v>
          </cell>
          <cell r="M262">
            <v>0</v>
          </cell>
          <cell r="N262">
            <v>0</v>
          </cell>
          <cell r="O262">
            <v>0</v>
          </cell>
          <cell r="P262">
            <v>0</v>
          </cell>
          <cell r="Q262">
            <v>0</v>
          </cell>
          <cell r="R262">
            <v>632278</v>
          </cell>
          <cell r="S262">
            <v>158070</v>
          </cell>
          <cell r="T262">
            <v>0</v>
          </cell>
          <cell r="U262">
            <v>0</v>
          </cell>
          <cell r="V262">
            <v>0</v>
          </cell>
          <cell r="W262">
            <v>0</v>
          </cell>
          <cell r="X262">
            <v>65668</v>
          </cell>
          <cell r="Y262">
            <v>16417</v>
          </cell>
          <cell r="Z262">
            <v>0</v>
          </cell>
          <cell r="AA262">
            <v>0</v>
          </cell>
          <cell r="AB262">
            <v>0</v>
          </cell>
          <cell r="AC262">
            <v>0</v>
          </cell>
          <cell r="AD262">
            <v>0</v>
          </cell>
          <cell r="AE262">
            <v>0</v>
          </cell>
          <cell r="AF262">
            <v>0</v>
          </cell>
          <cell r="AG262">
            <v>0</v>
          </cell>
          <cell r="AH262">
            <v>0</v>
          </cell>
          <cell r="AI262">
            <v>0</v>
          </cell>
          <cell r="AM262">
            <v>0</v>
          </cell>
          <cell r="AN262">
            <v>0</v>
          </cell>
          <cell r="AO262">
            <v>0</v>
          </cell>
          <cell r="AP262">
            <v>270355</v>
          </cell>
          <cell r="AQ262">
            <v>66693</v>
          </cell>
          <cell r="AR262">
            <v>0</v>
          </cell>
          <cell r="AS262">
            <v>-301002.17000000004</v>
          </cell>
          <cell r="AT262">
            <v>-240803</v>
          </cell>
          <cell r="AU262">
            <v>-60200</v>
          </cell>
          <cell r="AV262">
            <v>0</v>
          </cell>
          <cell r="AW262">
            <v>-602005.17000000004</v>
          </cell>
          <cell r="AX262">
            <v>-1386771</v>
          </cell>
          <cell r="AY262">
            <v>-1109420</v>
          </cell>
          <cell r="AZ262">
            <v>-277354</v>
          </cell>
          <cell r="BA262">
            <v>0</v>
          </cell>
          <cell r="BB262">
            <v>-2773545</v>
          </cell>
          <cell r="BC262">
            <v>48520654</v>
          </cell>
          <cell r="BD262">
            <v>-2052366</v>
          </cell>
          <cell r="BE262">
            <v>1270727</v>
          </cell>
          <cell r="BF262">
            <v>0</v>
          </cell>
          <cell r="BG262">
            <v>-2739711</v>
          </cell>
          <cell r="BH262">
            <v>-21441</v>
          </cell>
          <cell r="BI262">
            <v>-52682</v>
          </cell>
          <cell r="BJ262">
            <v>0</v>
          </cell>
          <cell r="BK262">
            <v>-1126130</v>
          </cell>
          <cell r="BL262">
            <v>-38418</v>
          </cell>
          <cell r="BM262">
            <v>-108263</v>
          </cell>
          <cell r="BN262">
            <v>-4315</v>
          </cell>
          <cell r="BO262">
            <v>-17604</v>
          </cell>
          <cell r="BP262">
            <v>-3642</v>
          </cell>
          <cell r="BQ262">
            <v>0</v>
          </cell>
          <cell r="BR262">
            <v>0</v>
          </cell>
          <cell r="BS262">
            <v>0</v>
          </cell>
          <cell r="BT262">
            <v>48546992</v>
          </cell>
          <cell r="BU262">
            <v>-85993</v>
          </cell>
          <cell r="BV262">
            <v>1944356</v>
          </cell>
          <cell r="BW262">
            <v>-593777</v>
          </cell>
          <cell r="BX262">
            <v>1570316.2800000012</v>
          </cell>
          <cell r="BY262">
            <v>1888342</v>
          </cell>
          <cell r="BZ262">
            <v>44398571</v>
          </cell>
          <cell r="CA262">
            <v>785158.28000000119</v>
          </cell>
          <cell r="CB262">
            <v>628127</v>
          </cell>
          <cell r="CC262">
            <v>157031</v>
          </cell>
          <cell r="CD262">
            <v>0</v>
          </cell>
          <cell r="CE262">
            <v>944171</v>
          </cell>
          <cell r="CF262">
            <v>755337</v>
          </cell>
          <cell r="CG262">
            <v>188834</v>
          </cell>
          <cell r="CH262">
            <v>0</v>
          </cell>
        </row>
        <row r="263">
          <cell r="A263">
            <v>256</v>
          </cell>
          <cell r="B263" t="str">
            <v>St Helens</v>
          </cell>
          <cell r="C263" t="str">
            <v>E4303</v>
          </cell>
          <cell r="D263">
            <v>190546</v>
          </cell>
          <cell r="H263">
            <v>-2372989</v>
          </cell>
          <cell r="I263">
            <v>0</v>
          </cell>
          <cell r="J263">
            <v>190546</v>
          </cell>
          <cell r="K263">
            <v>0</v>
          </cell>
          <cell r="L263">
            <v>0</v>
          </cell>
          <cell r="M263">
            <v>0</v>
          </cell>
          <cell r="N263">
            <v>0</v>
          </cell>
          <cell r="O263">
            <v>0</v>
          </cell>
          <cell r="P263">
            <v>0</v>
          </cell>
          <cell r="Q263">
            <v>0</v>
          </cell>
          <cell r="R263">
            <v>2436605</v>
          </cell>
          <cell r="S263">
            <v>0</v>
          </cell>
          <cell r="T263">
            <v>24612</v>
          </cell>
          <cell r="U263">
            <v>11069</v>
          </cell>
          <cell r="V263">
            <v>0</v>
          </cell>
          <cell r="W263">
            <v>112</v>
          </cell>
          <cell r="X263">
            <v>0</v>
          </cell>
          <cell r="Y263">
            <v>0</v>
          </cell>
          <cell r="Z263">
            <v>0</v>
          </cell>
          <cell r="AA263">
            <v>719</v>
          </cell>
          <cell r="AB263">
            <v>0</v>
          </cell>
          <cell r="AC263">
            <v>7</v>
          </cell>
          <cell r="AD263">
            <v>0</v>
          </cell>
          <cell r="AE263">
            <v>0</v>
          </cell>
          <cell r="AF263">
            <v>0</v>
          </cell>
          <cell r="AG263">
            <v>0</v>
          </cell>
          <cell r="AH263">
            <v>0</v>
          </cell>
          <cell r="AI263">
            <v>0</v>
          </cell>
          <cell r="AM263">
            <v>0</v>
          </cell>
          <cell r="AN263">
            <v>0</v>
          </cell>
          <cell r="AO263">
            <v>0</v>
          </cell>
          <cell r="AP263">
            <v>669689</v>
          </cell>
          <cell r="AQ263">
            <v>0</v>
          </cell>
          <cell r="AR263">
            <v>6765</v>
          </cell>
          <cell r="AS263">
            <v>-2025245</v>
          </cell>
          <cell r="AT263">
            <v>-1984739</v>
          </cell>
          <cell r="AU263">
            <v>0</v>
          </cell>
          <cell r="AV263">
            <v>-40504</v>
          </cell>
          <cell r="AW263">
            <v>-4050488</v>
          </cell>
          <cell r="AX263">
            <v>-4683143</v>
          </cell>
          <cell r="AY263">
            <v>-4589482</v>
          </cell>
          <cell r="AZ263">
            <v>0</v>
          </cell>
          <cell r="BA263">
            <v>-93664</v>
          </cell>
          <cell r="BB263">
            <v>-9366289</v>
          </cell>
          <cell r="BC263">
            <v>50343905</v>
          </cell>
          <cell r="BD263">
            <v>-3430430</v>
          </cell>
          <cell r="BE263">
            <v>1475917</v>
          </cell>
          <cell r="BF263">
            <v>0</v>
          </cell>
          <cell r="BG263">
            <v>-3342445</v>
          </cell>
          <cell r="BH263">
            <v>-81551</v>
          </cell>
          <cell r="BI263">
            <v>0</v>
          </cell>
          <cell r="BJ263">
            <v>-2091</v>
          </cell>
          <cell r="BK263">
            <v>-2101090</v>
          </cell>
          <cell r="BL263">
            <v>-247960</v>
          </cell>
          <cell r="BM263">
            <v>-42091</v>
          </cell>
          <cell r="BN263">
            <v>-14095</v>
          </cell>
          <cell r="BO263">
            <v>0</v>
          </cell>
          <cell r="BP263">
            <v>0</v>
          </cell>
          <cell r="BQ263">
            <v>0</v>
          </cell>
          <cell r="BR263">
            <v>0</v>
          </cell>
          <cell r="BS263">
            <v>0</v>
          </cell>
          <cell r="BT263">
            <v>54042069</v>
          </cell>
          <cell r="BU263">
            <v>-655401</v>
          </cell>
          <cell r="BV263">
            <v>5004815</v>
          </cell>
          <cell r="BW263">
            <v>-1577967</v>
          </cell>
          <cell r="BX263">
            <v>960905</v>
          </cell>
          <cell r="BY263">
            <v>285982</v>
          </cell>
          <cell r="BZ263">
            <v>45032501</v>
          </cell>
          <cell r="CA263">
            <v>480453</v>
          </cell>
          <cell r="CB263">
            <v>470843</v>
          </cell>
          <cell r="CC263">
            <v>0</v>
          </cell>
          <cell r="CD263">
            <v>9609</v>
          </cell>
          <cell r="CE263">
            <v>142991</v>
          </cell>
          <cell r="CF263">
            <v>140131</v>
          </cell>
          <cell r="CG263">
            <v>0</v>
          </cell>
          <cell r="CH263">
            <v>2860</v>
          </cell>
        </row>
        <row r="264">
          <cell r="A264">
            <v>257</v>
          </cell>
          <cell r="B264" t="str">
            <v>Stafford</v>
          </cell>
          <cell r="C264" t="str">
            <v>E3436</v>
          </cell>
          <cell r="D264">
            <v>167690</v>
          </cell>
          <cell r="H264">
            <v>-1153518</v>
          </cell>
          <cell r="I264">
            <v>0</v>
          </cell>
          <cell r="J264">
            <v>167690</v>
          </cell>
          <cell r="K264">
            <v>0</v>
          </cell>
          <cell r="L264">
            <v>0</v>
          </cell>
          <cell r="M264">
            <v>0</v>
          </cell>
          <cell r="N264">
            <v>0</v>
          </cell>
          <cell r="O264">
            <v>0</v>
          </cell>
          <cell r="P264">
            <v>0</v>
          </cell>
          <cell r="Q264">
            <v>0</v>
          </cell>
          <cell r="R264">
            <v>659124</v>
          </cell>
          <cell r="S264">
            <v>148303</v>
          </cell>
          <cell r="T264">
            <v>16478</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M264">
            <v>0</v>
          </cell>
          <cell r="AN264">
            <v>0</v>
          </cell>
          <cell r="AO264">
            <v>0</v>
          </cell>
          <cell r="AP264">
            <v>276498</v>
          </cell>
          <cell r="AQ264">
            <v>62212</v>
          </cell>
          <cell r="AR264">
            <v>6912</v>
          </cell>
          <cell r="AS264">
            <v>-499242</v>
          </cell>
          <cell r="AT264">
            <v>-399391</v>
          </cell>
          <cell r="AU264">
            <v>-89863</v>
          </cell>
          <cell r="AV264">
            <v>-9985</v>
          </cell>
          <cell r="AW264">
            <v>-998481</v>
          </cell>
          <cell r="AX264">
            <v>-2458338</v>
          </cell>
          <cell r="AY264">
            <v>-1966670</v>
          </cell>
          <cell r="AZ264">
            <v>-442501</v>
          </cell>
          <cell r="BA264">
            <v>-49168</v>
          </cell>
          <cell r="BB264">
            <v>-4916677</v>
          </cell>
          <cell r="BC264">
            <v>46738723</v>
          </cell>
          <cell r="BD264">
            <v>-2577801</v>
          </cell>
          <cell r="BE264">
            <v>1257061</v>
          </cell>
          <cell r="BF264">
            <v>0</v>
          </cell>
          <cell r="BG264">
            <v>-2793000</v>
          </cell>
          <cell r="BH264">
            <v>-76200</v>
          </cell>
          <cell r="BI264">
            <v>-20329</v>
          </cell>
          <cell r="BJ264">
            <v>0</v>
          </cell>
          <cell r="BK264">
            <v>-1708412</v>
          </cell>
          <cell r="BL264">
            <v>-195571</v>
          </cell>
          <cell r="BM264">
            <v>-76279</v>
          </cell>
          <cell r="BN264">
            <v>-2892</v>
          </cell>
          <cell r="BO264">
            <v>-17954</v>
          </cell>
          <cell r="BP264">
            <v>-4066</v>
          </cell>
          <cell r="BQ264">
            <v>0</v>
          </cell>
          <cell r="BR264">
            <v>0</v>
          </cell>
          <cell r="BS264">
            <v>0</v>
          </cell>
          <cell r="BT264">
            <v>47259845</v>
          </cell>
          <cell r="BU264">
            <v>-308354</v>
          </cell>
          <cell r="BV264">
            <v>1786925</v>
          </cell>
          <cell r="BW264">
            <v>-545117</v>
          </cell>
          <cell r="BX264">
            <v>610410.53000000026</v>
          </cell>
          <cell r="BY264">
            <v>5008214</v>
          </cell>
          <cell r="BZ264">
            <v>46017127</v>
          </cell>
          <cell r="CA264">
            <v>305206.53000000026</v>
          </cell>
          <cell r="CB264">
            <v>244164</v>
          </cell>
          <cell r="CC264">
            <v>54936</v>
          </cell>
          <cell r="CD264">
            <v>6104</v>
          </cell>
          <cell r="CE264">
            <v>2504107</v>
          </cell>
          <cell r="CF264">
            <v>2003286</v>
          </cell>
          <cell r="CG264">
            <v>450739</v>
          </cell>
          <cell r="CH264">
            <v>50082</v>
          </cell>
        </row>
        <row r="265">
          <cell r="A265">
            <v>258</v>
          </cell>
          <cell r="B265" t="str">
            <v>Staffordshire Moorlands</v>
          </cell>
          <cell r="C265" t="str">
            <v>E3437</v>
          </cell>
          <cell r="D265">
            <v>115457</v>
          </cell>
          <cell r="H265">
            <v>1308049</v>
          </cell>
          <cell r="I265">
            <v>0</v>
          </cell>
          <cell r="J265">
            <v>115457</v>
          </cell>
          <cell r="K265">
            <v>0</v>
          </cell>
          <cell r="L265">
            <v>0</v>
          </cell>
          <cell r="M265">
            <v>0</v>
          </cell>
          <cell r="N265">
            <v>0</v>
          </cell>
          <cell r="O265">
            <v>0</v>
          </cell>
          <cell r="P265">
            <v>0</v>
          </cell>
          <cell r="Q265">
            <v>0</v>
          </cell>
          <cell r="R265">
            <v>597199</v>
          </cell>
          <cell r="S265">
            <v>134370</v>
          </cell>
          <cell r="T265">
            <v>14930</v>
          </cell>
          <cell r="U265">
            <v>0</v>
          </cell>
          <cell r="V265">
            <v>0</v>
          </cell>
          <cell r="W265">
            <v>0</v>
          </cell>
          <cell r="X265">
            <v>3087</v>
          </cell>
          <cell r="Y265">
            <v>695</v>
          </cell>
          <cell r="Z265">
            <v>77</v>
          </cell>
          <cell r="AA265">
            <v>1724</v>
          </cell>
          <cell r="AB265">
            <v>388</v>
          </cell>
          <cell r="AC265">
            <v>43</v>
          </cell>
          <cell r="AD265">
            <v>0</v>
          </cell>
          <cell r="AE265">
            <v>0</v>
          </cell>
          <cell r="AF265">
            <v>0</v>
          </cell>
          <cell r="AG265">
            <v>0</v>
          </cell>
          <cell r="AH265">
            <v>0</v>
          </cell>
          <cell r="AI265">
            <v>0</v>
          </cell>
          <cell r="AM265">
            <v>0</v>
          </cell>
          <cell r="AN265">
            <v>0</v>
          </cell>
          <cell r="AO265">
            <v>0</v>
          </cell>
          <cell r="AP265">
            <v>122204</v>
          </cell>
          <cell r="AQ265">
            <v>27496</v>
          </cell>
          <cell r="AR265">
            <v>3055</v>
          </cell>
          <cell r="AS265">
            <v>-218655</v>
          </cell>
          <cell r="AT265">
            <v>-174924</v>
          </cell>
          <cell r="AU265">
            <v>-39359</v>
          </cell>
          <cell r="AV265">
            <v>-4374</v>
          </cell>
          <cell r="AW265">
            <v>-437312</v>
          </cell>
          <cell r="AX265">
            <v>-1001284.5800000001</v>
          </cell>
          <cell r="AY265">
            <v>-801026</v>
          </cell>
          <cell r="AZ265">
            <v>-180230</v>
          </cell>
          <cell r="BA265">
            <v>-20026</v>
          </cell>
          <cell r="BB265">
            <v>-2002566.5</v>
          </cell>
          <cell r="BC265">
            <v>18540216</v>
          </cell>
          <cell r="BD265">
            <v>-2461251</v>
          </cell>
          <cell r="BE265">
            <v>482802</v>
          </cell>
          <cell r="BF265">
            <v>0</v>
          </cell>
          <cell r="BG265">
            <v>-1331518</v>
          </cell>
          <cell r="BH265">
            <v>-47593</v>
          </cell>
          <cell r="BI265">
            <v>-19175</v>
          </cell>
          <cell r="BJ265">
            <v>-28084</v>
          </cell>
          <cell r="BK265">
            <v>-551014</v>
          </cell>
          <cell r="BL265">
            <v>-97250</v>
          </cell>
          <cell r="BM265">
            <v>-124127</v>
          </cell>
          <cell r="BN265">
            <v>-2704</v>
          </cell>
          <cell r="BO265">
            <v>-13429</v>
          </cell>
          <cell r="BP265">
            <v>0</v>
          </cell>
          <cell r="BQ265">
            <v>0</v>
          </cell>
          <cell r="BR265">
            <v>0</v>
          </cell>
          <cell r="BS265">
            <v>0</v>
          </cell>
          <cell r="BT265">
            <v>18781030</v>
          </cell>
          <cell r="BU265">
            <v>-7624</v>
          </cell>
          <cell r="BV265">
            <v>702996</v>
          </cell>
          <cell r="BW265">
            <v>-399176</v>
          </cell>
          <cell r="BX265">
            <v>-678782</v>
          </cell>
          <cell r="BY265">
            <v>-361317</v>
          </cell>
          <cell r="BZ265">
            <v>20338236</v>
          </cell>
          <cell r="CA265">
            <v>-339390</v>
          </cell>
          <cell r="CB265">
            <v>-271513</v>
          </cell>
          <cell r="CC265">
            <v>-61091</v>
          </cell>
          <cell r="CD265">
            <v>-6788</v>
          </cell>
          <cell r="CE265">
            <v>-180658</v>
          </cell>
          <cell r="CF265">
            <v>-144527</v>
          </cell>
          <cell r="CG265">
            <v>-32519</v>
          </cell>
          <cell r="CH265">
            <v>-3613</v>
          </cell>
        </row>
        <row r="266">
          <cell r="A266">
            <v>259</v>
          </cell>
          <cell r="B266" t="str">
            <v>Stevenage</v>
          </cell>
          <cell r="C266" t="str">
            <v>E1937</v>
          </cell>
          <cell r="D266">
            <v>109538</v>
          </cell>
          <cell r="H266">
            <v>-2867754</v>
          </cell>
          <cell r="I266">
            <v>0</v>
          </cell>
          <cell r="J266">
            <v>109538</v>
          </cell>
          <cell r="K266">
            <v>0</v>
          </cell>
          <cell r="L266">
            <v>0</v>
          </cell>
          <cell r="M266">
            <v>0</v>
          </cell>
          <cell r="N266">
            <v>0</v>
          </cell>
          <cell r="O266">
            <v>0</v>
          </cell>
          <cell r="P266">
            <v>0</v>
          </cell>
          <cell r="Q266">
            <v>0</v>
          </cell>
          <cell r="R266">
            <v>334926</v>
          </cell>
          <cell r="S266">
            <v>83731</v>
          </cell>
          <cell r="T266">
            <v>0</v>
          </cell>
          <cell r="U266">
            <v>0</v>
          </cell>
          <cell r="V266">
            <v>0</v>
          </cell>
          <cell r="W266">
            <v>0</v>
          </cell>
          <cell r="X266">
            <v>19298</v>
          </cell>
          <cell r="Y266">
            <v>4825</v>
          </cell>
          <cell r="Z266">
            <v>0</v>
          </cell>
          <cell r="AA266">
            <v>7518</v>
          </cell>
          <cell r="AB266">
            <v>1880</v>
          </cell>
          <cell r="AC266">
            <v>0</v>
          </cell>
          <cell r="AD266">
            <v>0</v>
          </cell>
          <cell r="AE266">
            <v>0</v>
          </cell>
          <cell r="AF266">
            <v>0</v>
          </cell>
          <cell r="AG266">
            <v>0</v>
          </cell>
          <cell r="AH266">
            <v>0</v>
          </cell>
          <cell r="AI266">
            <v>0</v>
          </cell>
          <cell r="AM266">
            <v>0</v>
          </cell>
          <cell r="AN266">
            <v>0</v>
          </cell>
          <cell r="AO266">
            <v>0</v>
          </cell>
          <cell r="AP266">
            <v>253508</v>
          </cell>
          <cell r="AQ266">
            <v>63377</v>
          </cell>
          <cell r="AR266">
            <v>0</v>
          </cell>
          <cell r="AS266">
            <v>-695147</v>
          </cell>
          <cell r="AT266">
            <v>-556118</v>
          </cell>
          <cell r="AU266">
            <v>-139029</v>
          </cell>
          <cell r="AV266">
            <v>0</v>
          </cell>
          <cell r="AW266">
            <v>-1390294</v>
          </cell>
          <cell r="AX266">
            <v>-3617381</v>
          </cell>
          <cell r="AY266">
            <v>-2893903</v>
          </cell>
          <cell r="AZ266">
            <v>-723475</v>
          </cell>
          <cell r="BA266">
            <v>0</v>
          </cell>
          <cell r="BB266">
            <v>-7234759</v>
          </cell>
          <cell r="BC266">
            <v>47181683</v>
          </cell>
          <cell r="BD266">
            <v>-982737</v>
          </cell>
          <cell r="BE266">
            <v>1339685</v>
          </cell>
          <cell r="BF266">
            <v>0</v>
          </cell>
          <cell r="BG266">
            <v>-1962939</v>
          </cell>
          <cell r="BH266">
            <v>-4075</v>
          </cell>
          <cell r="BI266">
            <v>0</v>
          </cell>
          <cell r="BJ266">
            <v>-18075</v>
          </cell>
          <cell r="BK266">
            <v>-1793997</v>
          </cell>
          <cell r="BL266">
            <v>-128908</v>
          </cell>
          <cell r="BM266">
            <v>-16674</v>
          </cell>
          <cell r="BN266">
            <v>-1019</v>
          </cell>
          <cell r="BO266">
            <v>0</v>
          </cell>
          <cell r="BP266">
            <v>0</v>
          </cell>
          <cell r="BQ266">
            <v>0</v>
          </cell>
          <cell r="BR266">
            <v>0</v>
          </cell>
          <cell r="BS266">
            <v>0</v>
          </cell>
          <cell r="BT266">
            <v>48544409</v>
          </cell>
          <cell r="BU266">
            <v>-623940</v>
          </cell>
          <cell r="BV266">
            <v>1115429</v>
          </cell>
          <cell r="BW266">
            <v>-831365</v>
          </cell>
          <cell r="BX266">
            <v>1328570</v>
          </cell>
          <cell r="BY266">
            <v>1195144</v>
          </cell>
          <cell r="BZ266">
            <v>42190983</v>
          </cell>
          <cell r="CA266">
            <v>664285</v>
          </cell>
          <cell r="CB266">
            <v>531428</v>
          </cell>
          <cell r="CC266">
            <v>132857</v>
          </cell>
          <cell r="CD266">
            <v>0</v>
          </cell>
          <cell r="CE266">
            <v>597572</v>
          </cell>
          <cell r="CF266">
            <v>478058</v>
          </cell>
          <cell r="CG266">
            <v>119514</v>
          </cell>
          <cell r="CH266">
            <v>0</v>
          </cell>
        </row>
        <row r="267">
          <cell r="A267">
            <v>260</v>
          </cell>
          <cell r="B267" t="str">
            <v>Stockport</v>
          </cell>
          <cell r="C267" t="str">
            <v>E4207</v>
          </cell>
          <cell r="D267">
            <v>428357</v>
          </cell>
          <cell r="H267">
            <v>-8217938</v>
          </cell>
          <cell r="I267">
            <v>0</v>
          </cell>
          <cell r="J267">
            <v>428357</v>
          </cell>
          <cell r="K267">
            <v>0</v>
          </cell>
          <cell r="L267">
            <v>0</v>
          </cell>
          <cell r="M267">
            <v>0</v>
          </cell>
          <cell r="N267">
            <v>0</v>
          </cell>
          <cell r="O267">
            <v>0</v>
          </cell>
          <cell r="P267">
            <v>0</v>
          </cell>
          <cell r="Q267">
            <v>0</v>
          </cell>
          <cell r="R267">
            <v>5570658</v>
          </cell>
          <cell r="S267">
            <v>0</v>
          </cell>
          <cell r="T267">
            <v>56269</v>
          </cell>
          <cell r="U267">
            <v>0</v>
          </cell>
          <cell r="V267">
            <v>0</v>
          </cell>
          <cell r="W267">
            <v>0</v>
          </cell>
          <cell r="X267">
            <v>0</v>
          </cell>
          <cell r="Y267">
            <v>0</v>
          </cell>
          <cell r="Z267">
            <v>0</v>
          </cell>
          <cell r="AA267">
            <v>7871</v>
          </cell>
          <cell r="AB267">
            <v>0</v>
          </cell>
          <cell r="AC267">
            <v>79</v>
          </cell>
          <cell r="AD267">
            <v>0</v>
          </cell>
          <cell r="AE267">
            <v>0</v>
          </cell>
          <cell r="AF267">
            <v>0</v>
          </cell>
          <cell r="AG267">
            <v>0</v>
          </cell>
          <cell r="AH267">
            <v>0</v>
          </cell>
          <cell r="AI267">
            <v>0</v>
          </cell>
          <cell r="AM267">
            <v>0</v>
          </cell>
          <cell r="AN267">
            <v>0</v>
          </cell>
          <cell r="AO267">
            <v>0</v>
          </cell>
          <cell r="AP267">
            <v>1218129</v>
          </cell>
          <cell r="AQ267">
            <v>0</v>
          </cell>
          <cell r="AR267">
            <v>12304</v>
          </cell>
          <cell r="AS267">
            <v>-2527227</v>
          </cell>
          <cell r="AT267">
            <v>-2476684</v>
          </cell>
          <cell r="AU267">
            <v>0</v>
          </cell>
          <cell r="AV267">
            <v>-50544</v>
          </cell>
          <cell r="AW267">
            <v>-5054455</v>
          </cell>
          <cell r="AX267">
            <v>-3522100</v>
          </cell>
          <cell r="AY267">
            <v>-3451657</v>
          </cell>
          <cell r="AZ267">
            <v>0</v>
          </cell>
          <cell r="BA267">
            <v>-70442</v>
          </cell>
          <cell r="BB267">
            <v>-7044199</v>
          </cell>
          <cell r="BC267">
            <v>95402900</v>
          </cell>
          <cell r="BD267">
            <v>-7573946</v>
          </cell>
          <cell r="BE267">
            <v>2568025</v>
          </cell>
          <cell r="BF267">
            <v>0</v>
          </cell>
          <cell r="BG267">
            <v>-4583081</v>
          </cell>
          <cell r="BH267">
            <v>-252804</v>
          </cell>
          <cell r="BI267">
            <v>0</v>
          </cell>
          <cell r="BJ267">
            <v>-6191</v>
          </cell>
          <cell r="BK267">
            <v>-4432795</v>
          </cell>
          <cell r="BL267">
            <v>0</v>
          </cell>
          <cell r="BM267">
            <v>-81022</v>
          </cell>
          <cell r="BN267">
            <v>-22251</v>
          </cell>
          <cell r="BO267">
            <v>0</v>
          </cell>
          <cell r="BP267">
            <v>0</v>
          </cell>
          <cell r="BQ267">
            <v>-10493</v>
          </cell>
          <cell r="BR267">
            <v>0</v>
          </cell>
          <cell r="BS267">
            <v>0</v>
          </cell>
          <cell r="BT267">
            <v>98782509</v>
          </cell>
          <cell r="BU267">
            <v>-2941760</v>
          </cell>
          <cell r="BV267">
            <v>8777190</v>
          </cell>
          <cell r="BW267">
            <v>-1842748</v>
          </cell>
          <cell r="BX267">
            <v>-160894</v>
          </cell>
          <cell r="BY267">
            <v>-725000</v>
          </cell>
          <cell r="BZ267">
            <v>81911723</v>
          </cell>
          <cell r="CA267">
            <v>-80447</v>
          </cell>
          <cell r="CB267">
            <v>-78838</v>
          </cell>
          <cell r="CC267">
            <v>0</v>
          </cell>
          <cell r="CD267">
            <v>-1609</v>
          </cell>
          <cell r="CE267">
            <v>-362500</v>
          </cell>
          <cell r="CF267">
            <v>-355250</v>
          </cell>
          <cell r="CG267">
            <v>0</v>
          </cell>
          <cell r="CH267">
            <v>-7250</v>
          </cell>
        </row>
        <row r="268">
          <cell r="A268">
            <v>261</v>
          </cell>
          <cell r="B268" t="str">
            <v>Stockton-on-Tees</v>
          </cell>
          <cell r="C268" t="str">
            <v>E0704</v>
          </cell>
          <cell r="D268">
            <v>241804</v>
          </cell>
          <cell r="H268">
            <v>-4816169</v>
          </cell>
          <cell r="I268">
            <v>-95172</v>
          </cell>
          <cell r="J268">
            <v>241804</v>
          </cell>
          <cell r="K268">
            <v>124558</v>
          </cell>
          <cell r="L268">
            <v>0</v>
          </cell>
          <cell r="M268">
            <v>0</v>
          </cell>
          <cell r="N268">
            <v>90444.5</v>
          </cell>
          <cell r="O268">
            <v>89770.5</v>
          </cell>
          <cell r="P268">
            <v>0</v>
          </cell>
          <cell r="Q268">
            <v>674</v>
          </cell>
          <cell r="R268">
            <v>961327</v>
          </cell>
          <cell r="S268">
            <v>0</v>
          </cell>
          <cell r="T268">
            <v>19259</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M268">
            <v>0</v>
          </cell>
          <cell r="AN268">
            <v>0</v>
          </cell>
          <cell r="AO268">
            <v>0</v>
          </cell>
          <cell r="AP268">
            <v>548925</v>
          </cell>
          <cell r="AQ268">
            <v>0</v>
          </cell>
          <cell r="AR268">
            <v>11147</v>
          </cell>
          <cell r="AS268">
            <v>-449999.5</v>
          </cell>
          <cell r="AT268">
            <v>-441000</v>
          </cell>
          <cell r="AU268">
            <v>0</v>
          </cell>
          <cell r="AV268">
            <v>-9000</v>
          </cell>
          <cell r="AW268">
            <v>-899999.5</v>
          </cell>
          <cell r="AX268">
            <v>-3304095</v>
          </cell>
          <cell r="AY268">
            <v>-3238011</v>
          </cell>
          <cell r="AZ268">
            <v>0</v>
          </cell>
          <cell r="BA268">
            <v>-66081</v>
          </cell>
          <cell r="BB268">
            <v>-6608187</v>
          </cell>
          <cell r="BC268">
            <v>87822392</v>
          </cell>
          <cell r="BD268">
            <v>-3193037</v>
          </cell>
          <cell r="BE268">
            <v>2341609</v>
          </cell>
          <cell r="BF268">
            <v>0</v>
          </cell>
          <cell r="BG268">
            <v>-4531257</v>
          </cell>
          <cell r="BH268">
            <v>-36666</v>
          </cell>
          <cell r="BI268">
            <v>-11431</v>
          </cell>
          <cell r="BJ268">
            <v>-8709</v>
          </cell>
          <cell r="BK268">
            <v>-2739571</v>
          </cell>
          <cell r="BL268">
            <v>-183888</v>
          </cell>
          <cell r="BM268">
            <v>-93267</v>
          </cell>
          <cell r="BN268">
            <v>-9151</v>
          </cell>
          <cell r="BO268">
            <v>-8449</v>
          </cell>
          <cell r="BP268">
            <v>0</v>
          </cell>
          <cell r="BQ268">
            <v>-255041</v>
          </cell>
          <cell r="BR268">
            <v>-37672</v>
          </cell>
          <cell r="BS268">
            <v>-97934</v>
          </cell>
          <cell r="BT268">
            <v>84870590</v>
          </cell>
          <cell r="BU268">
            <v>-1050485</v>
          </cell>
          <cell r="BV268">
            <v>1122482</v>
          </cell>
          <cell r="BW268">
            <v>-1375699</v>
          </cell>
          <cell r="BX268">
            <v>6181858.5</v>
          </cell>
          <cell r="BY268">
            <v>0</v>
          </cell>
          <cell r="BZ268">
            <v>74139511</v>
          </cell>
          <cell r="CA268">
            <v>3090929.5</v>
          </cell>
          <cell r="CB268">
            <v>3029110</v>
          </cell>
          <cell r="CC268">
            <v>0</v>
          </cell>
          <cell r="CD268">
            <v>61819</v>
          </cell>
          <cell r="CE268">
            <v>0</v>
          </cell>
          <cell r="CF268">
            <v>0</v>
          </cell>
          <cell r="CG268">
            <v>0</v>
          </cell>
          <cell r="CH268">
            <v>0</v>
          </cell>
        </row>
        <row r="269">
          <cell r="A269">
            <v>262</v>
          </cell>
          <cell r="B269" t="str">
            <v>Stoke-on-Trent</v>
          </cell>
          <cell r="C269" t="str">
            <v>E3401</v>
          </cell>
          <cell r="D269">
            <v>361940</v>
          </cell>
          <cell r="H269">
            <v>-560355</v>
          </cell>
          <cell r="I269">
            <v>0</v>
          </cell>
          <cell r="J269">
            <v>361940</v>
          </cell>
          <cell r="K269">
            <v>168226</v>
          </cell>
          <cell r="L269">
            <v>0</v>
          </cell>
          <cell r="M269">
            <v>0</v>
          </cell>
          <cell r="N269">
            <v>0</v>
          </cell>
          <cell r="O269">
            <v>0</v>
          </cell>
          <cell r="P269">
            <v>0</v>
          </cell>
          <cell r="Q269">
            <v>0</v>
          </cell>
          <cell r="R269">
            <v>2012712</v>
          </cell>
          <cell r="S269">
            <v>0</v>
          </cell>
          <cell r="T269">
            <v>41076</v>
          </cell>
          <cell r="U269">
            <v>7205</v>
          </cell>
          <cell r="V269">
            <v>0</v>
          </cell>
          <cell r="W269">
            <v>147</v>
          </cell>
          <cell r="X269">
            <v>0</v>
          </cell>
          <cell r="Y269">
            <v>0</v>
          </cell>
          <cell r="Z269">
            <v>0</v>
          </cell>
          <cell r="AA269">
            <v>0</v>
          </cell>
          <cell r="AB269">
            <v>0</v>
          </cell>
          <cell r="AC269">
            <v>0</v>
          </cell>
          <cell r="AD269">
            <v>0</v>
          </cell>
          <cell r="AE269">
            <v>0</v>
          </cell>
          <cell r="AF269">
            <v>0</v>
          </cell>
          <cell r="AG269">
            <v>0</v>
          </cell>
          <cell r="AH269">
            <v>0</v>
          </cell>
          <cell r="AI269">
            <v>0</v>
          </cell>
          <cell r="AM269">
            <v>0</v>
          </cell>
          <cell r="AN269">
            <v>0</v>
          </cell>
          <cell r="AO269">
            <v>0</v>
          </cell>
          <cell r="AP269">
            <v>659250</v>
          </cell>
          <cell r="AQ269">
            <v>0</v>
          </cell>
          <cell r="AR269">
            <v>13403</v>
          </cell>
          <cell r="AS269">
            <v>-1879716</v>
          </cell>
          <cell r="AT269">
            <v>-1842122</v>
          </cell>
          <cell r="AU269">
            <v>0</v>
          </cell>
          <cell r="AV269">
            <v>-37595</v>
          </cell>
          <cell r="AW269">
            <v>-3759433</v>
          </cell>
          <cell r="AX269">
            <v>-3748934</v>
          </cell>
          <cell r="AY269">
            <v>-3673957</v>
          </cell>
          <cell r="AZ269">
            <v>0</v>
          </cell>
          <cell r="BA269">
            <v>-74979</v>
          </cell>
          <cell r="BB269">
            <v>-7497870</v>
          </cell>
          <cell r="BC269">
            <v>92112330</v>
          </cell>
          <cell r="BD269">
            <v>-6477114</v>
          </cell>
          <cell r="BE269">
            <v>2453085</v>
          </cell>
          <cell r="BF269">
            <v>0</v>
          </cell>
          <cell r="BG269">
            <v>-6073981</v>
          </cell>
          <cell r="BH269">
            <v>-57831</v>
          </cell>
          <cell r="BI269">
            <v>0</v>
          </cell>
          <cell r="BJ269">
            <v>-449943</v>
          </cell>
          <cell r="BK269">
            <v>-2265137</v>
          </cell>
          <cell r="BL269">
            <v>-151255</v>
          </cell>
          <cell r="BM269">
            <v>-153259</v>
          </cell>
          <cell r="BN269">
            <v>-9130</v>
          </cell>
          <cell r="BO269">
            <v>0</v>
          </cell>
          <cell r="BP269">
            <v>0</v>
          </cell>
          <cell r="BQ269">
            <v>0</v>
          </cell>
          <cell r="BR269">
            <v>0</v>
          </cell>
          <cell r="BS269">
            <v>0</v>
          </cell>
          <cell r="BT269">
            <v>91116008</v>
          </cell>
          <cell r="BU269">
            <v>-46233</v>
          </cell>
          <cell r="BV269">
            <v>5294517</v>
          </cell>
          <cell r="BW269">
            <v>-893897</v>
          </cell>
          <cell r="BX269">
            <v>7410794</v>
          </cell>
          <cell r="BY269">
            <v>6686676</v>
          </cell>
          <cell r="BZ269">
            <v>89222418</v>
          </cell>
          <cell r="CA269">
            <v>3705397</v>
          </cell>
          <cell r="CB269">
            <v>3631290</v>
          </cell>
          <cell r="CC269">
            <v>0</v>
          </cell>
          <cell r="CD269">
            <v>74107</v>
          </cell>
          <cell r="CE269">
            <v>3343338</v>
          </cell>
          <cell r="CF269">
            <v>3276471</v>
          </cell>
          <cell r="CG269">
            <v>0</v>
          </cell>
          <cell r="CH269">
            <v>66867</v>
          </cell>
        </row>
        <row r="270">
          <cell r="A270">
            <v>263</v>
          </cell>
          <cell r="B270" t="str">
            <v>Stratford-on-Avon</v>
          </cell>
          <cell r="C270" t="str">
            <v>E3734</v>
          </cell>
          <cell r="D270">
            <v>214845</v>
          </cell>
          <cell r="H270">
            <v>-760618.44</v>
          </cell>
          <cell r="I270">
            <v>0</v>
          </cell>
          <cell r="J270">
            <v>214845</v>
          </cell>
          <cell r="K270">
            <v>0</v>
          </cell>
          <cell r="L270">
            <v>36656</v>
          </cell>
          <cell r="M270">
            <v>0</v>
          </cell>
          <cell r="N270">
            <v>0</v>
          </cell>
          <cell r="O270">
            <v>0</v>
          </cell>
          <cell r="P270">
            <v>0</v>
          </cell>
          <cell r="Q270">
            <v>0</v>
          </cell>
          <cell r="R270">
            <v>907699</v>
          </cell>
          <cell r="S270">
            <v>226925</v>
          </cell>
          <cell r="T270">
            <v>0</v>
          </cell>
          <cell r="U270">
            <v>100658</v>
          </cell>
          <cell r="V270">
            <v>25164</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M270">
            <v>0</v>
          </cell>
          <cell r="AN270">
            <v>0</v>
          </cell>
          <cell r="AO270">
            <v>0</v>
          </cell>
          <cell r="AP270">
            <v>313100</v>
          </cell>
          <cell r="AQ270">
            <v>78137</v>
          </cell>
          <cell r="AR270">
            <v>0</v>
          </cell>
          <cell r="AS270">
            <v>-229755</v>
          </cell>
          <cell r="AT270">
            <v>-183805</v>
          </cell>
          <cell r="AU270">
            <v>-45952</v>
          </cell>
          <cell r="AV270">
            <v>0</v>
          </cell>
          <cell r="AW270">
            <v>-459512</v>
          </cell>
          <cell r="AX270">
            <v>-1162322</v>
          </cell>
          <cell r="AY270">
            <v>-929858</v>
          </cell>
          <cell r="AZ270">
            <v>-232465</v>
          </cell>
          <cell r="BA270">
            <v>0</v>
          </cell>
          <cell r="BB270">
            <v>-2324645</v>
          </cell>
          <cell r="BC270">
            <v>55169822</v>
          </cell>
          <cell r="BD270">
            <v>-3639737</v>
          </cell>
          <cell r="BE270">
            <v>1465887</v>
          </cell>
          <cell r="BF270">
            <v>0</v>
          </cell>
          <cell r="BG270">
            <v>-4173325</v>
          </cell>
          <cell r="BH270">
            <v>-100959</v>
          </cell>
          <cell r="BI270">
            <v>-32971</v>
          </cell>
          <cell r="BJ270">
            <v>-34725</v>
          </cell>
          <cell r="BK270">
            <v>-2298253</v>
          </cell>
          <cell r="BL270">
            <v>-12278</v>
          </cell>
          <cell r="BM270">
            <v>-42070</v>
          </cell>
          <cell r="BN270">
            <v>0</v>
          </cell>
          <cell r="BO270">
            <v>-2546</v>
          </cell>
          <cell r="BP270">
            <v>0</v>
          </cell>
          <cell r="BQ270">
            <v>0</v>
          </cell>
          <cell r="BR270">
            <v>0</v>
          </cell>
          <cell r="BS270">
            <v>0</v>
          </cell>
          <cell r="BT270">
            <v>54841846</v>
          </cell>
          <cell r="BU270">
            <v>-256684</v>
          </cell>
          <cell r="BV270">
            <v>1540300</v>
          </cell>
          <cell r="BW270">
            <v>-168829</v>
          </cell>
          <cell r="BX270">
            <v>-784701</v>
          </cell>
          <cell r="BY270">
            <v>-429197</v>
          </cell>
          <cell r="BZ270">
            <v>52017113</v>
          </cell>
          <cell r="CA270">
            <v>-392351</v>
          </cell>
          <cell r="CB270">
            <v>-313880</v>
          </cell>
          <cell r="CC270">
            <v>-78470</v>
          </cell>
          <cell r="CD270">
            <v>0</v>
          </cell>
          <cell r="CE270">
            <v>-214598</v>
          </cell>
          <cell r="CF270">
            <v>-171679</v>
          </cell>
          <cell r="CG270">
            <v>-42920</v>
          </cell>
          <cell r="CH270">
            <v>0</v>
          </cell>
        </row>
        <row r="271">
          <cell r="A271">
            <v>264</v>
          </cell>
          <cell r="B271" t="str">
            <v>Stroud</v>
          </cell>
          <cell r="C271" t="str">
            <v>E1635</v>
          </cell>
          <cell r="D271">
            <v>158662</v>
          </cell>
          <cell r="H271">
            <v>201724</v>
          </cell>
          <cell r="I271">
            <v>0</v>
          </cell>
          <cell r="J271">
            <v>158662</v>
          </cell>
          <cell r="K271">
            <v>0</v>
          </cell>
          <cell r="L271">
            <v>102338</v>
          </cell>
          <cell r="M271">
            <v>0</v>
          </cell>
          <cell r="N271">
            <v>0</v>
          </cell>
          <cell r="O271">
            <v>0</v>
          </cell>
          <cell r="P271">
            <v>0</v>
          </cell>
          <cell r="Q271">
            <v>0</v>
          </cell>
          <cell r="R271">
            <v>707332</v>
          </cell>
          <cell r="S271">
            <v>176833</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M271">
            <v>0</v>
          </cell>
          <cell r="AN271">
            <v>0</v>
          </cell>
          <cell r="AO271">
            <v>0</v>
          </cell>
          <cell r="AP271">
            <v>161979</v>
          </cell>
          <cell r="AQ271">
            <v>40110</v>
          </cell>
          <cell r="AR271">
            <v>0</v>
          </cell>
          <cell r="AS271">
            <v>-198096.25</v>
          </cell>
          <cell r="AT271">
            <v>-158479</v>
          </cell>
          <cell r="AU271">
            <v>-39621</v>
          </cell>
          <cell r="AV271">
            <v>0</v>
          </cell>
          <cell r="AW271">
            <v>-396196.25</v>
          </cell>
          <cell r="AX271">
            <v>-647803</v>
          </cell>
          <cell r="AY271">
            <v>-518241</v>
          </cell>
          <cell r="AZ271">
            <v>-129559</v>
          </cell>
          <cell r="BA271">
            <v>0</v>
          </cell>
          <cell r="BB271">
            <v>-1295603</v>
          </cell>
          <cell r="BC271">
            <v>27119015</v>
          </cell>
          <cell r="BD271">
            <v>-2809344</v>
          </cell>
          <cell r="BE271">
            <v>707193</v>
          </cell>
          <cell r="BF271">
            <v>0</v>
          </cell>
          <cell r="BG271">
            <v>-2079841</v>
          </cell>
          <cell r="BH271">
            <v>-34355</v>
          </cell>
          <cell r="BI271">
            <v>-41994</v>
          </cell>
          <cell r="BJ271">
            <v>-125000</v>
          </cell>
          <cell r="BK271">
            <v>-1057068</v>
          </cell>
          <cell r="BL271">
            <v>-82102</v>
          </cell>
          <cell r="BM271">
            <v>-104333</v>
          </cell>
          <cell r="BN271">
            <v>0</v>
          </cell>
          <cell r="BO271">
            <v>-5100</v>
          </cell>
          <cell r="BP271">
            <v>0</v>
          </cell>
          <cell r="BQ271">
            <v>0</v>
          </cell>
          <cell r="BR271">
            <v>0</v>
          </cell>
          <cell r="BS271">
            <v>0</v>
          </cell>
          <cell r="BT271">
            <v>27696683</v>
          </cell>
          <cell r="BU271">
            <v>42305</v>
          </cell>
          <cell r="BV271">
            <v>1008490</v>
          </cell>
          <cell r="BW271">
            <v>-301534</v>
          </cell>
          <cell r="BX271">
            <v>-54941</v>
          </cell>
          <cell r="BY271">
            <v>96987</v>
          </cell>
          <cell r="BZ271">
            <v>26702087</v>
          </cell>
          <cell r="CA271">
            <v>-27471</v>
          </cell>
          <cell r="CB271">
            <v>-21976</v>
          </cell>
          <cell r="CC271">
            <v>-5494</v>
          </cell>
          <cell r="CD271">
            <v>0</v>
          </cell>
          <cell r="CE271">
            <v>48493</v>
          </cell>
          <cell r="CF271">
            <v>38795</v>
          </cell>
          <cell r="CG271">
            <v>9699</v>
          </cell>
          <cell r="CH271">
            <v>0</v>
          </cell>
        </row>
        <row r="272">
          <cell r="A272">
            <v>265</v>
          </cell>
          <cell r="B272" t="str">
            <v>Suffolk Coastal</v>
          </cell>
          <cell r="C272" t="str">
            <v>E3536</v>
          </cell>
          <cell r="D272">
            <v>269565</v>
          </cell>
          <cell r="H272">
            <v>-6260970</v>
          </cell>
          <cell r="I272">
            <v>0</v>
          </cell>
          <cell r="J272">
            <v>269565</v>
          </cell>
          <cell r="K272">
            <v>0</v>
          </cell>
          <cell r="L272">
            <v>120062</v>
          </cell>
          <cell r="M272">
            <v>0</v>
          </cell>
          <cell r="N272">
            <v>0</v>
          </cell>
          <cell r="O272">
            <v>0</v>
          </cell>
          <cell r="P272">
            <v>0</v>
          </cell>
          <cell r="Q272">
            <v>0</v>
          </cell>
          <cell r="R272">
            <v>967618</v>
          </cell>
          <cell r="S272">
            <v>241905</v>
          </cell>
          <cell r="T272">
            <v>0</v>
          </cell>
          <cell r="U272">
            <v>2693</v>
          </cell>
          <cell r="V272">
            <v>673</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M272">
            <v>0</v>
          </cell>
          <cell r="AN272">
            <v>0</v>
          </cell>
          <cell r="AO272">
            <v>0</v>
          </cell>
          <cell r="AP272">
            <v>371196</v>
          </cell>
          <cell r="AQ272">
            <v>92348</v>
          </cell>
          <cell r="AR272">
            <v>0</v>
          </cell>
          <cell r="AS272">
            <v>-369082</v>
          </cell>
          <cell r="AT272">
            <v>-295269</v>
          </cell>
          <cell r="AU272">
            <v>-73818</v>
          </cell>
          <cell r="AV272">
            <v>0</v>
          </cell>
          <cell r="AW272">
            <v>-738169</v>
          </cell>
          <cell r="AX272">
            <v>-3081267</v>
          </cell>
          <cell r="AY272">
            <v>-2465012</v>
          </cell>
          <cell r="AZ272">
            <v>-616252</v>
          </cell>
          <cell r="BA272">
            <v>0</v>
          </cell>
          <cell r="BB272">
            <v>-6162531</v>
          </cell>
          <cell r="BC272">
            <v>68038728</v>
          </cell>
          <cell r="BD272">
            <v>-3907211</v>
          </cell>
          <cell r="BE272">
            <v>1793668</v>
          </cell>
          <cell r="BF272">
            <v>0</v>
          </cell>
          <cell r="BG272">
            <v>-2609010</v>
          </cell>
          <cell r="BH272">
            <v>-25546</v>
          </cell>
          <cell r="BI272">
            <v>-78102</v>
          </cell>
          <cell r="BJ272">
            <v>-96579</v>
          </cell>
          <cell r="BK272">
            <v>-774533</v>
          </cell>
          <cell r="BL272">
            <v>-56875</v>
          </cell>
          <cell r="BM272">
            <v>-313013</v>
          </cell>
          <cell r="BN272">
            <v>-219</v>
          </cell>
          <cell r="BO272">
            <v>-11681</v>
          </cell>
          <cell r="BP272">
            <v>-12996</v>
          </cell>
          <cell r="BQ272">
            <v>0</v>
          </cell>
          <cell r="BR272">
            <v>0</v>
          </cell>
          <cell r="BS272">
            <v>0</v>
          </cell>
          <cell r="BT272">
            <v>69044955</v>
          </cell>
          <cell r="BU272">
            <v>-100723</v>
          </cell>
          <cell r="BV272">
            <v>1226013</v>
          </cell>
          <cell r="BW272">
            <v>-508885</v>
          </cell>
          <cell r="BX272">
            <v>-2270543</v>
          </cell>
          <cell r="BY272">
            <v>-2821934</v>
          </cell>
          <cell r="BZ272">
            <v>61477412</v>
          </cell>
          <cell r="CA272">
            <v>-1135272</v>
          </cell>
          <cell r="CB272">
            <v>-908217</v>
          </cell>
          <cell r="CC272">
            <v>-227054</v>
          </cell>
          <cell r="CD272">
            <v>0</v>
          </cell>
          <cell r="CE272">
            <v>-1410967</v>
          </cell>
          <cell r="CF272">
            <v>-1128774</v>
          </cell>
          <cell r="CG272">
            <v>-282193</v>
          </cell>
          <cell r="CH272">
            <v>0</v>
          </cell>
        </row>
        <row r="273">
          <cell r="A273">
            <v>266</v>
          </cell>
          <cell r="B273" t="str">
            <v>Sunderland</v>
          </cell>
          <cell r="C273" t="str">
            <v>E4505</v>
          </cell>
          <cell r="D273">
            <v>341354</v>
          </cell>
          <cell r="H273">
            <v>-3347787</v>
          </cell>
          <cell r="I273">
            <v>-29602</v>
          </cell>
          <cell r="J273">
            <v>341354</v>
          </cell>
          <cell r="K273">
            <v>721136</v>
          </cell>
          <cell r="L273">
            <v>0</v>
          </cell>
          <cell r="M273">
            <v>0</v>
          </cell>
          <cell r="N273">
            <v>38799</v>
          </cell>
          <cell r="O273">
            <v>38799</v>
          </cell>
          <cell r="P273">
            <v>0</v>
          </cell>
          <cell r="Q273">
            <v>0</v>
          </cell>
          <cell r="R273">
            <v>1555137</v>
          </cell>
          <cell r="S273">
            <v>0</v>
          </cell>
          <cell r="T273">
            <v>31737</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M273">
            <v>0</v>
          </cell>
          <cell r="AN273">
            <v>0</v>
          </cell>
          <cell r="AO273">
            <v>0</v>
          </cell>
          <cell r="AP273">
            <v>625810</v>
          </cell>
          <cell r="AQ273">
            <v>0</v>
          </cell>
          <cell r="AR273">
            <v>12539</v>
          </cell>
          <cell r="AS273">
            <v>-2685986</v>
          </cell>
          <cell r="AT273">
            <v>-2632266</v>
          </cell>
          <cell r="AU273">
            <v>0</v>
          </cell>
          <cell r="AV273">
            <v>-53719</v>
          </cell>
          <cell r="AW273">
            <v>-5371971</v>
          </cell>
          <cell r="AX273">
            <v>-7388769</v>
          </cell>
          <cell r="AY273">
            <v>-7240992</v>
          </cell>
          <cell r="AZ273">
            <v>0</v>
          </cell>
          <cell r="BA273">
            <v>-147776</v>
          </cell>
          <cell r="BB273">
            <v>-14777537</v>
          </cell>
          <cell r="BC273">
            <v>89100175</v>
          </cell>
          <cell r="BD273">
            <v>-4872586</v>
          </cell>
          <cell r="BE273">
            <v>2572113</v>
          </cell>
          <cell r="BF273">
            <v>0</v>
          </cell>
          <cell r="BG273">
            <v>-6657875</v>
          </cell>
          <cell r="BH273">
            <v>-28965</v>
          </cell>
          <cell r="BI273">
            <v>-1907</v>
          </cell>
          <cell r="BJ273">
            <v>-25240</v>
          </cell>
          <cell r="BK273">
            <v>-2980007</v>
          </cell>
          <cell r="BL273">
            <v>-57491</v>
          </cell>
          <cell r="BM273">
            <v>-128077</v>
          </cell>
          <cell r="BN273">
            <v>-596</v>
          </cell>
          <cell r="BO273">
            <v>0</v>
          </cell>
          <cell r="BP273">
            <v>0</v>
          </cell>
          <cell r="BQ273">
            <v>-34790</v>
          </cell>
          <cell r="BR273">
            <v>-34790</v>
          </cell>
          <cell r="BS273">
            <v>0</v>
          </cell>
          <cell r="BT273">
            <v>95100607</v>
          </cell>
          <cell r="BU273">
            <v>-1113711</v>
          </cell>
          <cell r="BV273">
            <v>6966006</v>
          </cell>
          <cell r="BW273">
            <v>-798423</v>
          </cell>
          <cell r="BX273">
            <v>441750</v>
          </cell>
          <cell r="BY273">
            <v>0</v>
          </cell>
          <cell r="BZ273">
            <v>83471649</v>
          </cell>
          <cell r="CA273">
            <v>220875</v>
          </cell>
          <cell r="CB273">
            <v>216457</v>
          </cell>
          <cell r="CC273">
            <v>0</v>
          </cell>
          <cell r="CD273">
            <v>4418</v>
          </cell>
          <cell r="CE273">
            <v>0</v>
          </cell>
          <cell r="CF273">
            <v>0</v>
          </cell>
          <cell r="CG273">
            <v>0</v>
          </cell>
          <cell r="CH273">
            <v>0</v>
          </cell>
        </row>
        <row r="274">
          <cell r="A274">
            <v>267</v>
          </cell>
          <cell r="B274" t="str">
            <v>Surrey Heath</v>
          </cell>
          <cell r="C274" t="str">
            <v>E3638</v>
          </cell>
          <cell r="D274">
            <v>123229</v>
          </cell>
          <cell r="H274">
            <v>-27882</v>
          </cell>
          <cell r="I274">
            <v>0</v>
          </cell>
          <cell r="J274">
            <v>123229</v>
          </cell>
          <cell r="K274">
            <v>0</v>
          </cell>
          <cell r="L274">
            <v>0</v>
          </cell>
          <cell r="M274">
            <v>0</v>
          </cell>
          <cell r="N274">
            <v>0</v>
          </cell>
          <cell r="O274">
            <v>0</v>
          </cell>
          <cell r="P274">
            <v>0</v>
          </cell>
          <cell r="Q274">
            <v>0</v>
          </cell>
          <cell r="R274">
            <v>779470</v>
          </cell>
          <cell r="S274">
            <v>194867</v>
          </cell>
          <cell r="T274">
            <v>0</v>
          </cell>
          <cell r="U274">
            <v>1703</v>
          </cell>
          <cell r="V274">
            <v>426</v>
          </cell>
          <cell r="W274">
            <v>0</v>
          </cell>
          <cell r="X274">
            <v>14897</v>
          </cell>
          <cell r="Y274">
            <v>3724</v>
          </cell>
          <cell r="Z274">
            <v>0</v>
          </cell>
          <cell r="AA274">
            <v>12180</v>
          </cell>
          <cell r="AB274">
            <v>3045</v>
          </cell>
          <cell r="AC274">
            <v>0</v>
          </cell>
          <cell r="AD274">
            <v>0</v>
          </cell>
          <cell r="AE274">
            <v>0</v>
          </cell>
          <cell r="AF274">
            <v>0</v>
          </cell>
          <cell r="AG274">
            <v>0</v>
          </cell>
          <cell r="AH274">
            <v>0</v>
          </cell>
          <cell r="AI274">
            <v>0</v>
          </cell>
          <cell r="AM274">
            <v>0</v>
          </cell>
          <cell r="AN274">
            <v>0</v>
          </cell>
          <cell r="AO274">
            <v>0</v>
          </cell>
          <cell r="AP274">
            <v>207312</v>
          </cell>
          <cell r="AQ274">
            <v>51828</v>
          </cell>
          <cell r="AR274">
            <v>0</v>
          </cell>
          <cell r="AS274">
            <v>-216267</v>
          </cell>
          <cell r="AT274">
            <v>-173014</v>
          </cell>
          <cell r="AU274">
            <v>-43254</v>
          </cell>
          <cell r="AV274">
            <v>0</v>
          </cell>
          <cell r="AW274">
            <v>-432535</v>
          </cell>
          <cell r="AX274">
            <v>-1953163</v>
          </cell>
          <cell r="AY274">
            <v>-1562531</v>
          </cell>
          <cell r="AZ274">
            <v>-390633</v>
          </cell>
          <cell r="BA274">
            <v>0</v>
          </cell>
          <cell r="BB274">
            <v>-3906327</v>
          </cell>
          <cell r="BC274">
            <v>38275670</v>
          </cell>
          <cell r="BD274">
            <v>-1379843</v>
          </cell>
          <cell r="BE274">
            <v>987379</v>
          </cell>
          <cell r="BF274">
            <v>0</v>
          </cell>
          <cell r="BG274">
            <v>-1505317</v>
          </cell>
          <cell r="BH274">
            <v>-5815</v>
          </cell>
          <cell r="BI274">
            <v>0</v>
          </cell>
          <cell r="BJ274">
            <v>-3258</v>
          </cell>
          <cell r="BK274">
            <v>-1221975</v>
          </cell>
          <cell r="BL274">
            <v>-96605</v>
          </cell>
          <cell r="BM274">
            <v>-215295</v>
          </cell>
          <cell r="BN274">
            <v>-1454</v>
          </cell>
          <cell r="BO274">
            <v>0</v>
          </cell>
          <cell r="BP274">
            <v>0</v>
          </cell>
          <cell r="BQ274">
            <v>0</v>
          </cell>
          <cell r="BR274">
            <v>0</v>
          </cell>
          <cell r="BS274">
            <v>0</v>
          </cell>
          <cell r="BT274">
            <v>37737280</v>
          </cell>
          <cell r="BU274">
            <v>-200310</v>
          </cell>
          <cell r="BV274">
            <v>1356098</v>
          </cell>
          <cell r="BW274">
            <v>-583714</v>
          </cell>
          <cell r="BX274">
            <v>3566920</v>
          </cell>
          <cell r="BY274">
            <v>2055283</v>
          </cell>
          <cell r="BZ274">
            <v>34502660</v>
          </cell>
          <cell r="CA274">
            <v>1783460</v>
          </cell>
          <cell r="CB274">
            <v>1426768</v>
          </cell>
          <cell r="CC274">
            <v>356692</v>
          </cell>
          <cell r="CD274">
            <v>0</v>
          </cell>
          <cell r="CE274">
            <v>1027642</v>
          </cell>
          <cell r="CF274">
            <v>822113</v>
          </cell>
          <cell r="CG274">
            <v>205528</v>
          </cell>
          <cell r="CH274">
            <v>0</v>
          </cell>
        </row>
        <row r="275">
          <cell r="A275">
            <v>268</v>
          </cell>
          <cell r="B275" t="str">
            <v>Sutton</v>
          </cell>
          <cell r="C275" t="str">
            <v>E5048</v>
          </cell>
          <cell r="D275">
            <v>193376</v>
          </cell>
          <cell r="H275">
            <v>481547</v>
          </cell>
          <cell r="I275">
            <v>0</v>
          </cell>
          <cell r="J275">
            <v>193376</v>
          </cell>
          <cell r="K275">
            <v>0</v>
          </cell>
          <cell r="L275">
            <v>0</v>
          </cell>
          <cell r="M275">
            <v>0</v>
          </cell>
          <cell r="N275">
            <v>0</v>
          </cell>
          <cell r="O275">
            <v>0</v>
          </cell>
          <cell r="P275">
            <v>0</v>
          </cell>
          <cell r="Q275">
            <v>0</v>
          </cell>
          <cell r="R275">
            <v>642725</v>
          </cell>
          <cell r="S275">
            <v>792694</v>
          </cell>
          <cell r="T275">
            <v>0</v>
          </cell>
          <cell r="U275">
            <v>0</v>
          </cell>
          <cell r="V275">
            <v>0</v>
          </cell>
          <cell r="W275">
            <v>0</v>
          </cell>
          <cell r="X275">
            <v>15225</v>
          </cell>
          <cell r="Y275">
            <v>18778</v>
          </cell>
          <cell r="Z275">
            <v>0</v>
          </cell>
          <cell r="AA275">
            <v>4568</v>
          </cell>
          <cell r="AB275">
            <v>5633</v>
          </cell>
          <cell r="AC275">
            <v>0</v>
          </cell>
          <cell r="AD275">
            <v>0</v>
          </cell>
          <cell r="AE275">
            <v>0</v>
          </cell>
          <cell r="AF275">
            <v>0</v>
          </cell>
          <cell r="AG275">
            <v>0</v>
          </cell>
          <cell r="AH275">
            <v>0</v>
          </cell>
          <cell r="AI275">
            <v>0</v>
          </cell>
          <cell r="AM275">
            <v>0</v>
          </cell>
          <cell r="AN275">
            <v>0</v>
          </cell>
          <cell r="AO275">
            <v>0</v>
          </cell>
          <cell r="AP275">
            <v>240954</v>
          </cell>
          <cell r="AQ275">
            <v>297176</v>
          </cell>
          <cell r="AR275">
            <v>0</v>
          </cell>
          <cell r="AS275">
            <v>-409192</v>
          </cell>
          <cell r="AT275">
            <v>-245513</v>
          </cell>
          <cell r="AU275">
            <v>-163676</v>
          </cell>
          <cell r="AV275">
            <v>0</v>
          </cell>
          <cell r="AW275">
            <v>-818381</v>
          </cell>
          <cell r="AX275">
            <v>-849996</v>
          </cell>
          <cell r="AY275">
            <v>-509996</v>
          </cell>
          <cell r="AZ275">
            <v>-339998</v>
          </cell>
          <cell r="BA275">
            <v>0</v>
          </cell>
          <cell r="BB275">
            <v>-1699990</v>
          </cell>
          <cell r="BC275">
            <v>51336925</v>
          </cell>
          <cell r="BD275">
            <v>-2895615</v>
          </cell>
          <cell r="BE275">
            <v>1319221</v>
          </cell>
          <cell r="BF275">
            <v>0</v>
          </cell>
          <cell r="BG275">
            <v>-4916590</v>
          </cell>
          <cell r="BH275">
            <v>-37374</v>
          </cell>
          <cell r="BI275">
            <v>0</v>
          </cell>
          <cell r="BJ275">
            <v>-835</v>
          </cell>
          <cell r="BK275">
            <v>-947005</v>
          </cell>
          <cell r="BL275">
            <v>0</v>
          </cell>
          <cell r="BM275">
            <v>-105948</v>
          </cell>
          <cell r="BN275">
            <v>0</v>
          </cell>
          <cell r="BO275">
            <v>0</v>
          </cell>
          <cell r="BP275">
            <v>0</v>
          </cell>
          <cell r="BQ275">
            <v>-41328</v>
          </cell>
          <cell r="BR275">
            <v>0</v>
          </cell>
          <cell r="BS275">
            <v>0</v>
          </cell>
          <cell r="BT275">
            <v>50228016</v>
          </cell>
          <cell r="BU275">
            <v>-326745</v>
          </cell>
          <cell r="BV275">
            <v>2338231</v>
          </cell>
          <cell r="BW275">
            <v>-942622</v>
          </cell>
          <cell r="BX275">
            <v>-3046398.4000000004</v>
          </cell>
          <cell r="BY275">
            <v>-2264422</v>
          </cell>
          <cell r="BZ275">
            <v>53468742</v>
          </cell>
          <cell r="CA275">
            <v>-1523199.4000000004</v>
          </cell>
          <cell r="CB275">
            <v>-913919</v>
          </cell>
          <cell r="CC275">
            <v>-609280</v>
          </cell>
          <cell r="CD275">
            <v>0</v>
          </cell>
          <cell r="CE275">
            <v>-1132211</v>
          </cell>
          <cell r="CF275">
            <v>-679327</v>
          </cell>
          <cell r="CG275">
            <v>-452884</v>
          </cell>
          <cell r="CH275">
            <v>0</v>
          </cell>
        </row>
        <row r="276">
          <cell r="A276">
            <v>269</v>
          </cell>
          <cell r="B276" t="str">
            <v>Swale</v>
          </cell>
          <cell r="C276" t="str">
            <v>E2241</v>
          </cell>
          <cell r="D276">
            <v>182037</v>
          </cell>
          <cell r="H276">
            <v>73465</v>
          </cell>
          <cell r="I276">
            <v>0</v>
          </cell>
          <cell r="J276">
            <v>182037</v>
          </cell>
          <cell r="K276">
            <v>0</v>
          </cell>
          <cell r="L276">
            <v>379872</v>
          </cell>
          <cell r="M276">
            <v>821485</v>
          </cell>
          <cell r="N276">
            <v>0</v>
          </cell>
          <cell r="O276">
            <v>0</v>
          </cell>
          <cell r="P276">
            <v>0</v>
          </cell>
          <cell r="Q276">
            <v>0</v>
          </cell>
          <cell r="R276">
            <v>806960</v>
          </cell>
          <cell r="S276">
            <v>181566</v>
          </cell>
          <cell r="T276">
            <v>20174</v>
          </cell>
          <cell r="U276">
            <v>4103</v>
          </cell>
          <cell r="V276">
            <v>923</v>
          </cell>
          <cell r="W276">
            <v>103</v>
          </cell>
          <cell r="X276">
            <v>4736</v>
          </cell>
          <cell r="Y276">
            <v>1065</v>
          </cell>
          <cell r="Z276">
            <v>118</v>
          </cell>
          <cell r="AA276">
            <v>812</v>
          </cell>
          <cell r="AB276">
            <v>183</v>
          </cell>
          <cell r="AC276">
            <v>20</v>
          </cell>
          <cell r="AD276">
            <v>0</v>
          </cell>
          <cell r="AE276">
            <v>0</v>
          </cell>
          <cell r="AF276">
            <v>0</v>
          </cell>
          <cell r="AG276">
            <v>0</v>
          </cell>
          <cell r="AH276">
            <v>0</v>
          </cell>
          <cell r="AI276">
            <v>0</v>
          </cell>
          <cell r="AM276">
            <v>0</v>
          </cell>
          <cell r="AN276">
            <v>0</v>
          </cell>
          <cell r="AO276">
            <v>0</v>
          </cell>
          <cell r="AP276">
            <v>270620</v>
          </cell>
          <cell r="AQ276">
            <v>71945</v>
          </cell>
          <cell r="AR276">
            <v>6623</v>
          </cell>
          <cell r="AS276">
            <v>-557120</v>
          </cell>
          <cell r="AT276">
            <v>-445693</v>
          </cell>
          <cell r="AU276">
            <v>-100282</v>
          </cell>
          <cell r="AV276">
            <v>-11141</v>
          </cell>
          <cell r="AW276">
            <v>-1114236</v>
          </cell>
          <cell r="AX276">
            <v>-3880188.3</v>
          </cell>
          <cell r="AY276">
            <v>-3104153</v>
          </cell>
          <cell r="AZ276">
            <v>-698434</v>
          </cell>
          <cell r="BA276">
            <v>-77604</v>
          </cell>
          <cell r="BB276">
            <v>-7760379.2999999998</v>
          </cell>
          <cell r="BC276">
            <v>45775301</v>
          </cell>
          <cell r="BD276">
            <v>-3366804</v>
          </cell>
          <cell r="BE276">
            <v>1260870</v>
          </cell>
          <cell r="BF276">
            <v>0</v>
          </cell>
          <cell r="BG276">
            <v>-3024894</v>
          </cell>
          <cell r="BH276">
            <v>-88854</v>
          </cell>
          <cell r="BI276">
            <v>-34402</v>
          </cell>
          <cell r="BJ276">
            <v>-58083</v>
          </cell>
          <cell r="BK276">
            <v>-1419945</v>
          </cell>
          <cell r="BL276">
            <v>-233285</v>
          </cell>
          <cell r="BM276">
            <v>-138692</v>
          </cell>
          <cell r="BN276">
            <v>-22213</v>
          </cell>
          <cell r="BO276">
            <v>-34402</v>
          </cell>
          <cell r="BP276">
            <v>-12405</v>
          </cell>
          <cell r="BQ276">
            <v>0</v>
          </cell>
          <cell r="BR276">
            <v>0</v>
          </cell>
          <cell r="BS276">
            <v>0</v>
          </cell>
          <cell r="BT276">
            <v>47058878</v>
          </cell>
          <cell r="BU276">
            <v>-88652</v>
          </cell>
          <cell r="BV276">
            <v>957793</v>
          </cell>
          <cell r="BW276">
            <v>-762415</v>
          </cell>
          <cell r="BX276">
            <v>2443673</v>
          </cell>
          <cell r="BY276">
            <v>2446961</v>
          </cell>
          <cell r="BZ276">
            <v>44089186</v>
          </cell>
          <cell r="CA276">
            <v>1221838</v>
          </cell>
          <cell r="CB276">
            <v>977468</v>
          </cell>
          <cell r="CC276">
            <v>219930</v>
          </cell>
          <cell r="CD276">
            <v>24437</v>
          </cell>
          <cell r="CE276">
            <v>1223481</v>
          </cell>
          <cell r="CF276">
            <v>978784</v>
          </cell>
          <cell r="CG276">
            <v>220226</v>
          </cell>
          <cell r="CH276">
            <v>24470</v>
          </cell>
        </row>
        <row r="277">
          <cell r="A277">
            <v>270</v>
          </cell>
          <cell r="B277" t="str">
            <v>Swindon</v>
          </cell>
          <cell r="C277" t="str">
            <v>E3901</v>
          </cell>
          <cell r="D277">
            <v>265619</v>
          </cell>
          <cell r="H277">
            <v>-8079130</v>
          </cell>
          <cell r="I277">
            <v>0</v>
          </cell>
          <cell r="J277">
            <v>265619</v>
          </cell>
          <cell r="K277">
            <v>0</v>
          </cell>
          <cell r="L277">
            <v>523217</v>
          </cell>
          <cell r="M277">
            <v>0</v>
          </cell>
          <cell r="N277">
            <v>0</v>
          </cell>
          <cell r="O277">
            <v>0</v>
          </cell>
          <cell r="P277">
            <v>0</v>
          </cell>
          <cell r="Q277">
            <v>0</v>
          </cell>
          <cell r="R277">
            <v>1227631</v>
          </cell>
          <cell r="S277">
            <v>0</v>
          </cell>
          <cell r="T277">
            <v>25054</v>
          </cell>
          <cell r="U277">
            <v>8094</v>
          </cell>
          <cell r="V277">
            <v>0</v>
          </cell>
          <cell r="W277">
            <v>165</v>
          </cell>
          <cell r="X277">
            <v>4348</v>
          </cell>
          <cell r="Y277">
            <v>0</v>
          </cell>
          <cell r="Z277">
            <v>89</v>
          </cell>
          <cell r="AA277">
            <v>0</v>
          </cell>
          <cell r="AB277">
            <v>0</v>
          </cell>
          <cell r="AC277">
            <v>0</v>
          </cell>
          <cell r="AD277">
            <v>0</v>
          </cell>
          <cell r="AE277">
            <v>0</v>
          </cell>
          <cell r="AF277">
            <v>0</v>
          </cell>
          <cell r="AG277">
            <v>0</v>
          </cell>
          <cell r="AH277">
            <v>0</v>
          </cell>
          <cell r="AI277">
            <v>0</v>
          </cell>
          <cell r="AM277">
            <v>0</v>
          </cell>
          <cell r="AN277">
            <v>0</v>
          </cell>
          <cell r="AO277">
            <v>0</v>
          </cell>
          <cell r="AP277">
            <v>719606</v>
          </cell>
          <cell r="AQ277">
            <v>0</v>
          </cell>
          <cell r="AR277">
            <v>14525</v>
          </cell>
          <cell r="AS277">
            <v>-704335</v>
          </cell>
          <cell r="AT277">
            <v>-690248</v>
          </cell>
          <cell r="AU277">
            <v>0</v>
          </cell>
          <cell r="AV277">
            <v>-14085</v>
          </cell>
          <cell r="AW277">
            <v>-1408668</v>
          </cell>
          <cell r="AX277">
            <v>-5089652</v>
          </cell>
          <cell r="AY277">
            <v>-4987860</v>
          </cell>
          <cell r="AZ277">
            <v>0</v>
          </cell>
          <cell r="BA277">
            <v>-101794</v>
          </cell>
          <cell r="BB277">
            <v>-10179306</v>
          </cell>
          <cell r="BC277">
            <v>107034856</v>
          </cell>
          <cell r="BD277">
            <v>-2964548</v>
          </cell>
          <cell r="BE277">
            <v>3129342</v>
          </cell>
          <cell r="BF277">
            <v>0</v>
          </cell>
          <cell r="BG277">
            <v>-6622441</v>
          </cell>
          <cell r="BH277">
            <v>-87353</v>
          </cell>
          <cell r="BI277">
            <v>-7989</v>
          </cell>
          <cell r="BJ277">
            <v>-41704</v>
          </cell>
          <cell r="BK277">
            <v>-4871843</v>
          </cell>
          <cell r="BL277">
            <v>-189128</v>
          </cell>
          <cell r="BM277">
            <v>-57979</v>
          </cell>
          <cell r="BN277">
            <v>-21838</v>
          </cell>
          <cell r="BO277">
            <v>-3019</v>
          </cell>
          <cell r="BP277">
            <v>0</v>
          </cell>
          <cell r="BQ277">
            <v>0</v>
          </cell>
          <cell r="BR277">
            <v>0</v>
          </cell>
          <cell r="BS277">
            <v>0</v>
          </cell>
          <cell r="BT277">
            <v>109923519</v>
          </cell>
          <cell r="BU277">
            <v>-1075252</v>
          </cell>
          <cell r="BV277">
            <v>4194428</v>
          </cell>
          <cell r="BW277">
            <v>-302260</v>
          </cell>
          <cell r="BX277">
            <v>242174</v>
          </cell>
          <cell r="BY277">
            <v>-40739</v>
          </cell>
          <cell r="BZ277">
            <v>96697895</v>
          </cell>
          <cell r="CA277">
            <v>121087</v>
          </cell>
          <cell r="CB277">
            <v>118665</v>
          </cell>
          <cell r="CC277">
            <v>0</v>
          </cell>
          <cell r="CD277">
            <v>2422</v>
          </cell>
          <cell r="CE277">
            <v>-20370</v>
          </cell>
          <cell r="CF277">
            <v>-19962</v>
          </cell>
          <cell r="CG277">
            <v>0</v>
          </cell>
          <cell r="CH277">
            <v>-407</v>
          </cell>
        </row>
        <row r="278">
          <cell r="A278">
            <v>271</v>
          </cell>
          <cell r="B278" t="str">
            <v>Tameside</v>
          </cell>
          <cell r="C278" t="str">
            <v>E4208</v>
          </cell>
          <cell r="D278">
            <v>291392</v>
          </cell>
          <cell r="H278">
            <v>-3318353</v>
          </cell>
          <cell r="I278">
            <v>0</v>
          </cell>
          <cell r="J278">
            <v>306392</v>
          </cell>
          <cell r="K278">
            <v>0</v>
          </cell>
          <cell r="L278">
            <v>0</v>
          </cell>
          <cell r="M278">
            <v>0</v>
          </cell>
          <cell r="N278">
            <v>0</v>
          </cell>
          <cell r="O278">
            <v>0</v>
          </cell>
          <cell r="P278">
            <v>0</v>
          </cell>
          <cell r="Q278">
            <v>0</v>
          </cell>
          <cell r="R278">
            <v>3845549</v>
          </cell>
          <cell r="S278">
            <v>0</v>
          </cell>
          <cell r="T278">
            <v>38844</v>
          </cell>
          <cell r="U278">
            <v>0</v>
          </cell>
          <cell r="V278">
            <v>0</v>
          </cell>
          <cell r="W278">
            <v>0</v>
          </cell>
          <cell r="X278">
            <v>0</v>
          </cell>
          <cell r="Y278">
            <v>0</v>
          </cell>
          <cell r="Z278">
            <v>0</v>
          </cell>
          <cell r="AA278">
            <v>6417</v>
          </cell>
          <cell r="AB278">
            <v>0</v>
          </cell>
          <cell r="AC278">
            <v>65</v>
          </cell>
          <cell r="AD278">
            <v>0</v>
          </cell>
          <cell r="AE278">
            <v>0</v>
          </cell>
          <cell r="AF278">
            <v>0</v>
          </cell>
          <cell r="AG278">
            <v>0</v>
          </cell>
          <cell r="AH278">
            <v>0</v>
          </cell>
          <cell r="AI278">
            <v>0</v>
          </cell>
          <cell r="AM278">
            <v>0</v>
          </cell>
          <cell r="AN278">
            <v>0</v>
          </cell>
          <cell r="AO278">
            <v>0</v>
          </cell>
          <cell r="AP278">
            <v>746596</v>
          </cell>
          <cell r="AQ278">
            <v>0</v>
          </cell>
          <cell r="AR278">
            <v>7541</v>
          </cell>
          <cell r="AS278">
            <v>-1565545.9</v>
          </cell>
          <cell r="AT278">
            <v>-1534236</v>
          </cell>
          <cell r="AU278">
            <v>0</v>
          </cell>
          <cell r="AV278">
            <v>-31311</v>
          </cell>
          <cell r="AW278">
            <v>-3131092.9</v>
          </cell>
          <cell r="AX278">
            <v>-3870222</v>
          </cell>
          <cell r="AY278">
            <v>-3792819</v>
          </cell>
          <cell r="AZ278">
            <v>0</v>
          </cell>
          <cell r="BA278">
            <v>-77405</v>
          </cell>
          <cell r="BB278">
            <v>-7740446</v>
          </cell>
          <cell r="BC278">
            <v>55311052</v>
          </cell>
          <cell r="BD278">
            <v>-6342068</v>
          </cell>
          <cell r="BE278">
            <v>1569659</v>
          </cell>
          <cell r="BF278">
            <v>0</v>
          </cell>
          <cell r="BG278">
            <v>-3473986</v>
          </cell>
          <cell r="BH278">
            <v>-154627</v>
          </cell>
          <cell r="BI278">
            <v>0</v>
          </cell>
          <cell r="BJ278">
            <v>0</v>
          </cell>
          <cell r="BK278">
            <v>-1916761</v>
          </cell>
          <cell r="BL278">
            <v>-26012</v>
          </cell>
          <cell r="BM278">
            <v>-34573</v>
          </cell>
          <cell r="BN278">
            <v>-2114</v>
          </cell>
          <cell r="BO278">
            <v>0</v>
          </cell>
          <cell r="BP278">
            <v>0</v>
          </cell>
          <cell r="BQ278">
            <v>0</v>
          </cell>
          <cell r="BR278">
            <v>0</v>
          </cell>
          <cell r="BS278">
            <v>0</v>
          </cell>
          <cell r="BT278">
            <v>58550641</v>
          </cell>
          <cell r="BU278">
            <v>-1615971</v>
          </cell>
          <cell r="BV278">
            <v>6192684</v>
          </cell>
          <cell r="BW278">
            <v>-1761662</v>
          </cell>
          <cell r="BX278">
            <v>-6659671</v>
          </cell>
          <cell r="BY278">
            <v>-3553208</v>
          </cell>
          <cell r="BZ278">
            <v>50204000</v>
          </cell>
          <cell r="CA278">
            <v>-3329835</v>
          </cell>
          <cell r="CB278">
            <v>-3263240</v>
          </cell>
          <cell r="CC278">
            <v>0</v>
          </cell>
          <cell r="CD278">
            <v>-66596</v>
          </cell>
          <cell r="CE278">
            <v>-1776604</v>
          </cell>
          <cell r="CF278">
            <v>-1741072</v>
          </cell>
          <cell r="CG278">
            <v>0</v>
          </cell>
          <cell r="CH278">
            <v>-35532</v>
          </cell>
        </row>
        <row r="279">
          <cell r="A279">
            <v>272</v>
          </cell>
          <cell r="B279" t="str">
            <v>Tamworth</v>
          </cell>
          <cell r="C279" t="str">
            <v>E3439</v>
          </cell>
          <cell r="D279">
            <v>91080</v>
          </cell>
          <cell r="H279">
            <v>-1322640</v>
          </cell>
          <cell r="I279">
            <v>0</v>
          </cell>
          <cell r="J279">
            <v>91080</v>
          </cell>
          <cell r="K279">
            <v>0</v>
          </cell>
          <cell r="L279">
            <v>0</v>
          </cell>
          <cell r="M279">
            <v>0</v>
          </cell>
          <cell r="N279">
            <v>0</v>
          </cell>
          <cell r="O279">
            <v>0</v>
          </cell>
          <cell r="P279">
            <v>0</v>
          </cell>
          <cell r="Q279">
            <v>0</v>
          </cell>
          <cell r="R279">
            <v>338718</v>
          </cell>
          <cell r="S279">
            <v>76212</v>
          </cell>
          <cell r="T279">
            <v>8468</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M279">
            <v>0</v>
          </cell>
          <cell r="AN279">
            <v>0</v>
          </cell>
          <cell r="AO279">
            <v>0</v>
          </cell>
          <cell r="AP279">
            <v>199085</v>
          </cell>
          <cell r="AQ279">
            <v>44794</v>
          </cell>
          <cell r="AR279">
            <v>4977</v>
          </cell>
          <cell r="AS279">
            <v>-513415.76</v>
          </cell>
          <cell r="AT279">
            <v>-410731</v>
          </cell>
          <cell r="AU279">
            <v>-92414</v>
          </cell>
          <cell r="AV279">
            <v>-10267</v>
          </cell>
          <cell r="AW279">
            <v>-1026827.76</v>
          </cell>
          <cell r="AX279">
            <v>-2371292</v>
          </cell>
          <cell r="AY279">
            <v>-1897035</v>
          </cell>
          <cell r="AZ279">
            <v>-426832</v>
          </cell>
          <cell r="BA279">
            <v>-47425</v>
          </cell>
          <cell r="BB279">
            <v>-4742584</v>
          </cell>
          <cell r="BC279">
            <v>34340989</v>
          </cell>
          <cell r="BD279">
            <v>-1276121</v>
          </cell>
          <cell r="BE279">
            <v>921657</v>
          </cell>
          <cell r="BF279">
            <v>0</v>
          </cell>
          <cell r="BG279">
            <v>-1290351</v>
          </cell>
          <cell r="BH279">
            <v>-42841</v>
          </cell>
          <cell r="BI279">
            <v>0</v>
          </cell>
          <cell r="BJ279">
            <v>0</v>
          </cell>
          <cell r="BK279">
            <v>-1037588</v>
          </cell>
          <cell r="BL279">
            <v>-22240</v>
          </cell>
          <cell r="BM279">
            <v>-2057</v>
          </cell>
          <cell r="BN279">
            <v>-4225</v>
          </cell>
          <cell r="BO279">
            <v>0</v>
          </cell>
          <cell r="BP279">
            <v>0</v>
          </cell>
          <cell r="BQ279">
            <v>0</v>
          </cell>
          <cell r="BR279">
            <v>0</v>
          </cell>
          <cell r="BS279">
            <v>0</v>
          </cell>
          <cell r="BT279">
            <v>35024655</v>
          </cell>
          <cell r="BU279">
            <v>-171111</v>
          </cell>
          <cell r="BV279">
            <v>1123773</v>
          </cell>
          <cell r="BW279">
            <v>-1014484</v>
          </cell>
          <cell r="BX279">
            <v>812728</v>
          </cell>
          <cell r="BY279">
            <v>845281</v>
          </cell>
          <cell r="BZ279">
            <v>33133377</v>
          </cell>
          <cell r="CA279">
            <v>406362</v>
          </cell>
          <cell r="CB279">
            <v>325092</v>
          </cell>
          <cell r="CC279">
            <v>73146</v>
          </cell>
          <cell r="CD279">
            <v>8128</v>
          </cell>
          <cell r="CE279">
            <v>422641</v>
          </cell>
          <cell r="CF279">
            <v>338112</v>
          </cell>
          <cell r="CG279">
            <v>76075</v>
          </cell>
          <cell r="CH279">
            <v>8453</v>
          </cell>
        </row>
        <row r="280">
          <cell r="A280">
            <v>273</v>
          </cell>
          <cell r="B280" t="str">
            <v>Tandridge</v>
          </cell>
          <cell r="C280" t="str">
            <v>E3639</v>
          </cell>
          <cell r="D280">
            <v>125069</v>
          </cell>
          <cell r="H280">
            <v>1280255</v>
          </cell>
          <cell r="I280">
            <v>0</v>
          </cell>
          <cell r="J280">
            <v>125069</v>
          </cell>
          <cell r="K280">
            <v>0</v>
          </cell>
          <cell r="L280">
            <v>0</v>
          </cell>
          <cell r="M280">
            <v>0</v>
          </cell>
          <cell r="N280">
            <v>0</v>
          </cell>
          <cell r="O280">
            <v>0</v>
          </cell>
          <cell r="P280">
            <v>0</v>
          </cell>
          <cell r="Q280">
            <v>0</v>
          </cell>
          <cell r="R280">
            <v>559418</v>
          </cell>
          <cell r="S280">
            <v>139854</v>
          </cell>
          <cell r="T280">
            <v>0</v>
          </cell>
          <cell r="U280">
            <v>0</v>
          </cell>
          <cell r="V280">
            <v>0</v>
          </cell>
          <cell r="W280">
            <v>0</v>
          </cell>
          <cell r="X280">
            <v>3898</v>
          </cell>
          <cell r="Y280">
            <v>974</v>
          </cell>
          <cell r="Z280">
            <v>0</v>
          </cell>
          <cell r="AA280">
            <v>0</v>
          </cell>
          <cell r="AB280">
            <v>0</v>
          </cell>
          <cell r="AC280">
            <v>0</v>
          </cell>
          <cell r="AD280">
            <v>0</v>
          </cell>
          <cell r="AE280">
            <v>0</v>
          </cell>
          <cell r="AF280">
            <v>0</v>
          </cell>
          <cell r="AG280">
            <v>0</v>
          </cell>
          <cell r="AH280">
            <v>0</v>
          </cell>
          <cell r="AI280">
            <v>0</v>
          </cell>
          <cell r="AM280">
            <v>0</v>
          </cell>
          <cell r="AN280">
            <v>0</v>
          </cell>
          <cell r="AO280">
            <v>0</v>
          </cell>
          <cell r="AP280">
            <v>124971</v>
          </cell>
          <cell r="AQ280">
            <v>31243</v>
          </cell>
          <cell r="AR280">
            <v>0</v>
          </cell>
          <cell r="AS280">
            <v>-45707</v>
          </cell>
          <cell r="AT280">
            <v>-36565</v>
          </cell>
          <cell r="AU280">
            <v>-9141</v>
          </cell>
          <cell r="AV280">
            <v>0</v>
          </cell>
          <cell r="AW280">
            <v>-91413</v>
          </cell>
          <cell r="AX280">
            <v>-877521</v>
          </cell>
          <cell r="AY280">
            <v>-702019</v>
          </cell>
          <cell r="AZ280">
            <v>-175505</v>
          </cell>
          <cell r="BA280">
            <v>0</v>
          </cell>
          <cell r="BB280">
            <v>-1755045</v>
          </cell>
          <cell r="BC280">
            <v>17614415</v>
          </cell>
          <cell r="BD280">
            <v>-2229552</v>
          </cell>
          <cell r="BE280">
            <v>518374</v>
          </cell>
          <cell r="BF280">
            <v>0</v>
          </cell>
          <cell r="BG280">
            <v>-2816559</v>
          </cell>
          <cell r="BH280">
            <v>-28311</v>
          </cell>
          <cell r="BI280">
            <v>-14599</v>
          </cell>
          <cell r="BJ280">
            <v>0</v>
          </cell>
          <cell r="BK280">
            <v>-634738</v>
          </cell>
          <cell r="BL280">
            <v>-51720</v>
          </cell>
          <cell r="BM280">
            <v>-15855</v>
          </cell>
          <cell r="BN280">
            <v>-77</v>
          </cell>
          <cell r="BO280">
            <v>-14599</v>
          </cell>
          <cell r="BP280">
            <v>-5324</v>
          </cell>
          <cell r="BQ280">
            <v>0</v>
          </cell>
          <cell r="BR280">
            <v>0</v>
          </cell>
          <cell r="BS280">
            <v>0</v>
          </cell>
          <cell r="BT280">
            <v>18564653</v>
          </cell>
          <cell r="BU280">
            <v>-38959</v>
          </cell>
          <cell r="BV280">
            <v>275839</v>
          </cell>
          <cell r="BW280">
            <v>-180476</v>
          </cell>
          <cell r="BX280">
            <v>-2690729</v>
          </cell>
          <cell r="BY280">
            <v>-849829</v>
          </cell>
          <cell r="BZ280">
            <v>20798783</v>
          </cell>
          <cell r="CA280">
            <v>-1345366</v>
          </cell>
          <cell r="CB280">
            <v>-1076291</v>
          </cell>
          <cell r="CC280">
            <v>-269072</v>
          </cell>
          <cell r="CD280">
            <v>0</v>
          </cell>
          <cell r="CE280">
            <v>-424914</v>
          </cell>
          <cell r="CF280">
            <v>-339932</v>
          </cell>
          <cell r="CG280">
            <v>-84983</v>
          </cell>
          <cell r="CH280">
            <v>0</v>
          </cell>
        </row>
        <row r="281">
          <cell r="A281">
            <v>274</v>
          </cell>
          <cell r="B281" t="str">
            <v>Taunton Deane</v>
          </cell>
          <cell r="C281" t="str">
            <v>E3333</v>
          </cell>
          <cell r="D281">
            <v>168758</v>
          </cell>
          <cell r="H281">
            <v>-2261855</v>
          </cell>
          <cell r="I281">
            <v>0</v>
          </cell>
          <cell r="J281">
            <v>168758</v>
          </cell>
          <cell r="K281">
            <v>0</v>
          </cell>
          <cell r="L281">
            <v>152400</v>
          </cell>
          <cell r="M281">
            <v>0</v>
          </cell>
          <cell r="N281">
            <v>0</v>
          </cell>
          <cell r="O281">
            <v>0</v>
          </cell>
          <cell r="P281">
            <v>0</v>
          </cell>
          <cell r="Q281">
            <v>0</v>
          </cell>
          <cell r="R281">
            <v>667746</v>
          </cell>
          <cell r="S281">
            <v>150243</v>
          </cell>
          <cell r="T281">
            <v>16694</v>
          </cell>
          <cell r="U281">
            <v>0</v>
          </cell>
          <cell r="V281">
            <v>0</v>
          </cell>
          <cell r="W281">
            <v>0</v>
          </cell>
          <cell r="X281">
            <v>3248</v>
          </cell>
          <cell r="Y281">
            <v>731</v>
          </cell>
          <cell r="Z281">
            <v>81</v>
          </cell>
          <cell r="AA281">
            <v>0</v>
          </cell>
          <cell r="AB281">
            <v>0</v>
          </cell>
          <cell r="AC281">
            <v>0</v>
          </cell>
          <cell r="AD281">
            <v>0</v>
          </cell>
          <cell r="AE281">
            <v>0</v>
          </cell>
          <cell r="AF281">
            <v>0</v>
          </cell>
          <cell r="AG281">
            <v>0</v>
          </cell>
          <cell r="AH281">
            <v>0</v>
          </cell>
          <cell r="AI281">
            <v>0</v>
          </cell>
          <cell r="AM281">
            <v>0</v>
          </cell>
          <cell r="AN281">
            <v>0</v>
          </cell>
          <cell r="AO281">
            <v>0</v>
          </cell>
          <cell r="AP281">
            <v>224874</v>
          </cell>
          <cell r="AQ281">
            <v>50082</v>
          </cell>
          <cell r="AR281">
            <v>5565</v>
          </cell>
          <cell r="AS281">
            <v>-328167</v>
          </cell>
          <cell r="AT281">
            <v>-262533</v>
          </cell>
          <cell r="AU281">
            <v>-59070</v>
          </cell>
          <cell r="AV281">
            <v>-6564</v>
          </cell>
          <cell r="AW281">
            <v>-656334</v>
          </cell>
          <cell r="AX281">
            <v>-1167841</v>
          </cell>
          <cell r="AY281">
            <v>-934270</v>
          </cell>
          <cell r="AZ281">
            <v>-210212</v>
          </cell>
          <cell r="BA281">
            <v>-23356</v>
          </cell>
          <cell r="BB281">
            <v>-2335679</v>
          </cell>
          <cell r="BC281">
            <v>41724384</v>
          </cell>
          <cell r="BD281">
            <v>-2682859</v>
          </cell>
          <cell r="BE281">
            <v>1128371</v>
          </cell>
          <cell r="BF281">
            <v>0</v>
          </cell>
          <cell r="BG281">
            <v>-3768675</v>
          </cell>
          <cell r="BH281">
            <v>-58726</v>
          </cell>
          <cell r="BI281">
            <v>-34817</v>
          </cell>
          <cell r="BJ281">
            <v>-17034</v>
          </cell>
          <cell r="BK281">
            <v>-1489741</v>
          </cell>
          <cell r="BL281">
            <v>-210533</v>
          </cell>
          <cell r="BM281">
            <v>-79602</v>
          </cell>
          <cell r="BN281">
            <v>-2410</v>
          </cell>
          <cell r="BO281">
            <v>-8512</v>
          </cell>
          <cell r="BP281">
            <v>-6630</v>
          </cell>
          <cell r="BQ281">
            <v>0</v>
          </cell>
          <cell r="BR281">
            <v>0</v>
          </cell>
          <cell r="BS281">
            <v>0</v>
          </cell>
          <cell r="BT281">
            <v>40409902</v>
          </cell>
          <cell r="BU281">
            <v>-164434</v>
          </cell>
          <cell r="BV281">
            <v>2234421</v>
          </cell>
          <cell r="BW281">
            <v>-1453244</v>
          </cell>
          <cell r="BX281">
            <v>-494123</v>
          </cell>
          <cell r="BY281">
            <v>-96063</v>
          </cell>
          <cell r="BZ281">
            <v>37044509</v>
          </cell>
          <cell r="CA281">
            <v>-247063</v>
          </cell>
          <cell r="CB281">
            <v>-197648</v>
          </cell>
          <cell r="CC281">
            <v>-44471</v>
          </cell>
          <cell r="CD281">
            <v>-4941</v>
          </cell>
          <cell r="CE281">
            <v>-48031</v>
          </cell>
          <cell r="CF281">
            <v>-38425</v>
          </cell>
          <cell r="CG281">
            <v>-8646</v>
          </cell>
          <cell r="CH281">
            <v>-961</v>
          </cell>
        </row>
        <row r="282">
          <cell r="A282">
            <v>275</v>
          </cell>
          <cell r="B282" t="str">
            <v>Teignbridge</v>
          </cell>
          <cell r="C282" t="str">
            <v>E1137</v>
          </cell>
          <cell r="D282">
            <v>189507</v>
          </cell>
          <cell r="H282">
            <v>-872917</v>
          </cell>
          <cell r="I282">
            <v>0</v>
          </cell>
          <cell r="J282">
            <v>189507</v>
          </cell>
          <cell r="K282">
            <v>0</v>
          </cell>
          <cell r="L282">
            <v>109524</v>
          </cell>
          <cell r="M282">
            <v>0</v>
          </cell>
          <cell r="N282">
            <v>0</v>
          </cell>
          <cell r="O282">
            <v>0</v>
          </cell>
          <cell r="P282">
            <v>0</v>
          </cell>
          <cell r="Q282">
            <v>0</v>
          </cell>
          <cell r="R282">
            <v>1047100</v>
          </cell>
          <cell r="S282">
            <v>235598</v>
          </cell>
          <cell r="T282">
            <v>26178</v>
          </cell>
          <cell r="U282">
            <v>367</v>
          </cell>
          <cell r="V282">
            <v>83</v>
          </cell>
          <cell r="W282">
            <v>9</v>
          </cell>
          <cell r="X282">
            <v>0</v>
          </cell>
          <cell r="Y282">
            <v>0</v>
          </cell>
          <cell r="Z282">
            <v>0</v>
          </cell>
          <cell r="AA282">
            <v>0</v>
          </cell>
          <cell r="AB282">
            <v>0</v>
          </cell>
          <cell r="AC282">
            <v>0</v>
          </cell>
          <cell r="AD282">
            <v>0</v>
          </cell>
          <cell r="AE282">
            <v>0</v>
          </cell>
          <cell r="AF282">
            <v>0</v>
          </cell>
          <cell r="AG282">
            <v>0</v>
          </cell>
          <cell r="AH282">
            <v>0</v>
          </cell>
          <cell r="AI282">
            <v>0</v>
          </cell>
          <cell r="AM282">
            <v>0</v>
          </cell>
          <cell r="AN282">
            <v>0</v>
          </cell>
          <cell r="AO282">
            <v>0</v>
          </cell>
          <cell r="AP282">
            <v>188236</v>
          </cell>
          <cell r="AQ282">
            <v>41983</v>
          </cell>
          <cell r="AR282">
            <v>4665</v>
          </cell>
          <cell r="AS282">
            <v>-150000</v>
          </cell>
          <cell r="AT282">
            <v>-120000</v>
          </cell>
          <cell r="AU282">
            <v>-27000</v>
          </cell>
          <cell r="AV282">
            <v>-3000</v>
          </cell>
          <cell r="AW282">
            <v>-300000</v>
          </cell>
          <cell r="AX282">
            <v>-200000</v>
          </cell>
          <cell r="AY282">
            <v>-160000</v>
          </cell>
          <cell r="AZ282">
            <v>-36000</v>
          </cell>
          <cell r="BA282">
            <v>-4000</v>
          </cell>
          <cell r="BB282">
            <v>-400000</v>
          </cell>
          <cell r="BC282">
            <v>31374315</v>
          </cell>
          <cell r="BD282">
            <v>-4018472</v>
          </cell>
          <cell r="BE282">
            <v>809947</v>
          </cell>
          <cell r="BF282">
            <v>0</v>
          </cell>
          <cell r="BG282">
            <v>-2628983</v>
          </cell>
          <cell r="BH282">
            <v>-76800</v>
          </cell>
          <cell r="BI282">
            <v>-52581</v>
          </cell>
          <cell r="BJ282">
            <v>0</v>
          </cell>
          <cell r="BK282">
            <v>-968389</v>
          </cell>
          <cell r="BL282">
            <v>-79612</v>
          </cell>
          <cell r="BM282">
            <v>-45733</v>
          </cell>
          <cell r="BN282">
            <v>-7515</v>
          </cell>
          <cell r="BO282">
            <v>-41923</v>
          </cell>
          <cell r="BP282">
            <v>-3090</v>
          </cell>
          <cell r="BQ282">
            <v>0</v>
          </cell>
          <cell r="BR282">
            <v>0</v>
          </cell>
          <cell r="BS282">
            <v>0</v>
          </cell>
          <cell r="BT282">
            <v>31676567</v>
          </cell>
          <cell r="BU282">
            <v>-90358</v>
          </cell>
          <cell r="BV282">
            <v>492434</v>
          </cell>
          <cell r="BW282">
            <v>-333429</v>
          </cell>
          <cell r="BX282">
            <v>-2944208</v>
          </cell>
          <cell r="BY282">
            <v>-2232000</v>
          </cell>
          <cell r="BZ282">
            <v>31053967</v>
          </cell>
          <cell r="CA282">
            <v>-1472104</v>
          </cell>
          <cell r="CB282">
            <v>-1177683</v>
          </cell>
          <cell r="CC282">
            <v>-264979</v>
          </cell>
          <cell r="CD282">
            <v>-29442</v>
          </cell>
          <cell r="CE282">
            <v>-1116000</v>
          </cell>
          <cell r="CF282">
            <v>-892800</v>
          </cell>
          <cell r="CG282">
            <v>-200880</v>
          </cell>
          <cell r="CH282">
            <v>-22320</v>
          </cell>
        </row>
        <row r="283">
          <cell r="A283">
            <v>276</v>
          </cell>
          <cell r="B283" t="str">
            <v>Telford and the Wrekin</v>
          </cell>
          <cell r="C283" t="str">
            <v>E3201</v>
          </cell>
          <cell r="D283">
            <v>216826</v>
          </cell>
          <cell r="H283">
            <v>-599557</v>
          </cell>
          <cell r="I283">
            <v>0</v>
          </cell>
          <cell r="J283">
            <v>216826</v>
          </cell>
          <cell r="K283">
            <v>0</v>
          </cell>
          <cell r="L283">
            <v>63524</v>
          </cell>
          <cell r="M283">
            <v>0</v>
          </cell>
          <cell r="N283">
            <v>0</v>
          </cell>
          <cell r="O283">
            <v>0</v>
          </cell>
          <cell r="P283">
            <v>0</v>
          </cell>
          <cell r="Q283">
            <v>0</v>
          </cell>
          <cell r="R283">
            <v>957517</v>
          </cell>
          <cell r="S283">
            <v>0</v>
          </cell>
          <cell r="T283">
            <v>19541</v>
          </cell>
          <cell r="U283">
            <v>6703</v>
          </cell>
          <cell r="V283">
            <v>0</v>
          </cell>
          <cell r="W283">
            <v>137</v>
          </cell>
          <cell r="X283">
            <v>2740</v>
          </cell>
          <cell r="Y283">
            <v>0</v>
          </cell>
          <cell r="Z283">
            <v>56</v>
          </cell>
          <cell r="AA283">
            <v>38985</v>
          </cell>
          <cell r="AB283">
            <v>0</v>
          </cell>
          <cell r="AC283">
            <v>796</v>
          </cell>
          <cell r="AD283">
            <v>0</v>
          </cell>
          <cell r="AE283">
            <v>0</v>
          </cell>
          <cell r="AF283">
            <v>0</v>
          </cell>
          <cell r="AG283">
            <v>0</v>
          </cell>
          <cell r="AH283">
            <v>0</v>
          </cell>
          <cell r="AI283">
            <v>0</v>
          </cell>
          <cell r="AM283">
            <v>0</v>
          </cell>
          <cell r="AN283">
            <v>0</v>
          </cell>
          <cell r="AO283">
            <v>0</v>
          </cell>
          <cell r="AP283">
            <v>500802</v>
          </cell>
          <cell r="AQ283">
            <v>0</v>
          </cell>
          <cell r="AR283">
            <v>10201</v>
          </cell>
          <cell r="AS283">
            <v>-627000</v>
          </cell>
          <cell r="AT283">
            <v>-614460</v>
          </cell>
          <cell r="AU283">
            <v>0</v>
          </cell>
          <cell r="AV283">
            <v>-12540</v>
          </cell>
          <cell r="AW283">
            <v>-1254000</v>
          </cell>
          <cell r="AX283">
            <v>-3360000</v>
          </cell>
          <cell r="AY283">
            <v>-3292800</v>
          </cell>
          <cell r="AZ283">
            <v>0</v>
          </cell>
          <cell r="BA283">
            <v>-67200</v>
          </cell>
          <cell r="BB283">
            <v>-6720000</v>
          </cell>
          <cell r="BC283">
            <v>71511328</v>
          </cell>
          <cell r="BD283">
            <v>-3066085</v>
          </cell>
          <cell r="BE283">
            <v>2016849</v>
          </cell>
          <cell r="BF283">
            <v>0</v>
          </cell>
          <cell r="BG283">
            <v>-4900656</v>
          </cell>
          <cell r="BH283">
            <v>-32822</v>
          </cell>
          <cell r="BI283">
            <v>-5271</v>
          </cell>
          <cell r="BJ283">
            <v>-124310</v>
          </cell>
          <cell r="BK283">
            <v>-1952600</v>
          </cell>
          <cell r="BL283">
            <v>-309557</v>
          </cell>
          <cell r="BM283">
            <v>-64992</v>
          </cell>
          <cell r="BN283">
            <v>-4972</v>
          </cell>
          <cell r="BO283">
            <v>-5271</v>
          </cell>
          <cell r="BP283">
            <v>0</v>
          </cell>
          <cell r="BQ283">
            <v>-10000</v>
          </cell>
          <cell r="BR283">
            <v>0</v>
          </cell>
          <cell r="BS283">
            <v>0</v>
          </cell>
          <cell r="BT283">
            <v>74053399</v>
          </cell>
          <cell r="BU283">
            <v>-768085</v>
          </cell>
          <cell r="BV283">
            <v>2684282</v>
          </cell>
          <cell r="BW283">
            <v>-2472655</v>
          </cell>
          <cell r="BX283">
            <v>3373727</v>
          </cell>
          <cell r="BY283">
            <v>3723398</v>
          </cell>
          <cell r="BZ283">
            <v>67909389</v>
          </cell>
          <cell r="CA283">
            <v>1686864</v>
          </cell>
          <cell r="CB283">
            <v>1653126</v>
          </cell>
          <cell r="CC283">
            <v>0</v>
          </cell>
          <cell r="CD283">
            <v>33737</v>
          </cell>
          <cell r="CE283">
            <v>1861699</v>
          </cell>
          <cell r="CF283">
            <v>1824465</v>
          </cell>
          <cell r="CG283">
            <v>0</v>
          </cell>
          <cell r="CH283">
            <v>37234</v>
          </cell>
        </row>
        <row r="284">
          <cell r="A284">
            <v>277</v>
          </cell>
          <cell r="B284" t="str">
            <v>Tendring</v>
          </cell>
          <cell r="C284" t="str">
            <v>E1542</v>
          </cell>
          <cell r="D284">
            <v>290060</v>
          </cell>
          <cell r="H284">
            <v>460247</v>
          </cell>
          <cell r="I284">
            <v>0</v>
          </cell>
          <cell r="J284">
            <v>290060</v>
          </cell>
          <cell r="K284">
            <v>0</v>
          </cell>
          <cell r="L284">
            <v>275365</v>
          </cell>
          <cell r="M284">
            <v>0</v>
          </cell>
          <cell r="N284">
            <v>0</v>
          </cell>
          <cell r="O284">
            <v>0</v>
          </cell>
          <cell r="P284">
            <v>0</v>
          </cell>
          <cell r="Q284">
            <v>0</v>
          </cell>
          <cell r="R284">
            <v>1147819</v>
          </cell>
          <cell r="S284">
            <v>258259</v>
          </cell>
          <cell r="T284">
            <v>28695</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M284">
            <v>0</v>
          </cell>
          <cell r="AN284">
            <v>0</v>
          </cell>
          <cell r="AO284">
            <v>0</v>
          </cell>
          <cell r="AP284">
            <v>151821</v>
          </cell>
          <cell r="AQ284">
            <v>33229</v>
          </cell>
          <cell r="AR284">
            <v>3692</v>
          </cell>
          <cell r="AS284">
            <v>-81691</v>
          </cell>
          <cell r="AT284">
            <v>-65354</v>
          </cell>
          <cell r="AU284">
            <v>-14706</v>
          </cell>
          <cell r="AV284">
            <v>-1634</v>
          </cell>
          <cell r="AW284">
            <v>-163385</v>
          </cell>
          <cell r="AX284">
            <v>-1221500</v>
          </cell>
          <cell r="AY284">
            <v>-977200</v>
          </cell>
          <cell r="AZ284">
            <v>-219870</v>
          </cell>
          <cell r="BA284">
            <v>-24430</v>
          </cell>
          <cell r="BB284">
            <v>-2443000</v>
          </cell>
          <cell r="BC284">
            <v>26317194</v>
          </cell>
          <cell r="BD284">
            <v>-4574323</v>
          </cell>
          <cell r="BE284">
            <v>662973</v>
          </cell>
          <cell r="BF284">
            <v>0</v>
          </cell>
          <cell r="BG284">
            <v>-2135863</v>
          </cell>
          <cell r="BH284">
            <v>-169934</v>
          </cell>
          <cell r="BI284">
            <v>-43241</v>
          </cell>
          <cell r="BJ284">
            <v>0</v>
          </cell>
          <cell r="BK284">
            <v>-588783</v>
          </cell>
          <cell r="BL284">
            <v>-32442</v>
          </cell>
          <cell r="BM284">
            <v>-207</v>
          </cell>
          <cell r="BN284">
            <v>0</v>
          </cell>
          <cell r="BO284">
            <v>-43240</v>
          </cell>
          <cell r="BP284">
            <v>0</v>
          </cell>
          <cell r="BQ284">
            <v>0</v>
          </cell>
          <cell r="BR284">
            <v>0</v>
          </cell>
          <cell r="BS284">
            <v>0</v>
          </cell>
          <cell r="BT284">
            <v>26585959</v>
          </cell>
          <cell r="BU284">
            <v>-162567</v>
          </cell>
          <cell r="BV284">
            <v>735900</v>
          </cell>
          <cell r="BW284">
            <v>-838474</v>
          </cell>
          <cell r="BX284">
            <v>26853</v>
          </cell>
          <cell r="BY284">
            <v>-374626</v>
          </cell>
          <cell r="BZ284">
            <v>24578912</v>
          </cell>
          <cell r="CA284">
            <v>13426</v>
          </cell>
          <cell r="CB284">
            <v>10741</v>
          </cell>
          <cell r="CC284">
            <v>2417</v>
          </cell>
          <cell r="CD284">
            <v>269</v>
          </cell>
          <cell r="CE284">
            <v>-187314</v>
          </cell>
          <cell r="CF284">
            <v>-149850</v>
          </cell>
          <cell r="CG284">
            <v>-33716</v>
          </cell>
          <cell r="CH284">
            <v>-3746</v>
          </cell>
        </row>
        <row r="285">
          <cell r="A285">
            <v>278</v>
          </cell>
          <cell r="B285" t="str">
            <v>Test Valley</v>
          </cell>
          <cell r="C285" t="str">
            <v>E1742</v>
          </cell>
          <cell r="D285">
            <v>188253</v>
          </cell>
          <cell r="H285">
            <v>195880</v>
          </cell>
          <cell r="I285">
            <v>0</v>
          </cell>
          <cell r="J285">
            <v>188253</v>
          </cell>
          <cell r="K285">
            <v>0</v>
          </cell>
          <cell r="L285">
            <v>359040</v>
          </cell>
          <cell r="M285">
            <v>0</v>
          </cell>
          <cell r="N285">
            <v>0</v>
          </cell>
          <cell r="O285">
            <v>0</v>
          </cell>
          <cell r="P285">
            <v>0</v>
          </cell>
          <cell r="Q285">
            <v>0</v>
          </cell>
          <cell r="R285">
            <v>672264</v>
          </cell>
          <cell r="S285">
            <v>151259</v>
          </cell>
          <cell r="T285">
            <v>16807</v>
          </cell>
          <cell r="U285">
            <v>8648</v>
          </cell>
          <cell r="V285">
            <v>1946</v>
          </cell>
          <cell r="W285">
            <v>216</v>
          </cell>
          <cell r="X285">
            <v>93497</v>
          </cell>
          <cell r="Y285">
            <v>21037</v>
          </cell>
          <cell r="Z285">
            <v>2337</v>
          </cell>
          <cell r="AA285">
            <v>471</v>
          </cell>
          <cell r="AB285">
            <v>106</v>
          </cell>
          <cell r="AC285">
            <v>12</v>
          </cell>
          <cell r="AD285">
            <v>0</v>
          </cell>
          <cell r="AE285">
            <v>0</v>
          </cell>
          <cell r="AF285">
            <v>0</v>
          </cell>
          <cell r="AG285">
            <v>0</v>
          </cell>
          <cell r="AH285">
            <v>0</v>
          </cell>
          <cell r="AI285">
            <v>0</v>
          </cell>
          <cell r="AM285">
            <v>0</v>
          </cell>
          <cell r="AN285">
            <v>0</v>
          </cell>
          <cell r="AO285">
            <v>0</v>
          </cell>
          <cell r="AP285">
            <v>313584</v>
          </cell>
          <cell r="AQ285">
            <v>69343</v>
          </cell>
          <cell r="AR285">
            <v>7705</v>
          </cell>
          <cell r="AS285">
            <v>-497449</v>
          </cell>
          <cell r="AT285">
            <v>-397959</v>
          </cell>
          <cell r="AU285">
            <v>-89540</v>
          </cell>
          <cell r="AV285">
            <v>-9948</v>
          </cell>
          <cell r="AW285">
            <v>-994896</v>
          </cell>
          <cell r="AX285">
            <v>-2156722</v>
          </cell>
          <cell r="AY285">
            <v>-1725378</v>
          </cell>
          <cell r="AZ285">
            <v>-388211</v>
          </cell>
          <cell r="BA285">
            <v>-43135</v>
          </cell>
          <cell r="BB285">
            <v>-4313446</v>
          </cell>
          <cell r="BC285">
            <v>48173778</v>
          </cell>
          <cell r="BD285">
            <v>-2647039</v>
          </cell>
          <cell r="BE285">
            <v>1353581</v>
          </cell>
          <cell r="BF285">
            <v>0</v>
          </cell>
          <cell r="BG285">
            <v>-2823358</v>
          </cell>
          <cell r="BH285">
            <v>-67986</v>
          </cell>
          <cell r="BI285">
            <v>-30583</v>
          </cell>
          <cell r="BJ285">
            <v>-15372</v>
          </cell>
          <cell r="BK285">
            <v>-1103687</v>
          </cell>
          <cell r="BL285">
            <v>-179774</v>
          </cell>
          <cell r="BM285">
            <v>-93610</v>
          </cell>
          <cell r="BN285">
            <v>-16997</v>
          </cell>
          <cell r="BO285">
            <v>-55854</v>
          </cell>
          <cell r="BP285">
            <v>-30583</v>
          </cell>
          <cell r="BQ285">
            <v>0</v>
          </cell>
          <cell r="BR285">
            <v>0</v>
          </cell>
          <cell r="BS285">
            <v>0</v>
          </cell>
          <cell r="BT285">
            <v>51979451</v>
          </cell>
          <cell r="BU285">
            <v>-728275</v>
          </cell>
          <cell r="BV285">
            <v>2337465</v>
          </cell>
          <cell r="BW285">
            <v>-660126</v>
          </cell>
          <cell r="BX285">
            <v>13334</v>
          </cell>
          <cell r="BY285">
            <v>1586089</v>
          </cell>
          <cell r="BZ285">
            <v>51291761</v>
          </cell>
          <cell r="CA285">
            <v>6667</v>
          </cell>
          <cell r="CB285">
            <v>5333</v>
          </cell>
          <cell r="CC285">
            <v>1200</v>
          </cell>
          <cell r="CD285">
            <v>134</v>
          </cell>
          <cell r="CE285">
            <v>793044</v>
          </cell>
          <cell r="CF285">
            <v>634436</v>
          </cell>
          <cell r="CG285">
            <v>142748</v>
          </cell>
          <cell r="CH285">
            <v>15861</v>
          </cell>
        </row>
        <row r="286">
          <cell r="A286">
            <v>279</v>
          </cell>
          <cell r="B286" t="str">
            <v>Tewkesbury</v>
          </cell>
          <cell r="C286" t="str">
            <v>E1636</v>
          </cell>
          <cell r="D286">
            <v>123791</v>
          </cell>
          <cell r="H286">
            <v>1118347</v>
          </cell>
          <cell r="I286">
            <v>0</v>
          </cell>
          <cell r="J286">
            <v>123791</v>
          </cell>
          <cell r="K286">
            <v>0</v>
          </cell>
          <cell r="L286">
            <v>0</v>
          </cell>
          <cell r="M286">
            <v>0</v>
          </cell>
          <cell r="N286">
            <v>0</v>
          </cell>
          <cell r="O286">
            <v>0</v>
          </cell>
          <cell r="P286">
            <v>0</v>
          </cell>
          <cell r="Q286">
            <v>0</v>
          </cell>
          <cell r="R286">
            <v>497384</v>
          </cell>
          <cell r="S286">
            <v>124346</v>
          </cell>
          <cell r="T286">
            <v>0</v>
          </cell>
          <cell r="U286">
            <v>0</v>
          </cell>
          <cell r="V286">
            <v>0</v>
          </cell>
          <cell r="W286">
            <v>0</v>
          </cell>
          <cell r="X286">
            <v>0</v>
          </cell>
          <cell r="Y286">
            <v>0</v>
          </cell>
          <cell r="Z286">
            <v>0</v>
          </cell>
          <cell r="AA286">
            <v>1580</v>
          </cell>
          <cell r="AB286">
            <v>395</v>
          </cell>
          <cell r="AC286">
            <v>0</v>
          </cell>
          <cell r="AD286">
            <v>0</v>
          </cell>
          <cell r="AE286">
            <v>0</v>
          </cell>
          <cell r="AF286">
            <v>0</v>
          </cell>
          <cell r="AG286">
            <v>0</v>
          </cell>
          <cell r="AH286">
            <v>0</v>
          </cell>
          <cell r="AI286">
            <v>0</v>
          </cell>
          <cell r="AM286">
            <v>0</v>
          </cell>
          <cell r="AN286">
            <v>0</v>
          </cell>
          <cell r="AO286">
            <v>0</v>
          </cell>
          <cell r="AP286">
            <v>210562</v>
          </cell>
          <cell r="AQ286">
            <v>52641</v>
          </cell>
          <cell r="AR286">
            <v>0</v>
          </cell>
          <cell r="AS286">
            <v>-61431</v>
          </cell>
          <cell r="AT286">
            <v>-49144</v>
          </cell>
          <cell r="AU286">
            <v>-12286</v>
          </cell>
          <cell r="AV286">
            <v>0</v>
          </cell>
          <cell r="AW286">
            <v>-122861</v>
          </cell>
          <cell r="AX286">
            <v>-4097412</v>
          </cell>
          <cell r="AY286">
            <v>-3277930</v>
          </cell>
          <cell r="AZ286">
            <v>-819483</v>
          </cell>
          <cell r="BA286">
            <v>0</v>
          </cell>
          <cell r="BB286">
            <v>-8194825</v>
          </cell>
          <cell r="BC286">
            <v>31850178</v>
          </cell>
          <cell r="BD286">
            <v>-1895957</v>
          </cell>
          <cell r="BE286">
            <v>926846</v>
          </cell>
          <cell r="BF286">
            <v>0</v>
          </cell>
          <cell r="BG286">
            <v>-1248712</v>
          </cell>
          <cell r="BH286">
            <v>-33256</v>
          </cell>
          <cell r="BI286">
            <v>-10168</v>
          </cell>
          <cell r="BJ286">
            <v>-32156</v>
          </cell>
          <cell r="BK286">
            <v>-898428</v>
          </cell>
          <cell r="BL286">
            <v>-39331</v>
          </cell>
          <cell r="BM286">
            <v>-27219</v>
          </cell>
          <cell r="BN286">
            <v>-378</v>
          </cell>
          <cell r="BO286">
            <v>-7351</v>
          </cell>
          <cell r="BP286">
            <v>0</v>
          </cell>
          <cell r="BQ286">
            <v>0</v>
          </cell>
          <cell r="BR286">
            <v>0</v>
          </cell>
          <cell r="BS286">
            <v>0</v>
          </cell>
          <cell r="BT286">
            <v>35771794</v>
          </cell>
          <cell r="BU286">
            <v>-73757</v>
          </cell>
          <cell r="BV286">
            <v>132137</v>
          </cell>
          <cell r="BW286">
            <v>-106187</v>
          </cell>
          <cell r="BX286">
            <v>-3866464</v>
          </cell>
          <cell r="BY286">
            <v>-2075752</v>
          </cell>
          <cell r="BZ286">
            <v>35043566</v>
          </cell>
          <cell r="CA286">
            <v>-1933232</v>
          </cell>
          <cell r="CB286">
            <v>-1546586</v>
          </cell>
          <cell r="CC286">
            <v>-386646</v>
          </cell>
          <cell r="CD286">
            <v>0</v>
          </cell>
          <cell r="CE286">
            <v>-1037876</v>
          </cell>
          <cell r="CF286">
            <v>-830301</v>
          </cell>
          <cell r="CG286">
            <v>-207575</v>
          </cell>
          <cell r="CH286">
            <v>0</v>
          </cell>
        </row>
        <row r="287">
          <cell r="A287">
            <v>280</v>
          </cell>
          <cell r="B287" t="str">
            <v>Thanet</v>
          </cell>
          <cell r="C287" t="str">
            <v>E2242</v>
          </cell>
          <cell r="D287">
            <v>191748</v>
          </cell>
          <cell r="H287">
            <v>-340296</v>
          </cell>
          <cell r="I287">
            <v>0</v>
          </cell>
          <cell r="J287">
            <v>191748</v>
          </cell>
          <cell r="K287">
            <v>0</v>
          </cell>
          <cell r="L287">
            <v>0</v>
          </cell>
          <cell r="M287">
            <v>0</v>
          </cell>
          <cell r="N287">
            <v>0</v>
          </cell>
          <cell r="O287">
            <v>0</v>
          </cell>
          <cell r="P287">
            <v>0</v>
          </cell>
          <cell r="Q287">
            <v>0</v>
          </cell>
          <cell r="R287">
            <v>982862</v>
          </cell>
          <cell r="S287">
            <v>221144</v>
          </cell>
          <cell r="T287">
            <v>24572</v>
          </cell>
          <cell r="U287">
            <v>526</v>
          </cell>
          <cell r="V287">
            <v>118</v>
          </cell>
          <cell r="W287">
            <v>13</v>
          </cell>
          <cell r="X287">
            <v>480</v>
          </cell>
          <cell r="Y287">
            <v>108</v>
          </cell>
          <cell r="Z287">
            <v>12</v>
          </cell>
          <cell r="AA287">
            <v>762</v>
          </cell>
          <cell r="AB287">
            <v>171</v>
          </cell>
          <cell r="AC287">
            <v>19</v>
          </cell>
          <cell r="AD287">
            <v>0</v>
          </cell>
          <cell r="AE287">
            <v>0</v>
          </cell>
          <cell r="AF287">
            <v>0</v>
          </cell>
          <cell r="AG287">
            <v>0</v>
          </cell>
          <cell r="AH287">
            <v>0</v>
          </cell>
          <cell r="AI287">
            <v>0</v>
          </cell>
          <cell r="AM287">
            <v>0</v>
          </cell>
          <cell r="AN287">
            <v>0</v>
          </cell>
          <cell r="AO287">
            <v>0</v>
          </cell>
          <cell r="AP287">
            <v>187898</v>
          </cell>
          <cell r="AQ287">
            <v>42277</v>
          </cell>
          <cell r="AR287">
            <v>4697</v>
          </cell>
          <cell r="AS287">
            <v>-482754</v>
          </cell>
          <cell r="AT287">
            <v>-386201</v>
          </cell>
          <cell r="AU287">
            <v>-86896</v>
          </cell>
          <cell r="AV287">
            <v>-9655</v>
          </cell>
          <cell r="AW287">
            <v>-965506</v>
          </cell>
          <cell r="AX287">
            <v>-2631650</v>
          </cell>
          <cell r="AY287">
            <v>-2105320</v>
          </cell>
          <cell r="AZ287">
            <v>-473698</v>
          </cell>
          <cell r="BA287">
            <v>-52633</v>
          </cell>
          <cell r="BB287">
            <v>-5263301</v>
          </cell>
          <cell r="BC287">
            <v>33674766</v>
          </cell>
          <cell r="BD287">
            <v>-4153604</v>
          </cell>
          <cell r="BE287">
            <v>934524</v>
          </cell>
          <cell r="BF287">
            <v>0</v>
          </cell>
          <cell r="BG287">
            <v>-3848991</v>
          </cell>
          <cell r="BH287">
            <v>-39794</v>
          </cell>
          <cell r="BI287">
            <v>-5107</v>
          </cell>
          <cell r="BJ287">
            <v>-2745</v>
          </cell>
          <cell r="BK287">
            <v>-1445183</v>
          </cell>
          <cell r="BL287">
            <v>-151002</v>
          </cell>
          <cell r="BM287">
            <v>-45620</v>
          </cell>
          <cell r="BN287">
            <v>0</v>
          </cell>
          <cell r="BO287">
            <v>-758</v>
          </cell>
          <cell r="BP287">
            <v>0</v>
          </cell>
          <cell r="BQ287">
            <v>0</v>
          </cell>
          <cell r="BR287">
            <v>0</v>
          </cell>
          <cell r="BS287">
            <v>0</v>
          </cell>
          <cell r="BT287">
            <v>33275112</v>
          </cell>
          <cell r="BU287">
            <v>-290509</v>
          </cell>
          <cell r="BV287">
            <v>1804806</v>
          </cell>
          <cell r="BW287">
            <v>-1595293</v>
          </cell>
          <cell r="BX287">
            <v>3421105</v>
          </cell>
          <cell r="BY287">
            <v>3118092</v>
          </cell>
          <cell r="BZ287">
            <v>31271603</v>
          </cell>
          <cell r="CA287">
            <v>1710552</v>
          </cell>
          <cell r="CB287">
            <v>1368441</v>
          </cell>
          <cell r="CC287">
            <v>307900</v>
          </cell>
          <cell r="CD287">
            <v>34212</v>
          </cell>
          <cell r="CE287">
            <v>1559046</v>
          </cell>
          <cell r="CF287">
            <v>1247237</v>
          </cell>
          <cell r="CG287">
            <v>280628</v>
          </cell>
          <cell r="CH287">
            <v>31181</v>
          </cell>
        </row>
        <row r="288">
          <cell r="A288">
            <v>281</v>
          </cell>
          <cell r="B288" t="str">
            <v>Three Rivers</v>
          </cell>
          <cell r="C288" t="str">
            <v>E1938</v>
          </cell>
          <cell r="D288">
            <v>92778</v>
          </cell>
          <cell r="H288">
            <v>0</v>
          </cell>
          <cell r="I288">
            <v>0</v>
          </cell>
          <cell r="J288">
            <v>92778</v>
          </cell>
          <cell r="K288">
            <v>0</v>
          </cell>
          <cell r="L288">
            <v>0</v>
          </cell>
          <cell r="M288">
            <v>0</v>
          </cell>
          <cell r="N288">
            <v>0</v>
          </cell>
          <cell r="O288">
            <v>0</v>
          </cell>
          <cell r="P288">
            <v>0</v>
          </cell>
          <cell r="Q288">
            <v>0</v>
          </cell>
          <cell r="R288">
            <v>324881</v>
          </cell>
          <cell r="S288">
            <v>81220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M288">
            <v>0</v>
          </cell>
          <cell r="AN288">
            <v>0</v>
          </cell>
          <cell r="AO288">
            <v>0</v>
          </cell>
          <cell r="AP288">
            <v>154818</v>
          </cell>
          <cell r="AQ288">
            <v>38705</v>
          </cell>
          <cell r="AR288">
            <v>0</v>
          </cell>
          <cell r="AS288">
            <v>-338766</v>
          </cell>
          <cell r="AT288">
            <v>-271011</v>
          </cell>
          <cell r="AU288">
            <v>-67753</v>
          </cell>
          <cell r="AV288">
            <v>0</v>
          </cell>
          <cell r="AW288">
            <v>-677530</v>
          </cell>
          <cell r="AX288">
            <v>-1112593</v>
          </cell>
          <cell r="AY288">
            <v>-890072</v>
          </cell>
          <cell r="AZ288">
            <v>-222519</v>
          </cell>
          <cell r="BA288">
            <v>0</v>
          </cell>
          <cell r="BB288">
            <v>-2225184</v>
          </cell>
          <cell r="BC288">
            <v>30373309</v>
          </cell>
          <cell r="BD288">
            <v>-988486</v>
          </cell>
          <cell r="BE288">
            <v>759964</v>
          </cell>
          <cell r="BF288">
            <v>0</v>
          </cell>
          <cell r="BG288">
            <v>-2353617</v>
          </cell>
          <cell r="BH288">
            <v>-28464</v>
          </cell>
          <cell r="BI288">
            <v>-1864</v>
          </cell>
          <cell r="BJ288">
            <v>-115569</v>
          </cell>
          <cell r="BK288">
            <v>-549136</v>
          </cell>
          <cell r="BL288">
            <v>-10574</v>
          </cell>
          <cell r="BM288">
            <v>-124057</v>
          </cell>
          <cell r="BN288">
            <v>0</v>
          </cell>
          <cell r="BO288">
            <v>-1864</v>
          </cell>
          <cell r="BP288">
            <v>0</v>
          </cell>
          <cell r="BQ288">
            <v>0</v>
          </cell>
          <cell r="BR288">
            <v>0</v>
          </cell>
          <cell r="BS288">
            <v>0</v>
          </cell>
          <cell r="BT288">
            <v>27866457</v>
          </cell>
          <cell r="BU288">
            <v>-237719</v>
          </cell>
          <cell r="BV288">
            <v>703867</v>
          </cell>
          <cell r="BW288">
            <v>-839429</v>
          </cell>
          <cell r="BX288">
            <v>-9863538</v>
          </cell>
          <cell r="BY288">
            <v>-12976506</v>
          </cell>
          <cell r="BZ288">
            <v>25766155</v>
          </cell>
          <cell r="CA288">
            <v>-4931769</v>
          </cell>
          <cell r="CB288">
            <v>-3945415</v>
          </cell>
          <cell r="CC288">
            <v>-986354</v>
          </cell>
          <cell r="CD288">
            <v>0</v>
          </cell>
          <cell r="CE288">
            <v>-6488253</v>
          </cell>
          <cell r="CF288">
            <v>-5190602</v>
          </cell>
          <cell r="CG288">
            <v>-1297651</v>
          </cell>
          <cell r="CH288">
            <v>0</v>
          </cell>
        </row>
        <row r="289">
          <cell r="A289">
            <v>282</v>
          </cell>
          <cell r="B289" t="str">
            <v>Thurrock</v>
          </cell>
          <cell r="C289" t="str">
            <v>E1502</v>
          </cell>
          <cell r="D289">
            <v>229558</v>
          </cell>
          <cell r="H289">
            <v>-2403089</v>
          </cell>
          <cell r="I289">
            <v>0</v>
          </cell>
          <cell r="J289">
            <v>229558</v>
          </cell>
          <cell r="K289">
            <v>0</v>
          </cell>
          <cell r="L289">
            <v>0</v>
          </cell>
          <cell r="M289">
            <v>0</v>
          </cell>
          <cell r="N289">
            <v>0</v>
          </cell>
          <cell r="O289">
            <v>0</v>
          </cell>
          <cell r="P289">
            <v>0</v>
          </cell>
          <cell r="Q289">
            <v>0</v>
          </cell>
          <cell r="R289">
            <v>779715</v>
          </cell>
          <cell r="S289">
            <v>0</v>
          </cell>
          <cell r="T289">
            <v>15913</v>
          </cell>
          <cell r="U289">
            <v>0</v>
          </cell>
          <cell r="V289">
            <v>0</v>
          </cell>
          <cell r="W289">
            <v>0</v>
          </cell>
          <cell r="X289">
            <v>0</v>
          </cell>
          <cell r="Y289">
            <v>0</v>
          </cell>
          <cell r="Z289">
            <v>0</v>
          </cell>
          <cell r="AA289">
            <v>52313</v>
          </cell>
          <cell r="AB289">
            <v>0</v>
          </cell>
          <cell r="AC289">
            <v>1068</v>
          </cell>
          <cell r="AD289">
            <v>0</v>
          </cell>
          <cell r="AE289">
            <v>0</v>
          </cell>
          <cell r="AF289">
            <v>0</v>
          </cell>
          <cell r="AG289">
            <v>0</v>
          </cell>
          <cell r="AH289">
            <v>0</v>
          </cell>
          <cell r="AI289">
            <v>0</v>
          </cell>
          <cell r="AM289">
            <v>0</v>
          </cell>
          <cell r="AN289">
            <v>0</v>
          </cell>
          <cell r="AO289">
            <v>0</v>
          </cell>
          <cell r="AP289">
            <v>811728</v>
          </cell>
          <cell r="AQ289">
            <v>0</v>
          </cell>
          <cell r="AR289">
            <v>16566</v>
          </cell>
          <cell r="AS289">
            <v>41831</v>
          </cell>
          <cell r="AT289">
            <v>40995</v>
          </cell>
          <cell r="AU289">
            <v>0</v>
          </cell>
          <cell r="AV289">
            <v>837</v>
          </cell>
          <cell r="AW289">
            <v>83663</v>
          </cell>
          <cell r="AX289">
            <v>-6132673</v>
          </cell>
          <cell r="AY289">
            <v>-6010021</v>
          </cell>
          <cell r="AZ289">
            <v>0</v>
          </cell>
          <cell r="BA289">
            <v>-122653</v>
          </cell>
          <cell r="BB289">
            <v>-12265347</v>
          </cell>
          <cell r="BC289">
            <v>110404107</v>
          </cell>
          <cell r="BD289">
            <v>-2434680</v>
          </cell>
          <cell r="BE289">
            <v>3090465</v>
          </cell>
          <cell r="BF289">
            <v>0</v>
          </cell>
          <cell r="BG289">
            <v>-4026219</v>
          </cell>
          <cell r="BH289">
            <v>-34939</v>
          </cell>
          <cell r="BI289">
            <v>0</v>
          </cell>
          <cell r="BJ289">
            <v>-3556</v>
          </cell>
          <cell r="BK289">
            <v>-5294577</v>
          </cell>
          <cell r="BL289">
            <v>-46161</v>
          </cell>
          <cell r="BM289">
            <v>-32700</v>
          </cell>
          <cell r="BN289">
            <v>-941</v>
          </cell>
          <cell r="BO289">
            <v>0</v>
          </cell>
          <cell r="BP289">
            <v>0</v>
          </cell>
          <cell r="BQ289">
            <v>0</v>
          </cell>
          <cell r="BR289">
            <v>0</v>
          </cell>
          <cell r="BS289">
            <v>0</v>
          </cell>
          <cell r="BT289">
            <v>112181176</v>
          </cell>
          <cell r="BU289">
            <v>0</v>
          </cell>
          <cell r="BV289">
            <v>599825</v>
          </cell>
          <cell r="BW289">
            <v>-270617</v>
          </cell>
          <cell r="BX289">
            <v>422656</v>
          </cell>
          <cell r="BY289">
            <v>-3617709</v>
          </cell>
          <cell r="BZ289">
            <v>110281361</v>
          </cell>
          <cell r="CA289">
            <v>211328</v>
          </cell>
          <cell r="CB289">
            <v>207101</v>
          </cell>
          <cell r="CC289">
            <v>0</v>
          </cell>
          <cell r="CD289">
            <v>4227</v>
          </cell>
          <cell r="CE289">
            <v>-1808855</v>
          </cell>
          <cell r="CF289">
            <v>-1772677</v>
          </cell>
          <cell r="CG289">
            <v>0</v>
          </cell>
          <cell r="CH289">
            <v>-36177</v>
          </cell>
        </row>
        <row r="290">
          <cell r="A290">
            <v>283</v>
          </cell>
          <cell r="B290" t="str">
            <v>Tonbridge and Malling</v>
          </cell>
          <cell r="C290" t="str">
            <v>E2243</v>
          </cell>
          <cell r="D290">
            <v>162575</v>
          </cell>
          <cell r="H290">
            <v>52258</v>
          </cell>
          <cell r="I290">
            <v>0</v>
          </cell>
          <cell r="J290">
            <v>162575</v>
          </cell>
          <cell r="K290">
            <v>0</v>
          </cell>
          <cell r="L290">
            <v>0</v>
          </cell>
          <cell r="M290">
            <v>0</v>
          </cell>
          <cell r="N290">
            <v>0</v>
          </cell>
          <cell r="O290">
            <v>0</v>
          </cell>
          <cell r="P290">
            <v>0</v>
          </cell>
          <cell r="Q290">
            <v>0</v>
          </cell>
          <cell r="R290">
            <v>521837</v>
          </cell>
          <cell r="S290">
            <v>117413</v>
          </cell>
          <cell r="T290">
            <v>13046</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M290">
            <v>0</v>
          </cell>
          <cell r="AN290">
            <v>0</v>
          </cell>
          <cell r="AO290">
            <v>0</v>
          </cell>
          <cell r="AP290">
            <v>320682</v>
          </cell>
          <cell r="AQ290">
            <v>72153</v>
          </cell>
          <cell r="AR290">
            <v>8017</v>
          </cell>
          <cell r="AS290">
            <v>-180000</v>
          </cell>
          <cell r="AT290">
            <v>-144000</v>
          </cell>
          <cell r="AU290">
            <v>-32400</v>
          </cell>
          <cell r="AV290">
            <v>-3600</v>
          </cell>
          <cell r="AW290">
            <v>-360000</v>
          </cell>
          <cell r="AX290">
            <v>-3750000</v>
          </cell>
          <cell r="AY290">
            <v>-3000000</v>
          </cell>
          <cell r="AZ290">
            <v>-675000</v>
          </cell>
          <cell r="BA290">
            <v>-75000</v>
          </cell>
          <cell r="BB290">
            <v>-7500000</v>
          </cell>
          <cell r="BC290">
            <v>53230926</v>
          </cell>
          <cell r="BD290">
            <v>-1844945</v>
          </cell>
          <cell r="BE290">
            <v>1573388</v>
          </cell>
          <cell r="BF290">
            <v>0</v>
          </cell>
          <cell r="BG290">
            <v>-4769582</v>
          </cell>
          <cell r="BH290">
            <v>-70859</v>
          </cell>
          <cell r="BI290">
            <v>-7447</v>
          </cell>
          <cell r="BJ290">
            <v>-84880</v>
          </cell>
          <cell r="BK290">
            <v>-3245623</v>
          </cell>
          <cell r="BL290">
            <v>-135113</v>
          </cell>
          <cell r="BM290">
            <v>-47477</v>
          </cell>
          <cell r="BN290">
            <v>-17408</v>
          </cell>
          <cell r="BO290">
            <v>-1558</v>
          </cell>
          <cell r="BP290">
            <v>-12899</v>
          </cell>
          <cell r="BQ290">
            <v>0</v>
          </cell>
          <cell r="BR290">
            <v>0</v>
          </cell>
          <cell r="BS290">
            <v>0</v>
          </cell>
          <cell r="BT290">
            <v>53751367</v>
          </cell>
          <cell r="BU290">
            <v>-230000</v>
          </cell>
          <cell r="BV290">
            <v>1350815</v>
          </cell>
          <cell r="BW290">
            <v>-2078022</v>
          </cell>
          <cell r="BX290">
            <v>-649646</v>
          </cell>
          <cell r="BY290">
            <v>-29785</v>
          </cell>
          <cell r="BZ290">
            <v>53370595</v>
          </cell>
          <cell r="CA290">
            <v>-324822</v>
          </cell>
          <cell r="CB290">
            <v>-259859</v>
          </cell>
          <cell r="CC290">
            <v>-58468</v>
          </cell>
          <cell r="CD290">
            <v>-6497</v>
          </cell>
          <cell r="CE290">
            <v>-14892</v>
          </cell>
          <cell r="CF290">
            <v>-11914</v>
          </cell>
          <cell r="CG290">
            <v>-2681</v>
          </cell>
          <cell r="CH290">
            <v>-298</v>
          </cell>
        </row>
        <row r="291">
          <cell r="A291">
            <v>284</v>
          </cell>
          <cell r="B291" t="str">
            <v>Torbay</v>
          </cell>
          <cell r="C291" t="str">
            <v>E1102</v>
          </cell>
          <cell r="D291">
            <v>195813</v>
          </cell>
          <cell r="H291">
            <v>-3609793.3899999997</v>
          </cell>
          <cell r="I291">
            <v>0</v>
          </cell>
          <cell r="J291">
            <v>195813</v>
          </cell>
          <cell r="K291">
            <v>0</v>
          </cell>
          <cell r="L291">
            <v>0</v>
          </cell>
          <cell r="M291">
            <v>0</v>
          </cell>
          <cell r="N291">
            <v>0</v>
          </cell>
          <cell r="O291">
            <v>0</v>
          </cell>
          <cell r="P291">
            <v>0</v>
          </cell>
          <cell r="Q291">
            <v>0</v>
          </cell>
          <cell r="R291">
            <v>1392580</v>
          </cell>
          <cell r="S291">
            <v>0</v>
          </cell>
          <cell r="T291">
            <v>28420</v>
          </cell>
          <cell r="U291">
            <v>6363</v>
          </cell>
          <cell r="V291">
            <v>0</v>
          </cell>
          <cell r="W291">
            <v>130</v>
          </cell>
          <cell r="X291">
            <v>0</v>
          </cell>
          <cell r="Y291">
            <v>0</v>
          </cell>
          <cell r="Z291">
            <v>0</v>
          </cell>
          <cell r="AA291">
            <v>5069</v>
          </cell>
          <cell r="AB291">
            <v>0</v>
          </cell>
          <cell r="AC291">
            <v>103</v>
          </cell>
          <cell r="AD291">
            <v>0</v>
          </cell>
          <cell r="AE291">
            <v>0</v>
          </cell>
          <cell r="AF291">
            <v>0</v>
          </cell>
          <cell r="AG291">
            <v>0</v>
          </cell>
          <cell r="AH291">
            <v>0</v>
          </cell>
          <cell r="AI291">
            <v>0</v>
          </cell>
          <cell r="AM291">
            <v>0</v>
          </cell>
          <cell r="AN291">
            <v>0</v>
          </cell>
          <cell r="AO291">
            <v>0</v>
          </cell>
          <cell r="AP291">
            <v>224188</v>
          </cell>
          <cell r="AQ291">
            <v>0</v>
          </cell>
          <cell r="AR291">
            <v>4575</v>
          </cell>
          <cell r="AS291">
            <v>-431057</v>
          </cell>
          <cell r="AT291">
            <v>-422435</v>
          </cell>
          <cell r="AU291">
            <v>0</v>
          </cell>
          <cell r="AV291">
            <v>-8622</v>
          </cell>
          <cell r="AW291">
            <v>-862114</v>
          </cell>
          <cell r="AX291">
            <v>-1515396</v>
          </cell>
          <cell r="AY291">
            <v>-1485088</v>
          </cell>
          <cell r="AZ291">
            <v>0</v>
          </cell>
          <cell r="BA291">
            <v>-30308</v>
          </cell>
          <cell r="BB291">
            <v>-3030792</v>
          </cell>
          <cell r="BC291">
            <v>37457069</v>
          </cell>
          <cell r="BD291">
            <v>-4386286</v>
          </cell>
          <cell r="BE291">
            <v>1005147</v>
          </cell>
          <cell r="BF291">
            <v>0</v>
          </cell>
          <cell r="BG291">
            <v>-3656907</v>
          </cell>
          <cell r="BH291">
            <v>-137454</v>
          </cell>
          <cell r="BI291">
            <v>0</v>
          </cell>
          <cell r="BJ291">
            <v>-9569</v>
          </cell>
          <cell r="BK291">
            <v>-1232178</v>
          </cell>
          <cell r="BL291">
            <v>-67209</v>
          </cell>
          <cell r="BM291">
            <v>-294024</v>
          </cell>
          <cell r="BN291">
            <v>-4968</v>
          </cell>
          <cell r="BO291">
            <v>0</v>
          </cell>
          <cell r="BP291">
            <v>0</v>
          </cell>
          <cell r="BQ291">
            <v>0</v>
          </cell>
          <cell r="BR291">
            <v>0</v>
          </cell>
          <cell r="BS291">
            <v>0</v>
          </cell>
          <cell r="BT291">
            <v>37377885</v>
          </cell>
          <cell r="BU291">
            <v>-603748</v>
          </cell>
          <cell r="BV291">
            <v>1878475</v>
          </cell>
          <cell r="BW291">
            <v>-720079</v>
          </cell>
          <cell r="BX291">
            <v>-493639</v>
          </cell>
          <cell r="BY291">
            <v>-103564</v>
          </cell>
          <cell r="BZ291">
            <v>30458166</v>
          </cell>
          <cell r="CA291">
            <v>-246820</v>
          </cell>
          <cell r="CB291">
            <v>-241883</v>
          </cell>
          <cell r="CC291">
            <v>0</v>
          </cell>
          <cell r="CD291">
            <v>-4936</v>
          </cell>
          <cell r="CE291">
            <v>-51782</v>
          </cell>
          <cell r="CF291">
            <v>-50746</v>
          </cell>
          <cell r="CG291">
            <v>0</v>
          </cell>
          <cell r="CH291">
            <v>-1036</v>
          </cell>
        </row>
        <row r="292">
          <cell r="A292">
            <v>285</v>
          </cell>
          <cell r="B292" t="str">
            <v>Torridge</v>
          </cell>
          <cell r="C292" t="str">
            <v>E1139</v>
          </cell>
          <cell r="D292">
            <v>132592</v>
          </cell>
          <cell r="H292">
            <v>648424</v>
          </cell>
          <cell r="I292">
            <v>0</v>
          </cell>
          <cell r="J292">
            <v>132592</v>
          </cell>
          <cell r="K292">
            <v>0</v>
          </cell>
          <cell r="L292">
            <v>746789</v>
          </cell>
          <cell r="M292">
            <v>0</v>
          </cell>
          <cell r="N292">
            <v>0</v>
          </cell>
          <cell r="O292">
            <v>0</v>
          </cell>
          <cell r="P292">
            <v>0</v>
          </cell>
          <cell r="Q292">
            <v>0</v>
          </cell>
          <cell r="R292">
            <v>729512</v>
          </cell>
          <cell r="S292">
            <v>164140</v>
          </cell>
          <cell r="T292">
            <v>18238</v>
          </cell>
          <cell r="U292">
            <v>271</v>
          </cell>
          <cell r="V292">
            <v>61</v>
          </cell>
          <cell r="W292">
            <v>7</v>
          </cell>
          <cell r="X292">
            <v>0</v>
          </cell>
          <cell r="Y292">
            <v>0</v>
          </cell>
          <cell r="Z292">
            <v>0</v>
          </cell>
          <cell r="AA292">
            <v>0</v>
          </cell>
          <cell r="AB292">
            <v>0</v>
          </cell>
          <cell r="AC292">
            <v>0</v>
          </cell>
          <cell r="AD292">
            <v>0</v>
          </cell>
          <cell r="AE292">
            <v>0</v>
          </cell>
          <cell r="AF292">
            <v>0</v>
          </cell>
          <cell r="AG292">
            <v>0</v>
          </cell>
          <cell r="AH292">
            <v>0</v>
          </cell>
          <cell r="AI292">
            <v>0</v>
          </cell>
          <cell r="AM292">
            <v>0</v>
          </cell>
          <cell r="AN292">
            <v>0</v>
          </cell>
          <cell r="AO292">
            <v>0</v>
          </cell>
          <cell r="AP292">
            <v>74565</v>
          </cell>
          <cell r="AQ292">
            <v>14253</v>
          </cell>
          <cell r="AR292">
            <v>1584</v>
          </cell>
          <cell r="AS292">
            <v>-46487</v>
          </cell>
          <cell r="AT292">
            <v>-37189</v>
          </cell>
          <cell r="AU292">
            <v>-8368</v>
          </cell>
          <cell r="AV292">
            <v>-930</v>
          </cell>
          <cell r="AW292">
            <v>-92974</v>
          </cell>
          <cell r="AX292">
            <v>-645782</v>
          </cell>
          <cell r="AY292">
            <v>-516623</v>
          </cell>
          <cell r="AZ292">
            <v>-116241</v>
          </cell>
          <cell r="BA292">
            <v>-12916</v>
          </cell>
          <cell r="BB292">
            <v>-1291562</v>
          </cell>
          <cell r="BC292">
            <v>10098580</v>
          </cell>
          <cell r="BD292">
            <v>-3083690</v>
          </cell>
          <cell r="BE292">
            <v>273801</v>
          </cell>
          <cell r="BF292">
            <v>0</v>
          </cell>
          <cell r="BG292">
            <v>-1311683</v>
          </cell>
          <cell r="BH292">
            <v>-30662</v>
          </cell>
          <cell r="BI292">
            <v>-57724</v>
          </cell>
          <cell r="BJ292">
            <v>0</v>
          </cell>
          <cell r="BK292">
            <v>-334507</v>
          </cell>
          <cell r="BL292">
            <v>-85024</v>
          </cell>
          <cell r="BM292">
            <v>-20124</v>
          </cell>
          <cell r="BN292">
            <v>-3508</v>
          </cell>
          <cell r="BO292">
            <v>-19390</v>
          </cell>
          <cell r="BP292">
            <v>-10361</v>
          </cell>
          <cell r="BQ292">
            <v>0</v>
          </cell>
          <cell r="BR292">
            <v>0</v>
          </cell>
          <cell r="BS292">
            <v>0</v>
          </cell>
          <cell r="BT292">
            <v>10590926</v>
          </cell>
          <cell r="BU292">
            <v>-47436</v>
          </cell>
          <cell r="BV292">
            <v>335855</v>
          </cell>
          <cell r="BW292">
            <v>-125690</v>
          </cell>
          <cell r="BX292">
            <v>-726667</v>
          </cell>
          <cell r="BY292">
            <v>-1312729</v>
          </cell>
          <cell r="BZ292">
            <v>10542753</v>
          </cell>
          <cell r="CA292">
            <v>-363333</v>
          </cell>
          <cell r="CB292">
            <v>-290667</v>
          </cell>
          <cell r="CC292">
            <v>-65401</v>
          </cell>
          <cell r="CD292">
            <v>-7266</v>
          </cell>
          <cell r="CE292">
            <v>-656364</v>
          </cell>
          <cell r="CF292">
            <v>-525092</v>
          </cell>
          <cell r="CG292">
            <v>-118146</v>
          </cell>
          <cell r="CH292">
            <v>-13127</v>
          </cell>
        </row>
        <row r="293">
          <cell r="A293">
            <v>286</v>
          </cell>
          <cell r="B293" t="str">
            <v>Tower Hamlets</v>
          </cell>
          <cell r="C293" t="str">
            <v>E5020</v>
          </cell>
          <cell r="D293">
            <v>1016741</v>
          </cell>
          <cell r="H293">
            <v>23454911</v>
          </cell>
          <cell r="I293">
            <v>0</v>
          </cell>
          <cell r="J293">
            <v>1016741</v>
          </cell>
          <cell r="K293">
            <v>0</v>
          </cell>
          <cell r="L293">
            <v>0</v>
          </cell>
          <cell r="M293">
            <v>0</v>
          </cell>
          <cell r="N293">
            <v>0</v>
          </cell>
          <cell r="O293">
            <v>0</v>
          </cell>
          <cell r="P293">
            <v>0</v>
          </cell>
          <cell r="Q293">
            <v>0</v>
          </cell>
          <cell r="R293">
            <v>1047046</v>
          </cell>
          <cell r="S293">
            <v>1291356</v>
          </cell>
          <cell r="T293">
            <v>0</v>
          </cell>
          <cell r="U293">
            <v>0</v>
          </cell>
          <cell r="V293">
            <v>0</v>
          </cell>
          <cell r="W293">
            <v>0</v>
          </cell>
          <cell r="X293">
            <v>164304</v>
          </cell>
          <cell r="Y293">
            <v>202642</v>
          </cell>
          <cell r="Z293">
            <v>0</v>
          </cell>
          <cell r="AA293">
            <v>1400</v>
          </cell>
          <cell r="AB293">
            <v>1726</v>
          </cell>
          <cell r="AC293">
            <v>0</v>
          </cell>
          <cell r="AD293">
            <v>0</v>
          </cell>
          <cell r="AE293">
            <v>0</v>
          </cell>
          <cell r="AF293">
            <v>0</v>
          </cell>
          <cell r="AG293">
            <v>0</v>
          </cell>
          <cell r="AH293">
            <v>0</v>
          </cell>
          <cell r="AI293">
            <v>0</v>
          </cell>
          <cell r="AM293">
            <v>0</v>
          </cell>
          <cell r="AN293">
            <v>0</v>
          </cell>
          <cell r="AO293">
            <v>0</v>
          </cell>
          <cell r="AP293">
            <v>2022094</v>
          </cell>
          <cell r="AQ293">
            <v>2493916</v>
          </cell>
          <cell r="AR293">
            <v>0</v>
          </cell>
          <cell r="AS293">
            <v>-4228101</v>
          </cell>
          <cell r="AT293">
            <v>-2536863</v>
          </cell>
          <cell r="AU293">
            <v>-1691241</v>
          </cell>
          <cell r="AV293">
            <v>0</v>
          </cell>
          <cell r="AW293">
            <v>-8456205</v>
          </cell>
          <cell r="AX293">
            <v>-972610</v>
          </cell>
          <cell r="AY293">
            <v>-583566</v>
          </cell>
          <cell r="AZ293">
            <v>-389044</v>
          </cell>
          <cell r="BA293">
            <v>0</v>
          </cell>
          <cell r="BB293">
            <v>-1945220</v>
          </cell>
          <cell r="BC293">
            <v>392900678</v>
          </cell>
          <cell r="BD293">
            <v>-6700974</v>
          </cell>
          <cell r="BE293">
            <v>10340539</v>
          </cell>
          <cell r="BF293">
            <v>0</v>
          </cell>
          <cell r="BG293">
            <v>-13115228</v>
          </cell>
          <cell r="BH293">
            <v>0</v>
          </cell>
          <cell r="BI293">
            <v>0</v>
          </cell>
          <cell r="BJ293">
            <v>-97</v>
          </cell>
          <cell r="BK293">
            <v>-13340648</v>
          </cell>
          <cell r="BL293">
            <v>-361285</v>
          </cell>
          <cell r="BM293">
            <v>-46569</v>
          </cell>
          <cell r="BN293">
            <v>0</v>
          </cell>
          <cell r="BO293">
            <v>0</v>
          </cell>
          <cell r="BP293">
            <v>0</v>
          </cell>
          <cell r="BQ293">
            <v>0</v>
          </cell>
          <cell r="BR293">
            <v>0</v>
          </cell>
          <cell r="BS293">
            <v>0</v>
          </cell>
          <cell r="BT293">
            <v>399518653</v>
          </cell>
          <cell r="BU293">
            <v>-1771817</v>
          </cell>
          <cell r="BV293">
            <v>20568052</v>
          </cell>
          <cell r="BW293">
            <v>-22899382</v>
          </cell>
          <cell r="BX293">
            <v>-13598394</v>
          </cell>
          <cell r="BY293">
            <v>-1313659</v>
          </cell>
          <cell r="BZ293">
            <v>448712213</v>
          </cell>
          <cell r="CA293">
            <v>-6799197</v>
          </cell>
          <cell r="CB293">
            <v>-4079518</v>
          </cell>
          <cell r="CC293">
            <v>-2719679</v>
          </cell>
          <cell r="CD293">
            <v>0</v>
          </cell>
          <cell r="CE293">
            <v>-656829</v>
          </cell>
          <cell r="CF293">
            <v>-394098</v>
          </cell>
          <cell r="CG293">
            <v>-262732</v>
          </cell>
          <cell r="CH293">
            <v>0</v>
          </cell>
        </row>
        <row r="294">
          <cell r="A294">
            <v>287</v>
          </cell>
          <cell r="B294" t="str">
            <v>Trafford</v>
          </cell>
          <cell r="C294" t="str">
            <v>E4209</v>
          </cell>
          <cell r="D294">
            <v>442753</v>
          </cell>
          <cell r="H294">
            <v>-9789188</v>
          </cell>
          <cell r="I294">
            <v>0</v>
          </cell>
          <cell r="J294">
            <v>442753</v>
          </cell>
          <cell r="K294">
            <v>0</v>
          </cell>
          <cell r="L294">
            <v>72696</v>
          </cell>
          <cell r="M294">
            <v>0</v>
          </cell>
          <cell r="N294">
            <v>0</v>
          </cell>
          <cell r="O294">
            <v>0</v>
          </cell>
          <cell r="P294">
            <v>0</v>
          </cell>
          <cell r="Q294">
            <v>0</v>
          </cell>
          <cell r="R294">
            <v>3237582</v>
          </cell>
          <cell r="S294">
            <v>0</v>
          </cell>
          <cell r="T294">
            <v>32703</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M294">
            <v>0</v>
          </cell>
          <cell r="AN294">
            <v>0</v>
          </cell>
          <cell r="AO294">
            <v>0</v>
          </cell>
          <cell r="AP294">
            <v>2264171</v>
          </cell>
          <cell r="AQ294">
            <v>0</v>
          </cell>
          <cell r="AR294">
            <v>22859</v>
          </cell>
          <cell r="AS294">
            <v>-4075008.4</v>
          </cell>
          <cell r="AT294">
            <v>-3993508</v>
          </cell>
          <cell r="AU294">
            <v>0</v>
          </cell>
          <cell r="AV294">
            <v>-81502</v>
          </cell>
          <cell r="AW294">
            <v>-8150018.4000000004</v>
          </cell>
          <cell r="AX294">
            <v>-19989435</v>
          </cell>
          <cell r="AY294">
            <v>-19589647</v>
          </cell>
          <cell r="AZ294">
            <v>0</v>
          </cell>
          <cell r="BA294">
            <v>-399789</v>
          </cell>
          <cell r="BB294">
            <v>-39978871</v>
          </cell>
          <cell r="BC294">
            <v>156549939</v>
          </cell>
          <cell r="BD294">
            <v>-4636836</v>
          </cell>
          <cell r="BE294">
            <v>4574294</v>
          </cell>
          <cell r="BF294">
            <v>0</v>
          </cell>
          <cell r="BG294">
            <v>-4683907</v>
          </cell>
          <cell r="BH294">
            <v>-67569</v>
          </cell>
          <cell r="BI294">
            <v>-509</v>
          </cell>
          <cell r="BJ294">
            <v>0</v>
          </cell>
          <cell r="BK294">
            <v>-6486639</v>
          </cell>
          <cell r="BL294">
            <v>-49275</v>
          </cell>
          <cell r="BM294">
            <v>-801407</v>
          </cell>
          <cell r="BN294">
            <v>-12494</v>
          </cell>
          <cell r="BO294">
            <v>-509</v>
          </cell>
          <cell r="BP294">
            <v>0</v>
          </cell>
          <cell r="BQ294">
            <v>0</v>
          </cell>
          <cell r="BR294">
            <v>0</v>
          </cell>
          <cell r="BS294">
            <v>0</v>
          </cell>
          <cell r="BT294">
            <v>169516024</v>
          </cell>
          <cell r="BU294">
            <v>18506</v>
          </cell>
          <cell r="BV294">
            <v>12539438</v>
          </cell>
          <cell r="BW294">
            <v>-6632396</v>
          </cell>
          <cell r="BX294">
            <v>-12020621</v>
          </cell>
          <cell r="BY294">
            <v>-1294352</v>
          </cell>
          <cell r="BZ294">
            <v>152178196</v>
          </cell>
          <cell r="CA294">
            <v>-6010310</v>
          </cell>
          <cell r="CB294">
            <v>-5890104</v>
          </cell>
          <cell r="CC294">
            <v>0</v>
          </cell>
          <cell r="CD294">
            <v>-120207</v>
          </cell>
          <cell r="CE294">
            <v>-647176</v>
          </cell>
          <cell r="CF294">
            <v>-634232</v>
          </cell>
          <cell r="CG294">
            <v>0</v>
          </cell>
          <cell r="CH294">
            <v>-12944</v>
          </cell>
        </row>
        <row r="295">
          <cell r="A295">
            <v>288</v>
          </cell>
          <cell r="B295" t="str">
            <v>Tunbridge Wells</v>
          </cell>
          <cell r="C295" t="str">
            <v>E2244</v>
          </cell>
          <cell r="D295">
            <v>172841</v>
          </cell>
          <cell r="H295">
            <v>-732748</v>
          </cell>
          <cell r="I295">
            <v>0</v>
          </cell>
          <cell r="J295">
            <v>172841</v>
          </cell>
          <cell r="K295">
            <v>0</v>
          </cell>
          <cell r="L295">
            <v>0</v>
          </cell>
          <cell r="M295">
            <v>0</v>
          </cell>
          <cell r="N295">
            <v>0</v>
          </cell>
          <cell r="O295">
            <v>0</v>
          </cell>
          <cell r="P295">
            <v>0</v>
          </cell>
          <cell r="Q295">
            <v>0</v>
          </cell>
          <cell r="R295">
            <v>602319</v>
          </cell>
          <cell r="S295">
            <v>135522</v>
          </cell>
          <cell r="T295">
            <v>15058</v>
          </cell>
          <cell r="U295">
            <v>832</v>
          </cell>
          <cell r="V295">
            <v>187</v>
          </cell>
          <cell r="W295">
            <v>21</v>
          </cell>
          <cell r="X295">
            <v>0</v>
          </cell>
          <cell r="Y295">
            <v>0</v>
          </cell>
          <cell r="Z295">
            <v>0</v>
          </cell>
          <cell r="AA295">
            <v>7630</v>
          </cell>
          <cell r="AB295">
            <v>1717</v>
          </cell>
          <cell r="AC295">
            <v>191</v>
          </cell>
          <cell r="AD295">
            <v>0</v>
          </cell>
          <cell r="AE295">
            <v>0</v>
          </cell>
          <cell r="AF295">
            <v>0</v>
          </cell>
          <cell r="AG295">
            <v>0</v>
          </cell>
          <cell r="AH295">
            <v>0</v>
          </cell>
          <cell r="AI295">
            <v>0</v>
          </cell>
          <cell r="AM295">
            <v>0</v>
          </cell>
          <cell r="AN295">
            <v>0</v>
          </cell>
          <cell r="AO295">
            <v>0</v>
          </cell>
          <cell r="AP295">
            <v>327367</v>
          </cell>
          <cell r="AQ295">
            <v>73658</v>
          </cell>
          <cell r="AR295">
            <v>8184</v>
          </cell>
          <cell r="AS295">
            <v>-980934</v>
          </cell>
          <cell r="AT295">
            <v>-784749</v>
          </cell>
          <cell r="AU295">
            <v>-176569</v>
          </cell>
          <cell r="AV295">
            <v>-19618</v>
          </cell>
          <cell r="AW295">
            <v>-1961870</v>
          </cell>
          <cell r="AX295">
            <v>-2426227</v>
          </cell>
          <cell r="AY295">
            <v>-1940982</v>
          </cell>
          <cell r="AZ295">
            <v>-436721</v>
          </cell>
          <cell r="BA295">
            <v>-48524</v>
          </cell>
          <cell r="BB295">
            <v>-4852454</v>
          </cell>
          <cell r="BC295">
            <v>52451433</v>
          </cell>
          <cell r="BD295">
            <v>-2228564</v>
          </cell>
          <cell r="BE295">
            <v>1443942</v>
          </cell>
          <cell r="BF295">
            <v>0</v>
          </cell>
          <cell r="BG295">
            <v>-4292233</v>
          </cell>
          <cell r="BH295">
            <v>-27325</v>
          </cell>
          <cell r="BI295">
            <v>-7424</v>
          </cell>
          <cell r="BJ295">
            <v>0</v>
          </cell>
          <cell r="BK295">
            <v>-1528140</v>
          </cell>
          <cell r="BL295">
            <v>-24878</v>
          </cell>
          <cell r="BM295">
            <v>-12848</v>
          </cell>
          <cell r="BN295">
            <v>-987</v>
          </cell>
          <cell r="BO295">
            <v>-4541</v>
          </cell>
          <cell r="BP295">
            <v>-21788</v>
          </cell>
          <cell r="BQ295">
            <v>0</v>
          </cell>
          <cell r="BR295">
            <v>0</v>
          </cell>
          <cell r="BS295">
            <v>0</v>
          </cell>
          <cell r="BT295">
            <v>52737362</v>
          </cell>
          <cell r="BU295">
            <v>0</v>
          </cell>
          <cell r="BV295">
            <v>2454288</v>
          </cell>
          <cell r="BW295">
            <v>-1370894</v>
          </cell>
          <cell r="BX295">
            <v>642034</v>
          </cell>
          <cell r="BY295">
            <v>-257648</v>
          </cell>
          <cell r="BZ295">
            <v>54483176</v>
          </cell>
          <cell r="CA295">
            <v>321018</v>
          </cell>
          <cell r="CB295">
            <v>256813</v>
          </cell>
          <cell r="CC295">
            <v>57783</v>
          </cell>
          <cell r="CD295">
            <v>6420</v>
          </cell>
          <cell r="CE295">
            <v>-128825</v>
          </cell>
          <cell r="CF295">
            <v>-103059</v>
          </cell>
          <cell r="CG295">
            <v>-23188</v>
          </cell>
          <cell r="CH295">
            <v>-2576</v>
          </cell>
        </row>
        <row r="296">
          <cell r="A296">
            <v>289</v>
          </cell>
          <cell r="B296" t="str">
            <v>Uttlesford</v>
          </cell>
          <cell r="C296" t="str">
            <v>E1544</v>
          </cell>
          <cell r="D296">
            <v>138766</v>
          </cell>
          <cell r="H296">
            <v>-1164784</v>
          </cell>
          <cell r="I296">
            <v>0</v>
          </cell>
          <cell r="J296">
            <v>138766</v>
          </cell>
          <cell r="K296">
            <v>0</v>
          </cell>
          <cell r="L296">
            <v>136486</v>
          </cell>
          <cell r="M296">
            <v>0</v>
          </cell>
          <cell r="N296">
            <v>0</v>
          </cell>
          <cell r="O296">
            <v>0</v>
          </cell>
          <cell r="P296">
            <v>0</v>
          </cell>
          <cell r="Q296">
            <v>0</v>
          </cell>
          <cell r="R296">
            <v>558469</v>
          </cell>
          <cell r="S296">
            <v>125656</v>
          </cell>
          <cell r="T296">
            <v>13962</v>
          </cell>
          <cell r="U296">
            <v>3993</v>
          </cell>
          <cell r="V296">
            <v>898</v>
          </cell>
          <cell r="W296">
            <v>100</v>
          </cell>
          <cell r="X296">
            <v>0</v>
          </cell>
          <cell r="Y296">
            <v>0</v>
          </cell>
          <cell r="Z296">
            <v>0</v>
          </cell>
          <cell r="AA296">
            <v>0</v>
          </cell>
          <cell r="AB296">
            <v>0</v>
          </cell>
          <cell r="AC296">
            <v>0</v>
          </cell>
          <cell r="AD296">
            <v>0</v>
          </cell>
          <cell r="AE296">
            <v>0</v>
          </cell>
          <cell r="AF296">
            <v>0</v>
          </cell>
          <cell r="AG296">
            <v>0</v>
          </cell>
          <cell r="AH296">
            <v>0</v>
          </cell>
          <cell r="AI296">
            <v>0</v>
          </cell>
          <cell r="AM296">
            <v>0</v>
          </cell>
          <cell r="AN296">
            <v>0</v>
          </cell>
          <cell r="AO296">
            <v>0</v>
          </cell>
          <cell r="AP296">
            <v>253570</v>
          </cell>
          <cell r="AQ296">
            <v>56592</v>
          </cell>
          <cell r="AR296">
            <v>6288</v>
          </cell>
          <cell r="AS296">
            <v>-228289</v>
          </cell>
          <cell r="AT296">
            <v>-182630</v>
          </cell>
          <cell r="AU296">
            <v>-41091</v>
          </cell>
          <cell r="AV296">
            <v>-4566</v>
          </cell>
          <cell r="AW296">
            <v>-456576</v>
          </cell>
          <cell r="AX296">
            <v>-1061718</v>
          </cell>
          <cell r="AY296">
            <v>-849373</v>
          </cell>
          <cell r="AZ296">
            <v>-191110</v>
          </cell>
          <cell r="BA296">
            <v>-21234</v>
          </cell>
          <cell r="BB296">
            <v>-2123435</v>
          </cell>
          <cell r="BC296">
            <v>39930711</v>
          </cell>
          <cell r="BD296">
            <v>-2184257</v>
          </cell>
          <cell r="BE296">
            <v>1113368</v>
          </cell>
          <cell r="BF296">
            <v>0</v>
          </cell>
          <cell r="BG296">
            <v>-1933096</v>
          </cell>
          <cell r="BH296">
            <v>-16282</v>
          </cell>
          <cell r="BI296">
            <v>-48148</v>
          </cell>
          <cell r="BJ296">
            <v>-78515</v>
          </cell>
          <cell r="BK296">
            <v>-923224</v>
          </cell>
          <cell r="BL296">
            <v>-46318</v>
          </cell>
          <cell r="BM296">
            <v>-122536</v>
          </cell>
          <cell r="BN296">
            <v>-169</v>
          </cell>
          <cell r="BO296">
            <v>-44657</v>
          </cell>
          <cell r="BP296">
            <v>-120451</v>
          </cell>
          <cell r="BQ296">
            <v>-56883</v>
          </cell>
          <cell r="BR296">
            <v>0</v>
          </cell>
          <cell r="BS296">
            <v>0</v>
          </cell>
          <cell r="BT296">
            <v>32462603</v>
          </cell>
          <cell r="BU296">
            <v>-232960</v>
          </cell>
          <cell r="BV296">
            <v>1438992</v>
          </cell>
          <cell r="BW296">
            <v>-504013</v>
          </cell>
          <cell r="BX296">
            <v>-2173048</v>
          </cell>
          <cell r="BY296">
            <v>-3429337</v>
          </cell>
          <cell r="BZ296">
            <v>41860113</v>
          </cell>
          <cell r="CA296">
            <v>-1086523</v>
          </cell>
          <cell r="CB296">
            <v>-869220</v>
          </cell>
          <cell r="CC296">
            <v>-195574</v>
          </cell>
          <cell r="CD296">
            <v>-21731</v>
          </cell>
          <cell r="CE296">
            <v>-1714669</v>
          </cell>
          <cell r="CF296">
            <v>-1371735</v>
          </cell>
          <cell r="CG296">
            <v>-308640</v>
          </cell>
          <cell r="CH296">
            <v>-34293</v>
          </cell>
        </row>
        <row r="297">
          <cell r="A297">
            <v>290</v>
          </cell>
          <cell r="B297" t="str">
            <v>Vale of White Horse</v>
          </cell>
          <cell r="C297" t="str">
            <v>E3134</v>
          </cell>
          <cell r="D297">
            <v>179515</v>
          </cell>
          <cell r="H297">
            <v>-3945400</v>
          </cell>
          <cell r="I297">
            <v>-31563</v>
          </cell>
          <cell r="J297">
            <v>179515</v>
          </cell>
          <cell r="K297">
            <v>817931</v>
          </cell>
          <cell r="L297">
            <v>236429</v>
          </cell>
          <cell r="M297">
            <v>0</v>
          </cell>
          <cell r="N297">
            <v>659722</v>
          </cell>
          <cell r="O297">
            <v>659722</v>
          </cell>
          <cell r="P297">
            <v>0</v>
          </cell>
          <cell r="Q297">
            <v>0</v>
          </cell>
          <cell r="R297">
            <v>490751</v>
          </cell>
          <cell r="S297">
            <v>117430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M297">
            <v>0</v>
          </cell>
          <cell r="AN297">
            <v>0</v>
          </cell>
          <cell r="AO297">
            <v>0</v>
          </cell>
          <cell r="AP297">
            <v>341010</v>
          </cell>
          <cell r="AQ297">
            <v>78815</v>
          </cell>
          <cell r="AR297">
            <v>0</v>
          </cell>
          <cell r="AS297">
            <v>-509435</v>
          </cell>
          <cell r="AT297">
            <v>-407548</v>
          </cell>
          <cell r="AU297">
            <v>-101887</v>
          </cell>
          <cell r="AV297">
            <v>0</v>
          </cell>
          <cell r="AW297">
            <v>-1018870</v>
          </cell>
          <cell r="AX297">
            <v>-2077965</v>
          </cell>
          <cell r="AY297">
            <v>-1662374</v>
          </cell>
          <cell r="AZ297">
            <v>-415593</v>
          </cell>
          <cell r="BA297">
            <v>0</v>
          </cell>
          <cell r="BB297">
            <v>-4155932</v>
          </cell>
          <cell r="BC297">
            <v>56978978</v>
          </cell>
          <cell r="BD297">
            <v>-1769500</v>
          </cell>
          <cell r="BE297">
            <v>1683381</v>
          </cell>
          <cell r="BF297">
            <v>0</v>
          </cell>
          <cell r="BG297">
            <v>-7350309</v>
          </cell>
          <cell r="BH297">
            <v>-98410</v>
          </cell>
          <cell r="BI297">
            <v>-37071</v>
          </cell>
          <cell r="BJ297">
            <v>0</v>
          </cell>
          <cell r="BK297">
            <v>-1597417</v>
          </cell>
          <cell r="BL297">
            <v>-158516</v>
          </cell>
          <cell r="BM297">
            <v>-8092</v>
          </cell>
          <cell r="BN297">
            <v>-6151</v>
          </cell>
          <cell r="BO297">
            <v>-15021</v>
          </cell>
          <cell r="BP297">
            <v>0</v>
          </cell>
          <cell r="BQ297">
            <v>-694514</v>
          </cell>
          <cell r="BR297">
            <v>-968447</v>
          </cell>
          <cell r="BS297">
            <v>0</v>
          </cell>
          <cell r="BT297">
            <v>58045375</v>
          </cell>
          <cell r="BU297">
            <v>-243724</v>
          </cell>
          <cell r="BV297">
            <v>1854023</v>
          </cell>
          <cell r="BW297">
            <v>-595740</v>
          </cell>
          <cell r="BX297">
            <v>-1417930</v>
          </cell>
          <cell r="BY297">
            <v>-2598407</v>
          </cell>
          <cell r="BZ297">
            <v>52468602</v>
          </cell>
          <cell r="CA297">
            <v>-708964</v>
          </cell>
          <cell r="CB297">
            <v>-567173</v>
          </cell>
          <cell r="CC297">
            <v>-141793</v>
          </cell>
          <cell r="CD297">
            <v>0</v>
          </cell>
          <cell r="CE297">
            <v>-1299203</v>
          </cell>
          <cell r="CF297">
            <v>-1039363</v>
          </cell>
          <cell r="CG297">
            <v>-259841</v>
          </cell>
          <cell r="CH297">
            <v>0</v>
          </cell>
        </row>
        <row r="298">
          <cell r="A298">
            <v>291</v>
          </cell>
          <cell r="B298" t="str">
            <v>Wakefield</v>
          </cell>
          <cell r="C298" t="str">
            <v>E4705</v>
          </cell>
          <cell r="D298">
            <v>451332</v>
          </cell>
          <cell r="H298">
            <v>-6216765</v>
          </cell>
          <cell r="I298">
            <v>0</v>
          </cell>
          <cell r="J298">
            <v>451332</v>
          </cell>
          <cell r="K298">
            <v>0</v>
          </cell>
          <cell r="L298">
            <v>543161</v>
          </cell>
          <cell r="M298">
            <v>0</v>
          </cell>
          <cell r="N298">
            <v>0</v>
          </cell>
          <cell r="O298">
            <v>0</v>
          </cell>
          <cell r="P298">
            <v>0</v>
          </cell>
          <cell r="Q298">
            <v>0</v>
          </cell>
          <cell r="R298">
            <v>2504436</v>
          </cell>
          <cell r="S298">
            <v>0</v>
          </cell>
          <cell r="T298">
            <v>51111</v>
          </cell>
          <cell r="U298">
            <v>4973</v>
          </cell>
          <cell r="V298">
            <v>0</v>
          </cell>
          <cell r="W298">
            <v>102</v>
          </cell>
          <cell r="X298">
            <v>0</v>
          </cell>
          <cell r="Y298">
            <v>0</v>
          </cell>
          <cell r="Z298">
            <v>0</v>
          </cell>
          <cell r="AA298">
            <v>1813</v>
          </cell>
          <cell r="AB298">
            <v>0</v>
          </cell>
          <cell r="AC298">
            <v>37</v>
          </cell>
          <cell r="AD298">
            <v>0</v>
          </cell>
          <cell r="AE298">
            <v>0</v>
          </cell>
          <cell r="AF298">
            <v>0</v>
          </cell>
          <cell r="AG298">
            <v>0</v>
          </cell>
          <cell r="AH298">
            <v>0</v>
          </cell>
          <cell r="AI298">
            <v>0</v>
          </cell>
          <cell r="AM298">
            <v>0</v>
          </cell>
          <cell r="AN298">
            <v>0</v>
          </cell>
          <cell r="AO298">
            <v>0</v>
          </cell>
          <cell r="AP298">
            <v>860826</v>
          </cell>
          <cell r="AQ298">
            <v>0</v>
          </cell>
          <cell r="AR298">
            <v>17401</v>
          </cell>
          <cell r="AS298">
            <v>-510000</v>
          </cell>
          <cell r="AT298">
            <v>-499800</v>
          </cell>
          <cell r="AU298">
            <v>0</v>
          </cell>
          <cell r="AV298">
            <v>-10200</v>
          </cell>
          <cell r="AW298">
            <v>-1020000</v>
          </cell>
          <cell r="AX298">
            <v>-6014807</v>
          </cell>
          <cell r="AY298">
            <v>-5894516</v>
          </cell>
          <cell r="AZ298">
            <v>0</v>
          </cell>
          <cell r="BA298">
            <v>-120298</v>
          </cell>
          <cell r="BB298">
            <v>-12029621</v>
          </cell>
          <cell r="BC298">
            <v>121268877</v>
          </cell>
          <cell r="BD298">
            <v>-8204154</v>
          </cell>
          <cell r="BE298">
            <v>3488962</v>
          </cell>
          <cell r="BF298">
            <v>0</v>
          </cell>
          <cell r="BG298">
            <v>-7452163</v>
          </cell>
          <cell r="BH298">
            <v>-73375</v>
          </cell>
          <cell r="BI298">
            <v>-6572</v>
          </cell>
          <cell r="BJ298">
            <v>-67766</v>
          </cell>
          <cell r="BK298">
            <v>-4679217</v>
          </cell>
          <cell r="BL298">
            <v>-803316</v>
          </cell>
          <cell r="BM298">
            <v>-453822</v>
          </cell>
          <cell r="BN298">
            <v>-11783</v>
          </cell>
          <cell r="BO298">
            <v>0</v>
          </cell>
          <cell r="BP298">
            <v>0</v>
          </cell>
          <cell r="BQ298">
            <v>0</v>
          </cell>
          <cell r="BR298">
            <v>0</v>
          </cell>
          <cell r="BS298">
            <v>0</v>
          </cell>
          <cell r="BT298">
            <v>127932240</v>
          </cell>
          <cell r="BU298">
            <v>-1151053</v>
          </cell>
          <cell r="BV298">
            <v>1674166</v>
          </cell>
          <cell r="BW298">
            <v>-1400948</v>
          </cell>
          <cell r="BX298">
            <v>-6589340</v>
          </cell>
          <cell r="BY298">
            <v>-6665203</v>
          </cell>
          <cell r="BZ298">
            <v>115843438</v>
          </cell>
          <cell r="CA298">
            <v>-3294671</v>
          </cell>
          <cell r="CB298">
            <v>-3228776</v>
          </cell>
          <cell r="CC298">
            <v>0</v>
          </cell>
          <cell r="CD298">
            <v>-65893</v>
          </cell>
          <cell r="CE298">
            <v>-3332602</v>
          </cell>
          <cell r="CF298">
            <v>-3265949</v>
          </cell>
          <cell r="CG298">
            <v>0</v>
          </cell>
          <cell r="CH298">
            <v>-66652</v>
          </cell>
        </row>
        <row r="299">
          <cell r="A299">
            <v>292</v>
          </cell>
          <cell r="B299" t="str">
            <v>Walsall</v>
          </cell>
          <cell r="C299" t="str">
            <v>E4606</v>
          </cell>
          <cell r="D299">
            <v>337320</v>
          </cell>
          <cell r="H299">
            <v>3450076</v>
          </cell>
          <cell r="I299">
            <v>-3437</v>
          </cell>
          <cell r="J299">
            <v>337320</v>
          </cell>
          <cell r="K299">
            <v>13229</v>
          </cell>
          <cell r="L299">
            <v>0</v>
          </cell>
          <cell r="M299">
            <v>0</v>
          </cell>
          <cell r="N299">
            <v>0</v>
          </cell>
          <cell r="O299">
            <v>0</v>
          </cell>
          <cell r="P299">
            <v>0</v>
          </cell>
          <cell r="Q299">
            <v>0</v>
          </cell>
          <cell r="R299">
            <v>4007678</v>
          </cell>
          <cell r="S299">
            <v>0</v>
          </cell>
          <cell r="T299">
            <v>40477</v>
          </cell>
          <cell r="U299">
            <v>44106</v>
          </cell>
          <cell r="V299">
            <v>0</v>
          </cell>
          <cell r="W299">
            <v>446</v>
          </cell>
          <cell r="X299">
            <v>0</v>
          </cell>
          <cell r="Y299">
            <v>0</v>
          </cell>
          <cell r="Z299">
            <v>0</v>
          </cell>
          <cell r="AA299">
            <v>4023</v>
          </cell>
          <cell r="AB299">
            <v>0</v>
          </cell>
          <cell r="AC299">
            <v>41</v>
          </cell>
          <cell r="AD299">
            <v>0</v>
          </cell>
          <cell r="AE299">
            <v>0</v>
          </cell>
          <cell r="AF299">
            <v>0</v>
          </cell>
          <cell r="AG299">
            <v>0</v>
          </cell>
          <cell r="AH299">
            <v>0</v>
          </cell>
          <cell r="AI299">
            <v>0</v>
          </cell>
          <cell r="AM299">
            <v>0</v>
          </cell>
          <cell r="AN299">
            <v>0</v>
          </cell>
          <cell r="AO299">
            <v>0</v>
          </cell>
          <cell r="AP299">
            <v>1086113</v>
          </cell>
          <cell r="AQ299">
            <v>0</v>
          </cell>
          <cell r="AR299">
            <v>10969</v>
          </cell>
          <cell r="AS299">
            <v>-1792164</v>
          </cell>
          <cell r="AT299">
            <v>-1756320</v>
          </cell>
          <cell r="AU299">
            <v>0</v>
          </cell>
          <cell r="AV299">
            <v>-35842</v>
          </cell>
          <cell r="AW299">
            <v>-3584326</v>
          </cell>
          <cell r="AX299">
            <v>-2657653</v>
          </cell>
          <cell r="AY299">
            <v>-2604502</v>
          </cell>
          <cell r="AZ299">
            <v>0</v>
          </cell>
          <cell r="BA299">
            <v>-53154</v>
          </cell>
          <cell r="BB299">
            <v>-5315309</v>
          </cell>
          <cell r="BC299">
            <v>70102033</v>
          </cell>
          <cell r="BD299">
            <v>-6132267</v>
          </cell>
          <cell r="BE299">
            <v>1872286</v>
          </cell>
          <cell r="BF299">
            <v>0</v>
          </cell>
          <cell r="BG299">
            <v>-4970911</v>
          </cell>
          <cell r="BH299">
            <v>-44783</v>
          </cell>
          <cell r="BI299">
            <v>0</v>
          </cell>
          <cell r="BJ299">
            <v>-20052</v>
          </cell>
          <cell r="BK299">
            <v>-2869423</v>
          </cell>
          <cell r="BL299">
            <v>-149489</v>
          </cell>
          <cell r="BM299">
            <v>-46004</v>
          </cell>
          <cell r="BN299">
            <v>-3428</v>
          </cell>
          <cell r="BO299">
            <v>0</v>
          </cell>
          <cell r="BP299">
            <v>0</v>
          </cell>
          <cell r="BQ299">
            <v>0</v>
          </cell>
          <cell r="BR299">
            <v>0</v>
          </cell>
          <cell r="BS299">
            <v>0</v>
          </cell>
          <cell r="BT299">
            <v>69165793</v>
          </cell>
          <cell r="BU299">
            <v>0</v>
          </cell>
          <cell r="BV299">
            <v>7170296</v>
          </cell>
          <cell r="BW299">
            <v>-1480735</v>
          </cell>
          <cell r="BX299">
            <v>-222878</v>
          </cell>
          <cell r="BY299">
            <v>-1368293</v>
          </cell>
          <cell r="BZ299">
            <v>73021071</v>
          </cell>
          <cell r="CA299">
            <v>-111438</v>
          </cell>
          <cell r="CB299">
            <v>-109210</v>
          </cell>
          <cell r="CC299">
            <v>0</v>
          </cell>
          <cell r="CD299">
            <v>-2230</v>
          </cell>
          <cell r="CE299">
            <v>-684146</v>
          </cell>
          <cell r="CF299">
            <v>-670464</v>
          </cell>
          <cell r="CG299">
            <v>0</v>
          </cell>
          <cell r="CH299">
            <v>-13683</v>
          </cell>
        </row>
        <row r="300">
          <cell r="A300">
            <v>293</v>
          </cell>
          <cell r="B300" t="str">
            <v>Waltham Forest</v>
          </cell>
          <cell r="C300" t="str">
            <v>E5049</v>
          </cell>
          <cell r="D300">
            <v>294648</v>
          </cell>
          <cell r="H300">
            <v>10647989</v>
          </cell>
          <cell r="I300">
            <v>0</v>
          </cell>
          <cell r="J300">
            <v>294648</v>
          </cell>
          <cell r="K300">
            <v>0</v>
          </cell>
          <cell r="L300">
            <v>0</v>
          </cell>
          <cell r="M300">
            <v>0</v>
          </cell>
          <cell r="N300">
            <v>0</v>
          </cell>
          <cell r="O300">
            <v>0</v>
          </cell>
          <cell r="P300">
            <v>0</v>
          </cell>
          <cell r="Q300">
            <v>0</v>
          </cell>
          <cell r="R300">
            <v>1051429</v>
          </cell>
          <cell r="S300">
            <v>1296762</v>
          </cell>
          <cell r="T300">
            <v>0</v>
          </cell>
          <cell r="U300">
            <v>442</v>
          </cell>
          <cell r="V300">
            <v>545</v>
          </cell>
          <cell r="W300">
            <v>0</v>
          </cell>
          <cell r="X300">
            <v>8075</v>
          </cell>
          <cell r="Y300">
            <v>9959</v>
          </cell>
          <cell r="Z300">
            <v>0</v>
          </cell>
          <cell r="AA300">
            <v>364</v>
          </cell>
          <cell r="AB300">
            <v>449</v>
          </cell>
          <cell r="AC300">
            <v>0</v>
          </cell>
          <cell r="AD300">
            <v>0</v>
          </cell>
          <cell r="AE300">
            <v>0</v>
          </cell>
          <cell r="AF300">
            <v>0</v>
          </cell>
          <cell r="AG300">
            <v>0</v>
          </cell>
          <cell r="AH300">
            <v>0</v>
          </cell>
          <cell r="AI300">
            <v>0</v>
          </cell>
          <cell r="AM300">
            <v>0</v>
          </cell>
          <cell r="AN300">
            <v>0</v>
          </cell>
          <cell r="AO300">
            <v>0</v>
          </cell>
          <cell r="AP300">
            <v>283927</v>
          </cell>
          <cell r="AQ300">
            <v>350176</v>
          </cell>
          <cell r="AR300">
            <v>0</v>
          </cell>
          <cell r="AS300">
            <v>-1212260</v>
          </cell>
          <cell r="AT300">
            <v>-727355</v>
          </cell>
          <cell r="AU300">
            <v>-484904</v>
          </cell>
          <cell r="AV300">
            <v>0</v>
          </cell>
          <cell r="AW300">
            <v>-2424519</v>
          </cell>
          <cell r="AX300">
            <v>-3329164</v>
          </cell>
          <cell r="AY300">
            <v>-1997499</v>
          </cell>
          <cell r="AZ300">
            <v>-1331665</v>
          </cell>
          <cell r="BA300">
            <v>0</v>
          </cell>
          <cell r="BB300">
            <v>-6658328</v>
          </cell>
          <cell r="BC300">
            <v>52592567</v>
          </cell>
          <cell r="BD300">
            <v>-5479117</v>
          </cell>
          <cell r="BE300">
            <v>1362363</v>
          </cell>
          <cell r="BF300">
            <v>0</v>
          </cell>
          <cell r="BG300">
            <v>-5285388</v>
          </cell>
          <cell r="BH300">
            <v>-46633</v>
          </cell>
          <cell r="BI300">
            <v>0</v>
          </cell>
          <cell r="BJ300">
            <v>0</v>
          </cell>
          <cell r="BK300">
            <v>-1152320</v>
          </cell>
          <cell r="BL300">
            <v>-146842</v>
          </cell>
          <cell r="BM300">
            <v>-67052</v>
          </cell>
          <cell r="BN300">
            <v>-2858</v>
          </cell>
          <cell r="BO300">
            <v>0</v>
          </cell>
          <cell r="BP300">
            <v>0</v>
          </cell>
          <cell r="BQ300">
            <v>0</v>
          </cell>
          <cell r="BR300">
            <v>0</v>
          </cell>
          <cell r="BS300">
            <v>0</v>
          </cell>
          <cell r="BT300">
            <v>59401699</v>
          </cell>
          <cell r="BU300">
            <v>-586642</v>
          </cell>
          <cell r="BV300">
            <v>4358167</v>
          </cell>
          <cell r="BW300">
            <v>-3658472</v>
          </cell>
          <cell r="BX300">
            <v>-1052387</v>
          </cell>
          <cell r="BY300">
            <v>-3533463</v>
          </cell>
          <cell r="BZ300">
            <v>63004726</v>
          </cell>
          <cell r="CA300">
            <v>-526193</v>
          </cell>
          <cell r="CB300">
            <v>-315716</v>
          </cell>
          <cell r="CC300">
            <v>-210478</v>
          </cell>
          <cell r="CD300">
            <v>0</v>
          </cell>
          <cell r="CE300">
            <v>-1766731</v>
          </cell>
          <cell r="CF300">
            <v>-1060039</v>
          </cell>
          <cell r="CG300">
            <v>-706693</v>
          </cell>
          <cell r="CH300">
            <v>0</v>
          </cell>
        </row>
        <row r="301">
          <cell r="A301">
            <v>294</v>
          </cell>
          <cell r="B301" t="str">
            <v>Wandsworth</v>
          </cell>
          <cell r="C301" t="str">
            <v>E5021</v>
          </cell>
          <cell r="D301">
            <v>462945</v>
          </cell>
          <cell r="H301">
            <v>6864065</v>
          </cell>
          <cell r="I301">
            <v>380607</v>
          </cell>
          <cell r="J301">
            <v>462945</v>
          </cell>
          <cell r="K301">
            <v>0</v>
          </cell>
          <cell r="L301">
            <v>0</v>
          </cell>
          <cell r="M301">
            <v>0</v>
          </cell>
          <cell r="N301">
            <v>0</v>
          </cell>
          <cell r="O301">
            <v>0</v>
          </cell>
          <cell r="P301">
            <v>0</v>
          </cell>
          <cell r="Q301">
            <v>0</v>
          </cell>
          <cell r="R301">
            <v>972756</v>
          </cell>
          <cell r="S301">
            <v>1080352</v>
          </cell>
          <cell r="T301">
            <v>0</v>
          </cell>
          <cell r="U301">
            <v>9703</v>
          </cell>
          <cell r="V301">
            <v>9631</v>
          </cell>
          <cell r="W301">
            <v>0</v>
          </cell>
          <cell r="X301">
            <v>0</v>
          </cell>
          <cell r="Y301">
            <v>0</v>
          </cell>
          <cell r="Z301">
            <v>0</v>
          </cell>
          <cell r="AA301">
            <v>15999</v>
          </cell>
          <cell r="AB301">
            <v>19732</v>
          </cell>
          <cell r="AC301">
            <v>0</v>
          </cell>
          <cell r="AD301">
            <v>0</v>
          </cell>
          <cell r="AE301">
            <v>0</v>
          </cell>
          <cell r="AF301">
            <v>0</v>
          </cell>
          <cell r="AG301">
            <v>0</v>
          </cell>
          <cell r="AH301">
            <v>0</v>
          </cell>
          <cell r="AI301">
            <v>0</v>
          </cell>
          <cell r="AM301">
            <v>0</v>
          </cell>
          <cell r="AN301">
            <v>0</v>
          </cell>
          <cell r="AO301">
            <v>0</v>
          </cell>
          <cell r="AP301">
            <v>513994</v>
          </cell>
          <cell r="AQ301">
            <v>633925</v>
          </cell>
          <cell r="AR301">
            <v>0</v>
          </cell>
          <cell r="AS301">
            <v>-1491000</v>
          </cell>
          <cell r="AT301">
            <v>-894600</v>
          </cell>
          <cell r="AU301">
            <v>-596400</v>
          </cell>
          <cell r="AV301">
            <v>0</v>
          </cell>
          <cell r="AW301">
            <v>-2982000</v>
          </cell>
          <cell r="AX301">
            <v>-3498570</v>
          </cell>
          <cell r="AY301">
            <v>-2099141</v>
          </cell>
          <cell r="AZ301">
            <v>-1399427</v>
          </cell>
          <cell r="BA301">
            <v>0</v>
          </cell>
          <cell r="BB301">
            <v>-6997138</v>
          </cell>
          <cell r="BC301">
            <v>101775301</v>
          </cell>
          <cell r="BD301">
            <v>-4210701</v>
          </cell>
          <cell r="BE301">
            <v>2542838</v>
          </cell>
          <cell r="BF301">
            <v>0</v>
          </cell>
          <cell r="BG301">
            <v>-9562973</v>
          </cell>
          <cell r="BH301">
            <v>-26232</v>
          </cell>
          <cell r="BI301">
            <v>0</v>
          </cell>
          <cell r="BJ301">
            <v>0</v>
          </cell>
          <cell r="BK301">
            <v>-2747274</v>
          </cell>
          <cell r="BL301">
            <v>-223397</v>
          </cell>
          <cell r="BM301">
            <v>-957417</v>
          </cell>
          <cell r="BN301">
            <v>-1384</v>
          </cell>
          <cell r="BO301">
            <v>0</v>
          </cell>
          <cell r="BP301">
            <v>0</v>
          </cell>
          <cell r="BQ301">
            <v>0</v>
          </cell>
          <cell r="BR301">
            <v>0</v>
          </cell>
          <cell r="BS301">
            <v>0</v>
          </cell>
          <cell r="BT301">
            <v>102353445</v>
          </cell>
          <cell r="BU301">
            <v>-24040</v>
          </cell>
          <cell r="BV301">
            <v>6261127</v>
          </cell>
          <cell r="BW301">
            <v>-3798139</v>
          </cell>
          <cell r="BX301">
            <v>-7123959</v>
          </cell>
          <cell r="BY301">
            <v>-6050615</v>
          </cell>
          <cell r="BZ301">
            <v>114057619</v>
          </cell>
          <cell r="CA301">
            <v>-3561979</v>
          </cell>
          <cell r="CB301">
            <v>-2137188</v>
          </cell>
          <cell r="CC301">
            <v>-1424792</v>
          </cell>
          <cell r="CD301">
            <v>0</v>
          </cell>
          <cell r="CE301">
            <v>-3025307</v>
          </cell>
          <cell r="CF301">
            <v>-1815185</v>
          </cell>
          <cell r="CG301">
            <v>-1210123</v>
          </cell>
          <cell r="CH301">
            <v>0</v>
          </cell>
        </row>
        <row r="302">
          <cell r="A302">
            <v>295</v>
          </cell>
          <cell r="B302" t="str">
            <v>Warrington</v>
          </cell>
          <cell r="C302" t="str">
            <v>E0602</v>
          </cell>
          <cell r="D302">
            <v>294932</v>
          </cell>
          <cell r="H302">
            <v>-8695887</v>
          </cell>
          <cell r="I302">
            <v>-154394</v>
          </cell>
          <cell r="J302">
            <v>294932</v>
          </cell>
          <cell r="K302">
            <v>0</v>
          </cell>
          <cell r="L302">
            <v>0</v>
          </cell>
          <cell r="M302">
            <v>0</v>
          </cell>
          <cell r="N302">
            <v>1065427</v>
          </cell>
          <cell r="O302">
            <v>1065427</v>
          </cell>
          <cell r="P302">
            <v>0</v>
          </cell>
          <cell r="Q302">
            <v>0</v>
          </cell>
          <cell r="R302">
            <v>1040201</v>
          </cell>
          <cell r="S302">
            <v>0</v>
          </cell>
          <cell r="T302">
            <v>21172</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M302">
            <v>0</v>
          </cell>
          <cell r="AN302">
            <v>0</v>
          </cell>
          <cell r="AO302">
            <v>0</v>
          </cell>
          <cell r="AP302">
            <v>772652</v>
          </cell>
          <cell r="AQ302">
            <v>0</v>
          </cell>
          <cell r="AR302">
            <v>15442</v>
          </cell>
          <cell r="AS302">
            <v>-2357974</v>
          </cell>
          <cell r="AT302">
            <v>-2310814</v>
          </cell>
          <cell r="AU302">
            <v>0</v>
          </cell>
          <cell r="AV302">
            <v>-47160</v>
          </cell>
          <cell r="AW302">
            <v>-4715948</v>
          </cell>
          <cell r="AX302">
            <v>-4614363</v>
          </cell>
          <cell r="AY302">
            <v>-4522077</v>
          </cell>
          <cell r="AZ302">
            <v>0</v>
          </cell>
          <cell r="BA302">
            <v>-92288</v>
          </cell>
          <cell r="BB302">
            <v>-9228728</v>
          </cell>
          <cell r="BC302">
            <v>108308426</v>
          </cell>
          <cell r="BD302">
            <v>-3340065</v>
          </cell>
          <cell r="BE302">
            <v>3014623</v>
          </cell>
          <cell r="BF302">
            <v>0</v>
          </cell>
          <cell r="BG302">
            <v>-4037433</v>
          </cell>
          <cell r="BH302">
            <v>-89377</v>
          </cell>
          <cell r="BI302">
            <v>-1832</v>
          </cell>
          <cell r="BJ302">
            <v>-239521</v>
          </cell>
          <cell r="BK302">
            <v>-4163330</v>
          </cell>
          <cell r="BL302">
            <v>-151369</v>
          </cell>
          <cell r="BM302">
            <v>-764682</v>
          </cell>
          <cell r="BN302">
            <v>-5268</v>
          </cell>
          <cell r="BO302">
            <v>-1018</v>
          </cell>
          <cell r="BP302">
            <v>-3557</v>
          </cell>
          <cell r="BQ302">
            <v>-5454</v>
          </cell>
          <cell r="BR302">
            <v>0</v>
          </cell>
          <cell r="BS302">
            <v>0</v>
          </cell>
          <cell r="BT302">
            <v>109769262</v>
          </cell>
          <cell r="BU302">
            <v>0</v>
          </cell>
          <cell r="BV302">
            <v>12679343</v>
          </cell>
          <cell r="BW302">
            <v>-1613339</v>
          </cell>
          <cell r="BX302">
            <v>-7687019</v>
          </cell>
          <cell r="BY302">
            <v>-8168528</v>
          </cell>
          <cell r="BZ302">
            <v>102798183</v>
          </cell>
          <cell r="CA302">
            <v>-3843510</v>
          </cell>
          <cell r="CB302">
            <v>-3766639</v>
          </cell>
          <cell r="CC302">
            <v>0</v>
          </cell>
          <cell r="CD302">
            <v>-76870</v>
          </cell>
          <cell r="CE302">
            <v>-4084264</v>
          </cell>
          <cell r="CF302">
            <v>-4002579</v>
          </cell>
          <cell r="CG302">
            <v>0</v>
          </cell>
          <cell r="CH302">
            <v>-81685</v>
          </cell>
        </row>
        <row r="303">
          <cell r="A303">
            <v>296</v>
          </cell>
          <cell r="B303" t="str">
            <v>Warwick</v>
          </cell>
          <cell r="C303" t="str">
            <v>E3735</v>
          </cell>
          <cell r="D303">
            <v>209611</v>
          </cell>
          <cell r="H303">
            <v>-589545</v>
          </cell>
          <cell r="I303">
            <v>0</v>
          </cell>
          <cell r="J303">
            <v>209611</v>
          </cell>
          <cell r="K303">
            <v>0</v>
          </cell>
          <cell r="L303">
            <v>8505</v>
          </cell>
          <cell r="M303">
            <v>0</v>
          </cell>
          <cell r="N303">
            <v>0</v>
          </cell>
          <cell r="O303">
            <v>0</v>
          </cell>
          <cell r="P303">
            <v>0</v>
          </cell>
          <cell r="Q303">
            <v>0</v>
          </cell>
          <cell r="R303">
            <v>1146535</v>
          </cell>
          <cell r="S303">
            <v>286634</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M303">
            <v>0</v>
          </cell>
          <cell r="AN303">
            <v>0</v>
          </cell>
          <cell r="AO303">
            <v>0</v>
          </cell>
          <cell r="AP303">
            <v>368077</v>
          </cell>
          <cell r="AQ303">
            <v>91987</v>
          </cell>
          <cell r="AR303">
            <v>0</v>
          </cell>
          <cell r="AS303">
            <v>-462500</v>
          </cell>
          <cell r="AT303">
            <v>-370000</v>
          </cell>
          <cell r="AU303">
            <v>-92500</v>
          </cell>
          <cell r="AV303">
            <v>0</v>
          </cell>
          <cell r="AW303">
            <v>-925000</v>
          </cell>
          <cell r="AX303">
            <v>-4574130</v>
          </cell>
          <cell r="AY303">
            <v>-3659302</v>
          </cell>
          <cell r="AZ303">
            <v>-914826</v>
          </cell>
          <cell r="BA303">
            <v>0</v>
          </cell>
          <cell r="BB303">
            <v>-9148258</v>
          </cell>
          <cell r="BC303">
            <v>70253328</v>
          </cell>
          <cell r="BD303">
            <v>-3000792</v>
          </cell>
          <cell r="BE303">
            <v>1857678</v>
          </cell>
          <cell r="BF303">
            <v>0</v>
          </cell>
          <cell r="BG303">
            <v>-4179613</v>
          </cell>
          <cell r="BH303">
            <v>-60366</v>
          </cell>
          <cell r="BI303">
            <v>-7759</v>
          </cell>
          <cell r="BJ303">
            <v>-8014</v>
          </cell>
          <cell r="BK303">
            <v>-2468872</v>
          </cell>
          <cell r="BL303">
            <v>-7116</v>
          </cell>
          <cell r="BM303">
            <v>-79297</v>
          </cell>
          <cell r="BN303">
            <v>0</v>
          </cell>
          <cell r="BO303">
            <v>-14419</v>
          </cell>
          <cell r="BP303">
            <v>0</v>
          </cell>
          <cell r="BQ303">
            <v>0</v>
          </cell>
          <cell r="BR303">
            <v>0</v>
          </cell>
          <cell r="BS303">
            <v>0</v>
          </cell>
          <cell r="BT303">
            <v>70315418</v>
          </cell>
          <cell r="BU303">
            <v>-204555</v>
          </cell>
          <cell r="BV303">
            <v>1551360</v>
          </cell>
          <cell r="BW303">
            <v>-452352</v>
          </cell>
          <cell r="BX303">
            <v>3056038</v>
          </cell>
          <cell r="BY303">
            <v>2769763</v>
          </cell>
          <cell r="BZ303">
            <v>61237254</v>
          </cell>
          <cell r="CA303">
            <v>1528019</v>
          </cell>
          <cell r="CB303">
            <v>1222415</v>
          </cell>
          <cell r="CC303">
            <v>305604</v>
          </cell>
          <cell r="CD303">
            <v>0</v>
          </cell>
          <cell r="CE303">
            <v>1384882</v>
          </cell>
          <cell r="CF303">
            <v>1107905</v>
          </cell>
          <cell r="CG303">
            <v>276976</v>
          </cell>
          <cell r="CH303">
            <v>0</v>
          </cell>
        </row>
        <row r="304">
          <cell r="A304">
            <v>297</v>
          </cell>
          <cell r="B304" t="str">
            <v>Watford</v>
          </cell>
          <cell r="C304" t="str">
            <v>E1939</v>
          </cell>
          <cell r="D304">
            <v>166600</v>
          </cell>
          <cell r="H304">
            <v>0</v>
          </cell>
          <cell r="I304">
            <v>0</v>
          </cell>
          <cell r="J304">
            <v>166600</v>
          </cell>
          <cell r="K304">
            <v>0</v>
          </cell>
          <cell r="L304">
            <v>0</v>
          </cell>
          <cell r="M304">
            <v>0</v>
          </cell>
          <cell r="N304">
            <v>0</v>
          </cell>
          <cell r="O304">
            <v>0</v>
          </cell>
          <cell r="P304">
            <v>0</v>
          </cell>
          <cell r="Q304">
            <v>0</v>
          </cell>
          <cell r="R304">
            <v>426163</v>
          </cell>
          <cell r="S304">
            <v>106541</v>
          </cell>
          <cell r="T304">
            <v>0</v>
          </cell>
          <cell r="U304">
            <v>6595</v>
          </cell>
          <cell r="V304">
            <v>1649</v>
          </cell>
          <cell r="W304">
            <v>0</v>
          </cell>
          <cell r="X304">
            <v>0</v>
          </cell>
          <cell r="Y304">
            <v>0</v>
          </cell>
          <cell r="Z304">
            <v>0</v>
          </cell>
          <cell r="AA304">
            <v>46166</v>
          </cell>
          <cell r="AB304">
            <v>11541</v>
          </cell>
          <cell r="AC304">
            <v>0</v>
          </cell>
          <cell r="AD304">
            <v>0</v>
          </cell>
          <cell r="AE304">
            <v>0</v>
          </cell>
          <cell r="AF304">
            <v>0</v>
          </cell>
          <cell r="AG304">
            <v>0</v>
          </cell>
          <cell r="AH304">
            <v>0</v>
          </cell>
          <cell r="AI304">
            <v>0</v>
          </cell>
          <cell r="AM304">
            <v>0</v>
          </cell>
          <cell r="AN304">
            <v>0</v>
          </cell>
          <cell r="AO304">
            <v>0</v>
          </cell>
          <cell r="AP304">
            <v>359665</v>
          </cell>
          <cell r="AQ304">
            <v>89916</v>
          </cell>
          <cell r="AR304">
            <v>0</v>
          </cell>
          <cell r="AS304">
            <v>-808344</v>
          </cell>
          <cell r="AT304">
            <v>-646675</v>
          </cell>
          <cell r="AU304">
            <v>-161668</v>
          </cell>
          <cell r="AV304">
            <v>0</v>
          </cell>
          <cell r="AW304">
            <v>-1616687</v>
          </cell>
          <cell r="AX304">
            <v>-5089682</v>
          </cell>
          <cell r="AY304">
            <v>-4071746</v>
          </cell>
          <cell r="AZ304">
            <v>-1017937</v>
          </cell>
          <cell r="BA304">
            <v>0</v>
          </cell>
          <cell r="BB304">
            <v>-10179365</v>
          </cell>
          <cell r="BC304">
            <v>72091579</v>
          </cell>
          <cell r="BD304">
            <v>-1498235</v>
          </cell>
          <cell r="BE304">
            <v>1836613</v>
          </cell>
          <cell r="BF304">
            <v>0</v>
          </cell>
          <cell r="BG304">
            <v>-3130302</v>
          </cell>
          <cell r="BH304">
            <v>0</v>
          </cell>
          <cell r="BI304">
            <v>0</v>
          </cell>
          <cell r="BJ304">
            <v>-23350</v>
          </cell>
          <cell r="BK304">
            <v>-2916626</v>
          </cell>
          <cell r="BL304">
            <v>-163707</v>
          </cell>
          <cell r="BM304">
            <v>0</v>
          </cell>
          <cell r="BN304">
            <v>0</v>
          </cell>
          <cell r="BO304">
            <v>0</v>
          </cell>
          <cell r="BP304">
            <v>0</v>
          </cell>
          <cell r="BQ304">
            <v>0</v>
          </cell>
          <cell r="BR304">
            <v>0</v>
          </cell>
          <cell r="BS304">
            <v>0</v>
          </cell>
          <cell r="BT304">
            <v>63332202</v>
          </cell>
          <cell r="BU304">
            <v>-681642</v>
          </cell>
          <cell r="BV304">
            <v>2815985</v>
          </cell>
          <cell r="BW304">
            <v>-2349115</v>
          </cell>
          <cell r="BX304">
            <v>8904529.3000000007</v>
          </cell>
          <cell r="BY304">
            <v>-1347568</v>
          </cell>
          <cell r="BZ304">
            <v>59858485</v>
          </cell>
          <cell r="CA304">
            <v>4452263.3000000007</v>
          </cell>
          <cell r="CB304">
            <v>3561813</v>
          </cell>
          <cell r="CC304">
            <v>890453</v>
          </cell>
          <cell r="CD304">
            <v>0</v>
          </cell>
          <cell r="CE304">
            <v>-673784</v>
          </cell>
          <cell r="CF304">
            <v>-539027</v>
          </cell>
          <cell r="CG304">
            <v>-134757</v>
          </cell>
          <cell r="CH304">
            <v>0</v>
          </cell>
        </row>
        <row r="305">
          <cell r="A305">
            <v>298</v>
          </cell>
          <cell r="B305" t="str">
            <v>Waveney</v>
          </cell>
          <cell r="C305" t="str">
            <v>E3537</v>
          </cell>
          <cell r="D305">
            <v>202129</v>
          </cell>
          <cell r="H305">
            <v>644820</v>
          </cell>
          <cell r="I305">
            <v>-9712</v>
          </cell>
          <cell r="J305">
            <v>202129</v>
          </cell>
          <cell r="K305">
            <v>238342</v>
          </cell>
          <cell r="L305">
            <v>201779</v>
          </cell>
          <cell r="M305">
            <v>0</v>
          </cell>
          <cell r="N305">
            <v>169145</v>
          </cell>
          <cell r="O305">
            <v>169145</v>
          </cell>
          <cell r="P305">
            <v>0</v>
          </cell>
          <cell r="Q305">
            <v>0</v>
          </cell>
          <cell r="R305">
            <v>811060</v>
          </cell>
          <cell r="S305">
            <v>202765</v>
          </cell>
          <cell r="T305">
            <v>0</v>
          </cell>
          <cell r="U305">
            <v>0</v>
          </cell>
          <cell r="V305">
            <v>0</v>
          </cell>
          <cell r="W305">
            <v>0</v>
          </cell>
          <cell r="X305">
            <v>0</v>
          </cell>
          <cell r="Y305">
            <v>0</v>
          </cell>
          <cell r="Z305">
            <v>0</v>
          </cell>
          <cell r="AA305">
            <v>4206</v>
          </cell>
          <cell r="AB305">
            <v>1051</v>
          </cell>
          <cell r="AC305">
            <v>0</v>
          </cell>
          <cell r="AD305">
            <v>0</v>
          </cell>
          <cell r="AE305">
            <v>0</v>
          </cell>
          <cell r="AF305">
            <v>0</v>
          </cell>
          <cell r="AG305">
            <v>0</v>
          </cell>
          <cell r="AH305">
            <v>0</v>
          </cell>
          <cell r="AI305">
            <v>0</v>
          </cell>
          <cell r="AM305">
            <v>0</v>
          </cell>
          <cell r="AN305">
            <v>0</v>
          </cell>
          <cell r="AO305">
            <v>0</v>
          </cell>
          <cell r="AP305">
            <v>168667</v>
          </cell>
          <cell r="AQ305">
            <v>39879</v>
          </cell>
          <cell r="AR305">
            <v>0</v>
          </cell>
          <cell r="AS305">
            <v>-422920</v>
          </cell>
          <cell r="AT305">
            <v>-338338</v>
          </cell>
          <cell r="AU305">
            <v>-84585</v>
          </cell>
          <cell r="AV305">
            <v>0</v>
          </cell>
          <cell r="AW305">
            <v>-845843</v>
          </cell>
          <cell r="AX305">
            <v>-1555642</v>
          </cell>
          <cell r="AY305">
            <v>-1244512</v>
          </cell>
          <cell r="AZ305">
            <v>-311128</v>
          </cell>
          <cell r="BA305">
            <v>0</v>
          </cell>
          <cell r="BB305">
            <v>-3111282</v>
          </cell>
          <cell r="BC305">
            <v>26800625</v>
          </cell>
          <cell r="BD305">
            <v>-3426165</v>
          </cell>
          <cell r="BE305">
            <v>713773</v>
          </cell>
          <cell r="BF305">
            <v>0</v>
          </cell>
          <cell r="BG305">
            <v>-2457991</v>
          </cell>
          <cell r="BH305">
            <v>-46285</v>
          </cell>
          <cell r="BI305">
            <v>-18358</v>
          </cell>
          <cell r="BJ305">
            <v>0</v>
          </cell>
          <cell r="BK305">
            <v>-988709</v>
          </cell>
          <cell r="BL305">
            <v>-79692</v>
          </cell>
          <cell r="BM305">
            <v>-5262</v>
          </cell>
          <cell r="BN305">
            <v>-204</v>
          </cell>
          <cell r="BO305">
            <v>-864</v>
          </cell>
          <cell r="BP305">
            <v>0</v>
          </cell>
          <cell r="BQ305">
            <v>-158686</v>
          </cell>
          <cell r="BR305">
            <v>-163398</v>
          </cell>
          <cell r="BS305">
            <v>0</v>
          </cell>
          <cell r="BT305">
            <v>27019959</v>
          </cell>
          <cell r="BU305">
            <v>-98861</v>
          </cell>
          <cell r="BV305">
            <v>1511412</v>
          </cell>
          <cell r="BW305">
            <v>-773777</v>
          </cell>
          <cell r="BX305">
            <v>-1194914</v>
          </cell>
          <cell r="BY305">
            <v>-2415155</v>
          </cell>
          <cell r="BZ305">
            <v>26547922</v>
          </cell>
          <cell r="CA305">
            <v>-597458</v>
          </cell>
          <cell r="CB305">
            <v>-477965</v>
          </cell>
          <cell r="CC305">
            <v>-119491</v>
          </cell>
          <cell r="CD305">
            <v>0</v>
          </cell>
          <cell r="CE305">
            <v>-1207577</v>
          </cell>
          <cell r="CF305">
            <v>-966062</v>
          </cell>
          <cell r="CG305">
            <v>-241516</v>
          </cell>
          <cell r="CH305">
            <v>0</v>
          </cell>
        </row>
        <row r="306">
          <cell r="A306">
            <v>299</v>
          </cell>
          <cell r="B306" t="str">
            <v>Waverley</v>
          </cell>
          <cell r="C306" t="str">
            <v>E3640</v>
          </cell>
          <cell r="D306">
            <v>177540</v>
          </cell>
          <cell r="H306">
            <v>1961408</v>
          </cell>
          <cell r="I306">
            <v>0</v>
          </cell>
          <cell r="J306">
            <v>177540</v>
          </cell>
          <cell r="K306">
            <v>0</v>
          </cell>
          <cell r="L306">
            <v>0</v>
          </cell>
          <cell r="M306">
            <v>0</v>
          </cell>
          <cell r="N306">
            <v>0</v>
          </cell>
          <cell r="O306">
            <v>0</v>
          </cell>
          <cell r="P306">
            <v>0</v>
          </cell>
          <cell r="Q306">
            <v>0</v>
          </cell>
          <cell r="R306">
            <v>661458</v>
          </cell>
          <cell r="S306">
            <v>165364</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M306">
            <v>0</v>
          </cell>
          <cell r="AN306">
            <v>0</v>
          </cell>
          <cell r="AO306">
            <v>0</v>
          </cell>
          <cell r="AP306">
            <v>227699</v>
          </cell>
          <cell r="AQ306">
            <v>56925</v>
          </cell>
          <cell r="AR306">
            <v>0</v>
          </cell>
          <cell r="AS306">
            <v>-235000</v>
          </cell>
          <cell r="AT306">
            <v>-188000</v>
          </cell>
          <cell r="AU306">
            <v>-47000</v>
          </cell>
          <cell r="AV306">
            <v>0</v>
          </cell>
          <cell r="AW306">
            <v>-470000</v>
          </cell>
          <cell r="AX306">
            <v>-1025000</v>
          </cell>
          <cell r="AY306">
            <v>-820000</v>
          </cell>
          <cell r="AZ306">
            <v>-205000</v>
          </cell>
          <cell r="BA306">
            <v>0</v>
          </cell>
          <cell r="BB306">
            <v>-2050000</v>
          </cell>
          <cell r="BC306">
            <v>36334694</v>
          </cell>
          <cell r="BD306">
            <v>-2348545</v>
          </cell>
          <cell r="BE306">
            <v>1020893</v>
          </cell>
          <cell r="BF306">
            <v>0</v>
          </cell>
          <cell r="BG306">
            <v>-5072305</v>
          </cell>
          <cell r="BH306">
            <v>-40414</v>
          </cell>
          <cell r="BI306">
            <v>-7244</v>
          </cell>
          <cell r="BJ306">
            <v>-3027</v>
          </cell>
          <cell r="BK306">
            <v>-1096289</v>
          </cell>
          <cell r="BL306">
            <v>-66204</v>
          </cell>
          <cell r="BM306">
            <v>-489165</v>
          </cell>
          <cell r="BN306">
            <v>0</v>
          </cell>
          <cell r="BO306">
            <v>-4346</v>
          </cell>
          <cell r="BP306">
            <v>-6699</v>
          </cell>
          <cell r="BQ306">
            <v>0</v>
          </cell>
          <cell r="BR306">
            <v>0</v>
          </cell>
          <cell r="BS306">
            <v>0</v>
          </cell>
          <cell r="BT306">
            <v>36734987</v>
          </cell>
          <cell r="BU306">
            <v>-235786</v>
          </cell>
          <cell r="BV306">
            <v>2338145</v>
          </cell>
          <cell r="BW306">
            <v>-750111</v>
          </cell>
          <cell r="BX306">
            <v>-2193877</v>
          </cell>
          <cell r="BY306">
            <v>-2359829</v>
          </cell>
          <cell r="BZ306">
            <v>37895632</v>
          </cell>
          <cell r="CA306">
            <v>-1096939</v>
          </cell>
          <cell r="CB306">
            <v>-877550</v>
          </cell>
          <cell r="CC306">
            <v>-219388</v>
          </cell>
          <cell r="CD306">
            <v>0</v>
          </cell>
          <cell r="CE306">
            <v>-1179914</v>
          </cell>
          <cell r="CF306">
            <v>-943932</v>
          </cell>
          <cell r="CG306">
            <v>-235983</v>
          </cell>
          <cell r="CH306">
            <v>0</v>
          </cell>
        </row>
        <row r="307">
          <cell r="A307">
            <v>300</v>
          </cell>
          <cell r="B307" t="str">
            <v>Wealden</v>
          </cell>
          <cell r="C307" t="str">
            <v>E1437</v>
          </cell>
          <cell r="D307">
            <v>214771</v>
          </cell>
          <cell r="H307">
            <v>1061787</v>
          </cell>
          <cell r="I307">
            <v>0</v>
          </cell>
          <cell r="J307">
            <v>214771</v>
          </cell>
          <cell r="K307">
            <v>0</v>
          </cell>
          <cell r="L307">
            <v>155165</v>
          </cell>
          <cell r="M307">
            <v>0</v>
          </cell>
          <cell r="N307">
            <v>0</v>
          </cell>
          <cell r="O307">
            <v>0</v>
          </cell>
          <cell r="P307">
            <v>0</v>
          </cell>
          <cell r="Q307">
            <v>0</v>
          </cell>
          <cell r="R307">
            <v>1356599</v>
          </cell>
          <cell r="S307">
            <v>305235</v>
          </cell>
          <cell r="T307">
            <v>33915</v>
          </cell>
          <cell r="U307">
            <v>10781</v>
          </cell>
          <cell r="V307">
            <v>2426</v>
          </cell>
          <cell r="W307">
            <v>270</v>
          </cell>
          <cell r="X307">
            <v>0</v>
          </cell>
          <cell r="Y307">
            <v>0</v>
          </cell>
          <cell r="Z307">
            <v>0</v>
          </cell>
          <cell r="AA307">
            <v>1545</v>
          </cell>
          <cell r="AB307">
            <v>348</v>
          </cell>
          <cell r="AC307">
            <v>39</v>
          </cell>
          <cell r="AD307">
            <v>0</v>
          </cell>
          <cell r="AE307">
            <v>0</v>
          </cell>
          <cell r="AF307">
            <v>0</v>
          </cell>
          <cell r="AG307">
            <v>0</v>
          </cell>
          <cell r="AH307">
            <v>0</v>
          </cell>
          <cell r="AI307">
            <v>0</v>
          </cell>
          <cell r="AM307">
            <v>0</v>
          </cell>
          <cell r="AN307">
            <v>0</v>
          </cell>
          <cell r="AO307">
            <v>0</v>
          </cell>
          <cell r="AP307">
            <v>162269</v>
          </cell>
          <cell r="AQ307">
            <v>35986</v>
          </cell>
          <cell r="AR307">
            <v>3998</v>
          </cell>
          <cell r="AS307">
            <v>-362344</v>
          </cell>
          <cell r="AT307">
            <v>-289874</v>
          </cell>
          <cell r="AU307">
            <v>-65221</v>
          </cell>
          <cell r="AV307">
            <v>-7247</v>
          </cell>
          <cell r="AW307">
            <v>-724686</v>
          </cell>
          <cell r="AX307">
            <v>-646501</v>
          </cell>
          <cell r="AY307">
            <v>-517200</v>
          </cell>
          <cell r="AZ307">
            <v>-116370</v>
          </cell>
          <cell r="BA307">
            <v>-12929</v>
          </cell>
          <cell r="BB307">
            <v>-1293000</v>
          </cell>
          <cell r="BC307">
            <v>30101270</v>
          </cell>
          <cell r="BD307">
            <v>-5230618</v>
          </cell>
          <cell r="BE307">
            <v>738417</v>
          </cell>
          <cell r="BF307">
            <v>0</v>
          </cell>
          <cell r="BG307">
            <v>-2737976</v>
          </cell>
          <cell r="BH307">
            <v>-88929</v>
          </cell>
          <cell r="BI307">
            <v>-71409</v>
          </cell>
          <cell r="BJ307">
            <v>-3616</v>
          </cell>
          <cell r="BK307">
            <v>-615841</v>
          </cell>
          <cell r="BL307">
            <v>-83031</v>
          </cell>
          <cell r="BM307">
            <v>-11943</v>
          </cell>
          <cell r="BN307">
            <v>0</v>
          </cell>
          <cell r="BO307">
            <v>-14341</v>
          </cell>
          <cell r="BP307">
            <v>-4227</v>
          </cell>
          <cell r="BQ307">
            <v>0</v>
          </cell>
          <cell r="BR307">
            <v>0</v>
          </cell>
          <cell r="BS307">
            <v>0</v>
          </cell>
          <cell r="BT307">
            <v>30870024</v>
          </cell>
          <cell r="BU307">
            <v>-208445</v>
          </cell>
          <cell r="BV307">
            <v>1552996</v>
          </cell>
          <cell r="BW307">
            <v>-435978</v>
          </cell>
          <cell r="BX307">
            <v>-774437</v>
          </cell>
          <cell r="BY307">
            <v>-955405</v>
          </cell>
          <cell r="BZ307">
            <v>26618351</v>
          </cell>
          <cell r="CA307">
            <v>-387220</v>
          </cell>
          <cell r="CB307">
            <v>-309774</v>
          </cell>
          <cell r="CC307">
            <v>-69699</v>
          </cell>
          <cell r="CD307">
            <v>-7744</v>
          </cell>
          <cell r="CE307">
            <v>-477703</v>
          </cell>
          <cell r="CF307">
            <v>-382162</v>
          </cell>
          <cell r="CG307">
            <v>-85986</v>
          </cell>
          <cell r="CH307">
            <v>-9554</v>
          </cell>
        </row>
        <row r="308">
          <cell r="A308">
            <v>301</v>
          </cell>
          <cell r="B308" t="str">
            <v>Wellingborough</v>
          </cell>
          <cell r="C308" t="str">
            <v>E2837</v>
          </cell>
          <cell r="D308">
            <v>109064</v>
          </cell>
          <cell r="H308">
            <v>-975612</v>
          </cell>
          <cell r="I308">
            <v>0</v>
          </cell>
          <cell r="J308">
            <v>109064</v>
          </cell>
          <cell r="K308">
            <v>0</v>
          </cell>
          <cell r="L308">
            <v>30277</v>
          </cell>
          <cell r="M308">
            <v>0</v>
          </cell>
          <cell r="N308">
            <v>0</v>
          </cell>
          <cell r="O308">
            <v>0</v>
          </cell>
          <cell r="P308">
            <v>0</v>
          </cell>
          <cell r="Q308">
            <v>0</v>
          </cell>
          <cell r="R308">
            <v>696000</v>
          </cell>
          <cell r="S308">
            <v>174000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M308">
            <v>0</v>
          </cell>
          <cell r="AN308">
            <v>0</v>
          </cell>
          <cell r="AO308">
            <v>0</v>
          </cell>
          <cell r="AP308">
            <v>168157</v>
          </cell>
          <cell r="AQ308">
            <v>41925</v>
          </cell>
          <cell r="AR308">
            <v>0</v>
          </cell>
          <cell r="AS308">
            <v>-134010</v>
          </cell>
          <cell r="AT308">
            <v>-107208</v>
          </cell>
          <cell r="AU308">
            <v>-26802</v>
          </cell>
          <cell r="AV308">
            <v>0</v>
          </cell>
          <cell r="AW308">
            <v>-268020</v>
          </cell>
          <cell r="AX308">
            <v>-1313982.8</v>
          </cell>
          <cell r="AY308">
            <v>-1051186</v>
          </cell>
          <cell r="AZ308">
            <v>-262798</v>
          </cell>
          <cell r="BA308">
            <v>0</v>
          </cell>
          <cell r="BB308">
            <v>-2627966.7999999998</v>
          </cell>
          <cell r="BC308">
            <v>28160189</v>
          </cell>
          <cell r="BD308">
            <v>-2110602</v>
          </cell>
          <cell r="BE308">
            <v>794397</v>
          </cell>
          <cell r="BF308">
            <v>0</v>
          </cell>
          <cell r="BG308">
            <v>-1734797</v>
          </cell>
          <cell r="BH308">
            <v>-8429</v>
          </cell>
          <cell r="BI308">
            <v>-2547</v>
          </cell>
          <cell r="BJ308">
            <v>-287946</v>
          </cell>
          <cell r="BK308">
            <v>-931762</v>
          </cell>
          <cell r="BL308">
            <v>-91275</v>
          </cell>
          <cell r="BM308">
            <v>-11820</v>
          </cell>
          <cell r="BN308">
            <v>-378</v>
          </cell>
          <cell r="BO308">
            <v>0</v>
          </cell>
          <cell r="BP308">
            <v>0</v>
          </cell>
          <cell r="BQ308">
            <v>0</v>
          </cell>
          <cell r="BR308">
            <v>0</v>
          </cell>
          <cell r="BS308">
            <v>0</v>
          </cell>
          <cell r="BT308">
            <v>28740993</v>
          </cell>
          <cell r="BU308">
            <v>-43078</v>
          </cell>
          <cell r="BV308">
            <v>710535</v>
          </cell>
          <cell r="BW308">
            <v>-734908</v>
          </cell>
          <cell r="BX308">
            <v>-2997216</v>
          </cell>
          <cell r="BY308">
            <v>-2624627</v>
          </cell>
          <cell r="BZ308">
            <v>27910368</v>
          </cell>
          <cell r="CA308">
            <v>-1498609</v>
          </cell>
          <cell r="CB308">
            <v>-1198886</v>
          </cell>
          <cell r="CC308">
            <v>-299721</v>
          </cell>
          <cell r="CD308">
            <v>0</v>
          </cell>
          <cell r="CE308">
            <v>-1312313</v>
          </cell>
          <cell r="CF308">
            <v>-1049851</v>
          </cell>
          <cell r="CG308">
            <v>-262463</v>
          </cell>
          <cell r="CH308">
            <v>0</v>
          </cell>
        </row>
        <row r="309">
          <cell r="A309">
            <v>302</v>
          </cell>
          <cell r="B309" t="str">
            <v>Welwyn Hatfield</v>
          </cell>
          <cell r="C309" t="str">
            <v>E1940</v>
          </cell>
          <cell r="D309">
            <v>152235</v>
          </cell>
          <cell r="H309">
            <v>-513096</v>
          </cell>
          <cell r="I309">
            <v>0</v>
          </cell>
          <cell r="J309">
            <v>152235</v>
          </cell>
          <cell r="K309">
            <v>0</v>
          </cell>
          <cell r="L309">
            <v>0</v>
          </cell>
          <cell r="M309">
            <v>0</v>
          </cell>
          <cell r="N309">
            <v>0</v>
          </cell>
          <cell r="O309">
            <v>0</v>
          </cell>
          <cell r="P309">
            <v>0</v>
          </cell>
          <cell r="Q309">
            <v>0</v>
          </cell>
          <cell r="R309">
            <v>337529</v>
          </cell>
          <cell r="S309">
            <v>84382</v>
          </cell>
          <cell r="T309">
            <v>0</v>
          </cell>
          <cell r="U309">
            <v>0</v>
          </cell>
          <cell r="V309">
            <v>0</v>
          </cell>
          <cell r="W309">
            <v>0</v>
          </cell>
          <cell r="X309">
            <v>0</v>
          </cell>
          <cell r="Y309">
            <v>0</v>
          </cell>
          <cell r="Z309">
            <v>0</v>
          </cell>
          <cell r="AA309">
            <v>7245</v>
          </cell>
          <cell r="AB309">
            <v>1811</v>
          </cell>
          <cell r="AC309">
            <v>0</v>
          </cell>
          <cell r="AD309">
            <v>0</v>
          </cell>
          <cell r="AE309">
            <v>0</v>
          </cell>
          <cell r="AF309">
            <v>0</v>
          </cell>
          <cell r="AG309">
            <v>0</v>
          </cell>
          <cell r="AH309">
            <v>0</v>
          </cell>
          <cell r="AI309">
            <v>0</v>
          </cell>
          <cell r="AM309">
            <v>0</v>
          </cell>
          <cell r="AN309">
            <v>0</v>
          </cell>
          <cell r="AO309">
            <v>0</v>
          </cell>
          <cell r="AP309">
            <v>351915</v>
          </cell>
          <cell r="AQ309">
            <v>87979</v>
          </cell>
          <cell r="AR309">
            <v>0</v>
          </cell>
          <cell r="AS309">
            <v>-69510.070000000007</v>
          </cell>
          <cell r="AT309">
            <v>-55608</v>
          </cell>
          <cell r="AU309">
            <v>-13903</v>
          </cell>
          <cell r="AV309">
            <v>0</v>
          </cell>
          <cell r="AW309">
            <v>-139021.07</v>
          </cell>
          <cell r="AX309">
            <v>-2382622.7000000002</v>
          </cell>
          <cell r="AY309">
            <v>-1906096</v>
          </cell>
          <cell r="AZ309">
            <v>-476524</v>
          </cell>
          <cell r="BA309">
            <v>0</v>
          </cell>
          <cell r="BB309">
            <v>-4765242.7</v>
          </cell>
          <cell r="BC309">
            <v>56229304</v>
          </cell>
          <cell r="BD309">
            <v>-1409325</v>
          </cell>
          <cell r="BE309">
            <v>1687652</v>
          </cell>
          <cell r="BF309">
            <v>0</v>
          </cell>
          <cell r="BG309">
            <v>-5450010</v>
          </cell>
          <cell r="BH309">
            <v>-48010</v>
          </cell>
          <cell r="BI309">
            <v>0</v>
          </cell>
          <cell r="BJ309">
            <v>-381170</v>
          </cell>
          <cell r="BK309">
            <v>-1503379</v>
          </cell>
          <cell r="BL309">
            <v>-192841</v>
          </cell>
          <cell r="BM309">
            <v>-50078</v>
          </cell>
          <cell r="BN309">
            <v>-6020</v>
          </cell>
          <cell r="BO309">
            <v>0</v>
          </cell>
          <cell r="BP309">
            <v>0</v>
          </cell>
          <cell r="BQ309">
            <v>0</v>
          </cell>
          <cell r="BR309">
            <v>0</v>
          </cell>
          <cell r="BS309">
            <v>0</v>
          </cell>
          <cell r="BT309">
            <v>58180195</v>
          </cell>
          <cell r="BU309">
            <v>-141940</v>
          </cell>
          <cell r="BV309">
            <v>764946</v>
          </cell>
          <cell r="BW309">
            <v>-194322</v>
          </cell>
          <cell r="BX309">
            <v>-3783319</v>
          </cell>
          <cell r="BY309">
            <v>-1586171</v>
          </cell>
          <cell r="BZ309">
            <v>58568763</v>
          </cell>
          <cell r="CA309">
            <v>-1891660</v>
          </cell>
          <cell r="CB309">
            <v>-1513327</v>
          </cell>
          <cell r="CC309">
            <v>-378332</v>
          </cell>
          <cell r="CD309">
            <v>0</v>
          </cell>
          <cell r="CE309">
            <v>-793086</v>
          </cell>
          <cell r="CF309">
            <v>-634468</v>
          </cell>
          <cell r="CG309">
            <v>-158617</v>
          </cell>
          <cell r="CH309">
            <v>0</v>
          </cell>
        </row>
        <row r="310">
          <cell r="A310">
            <v>303</v>
          </cell>
          <cell r="B310" t="str">
            <v>West Berkshire</v>
          </cell>
          <cell r="C310" t="str">
            <v>E0302</v>
          </cell>
          <cell r="D310">
            <v>257198</v>
          </cell>
          <cell r="H310">
            <v>-1019381</v>
          </cell>
          <cell r="I310">
            <v>0</v>
          </cell>
          <cell r="J310">
            <v>257198</v>
          </cell>
          <cell r="K310">
            <v>0</v>
          </cell>
          <cell r="L310">
            <v>0</v>
          </cell>
          <cell r="M310">
            <v>0</v>
          </cell>
          <cell r="N310">
            <v>0</v>
          </cell>
          <cell r="O310">
            <v>0</v>
          </cell>
          <cell r="P310">
            <v>0</v>
          </cell>
          <cell r="Q310">
            <v>0</v>
          </cell>
          <cell r="R310">
            <v>825632</v>
          </cell>
          <cell r="S310">
            <v>0</v>
          </cell>
          <cell r="T310">
            <v>16850</v>
          </cell>
          <cell r="U310">
            <v>7815</v>
          </cell>
          <cell r="V310">
            <v>0</v>
          </cell>
          <cell r="W310">
            <v>160</v>
          </cell>
          <cell r="X310">
            <v>0</v>
          </cell>
          <cell r="Y310">
            <v>0</v>
          </cell>
          <cell r="Z310">
            <v>0</v>
          </cell>
          <cell r="AA310">
            <v>0</v>
          </cell>
          <cell r="AB310">
            <v>0</v>
          </cell>
          <cell r="AC310">
            <v>0</v>
          </cell>
          <cell r="AD310">
            <v>0</v>
          </cell>
          <cell r="AE310">
            <v>0</v>
          </cell>
          <cell r="AF310">
            <v>0</v>
          </cell>
          <cell r="AG310">
            <v>0</v>
          </cell>
          <cell r="AH310">
            <v>0</v>
          </cell>
          <cell r="AI310">
            <v>0</v>
          </cell>
          <cell r="AM310">
            <v>0</v>
          </cell>
          <cell r="AN310">
            <v>0</v>
          </cell>
          <cell r="AO310">
            <v>0</v>
          </cell>
          <cell r="AP310">
            <v>628669</v>
          </cell>
          <cell r="AQ310">
            <v>0</v>
          </cell>
          <cell r="AR310">
            <v>12830</v>
          </cell>
          <cell r="AS310">
            <v>-98292</v>
          </cell>
          <cell r="AT310">
            <v>-96326</v>
          </cell>
          <cell r="AU310">
            <v>0</v>
          </cell>
          <cell r="AV310">
            <v>-1966</v>
          </cell>
          <cell r="AW310">
            <v>-196584</v>
          </cell>
          <cell r="AX310">
            <v>-250000</v>
          </cell>
          <cell r="AY310">
            <v>-245000</v>
          </cell>
          <cell r="AZ310">
            <v>0</v>
          </cell>
          <cell r="BA310">
            <v>-5000</v>
          </cell>
          <cell r="BB310">
            <v>-500000</v>
          </cell>
          <cell r="BC310">
            <v>86689645</v>
          </cell>
          <cell r="BD310">
            <v>-2523698</v>
          </cell>
          <cell r="BE310">
            <v>2249077</v>
          </cell>
          <cell r="BF310">
            <v>0</v>
          </cell>
          <cell r="BG310">
            <v>-4341190</v>
          </cell>
          <cell r="BH310">
            <v>-73244</v>
          </cell>
          <cell r="BI310">
            <v>-33951</v>
          </cell>
          <cell r="BJ310">
            <v>0</v>
          </cell>
          <cell r="BK310">
            <v>-2530631</v>
          </cell>
          <cell r="BL310">
            <v>-41805</v>
          </cell>
          <cell r="BM310">
            <v>-28971</v>
          </cell>
          <cell r="BN310">
            <v>-6163</v>
          </cell>
          <cell r="BO310">
            <v>-7773</v>
          </cell>
          <cell r="BP310">
            <v>-39732</v>
          </cell>
          <cell r="BQ310">
            <v>0</v>
          </cell>
          <cell r="BR310">
            <v>0</v>
          </cell>
          <cell r="BS310">
            <v>0</v>
          </cell>
          <cell r="BT310">
            <v>85690602</v>
          </cell>
          <cell r="BU310">
            <v>-347502</v>
          </cell>
          <cell r="BV310">
            <v>2594126</v>
          </cell>
          <cell r="BW310">
            <v>-2366758</v>
          </cell>
          <cell r="BX310">
            <v>-2208885</v>
          </cell>
          <cell r="BY310">
            <v>-1235028</v>
          </cell>
          <cell r="BZ310">
            <v>85411066</v>
          </cell>
          <cell r="CA310">
            <v>-1104442</v>
          </cell>
          <cell r="CB310">
            <v>-1082353</v>
          </cell>
          <cell r="CC310">
            <v>0</v>
          </cell>
          <cell r="CD310">
            <v>-22090</v>
          </cell>
          <cell r="CE310">
            <v>-617514</v>
          </cell>
          <cell r="CF310">
            <v>-605164</v>
          </cell>
          <cell r="CG310">
            <v>0</v>
          </cell>
          <cell r="CH310">
            <v>-12350</v>
          </cell>
        </row>
        <row r="311">
          <cell r="A311">
            <v>304</v>
          </cell>
          <cell r="B311" t="str">
            <v>West Devon</v>
          </cell>
          <cell r="C311" t="str">
            <v>E1140</v>
          </cell>
          <cell r="D311">
            <v>83792</v>
          </cell>
          <cell r="H311">
            <v>339571</v>
          </cell>
          <cell r="I311">
            <v>0</v>
          </cell>
          <cell r="J311">
            <v>83792</v>
          </cell>
          <cell r="K311">
            <v>0</v>
          </cell>
          <cell r="L311">
            <v>0</v>
          </cell>
          <cell r="M311">
            <v>0</v>
          </cell>
          <cell r="N311">
            <v>0</v>
          </cell>
          <cell r="O311">
            <v>0</v>
          </cell>
          <cell r="P311">
            <v>0</v>
          </cell>
          <cell r="Q311">
            <v>0</v>
          </cell>
          <cell r="R311">
            <v>450134</v>
          </cell>
          <cell r="S311">
            <v>101280</v>
          </cell>
          <cell r="T311">
            <v>11253</v>
          </cell>
          <cell r="U311">
            <v>0</v>
          </cell>
          <cell r="V311">
            <v>0</v>
          </cell>
          <cell r="W311">
            <v>0</v>
          </cell>
          <cell r="X311">
            <v>812</v>
          </cell>
          <cell r="Y311">
            <v>183</v>
          </cell>
          <cell r="Z311">
            <v>20</v>
          </cell>
          <cell r="AA311">
            <v>0</v>
          </cell>
          <cell r="AB311">
            <v>0</v>
          </cell>
          <cell r="AC311">
            <v>0</v>
          </cell>
          <cell r="AD311">
            <v>0</v>
          </cell>
          <cell r="AE311">
            <v>0</v>
          </cell>
          <cell r="AF311">
            <v>0</v>
          </cell>
          <cell r="AG311">
            <v>0</v>
          </cell>
          <cell r="AH311">
            <v>0</v>
          </cell>
          <cell r="AI311">
            <v>0</v>
          </cell>
          <cell r="AM311">
            <v>0</v>
          </cell>
          <cell r="AN311">
            <v>0</v>
          </cell>
          <cell r="AO311">
            <v>0</v>
          </cell>
          <cell r="AP311">
            <v>61576</v>
          </cell>
          <cell r="AQ311">
            <v>13855</v>
          </cell>
          <cell r="AR311">
            <v>1539</v>
          </cell>
          <cell r="AS311">
            <v>-166103</v>
          </cell>
          <cell r="AT311">
            <v>-132882</v>
          </cell>
          <cell r="AU311">
            <v>-29899</v>
          </cell>
          <cell r="AV311">
            <v>-3322</v>
          </cell>
          <cell r="AW311">
            <v>-332206</v>
          </cell>
          <cell r="AX311">
            <v>-382249</v>
          </cell>
          <cell r="AY311">
            <v>-305799</v>
          </cell>
          <cell r="AZ311">
            <v>-68804</v>
          </cell>
          <cell r="BA311">
            <v>-7645</v>
          </cell>
          <cell r="BB311">
            <v>-764497</v>
          </cell>
          <cell r="BC311">
            <v>11196592</v>
          </cell>
          <cell r="BD311">
            <v>-1589659</v>
          </cell>
          <cell r="BE311">
            <v>253740</v>
          </cell>
          <cell r="BF311">
            <v>0</v>
          </cell>
          <cell r="BG311">
            <v>-799188</v>
          </cell>
          <cell r="BH311">
            <v>-68981</v>
          </cell>
          <cell r="BI311">
            <v>-44225</v>
          </cell>
          <cell r="BJ311">
            <v>0</v>
          </cell>
          <cell r="BK311">
            <v>-261829</v>
          </cell>
          <cell r="BL311">
            <v>-47660</v>
          </cell>
          <cell r="BM311">
            <v>-11243</v>
          </cell>
          <cell r="BN311">
            <v>-6434</v>
          </cell>
          <cell r="BO311">
            <v>-15933</v>
          </cell>
          <cell r="BP311">
            <v>0</v>
          </cell>
          <cell r="BQ311">
            <v>0</v>
          </cell>
          <cell r="BR311">
            <v>0</v>
          </cell>
          <cell r="BS311">
            <v>0</v>
          </cell>
          <cell r="BT311">
            <v>10737656</v>
          </cell>
          <cell r="BU311">
            <v>-23516</v>
          </cell>
          <cell r="BV311">
            <v>958220</v>
          </cell>
          <cell r="BW311">
            <v>-213251</v>
          </cell>
          <cell r="BX311">
            <v>402052</v>
          </cell>
          <cell r="BY311">
            <v>34654</v>
          </cell>
          <cell r="BZ311">
            <v>10247984</v>
          </cell>
          <cell r="CA311">
            <v>201027</v>
          </cell>
          <cell r="CB311">
            <v>160820</v>
          </cell>
          <cell r="CC311">
            <v>36185</v>
          </cell>
          <cell r="CD311">
            <v>4020</v>
          </cell>
          <cell r="CE311">
            <v>17326</v>
          </cell>
          <cell r="CF311">
            <v>13862</v>
          </cell>
          <cell r="CG311">
            <v>3119</v>
          </cell>
          <cell r="CH311">
            <v>347</v>
          </cell>
        </row>
        <row r="312">
          <cell r="A312">
            <v>305</v>
          </cell>
          <cell r="B312" t="str">
            <v>West Dorset</v>
          </cell>
          <cell r="C312" t="str">
            <v>E1237</v>
          </cell>
          <cell r="D312">
            <v>211340</v>
          </cell>
          <cell r="H312">
            <v>1704916</v>
          </cell>
          <cell r="I312">
            <v>0</v>
          </cell>
          <cell r="J312">
            <v>211340</v>
          </cell>
          <cell r="K312">
            <v>0</v>
          </cell>
          <cell r="L312">
            <v>96399</v>
          </cell>
          <cell r="M312">
            <v>0</v>
          </cell>
          <cell r="N312">
            <v>0</v>
          </cell>
          <cell r="O312">
            <v>0</v>
          </cell>
          <cell r="P312">
            <v>0</v>
          </cell>
          <cell r="Q312">
            <v>0</v>
          </cell>
          <cell r="R312">
            <v>1049864</v>
          </cell>
          <cell r="S312">
            <v>236220</v>
          </cell>
          <cell r="T312">
            <v>26247</v>
          </cell>
          <cell r="U312">
            <v>4339</v>
          </cell>
          <cell r="V312">
            <v>976</v>
          </cell>
          <cell r="W312">
            <v>108</v>
          </cell>
          <cell r="X312">
            <v>100964</v>
          </cell>
          <cell r="Y312">
            <v>22717</v>
          </cell>
          <cell r="Z312">
            <v>2524</v>
          </cell>
          <cell r="AA312">
            <v>3141</v>
          </cell>
          <cell r="AB312">
            <v>707</v>
          </cell>
          <cell r="AC312">
            <v>79</v>
          </cell>
          <cell r="AD312">
            <v>0</v>
          </cell>
          <cell r="AE312">
            <v>0</v>
          </cell>
          <cell r="AF312">
            <v>0</v>
          </cell>
          <cell r="AG312">
            <v>0</v>
          </cell>
          <cell r="AH312">
            <v>0</v>
          </cell>
          <cell r="AI312">
            <v>0</v>
          </cell>
          <cell r="AM312">
            <v>0</v>
          </cell>
          <cell r="AN312">
            <v>0</v>
          </cell>
          <cell r="AO312">
            <v>0</v>
          </cell>
          <cell r="AP312">
            <v>168526</v>
          </cell>
          <cell r="AQ312">
            <v>37593</v>
          </cell>
          <cell r="AR312">
            <v>4177</v>
          </cell>
          <cell r="AS312">
            <v>-338000</v>
          </cell>
          <cell r="AT312">
            <v>-270400</v>
          </cell>
          <cell r="AU312">
            <v>-60840</v>
          </cell>
          <cell r="AV312">
            <v>-6760</v>
          </cell>
          <cell r="AW312">
            <v>-676000</v>
          </cell>
          <cell r="AX312">
            <v>-3749700</v>
          </cell>
          <cell r="AY312">
            <v>-2999764</v>
          </cell>
          <cell r="AZ312">
            <v>-674948</v>
          </cell>
          <cell r="BA312">
            <v>-74994</v>
          </cell>
          <cell r="BB312">
            <v>-7499406</v>
          </cell>
          <cell r="BC312">
            <v>28132761</v>
          </cell>
          <cell r="BD312">
            <v>-4148278</v>
          </cell>
          <cell r="BE312">
            <v>781785</v>
          </cell>
          <cell r="BF312">
            <v>0</v>
          </cell>
          <cell r="BG312">
            <v>-3310053</v>
          </cell>
          <cell r="BH312">
            <v>-96862</v>
          </cell>
          <cell r="BI312">
            <v>-81473</v>
          </cell>
          <cell r="BJ312">
            <v>0</v>
          </cell>
          <cell r="BK312">
            <v>-1033470</v>
          </cell>
          <cell r="BL312">
            <v>-152666</v>
          </cell>
          <cell r="BM312">
            <v>-3227</v>
          </cell>
          <cell r="BN312">
            <v>-1320</v>
          </cell>
          <cell r="BO312">
            <v>-21778</v>
          </cell>
          <cell r="BP312">
            <v>0</v>
          </cell>
          <cell r="BQ312">
            <v>0</v>
          </cell>
          <cell r="BR312">
            <v>0</v>
          </cell>
          <cell r="BS312">
            <v>0</v>
          </cell>
          <cell r="BT312">
            <v>30486560</v>
          </cell>
          <cell r="BU312">
            <v>-500258</v>
          </cell>
          <cell r="BV312">
            <v>1281177</v>
          </cell>
          <cell r="BW312">
            <v>-657226</v>
          </cell>
          <cell r="BX312">
            <v>-753075</v>
          </cell>
          <cell r="BY312">
            <v>0</v>
          </cell>
          <cell r="BZ312">
            <v>27806544</v>
          </cell>
          <cell r="CA312">
            <v>-376538</v>
          </cell>
          <cell r="CB312">
            <v>-301230</v>
          </cell>
          <cell r="CC312">
            <v>-67777</v>
          </cell>
          <cell r="CD312">
            <v>-7530</v>
          </cell>
          <cell r="CE312">
            <v>0</v>
          </cell>
          <cell r="CF312">
            <v>0</v>
          </cell>
          <cell r="CG312">
            <v>0</v>
          </cell>
          <cell r="CH312">
            <v>0</v>
          </cell>
        </row>
        <row r="313">
          <cell r="A313">
            <v>306</v>
          </cell>
          <cell r="B313" t="str">
            <v>West Lancashire</v>
          </cell>
          <cell r="C313" t="str">
            <v>E2343</v>
          </cell>
          <cell r="D313">
            <v>128797</v>
          </cell>
          <cell r="H313">
            <v>-1920400</v>
          </cell>
          <cell r="I313">
            <v>0</v>
          </cell>
          <cell r="J313">
            <v>128797</v>
          </cell>
          <cell r="K313">
            <v>0</v>
          </cell>
          <cell r="L313">
            <v>0</v>
          </cell>
          <cell r="M313">
            <v>0</v>
          </cell>
          <cell r="N313">
            <v>0</v>
          </cell>
          <cell r="O313">
            <v>0</v>
          </cell>
          <cell r="P313">
            <v>0</v>
          </cell>
          <cell r="Q313">
            <v>0</v>
          </cell>
          <cell r="R313">
            <v>562225</v>
          </cell>
          <cell r="S313">
            <v>126501</v>
          </cell>
          <cell r="T313">
            <v>14056</v>
          </cell>
          <cell r="U313">
            <v>4429</v>
          </cell>
          <cell r="V313">
            <v>997</v>
          </cell>
          <cell r="W313">
            <v>111</v>
          </cell>
          <cell r="X313">
            <v>0</v>
          </cell>
          <cell r="Y313">
            <v>0</v>
          </cell>
          <cell r="Z313">
            <v>0</v>
          </cell>
          <cell r="AA313">
            <v>0</v>
          </cell>
          <cell r="AB313">
            <v>0</v>
          </cell>
          <cell r="AC313">
            <v>0</v>
          </cell>
          <cell r="AD313">
            <v>0</v>
          </cell>
          <cell r="AE313">
            <v>0</v>
          </cell>
          <cell r="AF313">
            <v>0</v>
          </cell>
          <cell r="AG313">
            <v>0</v>
          </cell>
          <cell r="AH313">
            <v>0</v>
          </cell>
          <cell r="AI313">
            <v>0</v>
          </cell>
          <cell r="AM313">
            <v>0</v>
          </cell>
          <cell r="AN313">
            <v>0</v>
          </cell>
          <cell r="AO313">
            <v>0</v>
          </cell>
          <cell r="AP313">
            <v>176046</v>
          </cell>
          <cell r="AQ313">
            <v>39610</v>
          </cell>
          <cell r="AR313">
            <v>4401</v>
          </cell>
          <cell r="AS313">
            <v>-529238</v>
          </cell>
          <cell r="AT313">
            <v>-423390</v>
          </cell>
          <cell r="AU313">
            <v>-95264</v>
          </cell>
          <cell r="AV313">
            <v>-10585</v>
          </cell>
          <cell r="AW313">
            <v>-1058477</v>
          </cell>
          <cell r="AX313">
            <v>-1254482</v>
          </cell>
          <cell r="AY313">
            <v>-1003587</v>
          </cell>
          <cell r="AZ313">
            <v>-225808</v>
          </cell>
          <cell r="BA313">
            <v>-25089</v>
          </cell>
          <cell r="BB313">
            <v>-2508966</v>
          </cell>
          <cell r="BC313">
            <v>32899117</v>
          </cell>
          <cell r="BD313">
            <v>-2241650</v>
          </cell>
          <cell r="BE313">
            <v>895116</v>
          </cell>
          <cell r="BF313">
            <v>0</v>
          </cell>
          <cell r="BG313">
            <v>-2628756</v>
          </cell>
          <cell r="BH313">
            <v>0</v>
          </cell>
          <cell r="BI313">
            <v>-2680</v>
          </cell>
          <cell r="BJ313">
            <v>0</v>
          </cell>
          <cell r="BK313">
            <v>-2147970</v>
          </cell>
          <cell r="BL313">
            <v>-14682</v>
          </cell>
          <cell r="BM313">
            <v>-40587</v>
          </cell>
          <cell r="BN313">
            <v>0</v>
          </cell>
          <cell r="BO313">
            <v>0</v>
          </cell>
          <cell r="BP313">
            <v>0</v>
          </cell>
          <cell r="BQ313">
            <v>0</v>
          </cell>
          <cell r="BR313">
            <v>0</v>
          </cell>
          <cell r="BS313">
            <v>0</v>
          </cell>
          <cell r="BT313">
            <v>31734201</v>
          </cell>
          <cell r="BU313">
            <v>-954894</v>
          </cell>
          <cell r="BV313">
            <v>3063333</v>
          </cell>
          <cell r="BW313">
            <v>-808490</v>
          </cell>
          <cell r="BX313">
            <v>-1562498</v>
          </cell>
          <cell r="BY313">
            <v>-2666668</v>
          </cell>
          <cell r="BZ313">
            <v>29299123</v>
          </cell>
          <cell r="CA313">
            <v>-781250</v>
          </cell>
          <cell r="CB313">
            <v>-624998</v>
          </cell>
          <cell r="CC313">
            <v>-140625</v>
          </cell>
          <cell r="CD313">
            <v>-15625</v>
          </cell>
          <cell r="CE313">
            <v>-1333334</v>
          </cell>
          <cell r="CF313">
            <v>-1066667</v>
          </cell>
          <cell r="CG313">
            <v>-240000</v>
          </cell>
          <cell r="CH313">
            <v>-26667</v>
          </cell>
        </row>
        <row r="314">
          <cell r="A314">
            <v>307</v>
          </cell>
          <cell r="B314" t="str">
            <v>West Lindsey</v>
          </cell>
          <cell r="C314" t="str">
            <v>E2537</v>
          </cell>
          <cell r="D314">
            <v>104972</v>
          </cell>
          <cell r="H314">
            <v>595030</v>
          </cell>
          <cell r="I314">
            <v>0</v>
          </cell>
          <cell r="J314">
            <v>104972</v>
          </cell>
          <cell r="K314">
            <v>0</v>
          </cell>
          <cell r="L314">
            <v>24558</v>
          </cell>
          <cell r="M314">
            <v>0</v>
          </cell>
          <cell r="N314">
            <v>0</v>
          </cell>
          <cell r="O314">
            <v>0</v>
          </cell>
          <cell r="P314">
            <v>0</v>
          </cell>
          <cell r="Q314">
            <v>0</v>
          </cell>
          <cell r="R314">
            <v>460135</v>
          </cell>
          <cell r="S314">
            <v>115034</v>
          </cell>
          <cell r="T314">
            <v>0</v>
          </cell>
          <cell r="U314">
            <v>3672</v>
          </cell>
          <cell r="V314">
            <v>918</v>
          </cell>
          <cell r="W314">
            <v>0</v>
          </cell>
          <cell r="X314">
            <v>5121</v>
          </cell>
          <cell r="Y314">
            <v>1280</v>
          </cell>
          <cell r="Z314">
            <v>0</v>
          </cell>
          <cell r="AA314">
            <v>1662</v>
          </cell>
          <cell r="AB314">
            <v>415</v>
          </cell>
          <cell r="AC314">
            <v>0</v>
          </cell>
          <cell r="AD314">
            <v>0</v>
          </cell>
          <cell r="AE314">
            <v>0</v>
          </cell>
          <cell r="AF314">
            <v>0</v>
          </cell>
          <cell r="AG314">
            <v>0</v>
          </cell>
          <cell r="AH314">
            <v>0</v>
          </cell>
          <cell r="AI314">
            <v>0</v>
          </cell>
          <cell r="AM314">
            <v>0</v>
          </cell>
          <cell r="AN314">
            <v>0</v>
          </cell>
          <cell r="AO314">
            <v>0</v>
          </cell>
          <cell r="AP314">
            <v>98723</v>
          </cell>
          <cell r="AQ314">
            <v>24589</v>
          </cell>
          <cell r="AR314">
            <v>0</v>
          </cell>
          <cell r="AS314">
            <v>-188561</v>
          </cell>
          <cell r="AT314">
            <v>-150847</v>
          </cell>
          <cell r="AU314">
            <v>-37712</v>
          </cell>
          <cell r="AV314">
            <v>0</v>
          </cell>
          <cell r="AW314">
            <v>-377120</v>
          </cell>
          <cell r="AX314">
            <v>-971155</v>
          </cell>
          <cell r="AY314">
            <v>-776923</v>
          </cell>
          <cell r="AZ314">
            <v>-194232</v>
          </cell>
          <cell r="BA314">
            <v>0</v>
          </cell>
          <cell r="BB314">
            <v>-1942310</v>
          </cell>
          <cell r="BC314">
            <v>15543570</v>
          </cell>
          <cell r="BD314">
            <v>-1870985</v>
          </cell>
          <cell r="BE314">
            <v>434802</v>
          </cell>
          <cell r="BF314">
            <v>0</v>
          </cell>
          <cell r="BG314">
            <v>-1578044</v>
          </cell>
          <cell r="BH314">
            <v>-27544</v>
          </cell>
          <cell r="BI314">
            <v>-34259</v>
          </cell>
          <cell r="BJ314">
            <v>0</v>
          </cell>
          <cell r="BK314">
            <v>-653235</v>
          </cell>
          <cell r="BL314">
            <v>-32535</v>
          </cell>
          <cell r="BM314">
            <v>-24658</v>
          </cell>
          <cell r="BN314">
            <v>-2266</v>
          </cell>
          <cell r="BO314">
            <v>-5927</v>
          </cell>
          <cell r="BP314">
            <v>-245</v>
          </cell>
          <cell r="BQ314">
            <v>0</v>
          </cell>
          <cell r="BR314">
            <v>0</v>
          </cell>
          <cell r="BS314">
            <v>0</v>
          </cell>
          <cell r="BT314">
            <v>16409831</v>
          </cell>
          <cell r="BU314">
            <v>-325228</v>
          </cell>
          <cell r="BV314">
            <v>1257818</v>
          </cell>
          <cell r="BW314">
            <v>-859168</v>
          </cell>
          <cell r="BX314">
            <v>-3863028</v>
          </cell>
          <cell r="BY314">
            <v>-463502</v>
          </cell>
          <cell r="BZ314">
            <v>16369007</v>
          </cell>
          <cell r="CA314">
            <v>-1931514</v>
          </cell>
          <cell r="CB314">
            <v>-1545211</v>
          </cell>
          <cell r="CC314">
            <v>-386303</v>
          </cell>
          <cell r="CD314">
            <v>0</v>
          </cell>
          <cell r="CE314">
            <v>-231751</v>
          </cell>
          <cell r="CF314">
            <v>-185401</v>
          </cell>
          <cell r="CG314">
            <v>-46350</v>
          </cell>
          <cell r="CH314">
            <v>0</v>
          </cell>
        </row>
        <row r="315">
          <cell r="A315">
            <v>308</v>
          </cell>
          <cell r="B315" t="str">
            <v>West Oxfordshire</v>
          </cell>
          <cell r="C315" t="str">
            <v>E3135</v>
          </cell>
          <cell r="D315">
            <v>163845</v>
          </cell>
          <cell r="H315">
            <v>2333653</v>
          </cell>
          <cell r="I315">
            <v>0</v>
          </cell>
          <cell r="J315">
            <v>163845</v>
          </cell>
          <cell r="K315">
            <v>0</v>
          </cell>
          <cell r="L315">
            <v>174866</v>
          </cell>
          <cell r="M315">
            <v>0</v>
          </cell>
          <cell r="N315">
            <v>0</v>
          </cell>
          <cell r="O315">
            <v>0</v>
          </cell>
          <cell r="P315">
            <v>0</v>
          </cell>
          <cell r="Q315">
            <v>0</v>
          </cell>
          <cell r="R315">
            <v>547729</v>
          </cell>
          <cell r="S315">
            <v>136932</v>
          </cell>
          <cell r="T315">
            <v>0</v>
          </cell>
          <cell r="U315">
            <v>7162</v>
          </cell>
          <cell r="V315">
            <v>1790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M315">
            <v>0</v>
          </cell>
          <cell r="AN315">
            <v>0</v>
          </cell>
          <cell r="AO315">
            <v>0</v>
          </cell>
          <cell r="AP315">
            <v>228303</v>
          </cell>
          <cell r="AQ315">
            <v>56419</v>
          </cell>
          <cell r="AR315">
            <v>0</v>
          </cell>
          <cell r="AS315">
            <v>-195606</v>
          </cell>
          <cell r="AT315">
            <v>-156483</v>
          </cell>
          <cell r="AU315">
            <v>-39122</v>
          </cell>
          <cell r="AV315">
            <v>0</v>
          </cell>
          <cell r="AW315">
            <v>-391211</v>
          </cell>
          <cell r="AX315">
            <v>-1345110</v>
          </cell>
          <cell r="AY315">
            <v>-1076086</v>
          </cell>
          <cell r="AZ315">
            <v>-269021</v>
          </cell>
          <cell r="BA315">
            <v>0</v>
          </cell>
          <cell r="BB315">
            <v>-2690217</v>
          </cell>
          <cell r="BC315">
            <v>34407453</v>
          </cell>
          <cell r="BD315">
            <v>-2388705</v>
          </cell>
          <cell r="BE315">
            <v>874260</v>
          </cell>
          <cell r="BF315">
            <v>0</v>
          </cell>
          <cell r="BG315">
            <v>-2621111</v>
          </cell>
          <cell r="BH315">
            <v>-53253</v>
          </cell>
          <cell r="BI315">
            <v>-42476</v>
          </cell>
          <cell r="BJ315">
            <v>-21903</v>
          </cell>
          <cell r="BK315">
            <v>-742451</v>
          </cell>
          <cell r="BL315">
            <v>-91573</v>
          </cell>
          <cell r="BM315">
            <v>-6704</v>
          </cell>
          <cell r="BN315">
            <v>0</v>
          </cell>
          <cell r="BO315">
            <v>-9927</v>
          </cell>
          <cell r="BP315">
            <v>0</v>
          </cell>
          <cell r="BQ315">
            <v>0</v>
          </cell>
          <cell r="BR315">
            <v>0</v>
          </cell>
          <cell r="BS315">
            <v>0</v>
          </cell>
          <cell r="BT315">
            <v>34711795</v>
          </cell>
          <cell r="BU315">
            <v>-101609</v>
          </cell>
          <cell r="BV315">
            <v>1512879</v>
          </cell>
          <cell r="BW315">
            <v>-227576</v>
          </cell>
          <cell r="BX315">
            <v>315555</v>
          </cell>
          <cell r="BY315">
            <v>-200876</v>
          </cell>
          <cell r="BZ315">
            <v>37558915</v>
          </cell>
          <cell r="CA315">
            <v>157778</v>
          </cell>
          <cell r="CB315">
            <v>126222</v>
          </cell>
          <cell r="CC315">
            <v>31555</v>
          </cell>
          <cell r="CD315">
            <v>0</v>
          </cell>
          <cell r="CE315">
            <v>-100438</v>
          </cell>
          <cell r="CF315">
            <v>-80350</v>
          </cell>
          <cell r="CG315">
            <v>-20088</v>
          </cell>
          <cell r="CH315">
            <v>0</v>
          </cell>
        </row>
        <row r="316">
          <cell r="A316">
            <v>309</v>
          </cell>
          <cell r="B316" t="str">
            <v>West Somerset</v>
          </cell>
          <cell r="C316" t="str">
            <v>E3335</v>
          </cell>
          <cell r="D316">
            <v>78132</v>
          </cell>
          <cell r="H316">
            <v>3509571</v>
          </cell>
          <cell r="I316">
            <v>0</v>
          </cell>
          <cell r="J316">
            <v>78132</v>
          </cell>
          <cell r="K316">
            <v>0</v>
          </cell>
          <cell r="L316">
            <v>50000</v>
          </cell>
          <cell r="M316">
            <v>0</v>
          </cell>
          <cell r="N316">
            <v>0</v>
          </cell>
          <cell r="O316">
            <v>0</v>
          </cell>
          <cell r="P316">
            <v>0</v>
          </cell>
          <cell r="Q316">
            <v>0</v>
          </cell>
          <cell r="R316">
            <v>340345</v>
          </cell>
          <cell r="S316">
            <v>76578</v>
          </cell>
          <cell r="T316">
            <v>8509</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M316">
            <v>0</v>
          </cell>
          <cell r="AN316">
            <v>0</v>
          </cell>
          <cell r="AO316">
            <v>0</v>
          </cell>
          <cell r="AP316">
            <v>100194</v>
          </cell>
          <cell r="AQ316">
            <v>22375</v>
          </cell>
          <cell r="AR316">
            <v>2486</v>
          </cell>
          <cell r="AS316">
            <v>-70000</v>
          </cell>
          <cell r="AT316">
            <v>-56000</v>
          </cell>
          <cell r="AU316">
            <v>-12600</v>
          </cell>
          <cell r="AV316">
            <v>-1400</v>
          </cell>
          <cell r="AW316">
            <v>-140000</v>
          </cell>
          <cell r="AX316">
            <v>-813722</v>
          </cell>
          <cell r="AY316">
            <v>-650980</v>
          </cell>
          <cell r="AZ316">
            <v>-146471</v>
          </cell>
          <cell r="BA316">
            <v>-16275</v>
          </cell>
          <cell r="BB316">
            <v>-1627448</v>
          </cell>
          <cell r="BC316">
            <v>13403061</v>
          </cell>
          <cell r="BD316">
            <v>-1459821</v>
          </cell>
          <cell r="BE316">
            <v>300717</v>
          </cell>
          <cell r="BF316">
            <v>0</v>
          </cell>
          <cell r="BG316">
            <v>-649941</v>
          </cell>
          <cell r="BH316">
            <v>-16172</v>
          </cell>
          <cell r="BI316">
            <v>-34142</v>
          </cell>
          <cell r="BJ316">
            <v>0</v>
          </cell>
          <cell r="BK316">
            <v>-133881</v>
          </cell>
          <cell r="BL316">
            <v>-25919</v>
          </cell>
          <cell r="BM316">
            <v>-13631</v>
          </cell>
          <cell r="BN316">
            <v>-1703</v>
          </cell>
          <cell r="BO316">
            <v>-33861</v>
          </cell>
          <cell r="BP316">
            <v>-45143</v>
          </cell>
          <cell r="BQ316">
            <v>0</v>
          </cell>
          <cell r="BR316">
            <v>0</v>
          </cell>
          <cell r="BS316">
            <v>0</v>
          </cell>
          <cell r="BT316">
            <v>13500368</v>
          </cell>
          <cell r="BU316">
            <v>-64238</v>
          </cell>
          <cell r="BV316">
            <v>1092041</v>
          </cell>
          <cell r="BW316">
            <v>-470155</v>
          </cell>
          <cell r="BX316">
            <v>1971943</v>
          </cell>
          <cell r="BY316">
            <v>1201588</v>
          </cell>
          <cell r="BZ316">
            <v>16550196</v>
          </cell>
          <cell r="CA316">
            <v>985973</v>
          </cell>
          <cell r="CB316">
            <v>788776</v>
          </cell>
          <cell r="CC316">
            <v>177474</v>
          </cell>
          <cell r="CD316">
            <v>19720</v>
          </cell>
          <cell r="CE316">
            <v>600794</v>
          </cell>
          <cell r="CF316">
            <v>480635</v>
          </cell>
          <cell r="CG316">
            <v>108143</v>
          </cell>
          <cell r="CH316">
            <v>12016</v>
          </cell>
        </row>
        <row r="317">
          <cell r="A317">
            <v>310</v>
          </cell>
          <cell r="B317" t="str">
            <v>Westminster</v>
          </cell>
          <cell r="C317" t="str">
            <v>E5022</v>
          </cell>
          <cell r="D317">
            <v>3306395</v>
          </cell>
          <cell r="H317">
            <v>111000928</v>
          </cell>
          <cell r="I317">
            <v>0</v>
          </cell>
          <cell r="J317">
            <v>3306395</v>
          </cell>
          <cell r="K317">
            <v>0</v>
          </cell>
          <cell r="L317">
            <v>0</v>
          </cell>
          <cell r="M317">
            <v>0</v>
          </cell>
          <cell r="N317">
            <v>0</v>
          </cell>
          <cell r="O317">
            <v>0</v>
          </cell>
          <cell r="P317">
            <v>0</v>
          </cell>
          <cell r="Q317">
            <v>0</v>
          </cell>
          <cell r="R317">
            <v>510853</v>
          </cell>
          <cell r="S317">
            <v>630051</v>
          </cell>
          <cell r="T317">
            <v>0</v>
          </cell>
          <cell r="U317">
            <v>0</v>
          </cell>
          <cell r="V317">
            <v>0</v>
          </cell>
          <cell r="W317">
            <v>0</v>
          </cell>
          <cell r="X317">
            <v>71544</v>
          </cell>
          <cell r="Y317">
            <v>88237</v>
          </cell>
          <cell r="Z317">
            <v>0</v>
          </cell>
          <cell r="AA317">
            <v>8946</v>
          </cell>
          <cell r="AB317">
            <v>11034</v>
          </cell>
          <cell r="AC317">
            <v>0</v>
          </cell>
          <cell r="AD317">
            <v>0</v>
          </cell>
          <cell r="AE317">
            <v>0</v>
          </cell>
          <cell r="AF317">
            <v>0</v>
          </cell>
          <cell r="AG317">
            <v>0</v>
          </cell>
          <cell r="AH317">
            <v>0</v>
          </cell>
          <cell r="AI317">
            <v>0</v>
          </cell>
          <cell r="AM317">
            <v>0</v>
          </cell>
          <cell r="AN317">
            <v>0</v>
          </cell>
          <cell r="AO317">
            <v>0</v>
          </cell>
          <cell r="AP317">
            <v>9251374</v>
          </cell>
          <cell r="AQ317">
            <v>11410028</v>
          </cell>
          <cell r="AR317">
            <v>0</v>
          </cell>
          <cell r="AS317">
            <v>-13349822</v>
          </cell>
          <cell r="AT317">
            <v>-8009894</v>
          </cell>
          <cell r="AU317">
            <v>-5339929</v>
          </cell>
          <cell r="AV317">
            <v>0</v>
          </cell>
          <cell r="AW317">
            <v>-26699645</v>
          </cell>
          <cell r="AX317">
            <v>-124000000</v>
          </cell>
          <cell r="AY317">
            <v>-74400000</v>
          </cell>
          <cell r="AZ317">
            <v>-49600000</v>
          </cell>
          <cell r="BA317">
            <v>0</v>
          </cell>
          <cell r="BB317">
            <v>-248000000</v>
          </cell>
          <cell r="BC317">
            <v>1894884934</v>
          </cell>
          <cell r="BD317">
            <v>-2316872</v>
          </cell>
          <cell r="BE317">
            <v>51689854</v>
          </cell>
          <cell r="BF317">
            <v>0</v>
          </cell>
          <cell r="BG317">
            <v>-65650541</v>
          </cell>
          <cell r="BH317">
            <v>-23458</v>
          </cell>
          <cell r="BI317">
            <v>0</v>
          </cell>
          <cell r="BJ317">
            <v>-7700459</v>
          </cell>
          <cell r="BK317">
            <v>-126409237</v>
          </cell>
          <cell r="BL317">
            <v>-264706</v>
          </cell>
          <cell r="BM317">
            <v>-12563</v>
          </cell>
          <cell r="BN317">
            <v>-1466</v>
          </cell>
          <cell r="BO317">
            <v>0</v>
          </cell>
          <cell r="BP317">
            <v>0</v>
          </cell>
          <cell r="BQ317">
            <v>0</v>
          </cell>
          <cell r="BR317">
            <v>0</v>
          </cell>
          <cell r="BS317">
            <v>0</v>
          </cell>
          <cell r="BT317">
            <v>1778967485</v>
          </cell>
          <cell r="BU317">
            <v>0</v>
          </cell>
          <cell r="BV317">
            <v>47419610</v>
          </cell>
          <cell r="BW317">
            <v>-129672279</v>
          </cell>
          <cell r="BX317">
            <v>17693110</v>
          </cell>
          <cell r="BY317">
            <v>-151020543</v>
          </cell>
          <cell r="BZ317">
            <v>2052923929</v>
          </cell>
          <cell r="CA317">
            <v>8846556</v>
          </cell>
          <cell r="CB317">
            <v>5307932</v>
          </cell>
          <cell r="CC317">
            <v>3538622</v>
          </cell>
          <cell r="CD317">
            <v>0</v>
          </cell>
          <cell r="CE317">
            <v>-75510271</v>
          </cell>
          <cell r="CF317">
            <v>-45306163</v>
          </cell>
          <cell r="CG317">
            <v>-30204109</v>
          </cell>
          <cell r="CH317">
            <v>0</v>
          </cell>
        </row>
        <row r="318">
          <cell r="A318">
            <v>311</v>
          </cell>
          <cell r="B318" t="str">
            <v>Weymouth and Portland</v>
          </cell>
          <cell r="C318" t="str">
            <v>E1238</v>
          </cell>
          <cell r="D318">
            <v>106013</v>
          </cell>
          <cell r="H318">
            <v>-475114</v>
          </cell>
          <cell r="I318">
            <v>0</v>
          </cell>
          <cell r="J318">
            <v>106013</v>
          </cell>
          <cell r="K318">
            <v>0</v>
          </cell>
          <cell r="L318">
            <v>0</v>
          </cell>
          <cell r="M318">
            <v>0</v>
          </cell>
          <cell r="N318">
            <v>0</v>
          </cell>
          <cell r="O318">
            <v>0</v>
          </cell>
          <cell r="P318">
            <v>0</v>
          </cell>
          <cell r="Q318">
            <v>0</v>
          </cell>
          <cell r="R318">
            <v>420316</v>
          </cell>
          <cell r="S318">
            <v>94571</v>
          </cell>
          <cell r="T318">
            <v>10508</v>
          </cell>
          <cell r="U318">
            <v>1098</v>
          </cell>
          <cell r="V318">
            <v>247</v>
          </cell>
          <cell r="W318">
            <v>27</v>
          </cell>
          <cell r="X318">
            <v>0</v>
          </cell>
          <cell r="Y318">
            <v>0</v>
          </cell>
          <cell r="Z318">
            <v>0</v>
          </cell>
          <cell r="AA318">
            <v>0</v>
          </cell>
          <cell r="AB318">
            <v>0</v>
          </cell>
          <cell r="AC318">
            <v>0</v>
          </cell>
          <cell r="AD318">
            <v>0</v>
          </cell>
          <cell r="AE318">
            <v>0</v>
          </cell>
          <cell r="AF318">
            <v>0</v>
          </cell>
          <cell r="AG318">
            <v>0</v>
          </cell>
          <cell r="AH318">
            <v>0</v>
          </cell>
          <cell r="AI318">
            <v>0</v>
          </cell>
          <cell r="AM318">
            <v>0</v>
          </cell>
          <cell r="AN318">
            <v>0</v>
          </cell>
          <cell r="AO318">
            <v>0</v>
          </cell>
          <cell r="AP318">
            <v>88104</v>
          </cell>
          <cell r="AQ318">
            <v>19824</v>
          </cell>
          <cell r="AR318">
            <v>2203</v>
          </cell>
          <cell r="AS318">
            <v>-492500</v>
          </cell>
          <cell r="AT318">
            <v>-394000</v>
          </cell>
          <cell r="AU318">
            <v>-88650</v>
          </cell>
          <cell r="AV318">
            <v>-9850</v>
          </cell>
          <cell r="AW318">
            <v>-985000</v>
          </cell>
          <cell r="AX318">
            <v>-2590413</v>
          </cell>
          <cell r="AY318">
            <v>-2072330</v>
          </cell>
          <cell r="AZ318">
            <v>-466275</v>
          </cell>
          <cell r="BA318">
            <v>-51808</v>
          </cell>
          <cell r="BB318">
            <v>-5180826</v>
          </cell>
          <cell r="BC318">
            <v>15735315</v>
          </cell>
          <cell r="BD318">
            <v>-1696833</v>
          </cell>
          <cell r="BE318">
            <v>466750</v>
          </cell>
          <cell r="BF318">
            <v>0</v>
          </cell>
          <cell r="BG318">
            <v>-1246632</v>
          </cell>
          <cell r="BH318">
            <v>-38140</v>
          </cell>
          <cell r="BI318">
            <v>0</v>
          </cell>
          <cell r="BJ318">
            <v>0</v>
          </cell>
          <cell r="BK318">
            <v>-492415</v>
          </cell>
          <cell r="BL318">
            <v>-27187</v>
          </cell>
          <cell r="BM318">
            <v>-98300</v>
          </cell>
          <cell r="BN318">
            <v>0</v>
          </cell>
          <cell r="BO318">
            <v>0</v>
          </cell>
          <cell r="BP318">
            <v>0</v>
          </cell>
          <cell r="BQ318">
            <v>0</v>
          </cell>
          <cell r="BR318">
            <v>0</v>
          </cell>
          <cell r="BS318">
            <v>0</v>
          </cell>
          <cell r="BT318">
            <v>17650980</v>
          </cell>
          <cell r="BU318">
            <v>-516393</v>
          </cell>
          <cell r="BV318">
            <v>1626727</v>
          </cell>
          <cell r="BW318">
            <v>-700550</v>
          </cell>
          <cell r="BX318">
            <v>-140162</v>
          </cell>
          <cell r="BY318">
            <v>181531</v>
          </cell>
          <cell r="BZ318">
            <v>14663102</v>
          </cell>
          <cell r="CA318">
            <v>-70081</v>
          </cell>
          <cell r="CB318">
            <v>-56065</v>
          </cell>
          <cell r="CC318">
            <v>-12615</v>
          </cell>
          <cell r="CD318">
            <v>-1401</v>
          </cell>
          <cell r="CE318">
            <v>90766</v>
          </cell>
          <cell r="CF318">
            <v>72612</v>
          </cell>
          <cell r="CG318">
            <v>16338</v>
          </cell>
          <cell r="CH318">
            <v>1815</v>
          </cell>
        </row>
        <row r="319">
          <cell r="A319">
            <v>312</v>
          </cell>
          <cell r="B319" t="str">
            <v>Wigan</v>
          </cell>
          <cell r="C319" t="str">
            <v>E4210</v>
          </cell>
          <cell r="D319">
            <v>379246</v>
          </cell>
          <cell r="H319">
            <v>-3151753</v>
          </cell>
          <cell r="I319">
            <v>0</v>
          </cell>
          <cell r="J319">
            <v>379246</v>
          </cell>
          <cell r="K319">
            <v>0</v>
          </cell>
          <cell r="L319">
            <v>0</v>
          </cell>
          <cell r="M319">
            <v>0</v>
          </cell>
          <cell r="N319">
            <v>0</v>
          </cell>
          <cell r="O319">
            <v>0</v>
          </cell>
          <cell r="P319">
            <v>0</v>
          </cell>
          <cell r="Q319">
            <v>0</v>
          </cell>
          <cell r="R319">
            <v>4758992</v>
          </cell>
          <cell r="S319">
            <v>0</v>
          </cell>
          <cell r="T319">
            <v>48071</v>
          </cell>
          <cell r="U319">
            <v>9733</v>
          </cell>
          <cell r="V319">
            <v>0</v>
          </cell>
          <cell r="W319">
            <v>98</v>
          </cell>
          <cell r="X319">
            <v>237557</v>
          </cell>
          <cell r="Y319">
            <v>0</v>
          </cell>
          <cell r="Z319">
            <v>2400</v>
          </cell>
          <cell r="AA319">
            <v>14855</v>
          </cell>
          <cell r="AB319">
            <v>0</v>
          </cell>
          <cell r="AC319">
            <v>150</v>
          </cell>
          <cell r="AD319">
            <v>0</v>
          </cell>
          <cell r="AE319">
            <v>0</v>
          </cell>
          <cell r="AF319">
            <v>0</v>
          </cell>
          <cell r="AG319">
            <v>0</v>
          </cell>
          <cell r="AH319">
            <v>0</v>
          </cell>
          <cell r="AI319">
            <v>0</v>
          </cell>
          <cell r="AM319">
            <v>0</v>
          </cell>
          <cell r="AN319">
            <v>0</v>
          </cell>
          <cell r="AO319">
            <v>0</v>
          </cell>
          <cell r="AP319">
            <v>1084523</v>
          </cell>
          <cell r="AQ319">
            <v>0</v>
          </cell>
          <cell r="AR319">
            <v>10955</v>
          </cell>
          <cell r="AS319">
            <v>-4394066</v>
          </cell>
          <cell r="AT319">
            <v>-1502651</v>
          </cell>
          <cell r="AU319">
            <v>0</v>
          </cell>
          <cell r="AV319">
            <v>-59564</v>
          </cell>
          <cell r="AW319">
            <v>-5956281</v>
          </cell>
          <cell r="AX319">
            <v>-1805268</v>
          </cell>
          <cell r="AY319">
            <v>-1769163</v>
          </cell>
          <cell r="AZ319">
            <v>0</v>
          </cell>
          <cell r="BA319">
            <v>-36105</v>
          </cell>
          <cell r="BB319">
            <v>-3610536</v>
          </cell>
          <cell r="BC319">
            <v>79001553</v>
          </cell>
          <cell r="BD319">
            <v>-7360897</v>
          </cell>
          <cell r="BE319">
            <v>2225945</v>
          </cell>
          <cell r="BF319">
            <v>0</v>
          </cell>
          <cell r="BG319">
            <v>-5377420</v>
          </cell>
          <cell r="BH319">
            <v>-142281</v>
          </cell>
          <cell r="BI319">
            <v>0</v>
          </cell>
          <cell r="BJ319">
            <v>-98459</v>
          </cell>
          <cell r="BK319">
            <v>-4153675</v>
          </cell>
          <cell r="BL319">
            <v>-701298</v>
          </cell>
          <cell r="BM319">
            <v>-477640</v>
          </cell>
          <cell r="BN319">
            <v>-28538</v>
          </cell>
          <cell r="BO319">
            <v>0</v>
          </cell>
          <cell r="BP319">
            <v>0</v>
          </cell>
          <cell r="BQ319">
            <v>0</v>
          </cell>
          <cell r="BR319">
            <v>0</v>
          </cell>
          <cell r="BS319">
            <v>0</v>
          </cell>
          <cell r="BT319">
            <v>81721946</v>
          </cell>
          <cell r="BU319">
            <v>-1263510</v>
          </cell>
          <cell r="BV319">
            <v>7143762</v>
          </cell>
          <cell r="BW319">
            <v>-523472</v>
          </cell>
          <cell r="BX319">
            <v>-7275149</v>
          </cell>
          <cell r="BY319">
            <v>-6872013</v>
          </cell>
          <cell r="BZ319">
            <v>72927546</v>
          </cell>
          <cell r="CA319">
            <v>-3637576</v>
          </cell>
          <cell r="CB319">
            <v>-3564823</v>
          </cell>
          <cell r="CC319">
            <v>0</v>
          </cell>
          <cell r="CD319">
            <v>-72750</v>
          </cell>
          <cell r="CE319">
            <v>-3436007</v>
          </cell>
          <cell r="CF319">
            <v>-3367286</v>
          </cell>
          <cell r="CG319">
            <v>0</v>
          </cell>
          <cell r="CH319">
            <v>-68720</v>
          </cell>
        </row>
        <row r="320">
          <cell r="A320">
            <v>313</v>
          </cell>
          <cell r="B320" t="str">
            <v>Wiltshire UA</v>
          </cell>
          <cell r="C320" t="str">
            <v>E3902</v>
          </cell>
          <cell r="D320">
            <v>621868</v>
          </cell>
          <cell r="H320">
            <v>-2920722</v>
          </cell>
          <cell r="I320">
            <v>0</v>
          </cell>
          <cell r="J320">
            <v>621868</v>
          </cell>
          <cell r="K320">
            <v>0</v>
          </cell>
          <cell r="L320">
            <v>797648</v>
          </cell>
          <cell r="M320">
            <v>0</v>
          </cell>
          <cell r="N320">
            <v>0</v>
          </cell>
          <cell r="O320">
            <v>0</v>
          </cell>
          <cell r="P320">
            <v>0</v>
          </cell>
          <cell r="Q320">
            <v>0</v>
          </cell>
          <cell r="R320">
            <v>3368850</v>
          </cell>
          <cell r="S320">
            <v>0</v>
          </cell>
          <cell r="T320">
            <v>68752</v>
          </cell>
          <cell r="U320">
            <v>37840</v>
          </cell>
          <cell r="V320">
            <v>0</v>
          </cell>
          <cell r="W320">
            <v>772</v>
          </cell>
          <cell r="X320">
            <v>46441</v>
          </cell>
          <cell r="Y320">
            <v>0</v>
          </cell>
          <cell r="Z320">
            <v>948</v>
          </cell>
          <cell r="AA320">
            <v>10936</v>
          </cell>
          <cell r="AB320">
            <v>0</v>
          </cell>
          <cell r="AC320">
            <v>223</v>
          </cell>
          <cell r="AD320">
            <v>0</v>
          </cell>
          <cell r="AE320">
            <v>0</v>
          </cell>
          <cell r="AF320">
            <v>0</v>
          </cell>
          <cell r="AG320">
            <v>0</v>
          </cell>
          <cell r="AH320">
            <v>0</v>
          </cell>
          <cell r="AI320">
            <v>0</v>
          </cell>
          <cell r="AM320">
            <v>0</v>
          </cell>
          <cell r="AN320">
            <v>0</v>
          </cell>
          <cell r="AO320">
            <v>0</v>
          </cell>
          <cell r="AP320">
            <v>1093429</v>
          </cell>
          <cell r="AQ320">
            <v>0</v>
          </cell>
          <cell r="AR320">
            <v>22070</v>
          </cell>
          <cell r="AS320">
            <v>-324450</v>
          </cell>
          <cell r="AT320">
            <v>-317961</v>
          </cell>
          <cell r="AU320">
            <v>0</v>
          </cell>
          <cell r="AV320">
            <v>-6489</v>
          </cell>
          <cell r="AW320">
            <v>-648900</v>
          </cell>
          <cell r="AX320">
            <v>-1920051</v>
          </cell>
          <cell r="AY320">
            <v>-1881649</v>
          </cell>
          <cell r="AZ320">
            <v>0</v>
          </cell>
          <cell r="BA320">
            <v>-38400</v>
          </cell>
          <cell r="BB320">
            <v>-3840100</v>
          </cell>
          <cell r="BC320">
            <v>150240366</v>
          </cell>
          <cell r="BD320">
            <v>-10624918</v>
          </cell>
          <cell r="BE320">
            <v>4002798</v>
          </cell>
          <cell r="BF320">
            <v>0</v>
          </cell>
          <cell r="BG320">
            <v>-11061815</v>
          </cell>
          <cell r="BH320">
            <v>-112855</v>
          </cell>
          <cell r="BI320">
            <v>-251960</v>
          </cell>
          <cell r="BJ320">
            <v>-26356</v>
          </cell>
          <cell r="BK320">
            <v>-4633629</v>
          </cell>
          <cell r="BL320">
            <v>-250901</v>
          </cell>
          <cell r="BM320">
            <v>-53585</v>
          </cell>
          <cell r="BN320">
            <v>-1071</v>
          </cell>
          <cell r="BO320">
            <v>-264079</v>
          </cell>
          <cell r="BP320">
            <v>0</v>
          </cell>
          <cell r="BQ320">
            <v>0</v>
          </cell>
          <cell r="BR320">
            <v>0</v>
          </cell>
          <cell r="BS320">
            <v>0</v>
          </cell>
          <cell r="BT320">
            <v>153602395</v>
          </cell>
          <cell r="BU320">
            <v>-769476</v>
          </cell>
          <cell r="BV320">
            <v>4718389</v>
          </cell>
          <cell r="BW320">
            <v>-1860706</v>
          </cell>
          <cell r="BX320">
            <v>4834059</v>
          </cell>
          <cell r="BY320">
            <v>6260944</v>
          </cell>
          <cell r="BZ320">
            <v>146925452</v>
          </cell>
          <cell r="CA320">
            <v>2417029</v>
          </cell>
          <cell r="CB320">
            <v>2368689</v>
          </cell>
          <cell r="CC320">
            <v>0</v>
          </cell>
          <cell r="CD320">
            <v>48341</v>
          </cell>
          <cell r="CE320">
            <v>3130472</v>
          </cell>
          <cell r="CF320">
            <v>3067863</v>
          </cell>
          <cell r="CG320">
            <v>0</v>
          </cell>
          <cell r="CH320">
            <v>62609</v>
          </cell>
        </row>
        <row r="321">
          <cell r="A321">
            <v>314</v>
          </cell>
          <cell r="B321" t="str">
            <v>Winchester</v>
          </cell>
          <cell r="C321" t="str">
            <v>E1743</v>
          </cell>
          <cell r="D321">
            <v>198201</v>
          </cell>
          <cell r="H321">
            <v>1527982</v>
          </cell>
          <cell r="I321">
            <v>0</v>
          </cell>
          <cell r="J321">
            <v>198201</v>
          </cell>
          <cell r="K321">
            <v>0</v>
          </cell>
          <cell r="L321">
            <v>285000</v>
          </cell>
          <cell r="M321">
            <v>0</v>
          </cell>
          <cell r="N321">
            <v>0</v>
          </cell>
          <cell r="O321">
            <v>0</v>
          </cell>
          <cell r="P321">
            <v>0</v>
          </cell>
          <cell r="Q321">
            <v>0</v>
          </cell>
          <cell r="R321">
            <v>696171</v>
          </cell>
          <cell r="S321">
            <v>156639</v>
          </cell>
          <cell r="T321">
            <v>17404</v>
          </cell>
          <cell r="U321">
            <v>8120</v>
          </cell>
          <cell r="V321">
            <v>1827</v>
          </cell>
          <cell r="W321">
            <v>203</v>
          </cell>
          <cell r="X321">
            <v>0</v>
          </cell>
          <cell r="Y321">
            <v>0</v>
          </cell>
          <cell r="Z321">
            <v>0</v>
          </cell>
          <cell r="AA321">
            <v>0</v>
          </cell>
          <cell r="AB321">
            <v>0</v>
          </cell>
          <cell r="AC321">
            <v>0</v>
          </cell>
          <cell r="AD321">
            <v>0</v>
          </cell>
          <cell r="AE321">
            <v>0</v>
          </cell>
          <cell r="AF321">
            <v>0</v>
          </cell>
          <cell r="AG321">
            <v>0</v>
          </cell>
          <cell r="AH321">
            <v>0</v>
          </cell>
          <cell r="AI321">
            <v>0</v>
          </cell>
          <cell r="AM321">
            <v>0</v>
          </cell>
          <cell r="AN321">
            <v>0</v>
          </cell>
          <cell r="AO321">
            <v>0</v>
          </cell>
          <cell r="AP321">
            <v>354437</v>
          </cell>
          <cell r="AQ321">
            <v>78785</v>
          </cell>
          <cell r="AR321">
            <v>8754</v>
          </cell>
          <cell r="AS321">
            <v>-548595</v>
          </cell>
          <cell r="AT321">
            <v>-438880</v>
          </cell>
          <cell r="AU321">
            <v>-98748</v>
          </cell>
          <cell r="AV321">
            <v>-10973</v>
          </cell>
          <cell r="AW321">
            <v>-1097196</v>
          </cell>
          <cell r="AX321">
            <v>-1904467</v>
          </cell>
          <cell r="AY321">
            <v>-1523573</v>
          </cell>
          <cell r="AZ321">
            <v>-342806</v>
          </cell>
          <cell r="BA321">
            <v>-38089</v>
          </cell>
          <cell r="BB321">
            <v>-3808935</v>
          </cell>
          <cell r="BC321">
            <v>57183490</v>
          </cell>
          <cell r="BD321">
            <v>-2744170</v>
          </cell>
          <cell r="BE321">
            <v>1529446</v>
          </cell>
          <cell r="BF321">
            <v>0</v>
          </cell>
          <cell r="BG321">
            <v>-3623328</v>
          </cell>
          <cell r="BH321">
            <v>-44917</v>
          </cell>
          <cell r="BI321">
            <v>-11680</v>
          </cell>
          <cell r="BJ321">
            <v>0</v>
          </cell>
          <cell r="BK321">
            <v>-1393833</v>
          </cell>
          <cell r="BL321">
            <v>-66150</v>
          </cell>
          <cell r="BM321">
            <v>-188052</v>
          </cell>
          <cell r="BN321">
            <v>-4120</v>
          </cell>
          <cell r="BO321">
            <v>-6156</v>
          </cell>
          <cell r="BP321">
            <v>-6840</v>
          </cell>
          <cell r="BQ321">
            <v>0</v>
          </cell>
          <cell r="BR321">
            <v>0</v>
          </cell>
          <cell r="BS321">
            <v>0</v>
          </cell>
          <cell r="BT321">
            <v>55548343</v>
          </cell>
          <cell r="BU321">
            <v>-577231</v>
          </cell>
          <cell r="BV321">
            <v>1957722</v>
          </cell>
          <cell r="BW321">
            <v>-1054366</v>
          </cell>
          <cell r="BX321">
            <v>884838</v>
          </cell>
          <cell r="BY321">
            <v>1489006</v>
          </cell>
          <cell r="BZ321">
            <v>58276011</v>
          </cell>
          <cell r="CA321">
            <v>442419</v>
          </cell>
          <cell r="CB321">
            <v>353936</v>
          </cell>
          <cell r="CC321">
            <v>79635</v>
          </cell>
          <cell r="CD321">
            <v>8848</v>
          </cell>
          <cell r="CE321">
            <v>744503</v>
          </cell>
          <cell r="CF321">
            <v>595602</v>
          </cell>
          <cell r="CG321">
            <v>134011</v>
          </cell>
          <cell r="CH321">
            <v>14890</v>
          </cell>
        </row>
        <row r="322">
          <cell r="A322">
            <v>315</v>
          </cell>
          <cell r="B322" t="str">
            <v>Windsor and Maidenhead</v>
          </cell>
          <cell r="C322" t="str">
            <v>E0305</v>
          </cell>
          <cell r="D322">
            <v>249199</v>
          </cell>
          <cell r="H322">
            <v>4761580</v>
          </cell>
          <cell r="I322">
            <v>0</v>
          </cell>
          <cell r="J322">
            <v>249199</v>
          </cell>
          <cell r="K322">
            <v>0</v>
          </cell>
          <cell r="L322">
            <v>9261</v>
          </cell>
          <cell r="M322">
            <v>0</v>
          </cell>
          <cell r="N322">
            <v>0</v>
          </cell>
          <cell r="O322">
            <v>0</v>
          </cell>
          <cell r="P322">
            <v>0</v>
          </cell>
          <cell r="Q322">
            <v>0</v>
          </cell>
          <cell r="R322">
            <v>684248</v>
          </cell>
          <cell r="S322">
            <v>0</v>
          </cell>
          <cell r="T322">
            <v>13964</v>
          </cell>
          <cell r="U322">
            <v>0</v>
          </cell>
          <cell r="V322">
            <v>0</v>
          </cell>
          <cell r="W322">
            <v>0</v>
          </cell>
          <cell r="X322">
            <v>0</v>
          </cell>
          <cell r="Y322">
            <v>0</v>
          </cell>
          <cell r="Z322">
            <v>0</v>
          </cell>
          <cell r="AA322">
            <v>9017</v>
          </cell>
          <cell r="AB322">
            <v>0</v>
          </cell>
          <cell r="AC322">
            <v>184</v>
          </cell>
          <cell r="AD322">
            <v>0</v>
          </cell>
          <cell r="AE322">
            <v>0</v>
          </cell>
          <cell r="AF322">
            <v>0</v>
          </cell>
          <cell r="AG322">
            <v>0</v>
          </cell>
          <cell r="AH322">
            <v>0</v>
          </cell>
          <cell r="AI322">
            <v>0</v>
          </cell>
          <cell r="AM322">
            <v>0</v>
          </cell>
          <cell r="AN322">
            <v>0</v>
          </cell>
          <cell r="AO322">
            <v>0</v>
          </cell>
          <cell r="AP322">
            <v>680999</v>
          </cell>
          <cell r="AQ322">
            <v>0</v>
          </cell>
          <cell r="AR322">
            <v>13895</v>
          </cell>
          <cell r="AS322">
            <v>-514254.1</v>
          </cell>
          <cell r="AT322">
            <v>-503969</v>
          </cell>
          <cell r="AU322">
            <v>0</v>
          </cell>
          <cell r="AV322">
            <v>-10286</v>
          </cell>
          <cell r="AW322">
            <v>-1028509.1000000001</v>
          </cell>
          <cell r="AX322">
            <v>-1956108</v>
          </cell>
          <cell r="AY322">
            <v>-1916986</v>
          </cell>
          <cell r="AZ322">
            <v>0</v>
          </cell>
          <cell r="BA322">
            <v>-39121</v>
          </cell>
          <cell r="BB322">
            <v>-3912215</v>
          </cell>
          <cell r="BC322">
            <v>80609864</v>
          </cell>
          <cell r="BD322">
            <v>-1967722</v>
          </cell>
          <cell r="BE322">
            <v>2252145</v>
          </cell>
          <cell r="BF322">
            <v>0</v>
          </cell>
          <cell r="BG322">
            <v>-6402224</v>
          </cell>
          <cell r="BH322">
            <v>0</v>
          </cell>
          <cell r="BI322">
            <v>-6188</v>
          </cell>
          <cell r="BJ322">
            <v>-64274</v>
          </cell>
          <cell r="BK322">
            <v>-4136756</v>
          </cell>
          <cell r="BL322">
            <v>-386003</v>
          </cell>
          <cell r="BM322">
            <v>-132055</v>
          </cell>
          <cell r="BN322">
            <v>0</v>
          </cell>
          <cell r="BO322">
            <v>0</v>
          </cell>
          <cell r="BP322">
            <v>-32126</v>
          </cell>
          <cell r="BQ322">
            <v>-93164</v>
          </cell>
          <cell r="BR322">
            <v>0</v>
          </cell>
          <cell r="BS322">
            <v>0</v>
          </cell>
          <cell r="BT322">
            <v>81393858</v>
          </cell>
          <cell r="BU322">
            <v>0</v>
          </cell>
          <cell r="BV322">
            <v>3356295</v>
          </cell>
          <cell r="BW322">
            <v>-1292358</v>
          </cell>
          <cell r="BX322">
            <v>-5091185</v>
          </cell>
          <cell r="BY322">
            <v>-2043554</v>
          </cell>
          <cell r="BZ322">
            <v>92501622</v>
          </cell>
          <cell r="CA322">
            <v>-2545593</v>
          </cell>
          <cell r="CB322">
            <v>-2494680</v>
          </cell>
          <cell r="CC322">
            <v>0</v>
          </cell>
          <cell r="CD322">
            <v>-50912</v>
          </cell>
          <cell r="CE322">
            <v>-1021777</v>
          </cell>
          <cell r="CF322">
            <v>-1001341</v>
          </cell>
          <cell r="CG322">
            <v>0</v>
          </cell>
          <cell r="CH322">
            <v>-20436</v>
          </cell>
        </row>
        <row r="323">
          <cell r="A323">
            <v>316</v>
          </cell>
          <cell r="B323" t="str">
            <v>Wirral</v>
          </cell>
          <cell r="C323" t="str">
            <v>E4305</v>
          </cell>
          <cell r="D323">
            <v>334347</v>
          </cell>
          <cell r="H323">
            <v>-1413821</v>
          </cell>
          <cell r="I323">
            <v>-29571</v>
          </cell>
          <cell r="J323">
            <v>334347</v>
          </cell>
          <cell r="K323">
            <v>228652</v>
          </cell>
          <cell r="L323">
            <v>0</v>
          </cell>
          <cell r="M323">
            <v>0</v>
          </cell>
          <cell r="N323">
            <v>0</v>
          </cell>
          <cell r="O323">
            <v>0</v>
          </cell>
          <cell r="P323">
            <v>0</v>
          </cell>
          <cell r="Q323">
            <v>0</v>
          </cell>
          <cell r="R323">
            <v>4598117</v>
          </cell>
          <cell r="S323">
            <v>0</v>
          </cell>
          <cell r="T323">
            <v>46324</v>
          </cell>
          <cell r="U323">
            <v>17978</v>
          </cell>
          <cell r="V323">
            <v>0</v>
          </cell>
          <cell r="W323">
            <v>182</v>
          </cell>
          <cell r="X323">
            <v>0</v>
          </cell>
          <cell r="Y323">
            <v>0</v>
          </cell>
          <cell r="Z323">
            <v>0</v>
          </cell>
          <cell r="AA323">
            <v>9224</v>
          </cell>
          <cell r="AB323">
            <v>0</v>
          </cell>
          <cell r="AC323">
            <v>93</v>
          </cell>
          <cell r="AD323">
            <v>0</v>
          </cell>
          <cell r="AE323">
            <v>0</v>
          </cell>
          <cell r="AF323">
            <v>0</v>
          </cell>
          <cell r="AG323">
            <v>0</v>
          </cell>
          <cell r="AH323">
            <v>0</v>
          </cell>
          <cell r="AI323">
            <v>0</v>
          </cell>
          <cell r="AM323">
            <v>0</v>
          </cell>
          <cell r="AN323">
            <v>0</v>
          </cell>
          <cell r="AO323">
            <v>0</v>
          </cell>
          <cell r="AP323">
            <v>1023267</v>
          </cell>
          <cell r="AQ323">
            <v>0</v>
          </cell>
          <cell r="AR323">
            <v>10301</v>
          </cell>
          <cell r="AS323">
            <v>-1616270</v>
          </cell>
          <cell r="AT323">
            <v>-1583946</v>
          </cell>
          <cell r="AU323">
            <v>0</v>
          </cell>
          <cell r="AV323">
            <v>-32324</v>
          </cell>
          <cell r="AW323">
            <v>-3232540</v>
          </cell>
          <cell r="AX323">
            <v>-6251873</v>
          </cell>
          <cell r="AY323">
            <v>-6126835</v>
          </cell>
          <cell r="AZ323">
            <v>0</v>
          </cell>
          <cell r="BA323">
            <v>-125037</v>
          </cell>
          <cell r="BB323">
            <v>-12503745</v>
          </cell>
          <cell r="BC323">
            <v>71720223</v>
          </cell>
          <cell r="BD323">
            <v>-6655074</v>
          </cell>
          <cell r="BE323">
            <v>1995376</v>
          </cell>
          <cell r="BF323">
            <v>0</v>
          </cell>
          <cell r="BG323">
            <v>-5055610</v>
          </cell>
          <cell r="BH323">
            <v>-29721</v>
          </cell>
          <cell r="BI323">
            <v>0</v>
          </cell>
          <cell r="BJ323">
            <v>-81434</v>
          </cell>
          <cell r="BK323">
            <v>-3710356</v>
          </cell>
          <cell r="BL323">
            <v>-578666</v>
          </cell>
          <cell r="BM323">
            <v>-99647</v>
          </cell>
          <cell r="BN323">
            <v>-7430</v>
          </cell>
          <cell r="BO323">
            <v>0</v>
          </cell>
          <cell r="BP323">
            <v>0</v>
          </cell>
          <cell r="BQ323">
            <v>-78015</v>
          </cell>
          <cell r="BR323">
            <v>-134162</v>
          </cell>
          <cell r="BS323">
            <v>0</v>
          </cell>
          <cell r="BT323">
            <v>80535314</v>
          </cell>
          <cell r="BU323">
            <v>-1774166</v>
          </cell>
          <cell r="BV323">
            <v>4925494</v>
          </cell>
          <cell r="BW323">
            <v>-1441230</v>
          </cell>
          <cell r="BX323">
            <v>1452539</v>
          </cell>
          <cell r="BY323">
            <v>1473864</v>
          </cell>
          <cell r="BZ323">
            <v>68577464</v>
          </cell>
          <cell r="CA323">
            <v>726270</v>
          </cell>
          <cell r="CB323">
            <v>711744</v>
          </cell>
          <cell r="CC323">
            <v>0</v>
          </cell>
          <cell r="CD323">
            <v>14525</v>
          </cell>
          <cell r="CE323">
            <v>736932</v>
          </cell>
          <cell r="CF323">
            <v>722193</v>
          </cell>
          <cell r="CG323">
            <v>0</v>
          </cell>
          <cell r="CH323">
            <v>14739</v>
          </cell>
        </row>
        <row r="324">
          <cell r="A324">
            <v>317</v>
          </cell>
          <cell r="B324" t="str">
            <v>Woking</v>
          </cell>
          <cell r="C324" t="str">
            <v>E3641</v>
          </cell>
          <cell r="D324">
            <v>134878</v>
          </cell>
          <cell r="H324">
            <v>-700535</v>
          </cell>
          <cell r="I324">
            <v>0</v>
          </cell>
          <cell r="J324">
            <v>134878</v>
          </cell>
          <cell r="K324">
            <v>0</v>
          </cell>
          <cell r="L324">
            <v>0</v>
          </cell>
          <cell r="M324">
            <v>0</v>
          </cell>
          <cell r="N324">
            <v>0</v>
          </cell>
          <cell r="O324">
            <v>0</v>
          </cell>
          <cell r="P324">
            <v>0</v>
          </cell>
          <cell r="Q324">
            <v>0</v>
          </cell>
          <cell r="R324">
            <v>339755</v>
          </cell>
          <cell r="S324">
            <v>84939</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M324">
            <v>0</v>
          </cell>
          <cell r="AN324">
            <v>0</v>
          </cell>
          <cell r="AO324">
            <v>0</v>
          </cell>
          <cell r="AP324">
            <v>282548</v>
          </cell>
          <cell r="AQ324">
            <v>70637</v>
          </cell>
          <cell r="AR324">
            <v>0</v>
          </cell>
          <cell r="AS324">
            <v>-502000</v>
          </cell>
          <cell r="AT324">
            <v>-401600</v>
          </cell>
          <cell r="AU324">
            <v>-100400</v>
          </cell>
          <cell r="AV324">
            <v>0</v>
          </cell>
          <cell r="AW324">
            <v>-1004000</v>
          </cell>
          <cell r="AX324">
            <v>-1779660</v>
          </cell>
          <cell r="AY324">
            <v>-1423729</v>
          </cell>
          <cell r="AZ324">
            <v>-355933</v>
          </cell>
          <cell r="BA324">
            <v>0</v>
          </cell>
          <cell r="BB324">
            <v>-3559322</v>
          </cell>
          <cell r="BC324">
            <v>49872479</v>
          </cell>
          <cell r="BD324">
            <v>-1138160</v>
          </cell>
          <cell r="BE324">
            <v>1323383</v>
          </cell>
          <cell r="BF324">
            <v>0</v>
          </cell>
          <cell r="BG324">
            <v>-2774188</v>
          </cell>
          <cell r="BH324">
            <v>0</v>
          </cell>
          <cell r="BI324">
            <v>-721</v>
          </cell>
          <cell r="BJ324">
            <v>-9521</v>
          </cell>
          <cell r="BK324">
            <v>-1926396</v>
          </cell>
          <cell r="BL324">
            <v>-322244</v>
          </cell>
          <cell r="BM324">
            <v>-86322</v>
          </cell>
          <cell r="BN324">
            <v>0</v>
          </cell>
          <cell r="BO324">
            <v>0</v>
          </cell>
          <cell r="BP324">
            <v>0</v>
          </cell>
          <cell r="BQ324">
            <v>-61613</v>
          </cell>
          <cell r="BR324">
            <v>0</v>
          </cell>
          <cell r="BS324">
            <v>0</v>
          </cell>
          <cell r="BT324">
            <v>47656028</v>
          </cell>
          <cell r="BU324">
            <v>0</v>
          </cell>
          <cell r="BV324">
            <v>2408223</v>
          </cell>
          <cell r="BW324">
            <v>-993815</v>
          </cell>
          <cell r="BX324">
            <v>4865914</v>
          </cell>
          <cell r="BY324">
            <v>4590780</v>
          </cell>
          <cell r="BZ324">
            <v>47024067</v>
          </cell>
          <cell r="CA324">
            <v>2432956</v>
          </cell>
          <cell r="CB324">
            <v>1946366</v>
          </cell>
          <cell r="CC324">
            <v>486592</v>
          </cell>
          <cell r="CD324">
            <v>0</v>
          </cell>
          <cell r="CE324">
            <v>2295390</v>
          </cell>
          <cell r="CF324">
            <v>1836312</v>
          </cell>
          <cell r="CG324">
            <v>459078</v>
          </cell>
          <cell r="CH324">
            <v>0</v>
          </cell>
        </row>
        <row r="325">
          <cell r="A325">
            <v>318</v>
          </cell>
          <cell r="B325" t="str">
            <v>Wokingham</v>
          </cell>
          <cell r="C325" t="str">
            <v>E0306</v>
          </cell>
          <cell r="D325">
            <v>190537</v>
          </cell>
          <cell r="H325">
            <v>5244154</v>
          </cell>
          <cell r="I325">
            <v>0</v>
          </cell>
          <cell r="J325">
            <v>190537</v>
          </cell>
          <cell r="K325">
            <v>0</v>
          </cell>
          <cell r="L325">
            <v>17772</v>
          </cell>
          <cell r="M325">
            <v>0</v>
          </cell>
          <cell r="N325">
            <v>0</v>
          </cell>
          <cell r="O325">
            <v>0</v>
          </cell>
          <cell r="P325">
            <v>0</v>
          </cell>
          <cell r="Q325">
            <v>0</v>
          </cell>
          <cell r="R325">
            <v>642841</v>
          </cell>
          <cell r="S325">
            <v>0</v>
          </cell>
          <cell r="T325">
            <v>13119</v>
          </cell>
          <cell r="U325">
            <v>249</v>
          </cell>
          <cell r="V325">
            <v>0</v>
          </cell>
          <cell r="W325">
            <v>5</v>
          </cell>
          <cell r="X325">
            <v>56199</v>
          </cell>
          <cell r="Y325">
            <v>0</v>
          </cell>
          <cell r="Z325">
            <v>1147</v>
          </cell>
          <cell r="AA325">
            <v>1785</v>
          </cell>
          <cell r="AB325">
            <v>0</v>
          </cell>
          <cell r="AC325">
            <v>36</v>
          </cell>
          <cell r="AD325">
            <v>0</v>
          </cell>
          <cell r="AE325">
            <v>0</v>
          </cell>
          <cell r="AF325">
            <v>0</v>
          </cell>
          <cell r="AG325">
            <v>0</v>
          </cell>
          <cell r="AH325">
            <v>0</v>
          </cell>
          <cell r="AI325">
            <v>0</v>
          </cell>
          <cell r="AM325">
            <v>0</v>
          </cell>
          <cell r="AN325">
            <v>0</v>
          </cell>
          <cell r="AO325">
            <v>0</v>
          </cell>
          <cell r="AP325">
            <v>451495</v>
          </cell>
          <cell r="AQ325">
            <v>0</v>
          </cell>
          <cell r="AR325">
            <v>9209</v>
          </cell>
          <cell r="AS325">
            <v>-448029</v>
          </cell>
          <cell r="AT325">
            <v>-439070</v>
          </cell>
          <cell r="AU325">
            <v>0</v>
          </cell>
          <cell r="AV325">
            <v>-8961</v>
          </cell>
          <cell r="AW325">
            <v>-896060</v>
          </cell>
          <cell r="AX325">
            <v>-2428686</v>
          </cell>
          <cell r="AY325">
            <v>-2380112</v>
          </cell>
          <cell r="AZ325">
            <v>0</v>
          </cell>
          <cell r="BA325">
            <v>-48574</v>
          </cell>
          <cell r="BB325">
            <v>-4857372</v>
          </cell>
          <cell r="BC325">
            <v>55073329</v>
          </cell>
          <cell r="BD325">
            <v>-2007000</v>
          </cell>
          <cell r="BE325">
            <v>1654848</v>
          </cell>
          <cell r="BF325">
            <v>0</v>
          </cell>
          <cell r="BG325">
            <v>-5141371</v>
          </cell>
          <cell r="BH325">
            <v>-65365</v>
          </cell>
          <cell r="BI325">
            <v>-4964</v>
          </cell>
          <cell r="BJ325">
            <v>-204395</v>
          </cell>
          <cell r="BK325">
            <v>-3143055</v>
          </cell>
          <cell r="BL325">
            <v>-7044</v>
          </cell>
          <cell r="BM325">
            <v>-46226</v>
          </cell>
          <cell r="BN325">
            <v>-452</v>
          </cell>
          <cell r="BO325">
            <v>-845</v>
          </cell>
          <cell r="BP325">
            <v>0</v>
          </cell>
          <cell r="BQ325">
            <v>-6036</v>
          </cell>
          <cell r="BR325">
            <v>0</v>
          </cell>
          <cell r="BS325">
            <v>0</v>
          </cell>
          <cell r="BT325">
            <v>59165666</v>
          </cell>
          <cell r="BU325">
            <v>-200307</v>
          </cell>
          <cell r="BV325">
            <v>2348491</v>
          </cell>
          <cell r="BW325">
            <v>-2133143</v>
          </cell>
          <cell r="BX325">
            <v>3812940</v>
          </cell>
          <cell r="BY325">
            <v>1125542</v>
          </cell>
          <cell r="BZ325">
            <v>61303866</v>
          </cell>
          <cell r="CA325">
            <v>1906470</v>
          </cell>
          <cell r="CB325">
            <v>1868341</v>
          </cell>
          <cell r="CC325">
            <v>0</v>
          </cell>
          <cell r="CD325">
            <v>38129</v>
          </cell>
          <cell r="CE325">
            <v>562771</v>
          </cell>
          <cell r="CF325">
            <v>551516</v>
          </cell>
          <cell r="CG325">
            <v>0</v>
          </cell>
          <cell r="CH325">
            <v>11255</v>
          </cell>
        </row>
        <row r="326">
          <cell r="A326">
            <v>319</v>
          </cell>
          <cell r="B326" t="str">
            <v>Wolverhampton</v>
          </cell>
          <cell r="C326" t="str">
            <v>E4607</v>
          </cell>
          <cell r="D326">
            <v>337306</v>
          </cell>
          <cell r="H326">
            <v>-1176463</v>
          </cell>
          <cell r="I326">
            <v>0</v>
          </cell>
          <cell r="J326">
            <v>337306</v>
          </cell>
          <cell r="K326">
            <v>59532</v>
          </cell>
          <cell r="L326">
            <v>0</v>
          </cell>
          <cell r="M326">
            <v>0</v>
          </cell>
          <cell r="N326">
            <v>0</v>
          </cell>
          <cell r="O326">
            <v>0</v>
          </cell>
          <cell r="P326">
            <v>0</v>
          </cell>
          <cell r="Q326">
            <v>0</v>
          </cell>
          <cell r="R326">
            <v>3694422</v>
          </cell>
          <cell r="S326">
            <v>0</v>
          </cell>
          <cell r="T326">
            <v>37317</v>
          </cell>
          <cell r="U326">
            <v>13683</v>
          </cell>
          <cell r="V326">
            <v>0</v>
          </cell>
          <cell r="W326">
            <v>138</v>
          </cell>
          <cell r="X326">
            <v>0</v>
          </cell>
          <cell r="Y326">
            <v>0</v>
          </cell>
          <cell r="Z326">
            <v>0</v>
          </cell>
          <cell r="AA326">
            <v>42424</v>
          </cell>
          <cell r="AB326">
            <v>0</v>
          </cell>
          <cell r="AC326">
            <v>429</v>
          </cell>
          <cell r="AD326">
            <v>0</v>
          </cell>
          <cell r="AE326">
            <v>0</v>
          </cell>
          <cell r="AF326">
            <v>0</v>
          </cell>
          <cell r="AG326">
            <v>0</v>
          </cell>
          <cell r="AH326">
            <v>0</v>
          </cell>
          <cell r="AI326">
            <v>0</v>
          </cell>
          <cell r="AM326">
            <v>0</v>
          </cell>
          <cell r="AN326">
            <v>0</v>
          </cell>
          <cell r="AO326">
            <v>0</v>
          </cell>
          <cell r="AP326">
            <v>1059299</v>
          </cell>
          <cell r="AQ326">
            <v>0</v>
          </cell>
          <cell r="AR326">
            <v>10691</v>
          </cell>
          <cell r="AS326">
            <v>-2844728</v>
          </cell>
          <cell r="AT326">
            <v>-2787833</v>
          </cell>
          <cell r="AU326">
            <v>0</v>
          </cell>
          <cell r="AV326">
            <v>-56894</v>
          </cell>
          <cell r="AW326">
            <v>-5689455</v>
          </cell>
          <cell r="AX326">
            <v>-6308691</v>
          </cell>
          <cell r="AY326">
            <v>-6182517</v>
          </cell>
          <cell r="AZ326">
            <v>0</v>
          </cell>
          <cell r="BA326">
            <v>-126174</v>
          </cell>
          <cell r="BB326">
            <v>-12617382</v>
          </cell>
          <cell r="BC326">
            <v>69518410</v>
          </cell>
          <cell r="BD326">
            <v>-5861815</v>
          </cell>
          <cell r="BE326">
            <v>2057360</v>
          </cell>
          <cell r="BF326">
            <v>0</v>
          </cell>
          <cell r="BG326">
            <v>-5465987</v>
          </cell>
          <cell r="BH326">
            <v>-12017</v>
          </cell>
          <cell r="BI326">
            <v>0</v>
          </cell>
          <cell r="BJ326">
            <v>0</v>
          </cell>
          <cell r="BK326">
            <v>-3335121</v>
          </cell>
          <cell r="BL326">
            <v>-259065</v>
          </cell>
          <cell r="BM326">
            <v>-375034</v>
          </cell>
          <cell r="BN326">
            <v>-1600</v>
          </cell>
          <cell r="BO326">
            <v>0</v>
          </cell>
          <cell r="BP326">
            <v>0</v>
          </cell>
          <cell r="BQ326">
            <v>0</v>
          </cell>
          <cell r="BR326">
            <v>0</v>
          </cell>
          <cell r="BS326">
            <v>0</v>
          </cell>
          <cell r="BT326">
            <v>75259780</v>
          </cell>
          <cell r="BU326">
            <v>-1808399</v>
          </cell>
          <cell r="BV326">
            <v>7482855.7000000002</v>
          </cell>
          <cell r="BW326">
            <v>-1384240.55</v>
          </cell>
          <cell r="BX326">
            <v>-11963455.699999999</v>
          </cell>
          <cell r="BY326">
            <v>-8643897</v>
          </cell>
          <cell r="BZ326">
            <v>71171210</v>
          </cell>
          <cell r="CA326">
            <v>-5981728.6999999993</v>
          </cell>
          <cell r="CB326">
            <v>-5862093</v>
          </cell>
          <cell r="CC326">
            <v>0</v>
          </cell>
          <cell r="CD326">
            <v>-119634</v>
          </cell>
          <cell r="CE326">
            <v>-4321948</v>
          </cell>
          <cell r="CF326">
            <v>-4235510</v>
          </cell>
          <cell r="CG326">
            <v>0</v>
          </cell>
          <cell r="CH326">
            <v>-86439</v>
          </cell>
        </row>
        <row r="327">
          <cell r="A327">
            <v>320</v>
          </cell>
          <cell r="B327" t="str">
            <v>Worcester</v>
          </cell>
          <cell r="C327" t="str">
            <v>E1837</v>
          </cell>
          <cell r="D327">
            <v>133156</v>
          </cell>
          <cell r="H327">
            <v>-1606560</v>
          </cell>
          <cell r="I327">
            <v>0</v>
          </cell>
          <cell r="J327">
            <v>133156</v>
          </cell>
          <cell r="K327">
            <v>0</v>
          </cell>
          <cell r="L327">
            <v>0</v>
          </cell>
          <cell r="M327">
            <v>0</v>
          </cell>
          <cell r="N327">
            <v>0</v>
          </cell>
          <cell r="O327">
            <v>0</v>
          </cell>
          <cell r="P327">
            <v>0</v>
          </cell>
          <cell r="Q327">
            <v>0</v>
          </cell>
          <cell r="R327">
            <v>511407</v>
          </cell>
          <cell r="S327">
            <v>115066</v>
          </cell>
          <cell r="T327">
            <v>12785</v>
          </cell>
          <cell r="U327">
            <v>2480</v>
          </cell>
          <cell r="V327">
            <v>558</v>
          </cell>
          <cell r="W327">
            <v>62</v>
          </cell>
          <cell r="X327">
            <v>0</v>
          </cell>
          <cell r="Y327">
            <v>0</v>
          </cell>
          <cell r="Z327">
            <v>0</v>
          </cell>
          <cell r="AA327">
            <v>4779</v>
          </cell>
          <cell r="AB327">
            <v>1075</v>
          </cell>
          <cell r="AC327">
            <v>119</v>
          </cell>
          <cell r="AD327">
            <v>0</v>
          </cell>
          <cell r="AE327">
            <v>0</v>
          </cell>
          <cell r="AF327">
            <v>0</v>
          </cell>
          <cell r="AG327">
            <v>0</v>
          </cell>
          <cell r="AH327">
            <v>0</v>
          </cell>
          <cell r="AI327">
            <v>0</v>
          </cell>
          <cell r="AM327">
            <v>0</v>
          </cell>
          <cell r="AN327">
            <v>0</v>
          </cell>
          <cell r="AO327">
            <v>0</v>
          </cell>
          <cell r="AP327">
            <v>230043</v>
          </cell>
          <cell r="AQ327">
            <v>51760</v>
          </cell>
          <cell r="AR327">
            <v>5751</v>
          </cell>
          <cell r="AS327">
            <v>-147384</v>
          </cell>
          <cell r="AT327">
            <v>-117907</v>
          </cell>
          <cell r="AU327">
            <v>-26529</v>
          </cell>
          <cell r="AV327">
            <v>-2948</v>
          </cell>
          <cell r="AW327">
            <v>-294768</v>
          </cell>
          <cell r="AX327">
            <v>-1861330</v>
          </cell>
          <cell r="AY327">
            <v>-1489063</v>
          </cell>
          <cell r="AZ327">
            <v>-335039</v>
          </cell>
          <cell r="BA327">
            <v>-37226</v>
          </cell>
          <cell r="BB327">
            <v>-3722658</v>
          </cell>
          <cell r="BC327">
            <v>41599098</v>
          </cell>
          <cell r="BD327">
            <v>-1927867</v>
          </cell>
          <cell r="BE327">
            <v>1165952</v>
          </cell>
          <cell r="BF327">
            <v>0</v>
          </cell>
          <cell r="BG327">
            <v>-3887787</v>
          </cell>
          <cell r="BH327">
            <v>-18190</v>
          </cell>
          <cell r="BI327">
            <v>0</v>
          </cell>
          <cell r="BJ327">
            <v>-2662</v>
          </cell>
          <cell r="BK327">
            <v>-1783605</v>
          </cell>
          <cell r="BL327">
            <v>-191929</v>
          </cell>
          <cell r="BM327">
            <v>-20060</v>
          </cell>
          <cell r="BN327">
            <v>-4548</v>
          </cell>
          <cell r="BO327">
            <v>0</v>
          </cell>
          <cell r="BP327">
            <v>0</v>
          </cell>
          <cell r="BQ327">
            <v>0</v>
          </cell>
          <cell r="BR327">
            <v>0</v>
          </cell>
          <cell r="BS327">
            <v>0</v>
          </cell>
          <cell r="BT327">
            <v>42367813</v>
          </cell>
          <cell r="BU327">
            <v>-188892</v>
          </cell>
          <cell r="BV327">
            <v>463934</v>
          </cell>
          <cell r="BW327">
            <v>-501363</v>
          </cell>
          <cell r="BX327">
            <v>223492</v>
          </cell>
          <cell r="BY327">
            <v>839734</v>
          </cell>
          <cell r="BZ327">
            <v>38285729</v>
          </cell>
          <cell r="CA327">
            <v>111746</v>
          </cell>
          <cell r="CB327">
            <v>89397</v>
          </cell>
          <cell r="CC327">
            <v>20114</v>
          </cell>
          <cell r="CD327">
            <v>2235</v>
          </cell>
          <cell r="CE327">
            <v>419867</v>
          </cell>
          <cell r="CF327">
            <v>335894</v>
          </cell>
          <cell r="CG327">
            <v>75576</v>
          </cell>
          <cell r="CH327">
            <v>8397</v>
          </cell>
        </row>
        <row r="328">
          <cell r="A328">
            <v>321</v>
          </cell>
          <cell r="B328" t="str">
            <v>Worthing</v>
          </cell>
          <cell r="C328" t="str">
            <v>E3837</v>
          </cell>
          <cell r="D328">
            <v>128590</v>
          </cell>
          <cell r="H328">
            <v>-439244</v>
          </cell>
          <cell r="I328">
            <v>0</v>
          </cell>
          <cell r="J328">
            <v>128590</v>
          </cell>
          <cell r="K328">
            <v>0</v>
          </cell>
          <cell r="L328">
            <v>0</v>
          </cell>
          <cell r="M328">
            <v>0</v>
          </cell>
          <cell r="N328">
            <v>0</v>
          </cell>
          <cell r="O328">
            <v>0</v>
          </cell>
          <cell r="P328">
            <v>0</v>
          </cell>
          <cell r="Q328">
            <v>0</v>
          </cell>
          <cell r="R328">
            <v>592840</v>
          </cell>
          <cell r="S328">
            <v>148210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M328">
            <v>0</v>
          </cell>
          <cell r="AN328">
            <v>0</v>
          </cell>
          <cell r="AO328">
            <v>0</v>
          </cell>
          <cell r="AP328">
            <v>187488</v>
          </cell>
          <cell r="AQ328">
            <v>46872</v>
          </cell>
          <cell r="AR328">
            <v>0</v>
          </cell>
          <cell r="AS328">
            <v>-647127</v>
          </cell>
          <cell r="AT328">
            <v>-517702</v>
          </cell>
          <cell r="AU328">
            <v>-129425</v>
          </cell>
          <cell r="AV328">
            <v>0</v>
          </cell>
          <cell r="AW328">
            <v>-1294254</v>
          </cell>
          <cell r="AX328">
            <v>-1132818</v>
          </cell>
          <cell r="AY328">
            <v>-906254</v>
          </cell>
          <cell r="AZ328">
            <v>-226563</v>
          </cell>
          <cell r="BA328">
            <v>0</v>
          </cell>
          <cell r="BB328">
            <v>-2265635</v>
          </cell>
          <cell r="BC328">
            <v>32497960</v>
          </cell>
          <cell r="BD328">
            <v>-2209407</v>
          </cell>
          <cell r="BE328">
            <v>865618</v>
          </cell>
          <cell r="BF328">
            <v>0</v>
          </cell>
          <cell r="BG328">
            <v>-2550296</v>
          </cell>
          <cell r="BH328">
            <v>-40118</v>
          </cell>
          <cell r="BI328">
            <v>0</v>
          </cell>
          <cell r="BJ328">
            <v>0</v>
          </cell>
          <cell r="BK328">
            <v>-885086</v>
          </cell>
          <cell r="BL328">
            <v>-186704</v>
          </cell>
          <cell r="BM328">
            <v>-4234</v>
          </cell>
          <cell r="BN328">
            <v>0</v>
          </cell>
          <cell r="BO328">
            <v>0</v>
          </cell>
          <cell r="BP328">
            <v>0</v>
          </cell>
          <cell r="BQ328">
            <v>0</v>
          </cell>
          <cell r="BR328">
            <v>0</v>
          </cell>
          <cell r="BS328">
            <v>0</v>
          </cell>
          <cell r="BT328">
            <v>32648044</v>
          </cell>
          <cell r="BU328">
            <v>-165751</v>
          </cell>
          <cell r="BV328">
            <v>654495</v>
          </cell>
          <cell r="BW328">
            <v>-618284</v>
          </cell>
          <cell r="BX328">
            <v>-37400</v>
          </cell>
          <cell r="BY328">
            <v>65026</v>
          </cell>
          <cell r="BZ328">
            <v>31203375</v>
          </cell>
          <cell r="CA328">
            <v>-18699</v>
          </cell>
          <cell r="CB328">
            <v>-14960</v>
          </cell>
          <cell r="CC328">
            <v>-3741</v>
          </cell>
          <cell r="CD328">
            <v>0</v>
          </cell>
          <cell r="CE328">
            <v>32513</v>
          </cell>
          <cell r="CF328">
            <v>26010</v>
          </cell>
          <cell r="CG328">
            <v>6503</v>
          </cell>
          <cell r="CH328">
            <v>0</v>
          </cell>
        </row>
        <row r="329">
          <cell r="A329">
            <v>322</v>
          </cell>
          <cell r="B329" t="str">
            <v>Wychavon</v>
          </cell>
          <cell r="C329" t="str">
            <v>E1838</v>
          </cell>
          <cell r="D329">
            <v>185069</v>
          </cell>
          <cell r="H329">
            <v>-378048</v>
          </cell>
          <cell r="I329">
            <v>0</v>
          </cell>
          <cell r="J329">
            <v>185069</v>
          </cell>
          <cell r="K329">
            <v>0</v>
          </cell>
          <cell r="L329">
            <v>204803</v>
          </cell>
          <cell r="M329">
            <v>0</v>
          </cell>
          <cell r="N329">
            <v>0</v>
          </cell>
          <cell r="O329">
            <v>0</v>
          </cell>
          <cell r="P329">
            <v>0</v>
          </cell>
          <cell r="Q329">
            <v>0</v>
          </cell>
          <cell r="R329">
            <v>839569</v>
          </cell>
          <cell r="S329">
            <v>188903</v>
          </cell>
          <cell r="T329">
            <v>20989</v>
          </cell>
          <cell r="U329">
            <v>0</v>
          </cell>
          <cell r="V329">
            <v>0</v>
          </cell>
          <cell r="W329">
            <v>0</v>
          </cell>
          <cell r="X329">
            <v>0</v>
          </cell>
          <cell r="Y329">
            <v>0</v>
          </cell>
          <cell r="Z329">
            <v>0</v>
          </cell>
          <cell r="AA329">
            <v>4303</v>
          </cell>
          <cell r="AB329">
            <v>968</v>
          </cell>
          <cell r="AC329">
            <v>108</v>
          </cell>
          <cell r="AD329">
            <v>0</v>
          </cell>
          <cell r="AE329">
            <v>0</v>
          </cell>
          <cell r="AF329">
            <v>0</v>
          </cell>
          <cell r="AG329">
            <v>0</v>
          </cell>
          <cell r="AH329">
            <v>0</v>
          </cell>
          <cell r="AI329">
            <v>0</v>
          </cell>
          <cell r="AM329">
            <v>0</v>
          </cell>
          <cell r="AN329">
            <v>0</v>
          </cell>
          <cell r="AO329">
            <v>0</v>
          </cell>
          <cell r="AP329">
            <v>235570</v>
          </cell>
          <cell r="AQ329">
            <v>52311</v>
          </cell>
          <cell r="AR329">
            <v>5812</v>
          </cell>
          <cell r="AS329">
            <v>-97500</v>
          </cell>
          <cell r="AT329">
            <v>-78000</v>
          </cell>
          <cell r="AU329">
            <v>-17550</v>
          </cell>
          <cell r="AV329">
            <v>-1950</v>
          </cell>
          <cell r="AW329">
            <v>-195000</v>
          </cell>
          <cell r="AX329">
            <v>-1412733</v>
          </cell>
          <cell r="AY329">
            <v>-1130185</v>
          </cell>
          <cell r="AZ329">
            <v>-254290</v>
          </cell>
          <cell r="BA329">
            <v>-28254</v>
          </cell>
          <cell r="BB329">
            <v>-2825462</v>
          </cell>
          <cell r="BC329">
            <v>40905376</v>
          </cell>
          <cell r="BD329">
            <v>-3355503</v>
          </cell>
          <cell r="BE329">
            <v>1078847</v>
          </cell>
          <cell r="BF329">
            <v>0</v>
          </cell>
          <cell r="BG329">
            <v>-2032789</v>
          </cell>
          <cell r="BH329">
            <v>-57318</v>
          </cell>
          <cell r="BI329">
            <v>-61661</v>
          </cell>
          <cell r="BJ329">
            <v>-94677</v>
          </cell>
          <cell r="BK329">
            <v>-1383393</v>
          </cell>
          <cell r="BL329">
            <v>-202433</v>
          </cell>
          <cell r="BM329">
            <v>-64865</v>
          </cell>
          <cell r="BN329">
            <v>-11465</v>
          </cell>
          <cell r="BO329">
            <v>-49822</v>
          </cell>
          <cell r="BP329">
            <v>-29751</v>
          </cell>
          <cell r="BQ329">
            <v>0</v>
          </cell>
          <cell r="BR329">
            <v>0</v>
          </cell>
          <cell r="BS329">
            <v>0</v>
          </cell>
          <cell r="BT329">
            <v>41668329</v>
          </cell>
          <cell r="BU329">
            <v>-162930</v>
          </cell>
          <cell r="BV329">
            <v>518958</v>
          </cell>
          <cell r="BW329">
            <v>-320751</v>
          </cell>
          <cell r="BX329">
            <v>525637</v>
          </cell>
          <cell r="BY329">
            <v>750157</v>
          </cell>
          <cell r="BZ329">
            <v>38693653</v>
          </cell>
          <cell r="CA329">
            <v>262818</v>
          </cell>
          <cell r="CB329">
            <v>210254</v>
          </cell>
          <cell r="CC329">
            <v>47308</v>
          </cell>
          <cell r="CD329">
            <v>5257</v>
          </cell>
          <cell r="CE329">
            <v>375078</v>
          </cell>
          <cell r="CF329">
            <v>300063</v>
          </cell>
          <cell r="CG329">
            <v>67514</v>
          </cell>
          <cell r="CH329">
            <v>7502</v>
          </cell>
        </row>
        <row r="330">
          <cell r="A330">
            <v>323</v>
          </cell>
          <cell r="B330" t="str">
            <v>Wycombe</v>
          </cell>
          <cell r="C330" t="str">
            <v>E0435</v>
          </cell>
          <cell r="D330">
            <v>234376</v>
          </cell>
          <cell r="H330">
            <v>580119</v>
          </cell>
          <cell r="I330">
            <v>0</v>
          </cell>
          <cell r="J330">
            <v>234376</v>
          </cell>
          <cell r="K330">
            <v>0</v>
          </cell>
          <cell r="L330">
            <v>0</v>
          </cell>
          <cell r="M330">
            <v>0</v>
          </cell>
          <cell r="N330">
            <v>0</v>
          </cell>
          <cell r="O330">
            <v>0</v>
          </cell>
          <cell r="P330">
            <v>0</v>
          </cell>
          <cell r="Q330">
            <v>0</v>
          </cell>
          <cell r="R330">
            <v>698336</v>
          </cell>
          <cell r="S330">
            <v>157125</v>
          </cell>
          <cell r="T330">
            <v>17458</v>
          </cell>
          <cell r="U330">
            <v>5148</v>
          </cell>
          <cell r="V330">
            <v>1158</v>
          </cell>
          <cell r="W330">
            <v>129</v>
          </cell>
          <cell r="X330">
            <v>0</v>
          </cell>
          <cell r="Y330">
            <v>0</v>
          </cell>
          <cell r="Z330">
            <v>0</v>
          </cell>
          <cell r="AA330">
            <v>14969</v>
          </cell>
          <cell r="AB330">
            <v>3368</v>
          </cell>
          <cell r="AC330">
            <v>374</v>
          </cell>
          <cell r="AD330">
            <v>0</v>
          </cell>
          <cell r="AE330">
            <v>0</v>
          </cell>
          <cell r="AF330">
            <v>0</v>
          </cell>
          <cell r="AG330">
            <v>0</v>
          </cell>
          <cell r="AH330">
            <v>0</v>
          </cell>
          <cell r="AI330">
            <v>0</v>
          </cell>
          <cell r="AM330">
            <v>0</v>
          </cell>
          <cell r="AN330">
            <v>0</v>
          </cell>
          <cell r="AO330">
            <v>0</v>
          </cell>
          <cell r="AP330">
            <v>416852</v>
          </cell>
          <cell r="AQ330">
            <v>93792</v>
          </cell>
          <cell r="AR330">
            <v>10421</v>
          </cell>
          <cell r="AS330">
            <v>-1156999</v>
          </cell>
          <cell r="AT330">
            <v>-925600</v>
          </cell>
          <cell r="AU330">
            <v>-208260</v>
          </cell>
          <cell r="AV330">
            <v>-23141</v>
          </cell>
          <cell r="AW330">
            <v>-2314000</v>
          </cell>
          <cell r="AX330">
            <v>-3123398</v>
          </cell>
          <cell r="AY330">
            <v>-2498719</v>
          </cell>
          <cell r="AZ330">
            <v>-562213</v>
          </cell>
          <cell r="BA330">
            <v>-62468</v>
          </cell>
          <cell r="BB330">
            <v>-6246798</v>
          </cell>
          <cell r="BC330">
            <v>72163216</v>
          </cell>
          <cell r="BD330">
            <v>-2576757</v>
          </cell>
          <cell r="BE330">
            <v>1970699</v>
          </cell>
          <cell r="BF330">
            <v>0</v>
          </cell>
          <cell r="BG330">
            <v>-4665469</v>
          </cell>
          <cell r="BH330">
            <v>-60612</v>
          </cell>
          <cell r="BI330">
            <v>-14774</v>
          </cell>
          <cell r="BJ330">
            <v>-7658</v>
          </cell>
          <cell r="BK330">
            <v>-2842230</v>
          </cell>
          <cell r="BL330">
            <v>-190888</v>
          </cell>
          <cell r="BM330">
            <v>-57031</v>
          </cell>
          <cell r="BN330">
            <v>-8068</v>
          </cell>
          <cell r="BO330">
            <v>-11232</v>
          </cell>
          <cell r="BP330">
            <v>-24399</v>
          </cell>
          <cell r="BQ330">
            <v>0</v>
          </cell>
          <cell r="BR330">
            <v>0</v>
          </cell>
          <cell r="BS330">
            <v>0</v>
          </cell>
          <cell r="BT330">
            <v>71897592</v>
          </cell>
          <cell r="BU330">
            <v>-316338</v>
          </cell>
          <cell r="BV330">
            <v>2689875</v>
          </cell>
          <cell r="BW330">
            <v>-3557087</v>
          </cell>
          <cell r="BX330">
            <v>-4549102</v>
          </cell>
          <cell r="BY330">
            <v>-3816087</v>
          </cell>
          <cell r="BZ330">
            <v>69376131</v>
          </cell>
          <cell r="CA330">
            <v>-2274551</v>
          </cell>
          <cell r="CB330">
            <v>-1819641</v>
          </cell>
          <cell r="CC330">
            <v>-409419</v>
          </cell>
          <cell r="CD330">
            <v>-45491</v>
          </cell>
          <cell r="CE330">
            <v>-1908043</v>
          </cell>
          <cell r="CF330">
            <v>-1526435</v>
          </cell>
          <cell r="CG330">
            <v>-343448</v>
          </cell>
          <cell r="CH330">
            <v>-38161</v>
          </cell>
        </row>
        <row r="331">
          <cell r="A331">
            <v>324</v>
          </cell>
          <cell r="B331" t="str">
            <v>Wyre</v>
          </cell>
          <cell r="C331" t="str">
            <v>E2344</v>
          </cell>
          <cell r="D331">
            <v>149805</v>
          </cell>
          <cell r="H331">
            <v>-1300157</v>
          </cell>
          <cell r="I331">
            <v>-174327</v>
          </cell>
          <cell r="J331">
            <v>149805</v>
          </cell>
          <cell r="K331">
            <v>0</v>
          </cell>
          <cell r="L331">
            <v>0</v>
          </cell>
          <cell r="M331">
            <v>0</v>
          </cell>
          <cell r="N331">
            <v>0</v>
          </cell>
          <cell r="O331">
            <v>0</v>
          </cell>
          <cell r="P331">
            <v>0</v>
          </cell>
          <cell r="Q331">
            <v>0</v>
          </cell>
          <cell r="R331">
            <v>802425</v>
          </cell>
          <cell r="S331">
            <v>177468</v>
          </cell>
          <cell r="T331">
            <v>19719</v>
          </cell>
          <cell r="U331">
            <v>13888</v>
          </cell>
          <cell r="V331">
            <v>2092</v>
          </cell>
          <cell r="W331">
            <v>232</v>
          </cell>
          <cell r="X331">
            <v>0</v>
          </cell>
          <cell r="Y331">
            <v>0</v>
          </cell>
          <cell r="Z331">
            <v>0</v>
          </cell>
          <cell r="AA331">
            <v>0</v>
          </cell>
          <cell r="AB331">
            <v>0</v>
          </cell>
          <cell r="AC331">
            <v>0</v>
          </cell>
          <cell r="AD331">
            <v>0</v>
          </cell>
          <cell r="AE331">
            <v>0</v>
          </cell>
          <cell r="AF331">
            <v>0</v>
          </cell>
          <cell r="AG331">
            <v>0</v>
          </cell>
          <cell r="AH331">
            <v>0</v>
          </cell>
          <cell r="AI331">
            <v>0</v>
          </cell>
          <cell r="AM331">
            <v>0</v>
          </cell>
          <cell r="AN331">
            <v>0</v>
          </cell>
          <cell r="AO331">
            <v>0</v>
          </cell>
          <cell r="AP331">
            <v>146729</v>
          </cell>
          <cell r="AQ331">
            <v>33014</v>
          </cell>
          <cell r="AR331">
            <v>3668</v>
          </cell>
          <cell r="AS331">
            <v>-306089.84999999998</v>
          </cell>
          <cell r="AT331">
            <v>-244871</v>
          </cell>
          <cell r="AU331">
            <v>-55095</v>
          </cell>
          <cell r="AV331">
            <v>-6122</v>
          </cell>
          <cell r="AW331">
            <v>-612177.85</v>
          </cell>
          <cell r="AX331">
            <v>-1737962.6800000002</v>
          </cell>
          <cell r="AY331">
            <v>-1390371</v>
          </cell>
          <cell r="AZ331">
            <v>-312834</v>
          </cell>
          <cell r="BA331">
            <v>-34759</v>
          </cell>
          <cell r="BB331">
            <v>-3475926.6</v>
          </cell>
          <cell r="BC331">
            <v>26237030</v>
          </cell>
          <cell r="BD331">
            <v>-3064865</v>
          </cell>
          <cell r="BE331">
            <v>689591</v>
          </cell>
          <cell r="BF331">
            <v>0</v>
          </cell>
          <cell r="BG331">
            <v>-1831296</v>
          </cell>
          <cell r="BH331">
            <v>-28832</v>
          </cell>
          <cell r="BI331">
            <v>-2101</v>
          </cell>
          <cell r="BJ331">
            <v>0</v>
          </cell>
          <cell r="BK331">
            <v>-625207</v>
          </cell>
          <cell r="BL331">
            <v>-3298</v>
          </cell>
          <cell r="BM331">
            <v>-65138</v>
          </cell>
          <cell r="BN331">
            <v>0</v>
          </cell>
          <cell r="BO331">
            <v>0</v>
          </cell>
          <cell r="BP331">
            <v>-40</v>
          </cell>
          <cell r="BQ331">
            <v>0</v>
          </cell>
          <cell r="BR331">
            <v>0</v>
          </cell>
          <cell r="BS331">
            <v>0</v>
          </cell>
          <cell r="BT331">
            <v>27077593</v>
          </cell>
          <cell r="BU331">
            <v>-231908</v>
          </cell>
          <cell r="BV331">
            <v>1111214</v>
          </cell>
          <cell r="BW331">
            <v>-1305080</v>
          </cell>
          <cell r="BX331">
            <v>-3570963</v>
          </cell>
          <cell r="BY331">
            <v>-3700524</v>
          </cell>
          <cell r="BZ331">
            <v>24419864</v>
          </cell>
          <cell r="CA331">
            <v>-1785483</v>
          </cell>
          <cell r="CB331">
            <v>-1428385</v>
          </cell>
          <cell r="CC331">
            <v>-321386</v>
          </cell>
          <cell r="CD331">
            <v>-35709</v>
          </cell>
          <cell r="CE331">
            <v>-1850262</v>
          </cell>
          <cell r="CF331">
            <v>-1480210</v>
          </cell>
          <cell r="CG331">
            <v>-333047</v>
          </cell>
          <cell r="CH331">
            <v>-37005</v>
          </cell>
        </row>
        <row r="332">
          <cell r="A332">
            <v>325</v>
          </cell>
          <cell r="B332" t="str">
            <v>Wyre Forest</v>
          </cell>
          <cell r="C332" t="str">
            <v>E1839</v>
          </cell>
          <cell r="D332">
            <v>130713</v>
          </cell>
          <cell r="H332">
            <v>-1111031</v>
          </cell>
          <cell r="I332">
            <v>0</v>
          </cell>
          <cell r="J332">
            <v>130713</v>
          </cell>
          <cell r="K332">
            <v>0</v>
          </cell>
          <cell r="L332">
            <v>0</v>
          </cell>
          <cell r="M332">
            <v>0</v>
          </cell>
          <cell r="N332">
            <v>0</v>
          </cell>
          <cell r="O332">
            <v>0</v>
          </cell>
          <cell r="P332">
            <v>0</v>
          </cell>
          <cell r="Q332">
            <v>0</v>
          </cell>
          <cell r="R332">
            <v>591860</v>
          </cell>
          <cell r="S332">
            <v>133168</v>
          </cell>
          <cell r="T332">
            <v>14796</v>
          </cell>
          <cell r="U332">
            <v>0</v>
          </cell>
          <cell r="V332">
            <v>0</v>
          </cell>
          <cell r="W332">
            <v>0</v>
          </cell>
          <cell r="X332">
            <v>0</v>
          </cell>
          <cell r="Y332">
            <v>0</v>
          </cell>
          <cell r="Z332">
            <v>0</v>
          </cell>
          <cell r="AA332">
            <v>3856</v>
          </cell>
          <cell r="AB332">
            <v>867</v>
          </cell>
          <cell r="AC332">
            <v>96</v>
          </cell>
          <cell r="AD332">
            <v>0</v>
          </cell>
          <cell r="AE332">
            <v>0</v>
          </cell>
          <cell r="AF332">
            <v>0</v>
          </cell>
          <cell r="AG332">
            <v>0</v>
          </cell>
          <cell r="AH332">
            <v>0</v>
          </cell>
          <cell r="AI332">
            <v>0</v>
          </cell>
          <cell r="AM332">
            <v>0</v>
          </cell>
          <cell r="AN332">
            <v>0</v>
          </cell>
          <cell r="AO332">
            <v>0</v>
          </cell>
          <cell r="AP332">
            <v>157918</v>
          </cell>
          <cell r="AQ332">
            <v>35532</v>
          </cell>
          <cell r="AR332">
            <v>3948</v>
          </cell>
          <cell r="AS332">
            <v>-515547</v>
          </cell>
          <cell r="AT332">
            <v>-412438</v>
          </cell>
          <cell r="AU332">
            <v>-92798</v>
          </cell>
          <cell r="AV332">
            <v>-10311</v>
          </cell>
          <cell r="AW332">
            <v>-1031094</v>
          </cell>
          <cell r="AX332">
            <v>-1630259</v>
          </cell>
          <cell r="AY332">
            <v>-1304205</v>
          </cell>
          <cell r="AZ332">
            <v>-293445</v>
          </cell>
          <cell r="BA332">
            <v>-32605</v>
          </cell>
          <cell r="BB332">
            <v>-3260514</v>
          </cell>
          <cell r="BC332">
            <v>29216492</v>
          </cell>
          <cell r="BD332">
            <v>-2337453</v>
          </cell>
          <cell r="BE332">
            <v>802197</v>
          </cell>
          <cell r="BF332">
            <v>0</v>
          </cell>
          <cell r="BG332">
            <v>-1979054</v>
          </cell>
          <cell r="BH332">
            <v>-49551</v>
          </cell>
          <cell r="BI332">
            <v>-9656</v>
          </cell>
          <cell r="BJ332">
            <v>-51172</v>
          </cell>
          <cell r="BK332">
            <v>-1357703</v>
          </cell>
          <cell r="BL332">
            <v>-81077</v>
          </cell>
          <cell r="BM332">
            <v>-111711</v>
          </cell>
          <cell r="BN332">
            <v>0</v>
          </cell>
          <cell r="BO332">
            <v>-2840</v>
          </cell>
          <cell r="BP332">
            <v>0</v>
          </cell>
          <cell r="BQ332">
            <v>0</v>
          </cell>
          <cell r="BR332">
            <v>0</v>
          </cell>
          <cell r="BS332">
            <v>0</v>
          </cell>
          <cell r="BT332">
            <v>30526026</v>
          </cell>
          <cell r="BU332">
            <v>-957565</v>
          </cell>
          <cell r="BV332">
            <v>2199552</v>
          </cell>
          <cell r="BW332">
            <v>-166059</v>
          </cell>
          <cell r="BX332">
            <v>985803</v>
          </cell>
          <cell r="BY332">
            <v>1863493</v>
          </cell>
          <cell r="BZ332">
            <v>26282066</v>
          </cell>
          <cell r="CA332">
            <v>492902</v>
          </cell>
          <cell r="CB332">
            <v>394321</v>
          </cell>
          <cell r="CC332">
            <v>88722</v>
          </cell>
          <cell r="CD332">
            <v>9858</v>
          </cell>
          <cell r="CE332">
            <v>931747</v>
          </cell>
          <cell r="CF332">
            <v>745397</v>
          </cell>
          <cell r="CG332">
            <v>167714</v>
          </cell>
          <cell r="CH332">
            <v>18635</v>
          </cell>
        </row>
        <row r="333">
          <cell r="A333">
            <v>326</v>
          </cell>
          <cell r="B333" t="str">
            <v>York</v>
          </cell>
          <cell r="C333" t="str">
            <v>E2701</v>
          </cell>
          <cell r="D333">
            <v>291989</v>
          </cell>
          <cell r="H333">
            <v>-2698161</v>
          </cell>
          <cell r="I333">
            <v>432696</v>
          </cell>
          <cell r="J333">
            <v>291989</v>
          </cell>
          <cell r="K333">
            <v>515803</v>
          </cell>
          <cell r="L333">
            <v>0</v>
          </cell>
          <cell r="M333">
            <v>0</v>
          </cell>
          <cell r="N333">
            <v>0</v>
          </cell>
          <cell r="O333">
            <v>0</v>
          </cell>
          <cell r="P333">
            <v>0</v>
          </cell>
          <cell r="Q333">
            <v>0</v>
          </cell>
          <cell r="R333">
            <v>1140857</v>
          </cell>
          <cell r="S333">
            <v>0</v>
          </cell>
          <cell r="T333">
            <v>23230</v>
          </cell>
          <cell r="U333">
            <v>0</v>
          </cell>
          <cell r="V333">
            <v>0</v>
          </cell>
          <cell r="W333">
            <v>0</v>
          </cell>
          <cell r="X333">
            <v>24868</v>
          </cell>
          <cell r="Y333">
            <v>0</v>
          </cell>
          <cell r="Z333">
            <v>508</v>
          </cell>
          <cell r="AA333">
            <v>52223</v>
          </cell>
          <cell r="AB333">
            <v>0</v>
          </cell>
          <cell r="AC333">
            <v>1066</v>
          </cell>
          <cell r="AD333">
            <v>0</v>
          </cell>
          <cell r="AE333">
            <v>0</v>
          </cell>
          <cell r="AF333">
            <v>0</v>
          </cell>
          <cell r="AG333">
            <v>0</v>
          </cell>
          <cell r="AH333">
            <v>0</v>
          </cell>
          <cell r="AI333">
            <v>0</v>
          </cell>
          <cell r="AM333">
            <v>0</v>
          </cell>
          <cell r="AN333">
            <v>0</v>
          </cell>
          <cell r="AO333">
            <v>0</v>
          </cell>
          <cell r="AP333">
            <v>746427</v>
          </cell>
          <cell r="AQ333">
            <v>0</v>
          </cell>
          <cell r="AR333">
            <v>15075</v>
          </cell>
          <cell r="AS333">
            <v>-898291</v>
          </cell>
          <cell r="AT333">
            <v>-880324</v>
          </cell>
          <cell r="AU333">
            <v>0</v>
          </cell>
          <cell r="AV333">
            <v>-17965</v>
          </cell>
          <cell r="AW333">
            <v>-1796580</v>
          </cell>
          <cell r="AX333">
            <v>-3650000</v>
          </cell>
          <cell r="AY333">
            <v>-3577000</v>
          </cell>
          <cell r="AZ333">
            <v>0</v>
          </cell>
          <cell r="BA333">
            <v>-73000</v>
          </cell>
          <cell r="BB333">
            <v>-7300000</v>
          </cell>
          <cell r="BC333">
            <v>104647670</v>
          </cell>
          <cell r="BD333">
            <v>-3593670</v>
          </cell>
          <cell r="BE333">
            <v>2886547</v>
          </cell>
          <cell r="BF333">
            <v>0</v>
          </cell>
          <cell r="BG333">
            <v>-9085775</v>
          </cell>
          <cell r="BH333">
            <v>-94554</v>
          </cell>
          <cell r="BI333">
            <v>-8089</v>
          </cell>
          <cell r="BJ333">
            <v>-52468</v>
          </cell>
          <cell r="BK333">
            <v>-3205404</v>
          </cell>
          <cell r="BL333">
            <v>-74333</v>
          </cell>
          <cell r="BM333">
            <v>-9713</v>
          </cell>
          <cell r="BN333">
            <v>-13212</v>
          </cell>
          <cell r="BO333">
            <v>-2808</v>
          </cell>
          <cell r="BP333">
            <v>-32633</v>
          </cell>
          <cell r="BQ333">
            <v>-22343</v>
          </cell>
          <cell r="BR333">
            <v>0</v>
          </cell>
          <cell r="BS333">
            <v>0</v>
          </cell>
          <cell r="BT333">
            <v>101252249</v>
          </cell>
          <cell r="BU333">
            <v>-81676</v>
          </cell>
          <cell r="BV333">
            <v>2830121</v>
          </cell>
          <cell r="BW333">
            <v>-2804234</v>
          </cell>
          <cell r="BX333">
            <v>-2331393</v>
          </cell>
          <cell r="BY333">
            <v>-2946969</v>
          </cell>
          <cell r="BZ333">
            <v>100356963</v>
          </cell>
          <cell r="CA333">
            <v>-1165696</v>
          </cell>
          <cell r="CB333">
            <v>-1142383</v>
          </cell>
          <cell r="CC333">
            <v>0</v>
          </cell>
          <cell r="CD333">
            <v>-23314</v>
          </cell>
          <cell r="CE333">
            <v>-1473484</v>
          </cell>
          <cell r="CF333">
            <v>-1444015</v>
          </cell>
          <cell r="CG333">
            <v>0</v>
          </cell>
          <cell r="CH333">
            <v>-29470</v>
          </cell>
        </row>
        <row r="334">
          <cell r="A334">
            <v>327</v>
          </cell>
          <cell r="B334" t="str">
            <v>ZZZZ</v>
          </cell>
          <cell r="C334" t="str">
            <v>EZZZZ</v>
          </cell>
          <cell r="AD334" t="e">
            <v>#N/A</v>
          </cell>
          <cell r="AE334" t="e">
            <v>#N/A</v>
          </cell>
          <cell r="AF334" t="e">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national-non-domestic-rates-collected-by-councils-in-england-forecast-for-2019-to-2020"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3"/>
  <sheetViews>
    <sheetView tabSelected="1" workbookViewId="0"/>
  </sheetViews>
  <sheetFormatPr defaultRowHeight="12.75" x14ac:dyDescent="0.2"/>
  <cols>
    <col min="1" max="1" width="2.28515625" style="267" customWidth="1"/>
    <col min="2" max="2" width="2.7109375" style="267" customWidth="1"/>
    <col min="3" max="3" width="18" style="267" customWidth="1"/>
    <col min="4" max="16" width="9.140625" style="267"/>
    <col min="17" max="17" width="3.5703125" style="267" customWidth="1"/>
    <col min="18" max="16384" width="9.140625" style="267"/>
  </cols>
  <sheetData>
    <row r="1" spans="2:17" ht="13.5" thickBot="1" x14ac:dyDescent="0.25"/>
    <row r="2" spans="2:17" x14ac:dyDescent="0.2">
      <c r="B2" s="821"/>
      <c r="C2" s="822"/>
      <c r="D2" s="822"/>
      <c r="E2" s="822"/>
      <c r="F2" s="822"/>
      <c r="G2" s="822"/>
      <c r="H2" s="822"/>
      <c r="I2" s="822"/>
      <c r="J2" s="822"/>
      <c r="K2" s="822"/>
      <c r="L2" s="822"/>
      <c r="M2" s="822"/>
      <c r="N2" s="822"/>
      <c r="O2" s="822"/>
      <c r="P2" s="822"/>
      <c r="Q2" s="823"/>
    </row>
    <row r="3" spans="2:17" x14ac:dyDescent="0.2">
      <c r="B3" s="824"/>
      <c r="C3" s="266"/>
      <c r="D3" s="266"/>
      <c r="E3" s="266"/>
      <c r="F3" s="266"/>
      <c r="G3" s="266"/>
      <c r="H3" s="266"/>
      <c r="I3" s="266"/>
      <c r="J3" s="266"/>
      <c r="K3" s="266"/>
      <c r="L3" s="266"/>
      <c r="M3" s="266"/>
      <c r="N3" s="266"/>
      <c r="O3" s="266"/>
      <c r="P3" s="266"/>
      <c r="Q3" s="825"/>
    </row>
    <row r="4" spans="2:17" x14ac:dyDescent="0.2">
      <c r="B4" s="824"/>
      <c r="C4" s="266"/>
      <c r="D4" s="266"/>
      <c r="E4" s="266"/>
      <c r="F4" s="266"/>
      <c r="G4" s="266"/>
      <c r="H4" s="266"/>
      <c r="I4" s="266"/>
      <c r="J4" s="266"/>
      <c r="K4" s="266"/>
      <c r="L4" s="266"/>
      <c r="M4" s="266"/>
      <c r="N4" s="266"/>
      <c r="O4" s="266"/>
      <c r="P4" s="266"/>
      <c r="Q4" s="825"/>
    </row>
    <row r="5" spans="2:17" x14ac:dyDescent="0.2">
      <c r="B5" s="824"/>
      <c r="C5" s="266"/>
      <c r="D5" s="266"/>
      <c r="E5" s="266"/>
      <c r="F5" s="266"/>
      <c r="G5" s="266"/>
      <c r="H5" s="266"/>
      <c r="I5" s="266"/>
      <c r="J5" s="266"/>
      <c r="K5" s="266"/>
      <c r="L5" s="266"/>
      <c r="M5" s="266"/>
      <c r="N5" s="266"/>
      <c r="O5" s="266"/>
      <c r="P5" s="266"/>
      <c r="Q5" s="825"/>
    </row>
    <row r="6" spans="2:17" x14ac:dyDescent="0.2">
      <c r="B6" s="824"/>
      <c r="C6" s="266"/>
      <c r="D6" s="266"/>
      <c r="E6" s="266"/>
      <c r="F6" s="266"/>
      <c r="G6" s="266"/>
      <c r="H6" s="266"/>
      <c r="I6" s="266"/>
      <c r="J6" s="266"/>
      <c r="K6" s="266"/>
      <c r="L6" s="266"/>
      <c r="M6" s="266"/>
      <c r="N6" s="266"/>
      <c r="O6" s="266"/>
      <c r="P6" s="266"/>
      <c r="Q6" s="825"/>
    </row>
    <row r="7" spans="2:17" x14ac:dyDescent="0.2">
      <c r="B7" s="824"/>
      <c r="C7" s="266"/>
      <c r="D7" s="266"/>
      <c r="E7" s="266"/>
      <c r="F7" s="266"/>
      <c r="G7" s="266"/>
      <c r="H7" s="266"/>
      <c r="I7" s="266"/>
      <c r="J7" s="266"/>
      <c r="K7" s="266"/>
      <c r="L7" s="266"/>
      <c r="M7" s="266"/>
      <c r="N7" s="266"/>
      <c r="O7" s="266"/>
      <c r="P7" s="266"/>
      <c r="Q7" s="825"/>
    </row>
    <row r="8" spans="2:17" x14ac:dyDescent="0.2">
      <c r="B8" s="824"/>
      <c r="C8" s="266"/>
      <c r="D8" s="266"/>
      <c r="E8" s="266"/>
      <c r="F8" s="266"/>
      <c r="G8" s="266"/>
      <c r="H8" s="266"/>
      <c r="I8" s="266"/>
      <c r="J8" s="266"/>
      <c r="K8" s="266"/>
      <c r="L8" s="266"/>
      <c r="M8" s="266"/>
      <c r="N8" s="266"/>
      <c r="O8" s="266"/>
      <c r="P8" s="266"/>
      <c r="Q8" s="825"/>
    </row>
    <row r="9" spans="2:17" x14ac:dyDescent="0.2">
      <c r="B9" s="824"/>
      <c r="C9" s="266"/>
      <c r="D9" s="266"/>
      <c r="E9" s="266"/>
      <c r="F9" s="266"/>
      <c r="G9" s="266"/>
      <c r="H9" s="266"/>
      <c r="I9" s="266"/>
      <c r="J9" s="266"/>
      <c r="K9" s="266"/>
      <c r="L9" s="266"/>
      <c r="M9" s="266"/>
      <c r="N9" s="266"/>
      <c r="O9" s="266"/>
      <c r="P9" s="266"/>
      <c r="Q9" s="825"/>
    </row>
    <row r="10" spans="2:17" x14ac:dyDescent="0.2">
      <c r="B10" s="824"/>
      <c r="C10" s="266"/>
      <c r="D10" s="266"/>
      <c r="E10" s="266"/>
      <c r="F10" s="266"/>
      <c r="G10" s="266"/>
      <c r="H10" s="266"/>
      <c r="I10" s="266"/>
      <c r="J10" s="266"/>
      <c r="K10" s="266"/>
      <c r="L10" s="266"/>
      <c r="M10" s="266"/>
      <c r="N10" s="266"/>
      <c r="O10" s="266"/>
      <c r="P10" s="266"/>
      <c r="Q10" s="825"/>
    </row>
    <row r="11" spans="2:17" x14ac:dyDescent="0.2">
      <c r="B11" s="824"/>
      <c r="C11" s="603" t="s">
        <v>1560</v>
      </c>
      <c r="D11" s="266"/>
      <c r="E11" s="266"/>
      <c r="F11" s="266"/>
      <c r="G11" s="266"/>
      <c r="H11" s="266"/>
      <c r="I11" s="266"/>
      <c r="J11" s="266"/>
      <c r="K11" s="266"/>
      <c r="L11" s="266"/>
      <c r="M11" s="266"/>
      <c r="N11" s="266"/>
      <c r="O11" s="266"/>
      <c r="P11" s="266"/>
      <c r="Q11" s="825"/>
    </row>
    <row r="12" spans="2:17" ht="56.25" customHeight="1" x14ac:dyDescent="0.2">
      <c r="B12" s="824"/>
      <c r="C12" s="868" t="s">
        <v>1908</v>
      </c>
      <c r="D12" s="868"/>
      <c r="E12" s="868"/>
      <c r="F12" s="868"/>
      <c r="G12" s="868"/>
      <c r="H12" s="868"/>
      <c r="I12" s="868"/>
      <c r="J12" s="868"/>
      <c r="K12" s="868"/>
      <c r="L12" s="868"/>
      <c r="M12" s="868"/>
      <c r="N12" s="868"/>
      <c r="O12" s="868"/>
      <c r="P12" s="868"/>
      <c r="Q12" s="826"/>
    </row>
    <row r="13" spans="2:17" x14ac:dyDescent="0.2">
      <c r="B13" s="824"/>
      <c r="C13" s="871" t="s">
        <v>1911</v>
      </c>
      <c r="D13" s="872"/>
      <c r="E13" s="872"/>
      <c r="F13" s="872"/>
      <c r="G13" s="872"/>
      <c r="H13" s="872"/>
      <c r="I13" s="872"/>
      <c r="J13" s="872"/>
      <c r="K13" s="872"/>
      <c r="L13" s="872"/>
      <c r="M13" s="872"/>
      <c r="N13" s="872"/>
      <c r="O13" s="872"/>
      <c r="P13" s="828"/>
      <c r="Q13" s="829"/>
    </row>
    <row r="14" spans="2:17" x14ac:dyDescent="0.2">
      <c r="B14" s="824"/>
      <c r="C14" s="872"/>
      <c r="D14" s="872"/>
      <c r="E14" s="872"/>
      <c r="F14" s="872"/>
      <c r="G14" s="872"/>
      <c r="H14" s="872"/>
      <c r="I14" s="872"/>
      <c r="J14" s="872"/>
      <c r="K14" s="872"/>
      <c r="L14" s="872"/>
      <c r="M14" s="872"/>
      <c r="N14" s="872"/>
      <c r="O14" s="872"/>
      <c r="P14" s="830"/>
      <c r="Q14" s="829"/>
    </row>
    <row r="15" spans="2:17" x14ac:dyDescent="0.2">
      <c r="B15" s="824"/>
      <c r="C15" s="870" t="s">
        <v>1906</v>
      </c>
      <c r="D15" s="870"/>
      <c r="E15" s="870"/>
      <c r="F15" s="870"/>
      <c r="G15" s="870"/>
      <c r="H15" s="870"/>
      <c r="I15" s="870"/>
      <c r="J15" s="870"/>
      <c r="K15" s="870"/>
      <c r="L15" s="870"/>
      <c r="M15" s="870"/>
      <c r="N15" s="870"/>
      <c r="O15" s="870"/>
      <c r="P15" s="831"/>
      <c r="Q15" s="829"/>
    </row>
    <row r="16" spans="2:17" x14ac:dyDescent="0.2">
      <c r="B16" s="824"/>
      <c r="C16" s="831"/>
      <c r="D16" s="831"/>
      <c r="E16" s="831"/>
      <c r="F16" s="831"/>
      <c r="G16" s="831"/>
      <c r="H16" s="831"/>
      <c r="I16" s="831"/>
      <c r="J16" s="831"/>
      <c r="K16" s="831"/>
      <c r="L16" s="831"/>
      <c r="M16" s="831"/>
      <c r="N16" s="831"/>
      <c r="O16" s="831"/>
      <c r="P16" s="831"/>
      <c r="Q16" s="829"/>
    </row>
    <row r="17" spans="2:17" ht="21.75" customHeight="1" x14ac:dyDescent="0.2">
      <c r="B17" s="824"/>
      <c r="C17" s="868" t="s">
        <v>1907</v>
      </c>
      <c r="D17" s="868"/>
      <c r="E17" s="868"/>
      <c r="F17" s="868"/>
      <c r="G17" s="868"/>
      <c r="H17" s="868"/>
      <c r="I17" s="868"/>
      <c r="J17" s="868"/>
      <c r="K17" s="868"/>
      <c r="L17" s="868"/>
      <c r="M17" s="868"/>
      <c r="N17" s="868"/>
      <c r="O17" s="868"/>
      <c r="P17" s="830"/>
      <c r="Q17" s="829"/>
    </row>
    <row r="18" spans="2:17" ht="18.75" customHeight="1" x14ac:dyDescent="0.2">
      <c r="B18" s="824"/>
      <c r="C18" s="832" t="s">
        <v>1561</v>
      </c>
      <c r="D18" s="868" t="s">
        <v>1562</v>
      </c>
      <c r="E18" s="868"/>
      <c r="F18" s="868"/>
      <c r="G18" s="868"/>
      <c r="H18" s="868"/>
      <c r="I18" s="868"/>
      <c r="J18" s="868"/>
      <c r="K18" s="868"/>
      <c r="L18" s="868"/>
      <c r="M18" s="868"/>
      <c r="N18" s="868"/>
      <c r="O18" s="868"/>
      <c r="P18" s="830"/>
      <c r="Q18" s="829"/>
    </row>
    <row r="19" spans="2:17" x14ac:dyDescent="0.2">
      <c r="B19" s="824"/>
      <c r="C19" s="828"/>
      <c r="D19" s="828"/>
      <c r="E19" s="828"/>
      <c r="F19" s="828"/>
      <c r="G19" s="828"/>
      <c r="H19" s="828"/>
      <c r="I19" s="828"/>
      <c r="J19" s="828"/>
      <c r="K19" s="828"/>
      <c r="L19" s="828"/>
      <c r="M19" s="828"/>
      <c r="N19" s="828"/>
      <c r="O19" s="828"/>
      <c r="P19" s="828"/>
      <c r="Q19" s="829"/>
    </row>
    <row r="20" spans="2:17" ht="30" customHeight="1" x14ac:dyDescent="0.2">
      <c r="B20" s="824"/>
      <c r="C20" s="832" t="s">
        <v>1563</v>
      </c>
      <c r="D20" s="868" t="s">
        <v>1573</v>
      </c>
      <c r="E20" s="868"/>
      <c r="F20" s="868"/>
      <c r="G20" s="868"/>
      <c r="H20" s="868"/>
      <c r="I20" s="868"/>
      <c r="J20" s="868"/>
      <c r="K20" s="868"/>
      <c r="L20" s="868"/>
      <c r="M20" s="868"/>
      <c r="N20" s="868"/>
      <c r="O20" s="868"/>
      <c r="P20" s="830"/>
      <c r="Q20" s="829"/>
    </row>
    <row r="21" spans="2:17" x14ac:dyDescent="0.2">
      <c r="B21" s="824"/>
      <c r="C21" s="828"/>
      <c r="D21" s="828"/>
      <c r="E21" s="828"/>
      <c r="F21" s="828"/>
      <c r="G21" s="828"/>
      <c r="H21" s="828"/>
      <c r="I21" s="828"/>
      <c r="J21" s="828"/>
      <c r="K21" s="828"/>
      <c r="L21" s="828"/>
      <c r="M21" s="828"/>
      <c r="N21" s="828"/>
      <c r="O21" s="828"/>
      <c r="P21" s="828"/>
      <c r="Q21" s="829"/>
    </row>
    <row r="22" spans="2:17" ht="30" customHeight="1" x14ac:dyDescent="0.2">
      <c r="B22" s="824"/>
      <c r="C22" s="832" t="s">
        <v>1564</v>
      </c>
      <c r="D22" s="868" t="s">
        <v>1905</v>
      </c>
      <c r="E22" s="868"/>
      <c r="F22" s="868"/>
      <c r="G22" s="868"/>
      <c r="H22" s="868"/>
      <c r="I22" s="868"/>
      <c r="J22" s="868"/>
      <c r="K22" s="868"/>
      <c r="L22" s="868"/>
      <c r="M22" s="868"/>
      <c r="N22" s="868"/>
      <c r="O22" s="868"/>
      <c r="P22" s="830"/>
      <c r="Q22" s="829"/>
    </row>
    <row r="23" spans="2:17" ht="8.25" customHeight="1" x14ac:dyDescent="0.2">
      <c r="B23" s="824"/>
      <c r="C23" s="832"/>
      <c r="D23" s="863"/>
      <c r="E23" s="863"/>
      <c r="F23" s="863"/>
      <c r="G23" s="863"/>
      <c r="H23" s="863"/>
      <c r="I23" s="863"/>
      <c r="J23" s="863"/>
      <c r="K23" s="863"/>
      <c r="L23" s="863"/>
      <c r="M23" s="863"/>
      <c r="N23" s="863"/>
      <c r="O23" s="863"/>
      <c r="P23" s="863"/>
      <c r="Q23" s="829"/>
    </row>
    <row r="24" spans="2:17" ht="18" customHeight="1" x14ac:dyDescent="0.2">
      <c r="B24" s="824"/>
      <c r="C24" s="866" t="s">
        <v>1902</v>
      </c>
      <c r="D24" s="868" t="s">
        <v>1903</v>
      </c>
      <c r="E24" s="869"/>
      <c r="F24" s="869"/>
      <c r="G24" s="869"/>
      <c r="H24" s="869"/>
      <c r="I24" s="869"/>
      <c r="J24" s="869"/>
      <c r="K24" s="869"/>
      <c r="L24" s="869"/>
      <c r="M24" s="869"/>
      <c r="N24" s="869"/>
      <c r="O24" s="869"/>
      <c r="P24" s="863"/>
      <c r="Q24" s="829"/>
    </row>
    <row r="25" spans="2:17" x14ac:dyDescent="0.2">
      <c r="B25" s="824"/>
      <c r="C25" s="828"/>
      <c r="D25" s="828"/>
      <c r="E25" s="828"/>
      <c r="F25" s="828"/>
      <c r="G25" s="828"/>
      <c r="H25" s="828"/>
      <c r="I25" s="828"/>
      <c r="J25" s="828"/>
      <c r="K25" s="828"/>
      <c r="L25" s="828"/>
      <c r="M25" s="828"/>
      <c r="N25" s="828"/>
      <c r="O25" s="828"/>
      <c r="P25" s="828"/>
      <c r="Q25" s="829"/>
    </row>
    <row r="26" spans="2:17" x14ac:dyDescent="0.2">
      <c r="B26" s="824"/>
      <c r="C26" s="832" t="s">
        <v>1565</v>
      </c>
      <c r="D26" s="868" t="s">
        <v>1570</v>
      </c>
      <c r="E26" s="868"/>
      <c r="F26" s="868"/>
      <c r="G26" s="868"/>
      <c r="H26" s="868"/>
      <c r="I26" s="868"/>
      <c r="J26" s="868"/>
      <c r="K26" s="868"/>
      <c r="L26" s="868"/>
      <c r="M26" s="868"/>
      <c r="N26" s="868"/>
      <c r="O26" s="868"/>
      <c r="P26" s="830"/>
      <c r="Q26" s="829"/>
    </row>
    <row r="27" spans="2:17" x14ac:dyDescent="0.2">
      <c r="B27" s="824"/>
      <c r="C27" s="828"/>
      <c r="D27" s="828"/>
      <c r="E27" s="828"/>
      <c r="F27" s="828"/>
      <c r="G27" s="828"/>
      <c r="H27" s="828"/>
      <c r="I27" s="828"/>
      <c r="J27" s="828"/>
      <c r="K27" s="828"/>
      <c r="L27" s="828"/>
      <c r="M27" s="828"/>
      <c r="N27" s="828"/>
      <c r="O27" s="828"/>
      <c r="P27" s="828"/>
      <c r="Q27" s="829"/>
    </row>
    <row r="28" spans="2:17" x14ac:dyDescent="0.2">
      <c r="B28" s="824"/>
      <c r="C28" s="828"/>
      <c r="D28" s="828"/>
      <c r="E28" s="828"/>
      <c r="F28" s="828"/>
      <c r="G28" s="828"/>
      <c r="H28" s="828"/>
      <c r="I28" s="828"/>
      <c r="J28" s="828"/>
      <c r="K28" s="828"/>
      <c r="L28" s="828"/>
      <c r="M28" s="828"/>
      <c r="N28" s="828"/>
      <c r="O28" s="828"/>
      <c r="P28" s="828"/>
      <c r="Q28" s="829"/>
    </row>
    <row r="29" spans="2:17" x14ac:dyDescent="0.2">
      <c r="B29" s="824"/>
      <c r="C29" s="833" t="s">
        <v>1566</v>
      </c>
      <c r="D29" s="827"/>
      <c r="E29" s="827"/>
      <c r="F29" s="827"/>
      <c r="G29" s="827"/>
      <c r="H29" s="827"/>
      <c r="I29" s="827"/>
      <c r="J29" s="827"/>
      <c r="K29" s="827"/>
      <c r="L29" s="827"/>
      <c r="M29" s="827"/>
      <c r="N29" s="827"/>
      <c r="O29" s="827"/>
      <c r="P29" s="827"/>
      <c r="Q29" s="826"/>
    </row>
    <row r="30" spans="2:17" ht="12.75" customHeight="1" x14ac:dyDescent="0.2">
      <c r="B30" s="824"/>
      <c r="C30" s="868" t="s">
        <v>1910</v>
      </c>
      <c r="D30" s="868"/>
      <c r="E30" s="868"/>
      <c r="F30" s="868"/>
      <c r="G30" s="868"/>
      <c r="H30" s="868"/>
      <c r="I30" s="868"/>
      <c r="J30" s="868"/>
      <c r="K30" s="868"/>
      <c r="L30" s="868"/>
      <c r="M30" s="868"/>
      <c r="N30" s="868"/>
      <c r="O30" s="868"/>
      <c r="P30" s="830"/>
      <c r="Q30" s="826"/>
    </row>
    <row r="31" spans="2:17" ht="21" customHeight="1" x14ac:dyDescent="0.2">
      <c r="B31" s="824"/>
      <c r="C31" s="834"/>
      <c r="D31" s="834"/>
      <c r="E31" s="834"/>
      <c r="F31" s="834"/>
      <c r="G31" s="834"/>
      <c r="H31" s="834"/>
      <c r="I31" s="834"/>
      <c r="J31" s="834"/>
      <c r="K31" s="834"/>
      <c r="L31" s="834"/>
      <c r="M31" s="834"/>
      <c r="N31" s="834"/>
      <c r="O31" s="827"/>
      <c r="P31" s="827"/>
      <c r="Q31" s="826"/>
    </row>
    <row r="32" spans="2:17" x14ac:dyDescent="0.2">
      <c r="B32" s="824"/>
      <c r="C32" s="833" t="s">
        <v>1567</v>
      </c>
      <c r="D32" s="827"/>
      <c r="E32" s="827"/>
      <c r="F32" s="827"/>
      <c r="G32" s="827"/>
      <c r="H32" s="827"/>
      <c r="I32" s="827"/>
      <c r="J32" s="827"/>
      <c r="K32" s="827"/>
      <c r="L32" s="827"/>
      <c r="M32" s="827"/>
      <c r="N32" s="827"/>
      <c r="O32" s="827"/>
      <c r="P32" s="827"/>
      <c r="Q32" s="826"/>
    </row>
    <row r="33" spans="2:17" ht="31.5" customHeight="1" x14ac:dyDescent="0.2">
      <c r="B33" s="824"/>
      <c r="C33" s="868" t="s">
        <v>1909</v>
      </c>
      <c r="D33" s="868"/>
      <c r="E33" s="868"/>
      <c r="F33" s="868"/>
      <c r="G33" s="868"/>
      <c r="H33" s="868"/>
      <c r="I33" s="868"/>
      <c r="J33" s="868"/>
      <c r="K33" s="868"/>
      <c r="L33" s="868"/>
      <c r="M33" s="868"/>
      <c r="N33" s="868"/>
      <c r="O33" s="868"/>
      <c r="P33" s="868"/>
      <c r="Q33" s="835"/>
    </row>
    <row r="34" spans="2:17" x14ac:dyDescent="0.2">
      <c r="B34" s="824"/>
      <c r="C34" s="827"/>
      <c r="D34" s="827"/>
      <c r="E34" s="827"/>
      <c r="F34" s="827"/>
      <c r="G34" s="827"/>
      <c r="H34" s="827"/>
      <c r="I34" s="827"/>
      <c r="J34" s="827"/>
      <c r="K34" s="827"/>
      <c r="L34" s="827"/>
      <c r="M34" s="827"/>
      <c r="N34" s="827"/>
      <c r="O34" s="827"/>
      <c r="P34" s="827"/>
      <c r="Q34" s="826"/>
    </row>
    <row r="35" spans="2:17" x14ac:dyDescent="0.2">
      <c r="B35" s="824"/>
      <c r="C35" s="833" t="s">
        <v>1568</v>
      </c>
      <c r="D35" s="827"/>
      <c r="E35" s="827"/>
      <c r="F35" s="827"/>
      <c r="G35" s="827"/>
      <c r="H35" s="827"/>
      <c r="I35" s="827"/>
      <c r="J35" s="827"/>
      <c r="K35" s="827"/>
      <c r="L35" s="827"/>
      <c r="M35" s="827"/>
      <c r="N35" s="827"/>
      <c r="O35" s="827"/>
      <c r="P35" s="827"/>
      <c r="Q35" s="826"/>
    </row>
    <row r="36" spans="2:17" x14ac:dyDescent="0.2">
      <c r="B36" s="824"/>
      <c r="C36" s="836" t="s">
        <v>1571</v>
      </c>
      <c r="D36" s="827"/>
      <c r="E36" s="827"/>
      <c r="F36" s="827"/>
      <c r="G36" s="827"/>
      <c r="H36" s="827"/>
      <c r="I36" s="827"/>
      <c r="J36" s="827"/>
      <c r="K36" s="827"/>
      <c r="L36" s="827"/>
      <c r="M36" s="827"/>
      <c r="N36" s="827"/>
      <c r="O36" s="827"/>
      <c r="P36" s="827"/>
      <c r="Q36" s="826"/>
    </row>
    <row r="37" spans="2:17" x14ac:dyDescent="0.2">
      <c r="B37" s="824"/>
      <c r="C37" s="827"/>
      <c r="D37" s="827"/>
      <c r="E37" s="827"/>
      <c r="F37" s="827"/>
      <c r="G37" s="827"/>
      <c r="H37" s="827"/>
      <c r="I37" s="827"/>
      <c r="J37" s="827"/>
      <c r="K37" s="827"/>
      <c r="L37" s="827"/>
      <c r="M37" s="827"/>
      <c r="N37" s="827"/>
      <c r="O37" s="827"/>
      <c r="P37" s="827"/>
      <c r="Q37" s="826"/>
    </row>
    <row r="38" spans="2:17" x14ac:dyDescent="0.2">
      <c r="B38" s="824"/>
      <c r="C38" s="833" t="s">
        <v>1569</v>
      </c>
      <c r="D38" s="827"/>
      <c r="E38" s="827"/>
      <c r="F38" s="827"/>
      <c r="G38" s="827"/>
      <c r="H38" s="827"/>
      <c r="I38" s="827"/>
      <c r="J38" s="827"/>
      <c r="K38" s="827"/>
      <c r="L38" s="827"/>
      <c r="M38" s="827"/>
      <c r="N38" s="827"/>
      <c r="O38" s="827"/>
      <c r="P38" s="827"/>
      <c r="Q38" s="826"/>
    </row>
    <row r="39" spans="2:17" ht="15.75" customHeight="1" x14ac:dyDescent="0.2">
      <c r="B39" s="824"/>
      <c r="C39" s="868" t="s">
        <v>1897</v>
      </c>
      <c r="D39" s="868"/>
      <c r="E39" s="868"/>
      <c r="F39" s="868"/>
      <c r="G39" s="868"/>
      <c r="H39" s="868"/>
      <c r="I39" s="868"/>
      <c r="J39" s="868"/>
      <c r="K39" s="868"/>
      <c r="L39" s="868"/>
      <c r="M39" s="868"/>
      <c r="N39" s="868"/>
      <c r="O39" s="868"/>
      <c r="P39" s="868"/>
      <c r="Q39" s="829"/>
    </row>
    <row r="40" spans="2:17" ht="15.75" customHeight="1" x14ac:dyDescent="0.2">
      <c r="B40" s="824"/>
      <c r="C40" s="862"/>
      <c r="D40" s="862"/>
      <c r="E40" s="862"/>
      <c r="F40" s="862"/>
      <c r="G40" s="862"/>
      <c r="H40" s="862"/>
      <c r="I40" s="862"/>
      <c r="J40" s="862"/>
      <c r="K40" s="862"/>
      <c r="L40" s="862"/>
      <c r="M40" s="862"/>
      <c r="N40" s="862"/>
      <c r="O40" s="862"/>
      <c r="P40" s="862"/>
      <c r="Q40" s="829"/>
    </row>
    <row r="41" spans="2:17" ht="15.75" customHeight="1" x14ac:dyDescent="0.2">
      <c r="B41" s="824"/>
      <c r="C41" s="868" t="s">
        <v>1904</v>
      </c>
      <c r="D41" s="869"/>
      <c r="E41" s="869"/>
      <c r="F41" s="869"/>
      <c r="G41" s="869"/>
      <c r="H41" s="830"/>
      <c r="I41" s="830"/>
      <c r="J41" s="830"/>
      <c r="K41" s="830"/>
      <c r="L41" s="830"/>
      <c r="M41" s="830"/>
      <c r="N41" s="830"/>
      <c r="O41" s="830"/>
      <c r="P41" s="830"/>
      <c r="Q41" s="829"/>
    </row>
    <row r="42" spans="2:17" ht="15.75" customHeight="1" x14ac:dyDescent="0.2">
      <c r="B42" s="824"/>
      <c r="C42" s="868" t="s">
        <v>1572</v>
      </c>
      <c r="D42" s="869"/>
      <c r="E42" s="869"/>
      <c r="F42" s="869"/>
      <c r="G42" s="869"/>
      <c r="H42" s="869"/>
      <c r="I42" s="869"/>
      <c r="J42" s="869"/>
      <c r="K42" s="869"/>
      <c r="L42" s="869"/>
      <c r="M42" s="869"/>
      <c r="N42" s="869"/>
      <c r="O42" s="869"/>
      <c r="P42" s="869"/>
      <c r="Q42" s="829"/>
    </row>
    <row r="43" spans="2:17" ht="13.5" thickBot="1" x14ac:dyDescent="0.25">
      <c r="B43" s="837"/>
      <c r="C43" s="461"/>
      <c r="D43" s="461"/>
      <c r="E43" s="461"/>
      <c r="F43" s="461"/>
      <c r="G43" s="461"/>
      <c r="H43" s="461"/>
      <c r="I43" s="461"/>
      <c r="J43" s="461"/>
      <c r="K43" s="461"/>
      <c r="L43" s="461"/>
      <c r="M43" s="461"/>
      <c r="N43" s="461"/>
      <c r="O43" s="461"/>
      <c r="P43" s="461"/>
      <c r="Q43" s="838"/>
    </row>
  </sheetData>
  <mergeCells count="14">
    <mergeCell ref="C42:P42"/>
    <mergeCell ref="C12:P12"/>
    <mergeCell ref="C15:O15"/>
    <mergeCell ref="C17:O17"/>
    <mergeCell ref="D18:O18"/>
    <mergeCell ref="D20:O20"/>
    <mergeCell ref="D22:O22"/>
    <mergeCell ref="D26:O26"/>
    <mergeCell ref="C30:O30"/>
    <mergeCell ref="C33:P33"/>
    <mergeCell ref="C39:P39"/>
    <mergeCell ref="C41:G41"/>
    <mergeCell ref="D24:O24"/>
    <mergeCell ref="C13:O14"/>
  </mergeCells>
  <hyperlinks>
    <hyperlink ref="C15" r:id="rId1" display="https://www.gov.uk/government/collections/national-non-domestic-rates-collected-by-councils"/>
    <hyperlink ref="C26" location="'Part 4'!A1" display="Part 4 –"/>
    <hyperlink ref="C22" location="'Part 3'!A1" display="Part 3 –"/>
    <hyperlink ref="C20" location="'Part 2'!A1" display="Part 2 –"/>
    <hyperlink ref="C18" location="'Part 1'!A1" display="Part 1 – "/>
    <hyperlink ref="C24" location="'Part 3 DA summary'!A1" display="Part 3 DA summary"/>
    <hyperlink ref="C15:O15" r:id="rId2" display="https://www.gov.uk/government/statistics/national-non-domestic-rates-collected-by-councils-in-england-forecast-for-2019-to-202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5"/>
  <sheetViews>
    <sheetView workbookViewId="0"/>
  </sheetViews>
  <sheetFormatPr defaultColWidth="9.140625" defaultRowHeight="12.75" x14ac:dyDescent="0.2"/>
  <cols>
    <col min="1" max="1" width="9.140625" style="266"/>
    <col min="2" max="2" width="6.5703125" style="249" customWidth="1"/>
    <col min="3" max="3" width="12.28515625" style="249" customWidth="1"/>
    <col min="4" max="4" width="25.7109375" style="51" bestFit="1" customWidth="1"/>
    <col min="5" max="5" width="51.140625" style="51" customWidth="1"/>
    <col min="6" max="6" width="54.85546875" style="51" customWidth="1"/>
    <col min="7" max="10" width="12.140625" style="356" customWidth="1"/>
    <col min="11" max="24" width="12.140625" style="266" customWidth="1"/>
    <col min="25" max="25" width="16" style="266" customWidth="1"/>
    <col min="26" max="26" width="12.140625" style="266" customWidth="1"/>
    <col min="27" max="33" width="9.140625" style="266"/>
    <col min="34" max="16384" width="9.140625" style="51"/>
  </cols>
  <sheetData>
    <row r="1" spans="1:33" ht="19.5" customHeight="1" x14ac:dyDescent="0.2">
      <c r="D1" s="249"/>
      <c r="E1" s="249"/>
      <c r="F1" s="249"/>
      <c r="G1" s="249"/>
      <c r="H1" s="249"/>
      <c r="Z1" s="51"/>
      <c r="AA1" s="51"/>
      <c r="AB1" s="51"/>
      <c r="AC1" s="51"/>
      <c r="AD1" s="51"/>
      <c r="AE1" s="51"/>
      <c r="AF1" s="51"/>
      <c r="AG1" s="51"/>
    </row>
    <row r="2" spans="1:33" ht="18.75" customHeight="1" x14ac:dyDescent="0.2">
      <c r="D2" s="465"/>
      <c r="E2" s="465"/>
      <c r="F2" s="356">
        <v>4</v>
      </c>
      <c r="G2" s="356">
        <v>5</v>
      </c>
      <c r="H2" s="464"/>
      <c r="I2" s="356">
        <v>6</v>
      </c>
      <c r="J2" s="464"/>
      <c r="K2" s="356">
        <v>7</v>
      </c>
      <c r="L2" s="464"/>
      <c r="M2" s="356">
        <v>8</v>
      </c>
      <c r="N2" s="464"/>
      <c r="O2" s="356">
        <v>9</v>
      </c>
      <c r="P2" s="464"/>
      <c r="Q2" s="356">
        <v>10</v>
      </c>
      <c r="R2" s="464"/>
      <c r="S2" s="356">
        <v>11</v>
      </c>
      <c r="T2" s="464"/>
      <c r="U2" s="356">
        <v>12</v>
      </c>
      <c r="V2" s="464"/>
      <c r="W2" s="356">
        <v>13</v>
      </c>
      <c r="X2" s="464"/>
      <c r="Y2" s="356">
        <v>15</v>
      </c>
      <c r="Z2" s="51"/>
      <c r="AA2" s="51"/>
      <c r="AB2" s="51"/>
      <c r="AC2" s="51"/>
      <c r="AD2" s="51"/>
      <c r="AE2" s="51"/>
      <c r="AF2" s="51"/>
      <c r="AG2" s="51"/>
    </row>
    <row r="3" spans="1:33" ht="87" customHeight="1" x14ac:dyDescent="0.2">
      <c r="B3" s="356" t="s">
        <v>878</v>
      </c>
      <c r="C3" s="356" t="s">
        <v>877</v>
      </c>
      <c r="D3" s="816" t="s">
        <v>677</v>
      </c>
      <c r="E3" s="816" t="s">
        <v>876</v>
      </c>
      <c r="F3" s="816" t="s">
        <v>876</v>
      </c>
      <c r="G3" s="817" t="s">
        <v>882</v>
      </c>
      <c r="H3" s="817"/>
      <c r="I3" s="817" t="s">
        <v>884</v>
      </c>
      <c r="J3" s="817"/>
      <c r="K3" s="817" t="s">
        <v>886</v>
      </c>
      <c r="L3" s="817"/>
      <c r="M3" s="817" t="s">
        <v>887</v>
      </c>
      <c r="N3" s="817"/>
      <c r="O3" s="817" t="s">
        <v>888</v>
      </c>
      <c r="P3" s="817" t="s">
        <v>1143</v>
      </c>
      <c r="Q3" s="817" t="s">
        <v>1078</v>
      </c>
      <c r="R3" s="817"/>
      <c r="S3" s="817" t="s">
        <v>875</v>
      </c>
      <c r="T3" s="817"/>
      <c r="U3" s="817" t="s">
        <v>889</v>
      </c>
      <c r="V3" s="817"/>
      <c r="W3" s="817" t="s">
        <v>1075</v>
      </c>
      <c r="X3" s="817"/>
      <c r="Y3" s="817" t="s">
        <v>1077</v>
      </c>
      <c r="Z3" s="51"/>
      <c r="AA3" s="51"/>
      <c r="AB3" s="51"/>
      <c r="AC3" s="51"/>
      <c r="AD3" s="51"/>
      <c r="AE3" s="51"/>
      <c r="AF3" s="51"/>
      <c r="AG3" s="51"/>
    </row>
    <row r="4" spans="1:33" x14ac:dyDescent="0.2">
      <c r="A4" s="249">
        <v>1</v>
      </c>
      <c r="B4" s="463" t="s">
        <v>692</v>
      </c>
      <c r="C4" s="463" t="s">
        <v>1323</v>
      </c>
      <c r="D4" s="266" t="s">
        <v>691</v>
      </c>
      <c r="E4" s="266" t="s">
        <v>907</v>
      </c>
      <c r="F4" s="51" t="s">
        <v>907</v>
      </c>
      <c r="G4" s="51">
        <v>424387</v>
      </c>
      <c r="H4" s="51" t="s">
        <v>1095</v>
      </c>
      <c r="I4" s="51">
        <v>0</v>
      </c>
      <c r="J4" s="51" t="s">
        <v>1095</v>
      </c>
      <c r="K4" s="51">
        <v>0</v>
      </c>
      <c r="L4" s="51" t="s">
        <v>1095</v>
      </c>
      <c r="M4" s="846">
        <v>424387</v>
      </c>
      <c r="N4" s="51" t="s">
        <v>1095</v>
      </c>
      <c r="O4" s="51">
        <v>0</v>
      </c>
      <c r="P4" s="51">
        <v>0</v>
      </c>
      <c r="Q4" s="51">
        <v>0</v>
      </c>
      <c r="R4" s="51" t="s">
        <v>1095</v>
      </c>
      <c r="S4" s="51">
        <v>0</v>
      </c>
      <c r="T4" s="51" t="s">
        <v>1095</v>
      </c>
      <c r="U4" s="847">
        <v>424387</v>
      </c>
      <c r="V4" s="51" t="s">
        <v>1095</v>
      </c>
      <c r="W4" s="51">
        <v>162463</v>
      </c>
      <c r="X4" s="51" t="s">
        <v>1095</v>
      </c>
      <c r="Y4" s="847">
        <v>162463</v>
      </c>
      <c r="Z4" s="51" t="s">
        <v>1095</v>
      </c>
      <c r="AA4" s="51"/>
      <c r="AB4" s="51"/>
      <c r="AC4" s="51"/>
      <c r="AD4" s="51"/>
      <c r="AE4" s="51"/>
      <c r="AF4" s="51"/>
      <c r="AG4" s="51"/>
    </row>
    <row r="5" spans="1:33" x14ac:dyDescent="0.2">
      <c r="A5" s="249">
        <v>2</v>
      </c>
      <c r="B5" s="463" t="s">
        <v>692</v>
      </c>
      <c r="C5" s="463" t="s">
        <v>1324</v>
      </c>
      <c r="D5" s="266" t="s">
        <v>691</v>
      </c>
      <c r="E5" s="266" t="s">
        <v>908</v>
      </c>
      <c r="F5" s="51" t="s">
        <v>908</v>
      </c>
      <c r="G5" s="51">
        <v>0</v>
      </c>
      <c r="H5" s="51" t="s">
        <v>1095</v>
      </c>
      <c r="I5" s="51">
        <v>0</v>
      </c>
      <c r="J5" s="51" t="s">
        <v>1095</v>
      </c>
      <c r="K5" s="51">
        <v>0</v>
      </c>
      <c r="L5" s="51" t="s">
        <v>1095</v>
      </c>
      <c r="M5" s="846">
        <v>0</v>
      </c>
      <c r="N5" s="51"/>
      <c r="O5" s="51">
        <v>0</v>
      </c>
      <c r="P5" s="51">
        <v>0</v>
      </c>
      <c r="Q5" s="51">
        <v>0</v>
      </c>
      <c r="R5" s="51" t="s">
        <v>1095</v>
      </c>
      <c r="S5" s="51">
        <v>0</v>
      </c>
      <c r="T5" s="51" t="s">
        <v>1095</v>
      </c>
      <c r="U5" s="847">
        <v>0</v>
      </c>
      <c r="V5" s="51" t="s">
        <v>1095</v>
      </c>
      <c r="W5" s="51">
        <v>0</v>
      </c>
      <c r="X5" s="51" t="s">
        <v>1095</v>
      </c>
      <c r="Y5" s="847">
        <v>0</v>
      </c>
      <c r="Z5" s="51" t="s">
        <v>1095</v>
      </c>
      <c r="AA5" s="51"/>
      <c r="AB5" s="51"/>
      <c r="AC5" s="51"/>
      <c r="AD5" s="51"/>
      <c r="AE5" s="51"/>
      <c r="AF5" s="51"/>
      <c r="AG5" s="51"/>
    </row>
    <row r="6" spans="1:33" x14ac:dyDescent="0.2">
      <c r="A6" s="249">
        <v>3</v>
      </c>
      <c r="B6" s="463" t="s">
        <v>692</v>
      </c>
      <c r="C6" s="463" t="s">
        <v>1325</v>
      </c>
      <c r="D6" s="266" t="s">
        <v>691</v>
      </c>
      <c r="E6" s="266" t="s">
        <v>909</v>
      </c>
      <c r="F6" s="51" t="s">
        <v>909</v>
      </c>
      <c r="G6" s="51">
        <v>171377</v>
      </c>
      <c r="H6" s="51" t="s">
        <v>1095</v>
      </c>
      <c r="I6" s="51">
        <v>0</v>
      </c>
      <c r="J6" s="51" t="s">
        <v>1095</v>
      </c>
      <c r="K6" s="51">
        <v>0</v>
      </c>
      <c r="L6" s="51" t="s">
        <v>1095</v>
      </c>
      <c r="M6" s="846">
        <v>171377</v>
      </c>
      <c r="N6" s="51"/>
      <c r="O6" s="51">
        <v>0</v>
      </c>
      <c r="P6" s="51">
        <v>0</v>
      </c>
      <c r="Q6" s="51">
        <v>0</v>
      </c>
      <c r="R6" s="51" t="s">
        <v>1095</v>
      </c>
      <c r="S6" s="51">
        <v>26252</v>
      </c>
      <c r="T6" s="51" t="s">
        <v>1095</v>
      </c>
      <c r="U6" s="847">
        <v>145125</v>
      </c>
      <c r="V6" s="51" t="s">
        <v>1095</v>
      </c>
      <c r="W6" s="51">
        <v>0</v>
      </c>
      <c r="X6" s="51" t="s">
        <v>1095</v>
      </c>
      <c r="Y6" s="847">
        <v>0</v>
      </c>
      <c r="Z6" s="51" t="s">
        <v>1095</v>
      </c>
      <c r="AA6" s="51"/>
      <c r="AB6" s="51"/>
      <c r="AC6" s="51"/>
      <c r="AD6" s="51"/>
      <c r="AE6" s="51"/>
      <c r="AF6" s="51"/>
      <c r="AG6" s="51"/>
    </row>
    <row r="7" spans="1:33" x14ac:dyDescent="0.2">
      <c r="A7" s="249">
        <v>1</v>
      </c>
      <c r="B7" s="463" t="s">
        <v>698</v>
      </c>
      <c r="C7" s="463" t="s">
        <v>1326</v>
      </c>
      <c r="D7" s="266" t="s">
        <v>697</v>
      </c>
      <c r="E7" s="266" t="s">
        <v>1089</v>
      </c>
      <c r="F7" s="51" t="s">
        <v>1089</v>
      </c>
      <c r="G7" s="51">
        <v>19483435</v>
      </c>
      <c r="H7" s="51" t="s">
        <v>1095</v>
      </c>
      <c r="I7" s="51">
        <v>-292252</v>
      </c>
      <c r="J7" s="51" t="s">
        <v>1095</v>
      </c>
      <c r="K7" s="51">
        <v>-915721</v>
      </c>
      <c r="L7" s="51" t="s">
        <v>1095</v>
      </c>
      <c r="M7" s="846">
        <v>18275462</v>
      </c>
      <c r="N7" s="51" t="s">
        <v>1095</v>
      </c>
      <c r="O7" s="51">
        <v>0</v>
      </c>
      <c r="P7" s="51">
        <v>0</v>
      </c>
      <c r="Q7" s="51">
        <v>-2258592</v>
      </c>
      <c r="R7" s="51" t="s">
        <v>1095</v>
      </c>
      <c r="S7" s="51">
        <v>20716405</v>
      </c>
      <c r="T7" s="51" t="s">
        <v>1095</v>
      </c>
      <c r="U7" s="847">
        <v>0</v>
      </c>
      <c r="V7" s="51" t="s">
        <v>1095</v>
      </c>
      <c r="W7" s="51">
        <v>0</v>
      </c>
      <c r="X7" s="51" t="s">
        <v>1095</v>
      </c>
      <c r="Y7" s="847">
        <v>0</v>
      </c>
      <c r="Z7" s="51" t="s">
        <v>1095</v>
      </c>
      <c r="AA7" s="51"/>
      <c r="AB7" s="51"/>
      <c r="AC7" s="51"/>
      <c r="AD7" s="51"/>
      <c r="AE7" s="51"/>
      <c r="AF7" s="51"/>
      <c r="AG7" s="51"/>
    </row>
    <row r="8" spans="1:33" x14ac:dyDescent="0.2">
      <c r="A8" s="249">
        <v>1</v>
      </c>
      <c r="B8" s="463" t="s">
        <v>700</v>
      </c>
      <c r="C8" s="463" t="s">
        <v>1327</v>
      </c>
      <c r="D8" s="266" t="s">
        <v>699</v>
      </c>
      <c r="E8" s="266" t="s">
        <v>797</v>
      </c>
      <c r="F8" s="51" t="s">
        <v>797</v>
      </c>
      <c r="G8" s="51">
        <v>721940</v>
      </c>
      <c r="H8" s="51" t="s">
        <v>1095</v>
      </c>
      <c r="I8" s="51">
        <v>0</v>
      </c>
      <c r="J8" s="51" t="s">
        <v>1095</v>
      </c>
      <c r="K8" s="51">
        <v>0</v>
      </c>
      <c r="L8" s="51" t="s">
        <v>1095</v>
      </c>
      <c r="M8" s="846">
        <v>721940</v>
      </c>
      <c r="N8" s="51" t="s">
        <v>1095</v>
      </c>
      <c r="O8" s="51">
        <v>0</v>
      </c>
      <c r="P8" s="51">
        <v>0</v>
      </c>
      <c r="Q8" s="51">
        <v>0</v>
      </c>
      <c r="R8" s="51" t="s">
        <v>1095</v>
      </c>
      <c r="S8" s="51">
        <v>92985</v>
      </c>
      <c r="T8" s="51" t="s">
        <v>1095</v>
      </c>
      <c r="U8" s="847">
        <v>628955</v>
      </c>
      <c r="V8" s="51" t="s">
        <v>1095</v>
      </c>
      <c r="W8" s="51">
        <v>211874</v>
      </c>
      <c r="X8" s="51" t="s">
        <v>1095</v>
      </c>
      <c r="Y8" s="847">
        <v>211874</v>
      </c>
      <c r="Z8" s="51" t="s">
        <v>1095</v>
      </c>
      <c r="AA8" s="51"/>
      <c r="AB8" s="51"/>
      <c r="AC8" s="51"/>
      <c r="AD8" s="51"/>
      <c r="AE8" s="51"/>
      <c r="AF8" s="51"/>
      <c r="AG8" s="51"/>
    </row>
    <row r="9" spans="1:33" x14ac:dyDescent="0.2">
      <c r="A9" s="249">
        <v>1</v>
      </c>
      <c r="B9" s="463" t="s">
        <v>706</v>
      </c>
      <c r="C9" s="463" t="s">
        <v>1328</v>
      </c>
      <c r="D9" s="266" t="s">
        <v>705</v>
      </c>
      <c r="E9" s="266" t="s">
        <v>910</v>
      </c>
      <c r="F9" s="51" t="s">
        <v>910</v>
      </c>
      <c r="G9" s="51">
        <v>1417888</v>
      </c>
      <c r="H9" s="51" t="s">
        <v>1095</v>
      </c>
      <c r="I9" s="51">
        <v>-50000</v>
      </c>
      <c r="J9" s="51" t="s">
        <v>1095</v>
      </c>
      <c r="K9" s="51">
        <v>-50000</v>
      </c>
      <c r="L9" s="51" t="s">
        <v>1095</v>
      </c>
      <c r="M9" s="846">
        <v>1317888</v>
      </c>
      <c r="N9" s="51" t="s">
        <v>1095</v>
      </c>
      <c r="O9" s="51">
        <v>0</v>
      </c>
      <c r="P9" s="51">
        <v>0</v>
      </c>
      <c r="Q9" s="51">
        <v>18656</v>
      </c>
      <c r="R9" s="51" t="s">
        <v>1095</v>
      </c>
      <c r="S9" s="51">
        <v>2245952</v>
      </c>
      <c r="T9" s="51" t="s">
        <v>1095</v>
      </c>
      <c r="U9" s="847">
        <v>0</v>
      </c>
      <c r="V9" s="51" t="s">
        <v>1095</v>
      </c>
      <c r="W9" s="51">
        <v>500000</v>
      </c>
      <c r="X9" s="51" t="s">
        <v>1095</v>
      </c>
      <c r="Y9" s="847">
        <v>500000</v>
      </c>
      <c r="Z9" s="51" t="s">
        <v>1095</v>
      </c>
      <c r="AA9" s="51"/>
      <c r="AB9" s="51"/>
      <c r="AC9" s="51"/>
      <c r="AD9" s="51"/>
      <c r="AE9" s="51"/>
      <c r="AF9" s="51"/>
      <c r="AG9" s="51"/>
    </row>
    <row r="10" spans="1:33" x14ac:dyDescent="0.2">
      <c r="A10" s="249">
        <v>2</v>
      </c>
      <c r="B10" s="463" t="s">
        <v>710</v>
      </c>
      <c r="C10" s="463" t="s">
        <v>1329</v>
      </c>
      <c r="D10" s="266" t="s">
        <v>709</v>
      </c>
      <c r="E10" s="266" t="s">
        <v>798</v>
      </c>
      <c r="F10" s="51" t="s">
        <v>798</v>
      </c>
      <c r="G10" s="51">
        <v>6070477</v>
      </c>
      <c r="H10" s="51" t="s">
        <v>1095</v>
      </c>
      <c r="I10" s="51">
        <v>-60207</v>
      </c>
      <c r="J10" s="51" t="s">
        <v>1095</v>
      </c>
      <c r="K10" s="51">
        <v>-270462</v>
      </c>
      <c r="L10" s="51" t="s">
        <v>1095</v>
      </c>
      <c r="M10" s="846">
        <v>5739808</v>
      </c>
      <c r="N10" s="51" t="s">
        <v>1095</v>
      </c>
      <c r="O10" s="51">
        <v>0</v>
      </c>
      <c r="P10" s="51">
        <v>0</v>
      </c>
      <c r="Q10" s="51">
        <v>26295</v>
      </c>
      <c r="R10" s="51" t="s">
        <v>1095</v>
      </c>
      <c r="S10" s="51">
        <v>5466643</v>
      </c>
      <c r="T10" s="51" t="s">
        <v>1095</v>
      </c>
      <c r="U10" s="847">
        <v>299460</v>
      </c>
      <c r="V10" s="51" t="s">
        <v>1095</v>
      </c>
      <c r="W10" s="51">
        <v>146702</v>
      </c>
      <c r="X10" s="51" t="s">
        <v>1095</v>
      </c>
      <c r="Y10" s="847">
        <v>146702</v>
      </c>
      <c r="Z10" s="51" t="s">
        <v>1095</v>
      </c>
      <c r="AA10" s="51"/>
      <c r="AB10" s="51"/>
      <c r="AC10" s="51"/>
      <c r="AD10" s="51"/>
      <c r="AE10" s="51"/>
      <c r="AF10" s="51"/>
      <c r="AG10" s="51"/>
    </row>
    <row r="11" spans="1:33" x14ac:dyDescent="0.2">
      <c r="A11" s="249">
        <v>3</v>
      </c>
      <c r="B11" s="463" t="s">
        <v>710</v>
      </c>
      <c r="C11" s="463" t="s">
        <v>1330</v>
      </c>
      <c r="D11" s="266" t="s">
        <v>709</v>
      </c>
      <c r="E11" s="266" t="s">
        <v>911</v>
      </c>
      <c r="F11" s="51" t="s">
        <v>911</v>
      </c>
      <c r="G11" s="51">
        <v>0</v>
      </c>
      <c r="H11" s="51" t="s">
        <v>1095</v>
      </c>
      <c r="I11" s="51">
        <v>0</v>
      </c>
      <c r="J11" s="51" t="s">
        <v>1095</v>
      </c>
      <c r="K11" s="51">
        <v>0</v>
      </c>
      <c r="L11" s="51" t="s">
        <v>1095</v>
      </c>
      <c r="M11" s="846">
        <v>0</v>
      </c>
      <c r="N11" s="51" t="s">
        <v>1095</v>
      </c>
      <c r="O11" s="51">
        <v>0</v>
      </c>
      <c r="P11" s="51">
        <v>0</v>
      </c>
      <c r="Q11" s="51">
        <v>0</v>
      </c>
      <c r="R11" s="51" t="s">
        <v>1095</v>
      </c>
      <c r="S11" s="51">
        <v>0</v>
      </c>
      <c r="T11" s="51" t="s">
        <v>1095</v>
      </c>
      <c r="U11" s="847">
        <v>0</v>
      </c>
      <c r="V11" s="51" t="s">
        <v>1095</v>
      </c>
      <c r="W11" s="51">
        <v>0</v>
      </c>
      <c r="X11" s="51" t="s">
        <v>1095</v>
      </c>
      <c r="Y11" s="847">
        <v>0</v>
      </c>
      <c r="Z11" s="51" t="s">
        <v>1095</v>
      </c>
      <c r="AA11" s="51"/>
      <c r="AB11" s="51"/>
      <c r="AC11" s="51"/>
      <c r="AD11" s="51"/>
      <c r="AE11" s="51"/>
      <c r="AF11" s="51"/>
      <c r="AG11" s="51"/>
    </row>
    <row r="12" spans="1:33" x14ac:dyDescent="0.2">
      <c r="A12" s="249">
        <v>4</v>
      </c>
      <c r="B12" s="463" t="s">
        <v>710</v>
      </c>
      <c r="C12" s="463" t="s">
        <v>1331</v>
      </c>
      <c r="D12" s="266" t="s">
        <v>709</v>
      </c>
      <c r="E12" s="266" t="s">
        <v>912</v>
      </c>
      <c r="F12" s="51" t="s">
        <v>912</v>
      </c>
      <c r="G12" s="51">
        <v>0</v>
      </c>
      <c r="H12" s="51" t="s">
        <v>1095</v>
      </c>
      <c r="I12" s="51">
        <v>0</v>
      </c>
      <c r="J12" s="51" t="s">
        <v>1095</v>
      </c>
      <c r="K12" s="51">
        <v>0</v>
      </c>
      <c r="L12" s="51" t="s">
        <v>1095</v>
      </c>
      <c r="M12" s="846">
        <v>0</v>
      </c>
      <c r="N12" s="51" t="s">
        <v>1095</v>
      </c>
      <c r="O12" s="51">
        <v>0</v>
      </c>
      <c r="P12" s="51">
        <v>0</v>
      </c>
      <c r="Q12" s="51">
        <v>0</v>
      </c>
      <c r="R12" s="51" t="s">
        <v>1095</v>
      </c>
      <c r="S12" s="51">
        <v>16259</v>
      </c>
      <c r="T12" s="51" t="s">
        <v>1095</v>
      </c>
      <c r="U12" s="847">
        <v>0</v>
      </c>
      <c r="V12" s="51" t="s">
        <v>1095</v>
      </c>
      <c r="W12" s="51">
        <v>0</v>
      </c>
      <c r="X12" s="51" t="s">
        <v>1095</v>
      </c>
      <c r="Y12" s="847">
        <v>0</v>
      </c>
      <c r="Z12" s="51" t="s">
        <v>1095</v>
      </c>
      <c r="AA12" s="51"/>
      <c r="AB12" s="51"/>
      <c r="AC12" s="51"/>
      <c r="AD12" s="51"/>
      <c r="AE12" s="51"/>
      <c r="AF12" s="51"/>
      <c r="AG12" s="51"/>
    </row>
    <row r="13" spans="1:33" x14ac:dyDescent="0.2">
      <c r="A13" s="249">
        <v>1</v>
      </c>
      <c r="B13" s="463" t="s">
        <v>710</v>
      </c>
      <c r="C13" s="463" t="s">
        <v>1332</v>
      </c>
      <c r="D13" s="266" t="s">
        <v>709</v>
      </c>
      <c r="E13" s="266" t="s">
        <v>913</v>
      </c>
      <c r="F13" s="51" t="s">
        <v>913</v>
      </c>
      <c r="G13" s="51">
        <v>0</v>
      </c>
      <c r="H13" s="51" t="s">
        <v>1095</v>
      </c>
      <c r="I13" s="51">
        <v>0</v>
      </c>
      <c r="J13" s="51" t="s">
        <v>1095</v>
      </c>
      <c r="K13" s="51">
        <v>0</v>
      </c>
      <c r="L13" s="51" t="s">
        <v>1095</v>
      </c>
      <c r="M13" s="846">
        <v>0</v>
      </c>
      <c r="N13" s="51" t="s">
        <v>1095</v>
      </c>
      <c r="O13" s="51">
        <v>0</v>
      </c>
      <c r="P13" s="51">
        <v>0</v>
      </c>
      <c r="Q13" s="51">
        <v>0</v>
      </c>
      <c r="R13" s="51" t="s">
        <v>1095</v>
      </c>
      <c r="S13" s="51">
        <v>0</v>
      </c>
      <c r="T13" s="51" t="s">
        <v>1095</v>
      </c>
      <c r="U13" s="847">
        <v>0</v>
      </c>
      <c r="V13" s="51" t="s">
        <v>1095</v>
      </c>
      <c r="W13" s="51">
        <v>0</v>
      </c>
      <c r="X13" s="51" t="s">
        <v>1095</v>
      </c>
      <c r="Y13" s="847">
        <v>0</v>
      </c>
      <c r="Z13" s="51" t="s">
        <v>1095</v>
      </c>
      <c r="AA13" s="51"/>
      <c r="AB13" s="51"/>
      <c r="AC13" s="51"/>
      <c r="AD13" s="51"/>
      <c r="AE13" s="51"/>
      <c r="AF13" s="51"/>
      <c r="AG13" s="51"/>
    </row>
    <row r="14" spans="1:33" x14ac:dyDescent="0.2">
      <c r="A14" s="249">
        <v>2</v>
      </c>
      <c r="B14" s="463" t="s">
        <v>716</v>
      </c>
      <c r="C14" s="463" t="s">
        <v>1333</v>
      </c>
      <c r="D14" s="266" t="s">
        <v>715</v>
      </c>
      <c r="E14" s="266" t="s">
        <v>835</v>
      </c>
      <c r="F14" s="51" t="s">
        <v>835</v>
      </c>
      <c r="G14" s="51">
        <v>9122227</v>
      </c>
      <c r="H14" s="51" t="s">
        <v>1095</v>
      </c>
      <c r="I14" s="51">
        <v>-96314</v>
      </c>
      <c r="J14" s="51" t="s">
        <v>1095</v>
      </c>
      <c r="K14" s="51">
        <v>-786186</v>
      </c>
      <c r="L14" s="51" t="s">
        <v>1095</v>
      </c>
      <c r="M14" s="846">
        <v>8239727</v>
      </c>
      <c r="N14" s="51" t="s">
        <v>1095</v>
      </c>
      <c r="O14" s="51">
        <v>0</v>
      </c>
      <c r="P14" s="51">
        <v>0</v>
      </c>
      <c r="Q14" s="51">
        <v>0</v>
      </c>
      <c r="R14" s="51" t="s">
        <v>1095</v>
      </c>
      <c r="S14" s="51">
        <v>4306504</v>
      </c>
      <c r="T14" s="51" t="s">
        <v>1095</v>
      </c>
      <c r="U14" s="847">
        <v>3933223</v>
      </c>
      <c r="V14" s="51" t="s">
        <v>1095</v>
      </c>
      <c r="W14" s="51">
        <v>858385</v>
      </c>
      <c r="X14" s="51" t="s">
        <v>1095</v>
      </c>
      <c r="Y14" s="847">
        <v>858385</v>
      </c>
      <c r="Z14" s="51" t="s">
        <v>1095</v>
      </c>
      <c r="AA14" s="51"/>
      <c r="AB14" s="51"/>
      <c r="AC14" s="51"/>
      <c r="AD14" s="51"/>
      <c r="AE14" s="51"/>
      <c r="AF14" s="51"/>
      <c r="AG14" s="51"/>
    </row>
    <row r="15" spans="1:33" x14ac:dyDescent="0.2">
      <c r="A15" s="249">
        <v>1</v>
      </c>
      <c r="B15" s="463" t="s">
        <v>716</v>
      </c>
      <c r="C15" s="463" t="s">
        <v>1334</v>
      </c>
      <c r="D15" s="266" t="s">
        <v>715</v>
      </c>
      <c r="E15" s="266" t="s">
        <v>914</v>
      </c>
      <c r="F15" s="51" t="s">
        <v>914</v>
      </c>
      <c r="G15" s="51">
        <v>7040528</v>
      </c>
      <c r="H15" s="51" t="s">
        <v>1095</v>
      </c>
      <c r="I15" s="51">
        <v>0</v>
      </c>
      <c r="J15" s="51" t="s">
        <v>1095</v>
      </c>
      <c r="K15" s="51">
        <v>0</v>
      </c>
      <c r="L15" s="51" t="s">
        <v>1095</v>
      </c>
      <c r="M15" s="846">
        <v>7040528</v>
      </c>
      <c r="N15" s="51" t="s">
        <v>1095</v>
      </c>
      <c r="O15" s="51">
        <v>0</v>
      </c>
      <c r="P15" s="51">
        <v>0</v>
      </c>
      <c r="Q15" s="51">
        <v>0</v>
      </c>
      <c r="R15" s="51" t="s">
        <v>1095</v>
      </c>
      <c r="S15" s="51">
        <v>7040528</v>
      </c>
      <c r="T15" s="51" t="s">
        <v>1095</v>
      </c>
      <c r="U15" s="847">
        <v>0</v>
      </c>
      <c r="V15" s="51" t="s">
        <v>1095</v>
      </c>
      <c r="W15" s="51">
        <v>0</v>
      </c>
      <c r="X15" s="51" t="s">
        <v>1095</v>
      </c>
      <c r="Y15" s="847">
        <v>0</v>
      </c>
      <c r="Z15" s="51" t="s">
        <v>1095</v>
      </c>
      <c r="AA15" s="51"/>
      <c r="AB15" s="51"/>
      <c r="AC15" s="51"/>
      <c r="AD15" s="51"/>
      <c r="AE15" s="51"/>
      <c r="AF15" s="51"/>
      <c r="AG15" s="51"/>
    </row>
    <row r="16" spans="1:33" x14ac:dyDescent="0.2">
      <c r="A16" s="249">
        <v>1</v>
      </c>
      <c r="B16" s="463" t="s">
        <v>722</v>
      </c>
      <c r="C16" s="463" t="s">
        <v>1335</v>
      </c>
      <c r="D16" s="266" t="s">
        <v>721</v>
      </c>
      <c r="E16" s="266" t="s">
        <v>915</v>
      </c>
      <c r="F16" s="51" t="s">
        <v>915</v>
      </c>
      <c r="G16" s="51">
        <v>2031585</v>
      </c>
      <c r="H16" s="51" t="s">
        <v>1095</v>
      </c>
      <c r="I16" s="51">
        <v>-72000</v>
      </c>
      <c r="J16" s="51" t="s">
        <v>1095</v>
      </c>
      <c r="K16" s="51">
        <v>-137000</v>
      </c>
      <c r="L16" s="51" t="s">
        <v>1095</v>
      </c>
      <c r="M16" s="846">
        <v>1822585</v>
      </c>
      <c r="N16" s="51" t="s">
        <v>1095</v>
      </c>
      <c r="O16" s="51">
        <v>0</v>
      </c>
      <c r="P16" s="51">
        <v>0</v>
      </c>
      <c r="Q16" s="51">
        <v>5601</v>
      </c>
      <c r="R16" s="51" t="s">
        <v>1095</v>
      </c>
      <c r="S16" s="51">
        <v>1583634</v>
      </c>
      <c r="T16" s="51" t="s">
        <v>1095</v>
      </c>
      <c r="U16" s="847">
        <v>244552</v>
      </c>
      <c r="V16" s="51" t="s">
        <v>1095</v>
      </c>
      <c r="W16" s="51">
        <v>251514</v>
      </c>
      <c r="X16" s="51" t="s">
        <v>1095</v>
      </c>
      <c r="Y16" s="847">
        <v>251514</v>
      </c>
      <c r="Z16" s="51" t="s">
        <v>1095</v>
      </c>
      <c r="AA16" s="51"/>
      <c r="AB16" s="51"/>
      <c r="AC16" s="51"/>
      <c r="AD16" s="51"/>
      <c r="AE16" s="51"/>
      <c r="AF16" s="51"/>
      <c r="AG16" s="51"/>
    </row>
    <row r="17" spans="1:33" x14ac:dyDescent="0.2">
      <c r="A17" s="249">
        <v>2</v>
      </c>
      <c r="B17" s="463" t="s">
        <v>732</v>
      </c>
      <c r="C17" s="463" t="s">
        <v>1336</v>
      </c>
      <c r="D17" s="266" t="s">
        <v>731</v>
      </c>
      <c r="E17" s="266" t="s">
        <v>916</v>
      </c>
      <c r="F17" s="51" t="s">
        <v>916</v>
      </c>
      <c r="G17" s="51">
        <v>0</v>
      </c>
      <c r="H17" s="51" t="s">
        <v>1095</v>
      </c>
      <c r="I17" s="51">
        <v>0</v>
      </c>
      <c r="J17" s="51" t="s">
        <v>1095</v>
      </c>
      <c r="K17" s="51">
        <v>0</v>
      </c>
      <c r="L17" s="51" t="s">
        <v>1095</v>
      </c>
      <c r="M17" s="846">
        <v>0</v>
      </c>
      <c r="N17" s="51" t="s">
        <v>1095</v>
      </c>
      <c r="O17" s="51">
        <v>0</v>
      </c>
      <c r="P17" s="51">
        <v>0</v>
      </c>
      <c r="Q17" s="51">
        <v>0</v>
      </c>
      <c r="R17" s="51" t="s">
        <v>1095</v>
      </c>
      <c r="S17" s="51">
        <v>0</v>
      </c>
      <c r="T17" s="51" t="s">
        <v>1095</v>
      </c>
      <c r="U17" s="847">
        <v>0</v>
      </c>
      <c r="V17" s="51" t="s">
        <v>1095</v>
      </c>
      <c r="W17" s="51">
        <v>0</v>
      </c>
      <c r="X17" s="51" t="s">
        <v>1095</v>
      </c>
      <c r="Y17" s="847">
        <v>0</v>
      </c>
      <c r="Z17" s="51" t="s">
        <v>1095</v>
      </c>
      <c r="AA17" s="51"/>
      <c r="AB17" s="51"/>
      <c r="AC17" s="51"/>
      <c r="AD17" s="51"/>
      <c r="AE17" s="51"/>
      <c r="AF17" s="51"/>
      <c r="AG17" s="51"/>
    </row>
    <row r="18" spans="1:33" x14ac:dyDescent="0.2">
      <c r="A18" s="249">
        <v>3</v>
      </c>
      <c r="B18" s="463" t="s">
        <v>732</v>
      </c>
      <c r="C18" s="463" t="s">
        <v>1337</v>
      </c>
      <c r="D18" s="266" t="s">
        <v>731</v>
      </c>
      <c r="E18" s="266" t="s">
        <v>917</v>
      </c>
      <c r="F18" s="51" t="s">
        <v>917</v>
      </c>
      <c r="G18" s="51">
        <v>0</v>
      </c>
      <c r="H18" s="51" t="s">
        <v>1095</v>
      </c>
      <c r="I18" s="51">
        <v>0</v>
      </c>
      <c r="J18" s="51" t="s">
        <v>1095</v>
      </c>
      <c r="K18" s="51">
        <v>0</v>
      </c>
      <c r="L18" s="51" t="s">
        <v>1095</v>
      </c>
      <c r="M18" s="846">
        <v>0</v>
      </c>
      <c r="N18" s="51" t="s">
        <v>1095</v>
      </c>
      <c r="O18" s="51">
        <v>0</v>
      </c>
      <c r="P18" s="51">
        <v>0</v>
      </c>
      <c r="Q18" s="51">
        <v>0</v>
      </c>
      <c r="R18" s="51" t="s">
        <v>1095</v>
      </c>
      <c r="S18" s="51">
        <v>0</v>
      </c>
      <c r="T18" s="51" t="s">
        <v>1095</v>
      </c>
      <c r="U18" s="847">
        <v>0</v>
      </c>
      <c r="V18" s="51" t="s">
        <v>1095</v>
      </c>
      <c r="W18" s="51">
        <v>0</v>
      </c>
      <c r="X18" s="51" t="s">
        <v>1095</v>
      </c>
      <c r="Y18" s="847">
        <v>0</v>
      </c>
      <c r="Z18" s="51" t="s">
        <v>1095</v>
      </c>
      <c r="AA18" s="51"/>
      <c r="AB18" s="51"/>
      <c r="AC18" s="51"/>
      <c r="AD18" s="51"/>
      <c r="AE18" s="51"/>
      <c r="AF18" s="51"/>
      <c r="AG18" s="51"/>
    </row>
    <row r="19" spans="1:33" x14ac:dyDescent="0.2">
      <c r="A19" s="249">
        <v>1</v>
      </c>
      <c r="B19" s="463" t="s">
        <v>732</v>
      </c>
      <c r="C19" s="463" t="s">
        <v>1338</v>
      </c>
      <c r="D19" s="266" t="s">
        <v>731</v>
      </c>
      <c r="E19" s="266" t="s">
        <v>918</v>
      </c>
      <c r="F19" s="51" t="s">
        <v>918</v>
      </c>
      <c r="G19" s="51">
        <v>0</v>
      </c>
      <c r="H19" s="51" t="s">
        <v>1095</v>
      </c>
      <c r="I19" s="51">
        <v>0</v>
      </c>
      <c r="J19" s="51" t="s">
        <v>1095</v>
      </c>
      <c r="K19" s="51">
        <v>0</v>
      </c>
      <c r="L19" s="51" t="s">
        <v>1095</v>
      </c>
      <c r="M19" s="846">
        <v>0</v>
      </c>
      <c r="N19" s="51" t="s">
        <v>1095</v>
      </c>
      <c r="O19" s="51">
        <v>0</v>
      </c>
      <c r="P19" s="51">
        <v>0</v>
      </c>
      <c r="Q19" s="51">
        <v>0</v>
      </c>
      <c r="R19" s="51" t="s">
        <v>1095</v>
      </c>
      <c r="S19" s="51">
        <v>0</v>
      </c>
      <c r="T19" s="51" t="s">
        <v>1095</v>
      </c>
      <c r="U19" s="847">
        <v>0</v>
      </c>
      <c r="V19" s="51" t="s">
        <v>1095</v>
      </c>
      <c r="W19" s="51">
        <v>0</v>
      </c>
      <c r="X19" s="51" t="s">
        <v>1095</v>
      </c>
      <c r="Y19" s="847">
        <v>0</v>
      </c>
      <c r="Z19" s="51" t="s">
        <v>1095</v>
      </c>
      <c r="AA19" s="51"/>
      <c r="AB19" s="51"/>
      <c r="AC19" s="51"/>
      <c r="AD19" s="51"/>
      <c r="AE19" s="51"/>
      <c r="AF19" s="51"/>
      <c r="AG19" s="51"/>
    </row>
    <row r="20" spans="1:33" x14ac:dyDescent="0.2">
      <c r="A20" s="249">
        <v>2</v>
      </c>
      <c r="B20" s="463" t="s">
        <v>744</v>
      </c>
      <c r="C20" s="463" t="s">
        <v>1339</v>
      </c>
      <c r="D20" s="266" t="s">
        <v>743</v>
      </c>
      <c r="E20" s="266" t="s">
        <v>799</v>
      </c>
      <c r="F20" s="51" t="s">
        <v>799</v>
      </c>
      <c r="G20" s="51">
        <v>16710620</v>
      </c>
      <c r="H20" s="51" t="s">
        <v>1095</v>
      </c>
      <c r="I20" s="51">
        <v>-292436</v>
      </c>
      <c r="J20" s="51" t="s">
        <v>1095</v>
      </c>
      <c r="K20" s="51">
        <v>-785399</v>
      </c>
      <c r="L20" s="51" t="s">
        <v>1095</v>
      </c>
      <c r="M20" s="846">
        <v>15632785</v>
      </c>
      <c r="N20" s="51" t="s">
        <v>1095</v>
      </c>
      <c r="O20" s="51">
        <v>150696</v>
      </c>
      <c r="P20" s="51">
        <v>0</v>
      </c>
      <c r="Q20" s="51">
        <v>7813</v>
      </c>
      <c r="R20" s="51" t="s">
        <v>1095</v>
      </c>
      <c r="S20" s="51">
        <v>14853512</v>
      </c>
      <c r="T20" s="51" t="s">
        <v>1095</v>
      </c>
      <c r="U20" s="847">
        <v>636390</v>
      </c>
      <c r="V20" s="51" t="s">
        <v>1095</v>
      </c>
      <c r="W20" s="51">
        <v>1058330</v>
      </c>
      <c r="X20" s="51" t="s">
        <v>1095</v>
      </c>
      <c r="Y20" s="847">
        <v>1058330</v>
      </c>
      <c r="Z20" s="51" t="s">
        <v>1095</v>
      </c>
      <c r="AA20" s="51"/>
      <c r="AB20" s="51"/>
      <c r="AC20" s="51"/>
      <c r="AD20" s="51"/>
      <c r="AE20" s="51"/>
      <c r="AF20" s="51"/>
      <c r="AG20" s="51"/>
    </row>
    <row r="21" spans="1:33" x14ac:dyDescent="0.2">
      <c r="A21" s="249">
        <v>3</v>
      </c>
      <c r="B21" s="463" t="s">
        <v>744</v>
      </c>
      <c r="C21" s="463" t="s">
        <v>1340</v>
      </c>
      <c r="D21" s="266" t="s">
        <v>743</v>
      </c>
      <c r="E21" s="266" t="s">
        <v>798</v>
      </c>
      <c r="F21" s="51" t="s">
        <v>798</v>
      </c>
      <c r="G21" s="51">
        <v>13171684</v>
      </c>
      <c r="H21" s="51" t="s">
        <v>1095</v>
      </c>
      <c r="I21" s="51">
        <v>-230504</v>
      </c>
      <c r="J21" s="51" t="s">
        <v>1095</v>
      </c>
      <c r="K21" s="51">
        <v>-619069</v>
      </c>
      <c r="L21" s="51" t="s">
        <v>1095</v>
      </c>
      <c r="M21" s="846">
        <v>12322111</v>
      </c>
      <c r="N21" s="51" t="s">
        <v>1095</v>
      </c>
      <c r="O21" s="51">
        <v>0</v>
      </c>
      <c r="P21" s="51">
        <v>0</v>
      </c>
      <c r="Q21" s="51">
        <v>-120519</v>
      </c>
      <c r="R21" s="51" t="s">
        <v>1095</v>
      </c>
      <c r="S21" s="51">
        <v>7296226</v>
      </c>
      <c r="T21" s="51" t="s">
        <v>1095</v>
      </c>
      <c r="U21" s="847">
        <v>4905366</v>
      </c>
      <c r="V21" s="51" t="s">
        <v>1095</v>
      </c>
      <c r="W21" s="51">
        <v>421229</v>
      </c>
      <c r="X21" s="51" t="s">
        <v>1095</v>
      </c>
      <c r="Y21" s="847">
        <v>421229</v>
      </c>
      <c r="Z21" s="51" t="s">
        <v>1095</v>
      </c>
      <c r="AA21" s="51"/>
      <c r="AB21" s="51"/>
      <c r="AC21" s="51"/>
      <c r="AD21" s="51"/>
      <c r="AE21" s="51"/>
      <c r="AF21" s="51"/>
      <c r="AG21" s="51"/>
    </row>
    <row r="22" spans="1:33" x14ac:dyDescent="0.2">
      <c r="A22" s="249">
        <v>1</v>
      </c>
      <c r="B22" s="463" t="s">
        <v>744</v>
      </c>
      <c r="C22" s="463" t="s">
        <v>1341</v>
      </c>
      <c r="D22" s="266" t="s">
        <v>743</v>
      </c>
      <c r="E22" s="266" t="s">
        <v>919</v>
      </c>
      <c r="F22" s="51" t="s">
        <v>919</v>
      </c>
      <c r="G22" s="51">
        <v>4040224</v>
      </c>
      <c r="H22" s="51" t="s">
        <v>1095</v>
      </c>
      <c r="I22" s="51">
        <v>-70704</v>
      </c>
      <c r="J22" s="51" t="s">
        <v>1095</v>
      </c>
      <c r="K22" s="51">
        <v>-189891</v>
      </c>
      <c r="L22" s="51" t="s">
        <v>1095</v>
      </c>
      <c r="M22" s="846">
        <v>3779629</v>
      </c>
      <c r="N22" s="51" t="s">
        <v>1095</v>
      </c>
      <c r="O22" s="51">
        <v>0</v>
      </c>
      <c r="P22" s="51">
        <v>0</v>
      </c>
      <c r="Q22" s="51">
        <v>7918</v>
      </c>
      <c r="R22" s="51" t="s">
        <v>1095</v>
      </c>
      <c r="S22" s="51">
        <v>4017332</v>
      </c>
      <c r="T22" s="51" t="s">
        <v>1095</v>
      </c>
      <c r="U22" s="847">
        <v>0</v>
      </c>
      <c r="V22" s="51" t="s">
        <v>1095</v>
      </c>
      <c r="W22" s="51">
        <v>0</v>
      </c>
      <c r="X22" s="51" t="s">
        <v>1095</v>
      </c>
      <c r="Y22" s="847">
        <v>0</v>
      </c>
      <c r="Z22" s="51" t="s">
        <v>1095</v>
      </c>
      <c r="AA22" s="51"/>
      <c r="AB22" s="51"/>
      <c r="AC22" s="51"/>
      <c r="AD22" s="51"/>
      <c r="AE22" s="51"/>
      <c r="AF22" s="51"/>
      <c r="AG22" s="51"/>
    </row>
    <row r="23" spans="1:33" x14ac:dyDescent="0.2">
      <c r="A23" s="249">
        <v>1</v>
      </c>
      <c r="B23" s="463" t="s">
        <v>754</v>
      </c>
      <c r="C23" s="463" t="s">
        <v>1342</v>
      </c>
      <c r="D23" s="266" t="s">
        <v>753</v>
      </c>
      <c r="E23" s="266" t="s">
        <v>800</v>
      </c>
      <c r="F23" s="51" t="s">
        <v>800</v>
      </c>
      <c r="G23" s="51">
        <v>286923</v>
      </c>
      <c r="H23" s="51" t="s">
        <v>1095</v>
      </c>
      <c r="I23" s="51">
        <v>0</v>
      </c>
      <c r="J23" s="51" t="s">
        <v>1095</v>
      </c>
      <c r="K23" s="51">
        <v>0</v>
      </c>
      <c r="L23" s="51" t="s">
        <v>1095</v>
      </c>
      <c r="M23" s="846">
        <v>286923</v>
      </c>
      <c r="N23" s="51" t="s">
        <v>1095</v>
      </c>
      <c r="O23" s="51">
        <v>0</v>
      </c>
      <c r="P23" s="51">
        <v>0</v>
      </c>
      <c r="Q23" s="51">
        <v>1908</v>
      </c>
      <c r="R23" s="51" t="s">
        <v>1095</v>
      </c>
      <c r="S23" s="51">
        <v>1246454</v>
      </c>
      <c r="T23" s="51" t="s">
        <v>1095</v>
      </c>
      <c r="U23" s="847">
        <v>0</v>
      </c>
      <c r="V23" s="51" t="s">
        <v>1095</v>
      </c>
      <c r="W23" s="51">
        <v>110000</v>
      </c>
      <c r="X23" s="51" t="s">
        <v>1095</v>
      </c>
      <c r="Y23" s="847">
        <v>110000</v>
      </c>
      <c r="Z23" s="51" t="s">
        <v>1095</v>
      </c>
      <c r="AA23" s="51"/>
      <c r="AB23" s="51"/>
      <c r="AC23" s="51"/>
      <c r="AD23" s="51"/>
      <c r="AE23" s="51"/>
      <c r="AF23" s="51"/>
      <c r="AG23" s="51"/>
    </row>
    <row r="24" spans="1:33" x14ac:dyDescent="0.2">
      <c r="A24" s="249">
        <v>1</v>
      </c>
      <c r="B24" s="463" t="s">
        <v>760</v>
      </c>
      <c r="C24" s="463" t="s">
        <v>1343</v>
      </c>
      <c r="D24" s="266" t="s">
        <v>759</v>
      </c>
      <c r="E24" s="266" t="s">
        <v>920</v>
      </c>
      <c r="F24" s="51" t="s">
        <v>920</v>
      </c>
      <c r="G24" s="51">
        <v>0</v>
      </c>
      <c r="H24" s="51" t="s">
        <v>1095</v>
      </c>
      <c r="I24" s="51">
        <v>0</v>
      </c>
      <c r="J24" s="51" t="s">
        <v>1095</v>
      </c>
      <c r="K24" s="51">
        <v>0</v>
      </c>
      <c r="L24" s="51" t="s">
        <v>1095</v>
      </c>
      <c r="M24" s="846">
        <v>0</v>
      </c>
      <c r="N24" s="51" t="s">
        <v>1095</v>
      </c>
      <c r="O24" s="51">
        <v>0</v>
      </c>
      <c r="P24" s="51">
        <v>0</v>
      </c>
      <c r="Q24" s="51">
        <v>0</v>
      </c>
      <c r="R24" s="51" t="s">
        <v>1095</v>
      </c>
      <c r="S24" s="51">
        <v>0</v>
      </c>
      <c r="T24" s="51" t="s">
        <v>1095</v>
      </c>
      <c r="U24" s="847">
        <v>0</v>
      </c>
      <c r="V24" s="51" t="s">
        <v>1095</v>
      </c>
      <c r="W24" s="51">
        <v>0</v>
      </c>
      <c r="X24" s="51" t="s">
        <v>1095</v>
      </c>
      <c r="Y24" s="847">
        <v>0</v>
      </c>
      <c r="Z24" s="51" t="s">
        <v>1095</v>
      </c>
      <c r="AA24" s="51"/>
      <c r="AB24" s="51"/>
      <c r="AC24" s="51"/>
      <c r="AD24" s="51"/>
      <c r="AE24" s="51"/>
      <c r="AF24" s="51"/>
      <c r="AG24" s="51"/>
    </row>
    <row r="25" spans="1:33" x14ac:dyDescent="0.2">
      <c r="A25" s="249">
        <v>1</v>
      </c>
      <c r="B25" s="463" t="s">
        <v>770</v>
      </c>
      <c r="C25" s="463" t="s">
        <v>1344</v>
      </c>
      <c r="D25" s="266" t="s">
        <v>769</v>
      </c>
      <c r="E25" s="266" t="s">
        <v>921</v>
      </c>
      <c r="F25" s="51" t="s">
        <v>921</v>
      </c>
      <c r="G25" s="51">
        <v>1626839</v>
      </c>
      <c r="H25" s="51" t="s">
        <v>1095</v>
      </c>
      <c r="I25" s="51">
        <v>-938</v>
      </c>
      <c r="J25" s="51" t="s">
        <v>1095</v>
      </c>
      <c r="K25" s="51">
        <v>-39955</v>
      </c>
      <c r="L25" s="51" t="s">
        <v>1095</v>
      </c>
      <c r="M25" s="846">
        <v>1585946</v>
      </c>
      <c r="N25" s="51" t="s">
        <v>1095</v>
      </c>
      <c r="O25" s="51">
        <v>5601</v>
      </c>
      <c r="P25" s="51">
        <v>0</v>
      </c>
      <c r="Q25" s="51">
        <v>-504</v>
      </c>
      <c r="R25" s="51" t="s">
        <v>1095</v>
      </c>
      <c r="S25" s="51">
        <v>1715250</v>
      </c>
      <c r="T25" s="51" t="s">
        <v>1095</v>
      </c>
      <c r="U25" s="847">
        <v>0</v>
      </c>
      <c r="V25" s="51" t="s">
        <v>1095</v>
      </c>
      <c r="W25" s="51">
        <v>163714</v>
      </c>
      <c r="X25" s="51" t="s">
        <v>1095</v>
      </c>
      <c r="Y25" s="847">
        <v>163714</v>
      </c>
      <c r="Z25" s="51" t="s">
        <v>1095</v>
      </c>
      <c r="AA25" s="51"/>
      <c r="AB25" s="51"/>
      <c r="AC25" s="51"/>
      <c r="AD25" s="51"/>
      <c r="AE25" s="51"/>
      <c r="AF25" s="51"/>
      <c r="AG25" s="51"/>
    </row>
    <row r="26" spans="1:33" x14ac:dyDescent="0.2">
      <c r="A26" s="249">
        <v>2</v>
      </c>
      <c r="B26" s="463" t="s">
        <v>776</v>
      </c>
      <c r="C26" s="463" t="s">
        <v>1345</v>
      </c>
      <c r="D26" s="266" t="s">
        <v>775</v>
      </c>
      <c r="E26" s="266" t="s">
        <v>922</v>
      </c>
      <c r="F26" s="51" t="s">
        <v>922</v>
      </c>
      <c r="G26" s="51">
        <v>0</v>
      </c>
      <c r="H26" s="51" t="s">
        <v>1095</v>
      </c>
      <c r="I26" s="51">
        <v>0</v>
      </c>
      <c r="J26" s="51" t="s">
        <v>1095</v>
      </c>
      <c r="K26" s="51">
        <v>0</v>
      </c>
      <c r="L26" s="51" t="s">
        <v>1095</v>
      </c>
      <c r="M26" s="846">
        <v>0</v>
      </c>
      <c r="N26" s="51" t="s">
        <v>1095</v>
      </c>
      <c r="O26" s="51">
        <v>0</v>
      </c>
      <c r="P26" s="51">
        <v>0</v>
      </c>
      <c r="Q26" s="51">
        <v>0</v>
      </c>
      <c r="R26" s="51" t="s">
        <v>1095</v>
      </c>
      <c r="S26" s="51">
        <v>0</v>
      </c>
      <c r="T26" s="51" t="s">
        <v>1095</v>
      </c>
      <c r="U26" s="847">
        <v>0</v>
      </c>
      <c r="V26" s="51" t="s">
        <v>1095</v>
      </c>
      <c r="W26" s="51">
        <v>0</v>
      </c>
      <c r="X26" s="51" t="s">
        <v>1095</v>
      </c>
      <c r="Y26" s="847">
        <v>0</v>
      </c>
      <c r="Z26" s="51" t="s">
        <v>1095</v>
      </c>
      <c r="AA26" s="51"/>
      <c r="AB26" s="51"/>
      <c r="AC26" s="51"/>
      <c r="AD26" s="51"/>
      <c r="AE26" s="51"/>
      <c r="AF26" s="51"/>
      <c r="AG26" s="51"/>
    </row>
    <row r="27" spans="1:33" x14ac:dyDescent="0.2">
      <c r="A27" s="249">
        <v>1</v>
      </c>
      <c r="B27" s="463" t="s">
        <v>776</v>
      </c>
      <c r="C27" s="463" t="s">
        <v>1346</v>
      </c>
      <c r="D27" s="266" t="s">
        <v>775</v>
      </c>
      <c r="E27" s="266" t="s">
        <v>923</v>
      </c>
      <c r="F27" s="51" t="s">
        <v>923</v>
      </c>
      <c r="G27" s="51">
        <v>325080</v>
      </c>
      <c r="H27" s="51" t="s">
        <v>1095</v>
      </c>
      <c r="I27" s="51">
        <v>-1625</v>
      </c>
      <c r="J27" s="51" t="s">
        <v>1095</v>
      </c>
      <c r="K27" s="51">
        <v>-13545</v>
      </c>
      <c r="L27" s="51" t="s">
        <v>1095</v>
      </c>
      <c r="M27" s="846">
        <v>309910</v>
      </c>
      <c r="N27" s="51" t="s">
        <v>1095</v>
      </c>
      <c r="O27" s="51">
        <v>0</v>
      </c>
      <c r="P27" s="51">
        <v>0</v>
      </c>
      <c r="Q27" s="51">
        <v>0</v>
      </c>
      <c r="R27" s="51" t="s">
        <v>1095</v>
      </c>
      <c r="S27" s="51">
        <v>125384</v>
      </c>
      <c r="T27" s="51" t="s">
        <v>1095</v>
      </c>
      <c r="U27" s="847">
        <v>184526</v>
      </c>
      <c r="V27" s="51" t="s">
        <v>1095</v>
      </c>
      <c r="W27" s="51">
        <v>0</v>
      </c>
      <c r="X27" s="51" t="s">
        <v>1095</v>
      </c>
      <c r="Y27" s="847">
        <v>0</v>
      </c>
      <c r="Z27" s="51" t="s">
        <v>1095</v>
      </c>
      <c r="AA27" s="51"/>
      <c r="AB27" s="51"/>
      <c r="AC27" s="51"/>
      <c r="AD27" s="51"/>
      <c r="AE27" s="51"/>
      <c r="AF27" s="51"/>
      <c r="AG27" s="51"/>
    </row>
    <row r="28" spans="1:33" x14ac:dyDescent="0.2">
      <c r="A28" s="249">
        <v>1</v>
      </c>
      <c r="B28" s="463" t="s">
        <v>784</v>
      </c>
      <c r="C28" s="463" t="s">
        <v>1347</v>
      </c>
      <c r="D28" s="266" t="s">
        <v>783</v>
      </c>
      <c r="E28" s="266" t="s">
        <v>924</v>
      </c>
      <c r="F28" s="51" t="s">
        <v>924</v>
      </c>
      <c r="G28" s="51">
        <v>2785730</v>
      </c>
      <c r="H28" s="51" t="s">
        <v>1095</v>
      </c>
      <c r="I28" s="51">
        <v>-31937</v>
      </c>
      <c r="J28" s="51" t="s">
        <v>1095</v>
      </c>
      <c r="K28" s="51">
        <v>0</v>
      </c>
      <c r="L28" s="51" t="s">
        <v>1095</v>
      </c>
      <c r="M28" s="846">
        <v>2753793</v>
      </c>
      <c r="N28" s="51" t="s">
        <v>1095</v>
      </c>
      <c r="O28" s="51">
        <v>0</v>
      </c>
      <c r="P28" s="51">
        <v>0</v>
      </c>
      <c r="Q28" s="51">
        <v>60597</v>
      </c>
      <c r="R28" s="51" t="s">
        <v>1095</v>
      </c>
      <c r="S28" s="51">
        <v>2374316</v>
      </c>
      <c r="T28" s="51" t="s">
        <v>1095</v>
      </c>
      <c r="U28" s="847">
        <v>440074</v>
      </c>
      <c r="V28" s="51" t="s">
        <v>1095</v>
      </c>
      <c r="W28" s="51">
        <v>437400</v>
      </c>
      <c r="X28" s="51" t="s">
        <v>1095</v>
      </c>
      <c r="Y28" s="847">
        <v>437400</v>
      </c>
      <c r="Z28" s="51" t="s">
        <v>1095</v>
      </c>
      <c r="AA28" s="51"/>
      <c r="AB28" s="51"/>
      <c r="AC28" s="51"/>
      <c r="AD28" s="51"/>
      <c r="AE28" s="51"/>
      <c r="AF28" s="51"/>
      <c r="AG28" s="51"/>
    </row>
    <row r="29" spans="1:33" x14ac:dyDescent="0.2">
      <c r="A29" s="249">
        <v>2</v>
      </c>
      <c r="B29" s="463" t="s">
        <v>785</v>
      </c>
      <c r="C29" s="463" t="s">
        <v>1348</v>
      </c>
      <c r="D29" s="266" t="s">
        <v>551</v>
      </c>
      <c r="E29" s="266" t="s">
        <v>925</v>
      </c>
      <c r="F29" s="51" t="s">
        <v>925</v>
      </c>
      <c r="G29" s="51">
        <v>169344</v>
      </c>
      <c r="H29" s="51" t="s">
        <v>1095</v>
      </c>
      <c r="I29" s="51">
        <v>0</v>
      </c>
      <c r="J29" s="51" t="s">
        <v>1095</v>
      </c>
      <c r="K29" s="51">
        <v>0</v>
      </c>
      <c r="L29" s="51" t="s">
        <v>1095</v>
      </c>
      <c r="M29" s="846">
        <v>169344</v>
      </c>
      <c r="N29" s="51" t="s">
        <v>1095</v>
      </c>
      <c r="O29" s="51">
        <v>0</v>
      </c>
      <c r="P29" s="51">
        <v>0</v>
      </c>
      <c r="Q29" s="51">
        <v>0</v>
      </c>
      <c r="R29" s="51" t="s">
        <v>1095</v>
      </c>
      <c r="S29" s="51">
        <v>151220</v>
      </c>
      <c r="T29" s="51" t="s">
        <v>1095</v>
      </c>
      <c r="U29" s="847">
        <v>18124</v>
      </c>
      <c r="V29" s="51" t="s">
        <v>1095</v>
      </c>
      <c r="W29" s="51">
        <v>0</v>
      </c>
      <c r="X29" s="51" t="s">
        <v>1095</v>
      </c>
      <c r="Y29" s="847">
        <v>0</v>
      </c>
      <c r="Z29" s="51" t="s">
        <v>1095</v>
      </c>
      <c r="AA29" s="51"/>
      <c r="AB29" s="51"/>
      <c r="AC29" s="51"/>
      <c r="AD29" s="51"/>
      <c r="AE29" s="51"/>
      <c r="AF29" s="51"/>
      <c r="AG29" s="51"/>
    </row>
    <row r="30" spans="1:33" x14ac:dyDescent="0.2">
      <c r="A30" s="249">
        <v>3</v>
      </c>
      <c r="B30" s="463" t="s">
        <v>785</v>
      </c>
      <c r="C30" s="463" t="s">
        <v>1349</v>
      </c>
      <c r="D30" s="266" t="s">
        <v>551</v>
      </c>
      <c r="E30" s="266" t="s">
        <v>926</v>
      </c>
      <c r="F30" s="51" t="s">
        <v>926</v>
      </c>
      <c r="G30" s="51">
        <v>0</v>
      </c>
      <c r="H30" s="51" t="s">
        <v>1095</v>
      </c>
      <c r="I30" s="51">
        <v>0</v>
      </c>
      <c r="J30" s="51" t="s">
        <v>1095</v>
      </c>
      <c r="K30" s="51">
        <v>0</v>
      </c>
      <c r="L30" s="51" t="s">
        <v>1095</v>
      </c>
      <c r="M30" s="846">
        <v>0</v>
      </c>
      <c r="N30" s="51" t="s">
        <v>1095</v>
      </c>
      <c r="O30" s="51">
        <v>0</v>
      </c>
      <c r="P30" s="51">
        <v>0</v>
      </c>
      <c r="Q30" s="51">
        <v>0</v>
      </c>
      <c r="R30" s="51" t="s">
        <v>1095</v>
      </c>
      <c r="S30" s="51">
        <v>0</v>
      </c>
      <c r="T30" s="51" t="s">
        <v>1095</v>
      </c>
      <c r="U30" s="847">
        <v>0</v>
      </c>
      <c r="V30" s="51" t="s">
        <v>1095</v>
      </c>
      <c r="W30" s="51">
        <v>74088</v>
      </c>
      <c r="X30" s="51" t="s">
        <v>1095</v>
      </c>
      <c r="Y30" s="847">
        <v>74088</v>
      </c>
      <c r="Z30" s="51" t="s">
        <v>1095</v>
      </c>
      <c r="AA30" s="51"/>
      <c r="AB30" s="51"/>
      <c r="AC30" s="51"/>
      <c r="AD30" s="51"/>
      <c r="AE30" s="51"/>
      <c r="AF30" s="51"/>
      <c r="AG30" s="51"/>
    </row>
    <row r="31" spans="1:33" x14ac:dyDescent="0.2">
      <c r="A31" s="249">
        <v>4</v>
      </c>
      <c r="B31" s="463" t="s">
        <v>785</v>
      </c>
      <c r="C31" s="463" t="s">
        <v>1350</v>
      </c>
      <c r="D31" s="266" t="s">
        <v>551</v>
      </c>
      <c r="E31" s="266" t="s">
        <v>927</v>
      </c>
      <c r="F31" s="51" t="s">
        <v>927</v>
      </c>
      <c r="G31" s="51">
        <v>0</v>
      </c>
      <c r="H31" s="51" t="s">
        <v>1095</v>
      </c>
      <c r="I31" s="51">
        <v>0</v>
      </c>
      <c r="J31" s="51" t="s">
        <v>1095</v>
      </c>
      <c r="K31" s="51">
        <v>0</v>
      </c>
      <c r="L31" s="51" t="s">
        <v>1095</v>
      </c>
      <c r="M31" s="846">
        <v>0</v>
      </c>
      <c r="N31" s="51" t="s">
        <v>1095</v>
      </c>
      <c r="O31" s="51">
        <v>0</v>
      </c>
      <c r="P31" s="51">
        <v>0</v>
      </c>
      <c r="Q31" s="51">
        <v>0</v>
      </c>
      <c r="R31" s="51" t="s">
        <v>1095</v>
      </c>
      <c r="S31" s="51">
        <v>0</v>
      </c>
      <c r="T31" s="51" t="s">
        <v>1095</v>
      </c>
      <c r="U31" s="847">
        <v>0</v>
      </c>
      <c r="V31" s="51" t="s">
        <v>1095</v>
      </c>
      <c r="W31" s="51">
        <v>0</v>
      </c>
      <c r="X31" s="51" t="s">
        <v>1095</v>
      </c>
      <c r="Y31" s="847">
        <v>0</v>
      </c>
      <c r="Z31" s="51" t="s">
        <v>1095</v>
      </c>
      <c r="AA31" s="51"/>
      <c r="AB31" s="51"/>
      <c r="AC31" s="51"/>
      <c r="AD31" s="51"/>
      <c r="AE31" s="51"/>
      <c r="AF31" s="51"/>
      <c r="AG31" s="51"/>
    </row>
    <row r="32" spans="1:33" x14ac:dyDescent="0.2">
      <c r="A32" s="249">
        <v>5</v>
      </c>
      <c r="B32" s="463" t="s">
        <v>785</v>
      </c>
      <c r="C32" s="463" t="s">
        <v>1351</v>
      </c>
      <c r="D32" s="266" t="s">
        <v>551</v>
      </c>
      <c r="E32" s="266" t="s">
        <v>928</v>
      </c>
      <c r="F32" s="51" t="s">
        <v>928</v>
      </c>
      <c r="G32" s="51">
        <v>0</v>
      </c>
      <c r="H32" s="51" t="s">
        <v>1095</v>
      </c>
      <c r="I32" s="51">
        <v>0</v>
      </c>
      <c r="J32" s="51" t="s">
        <v>1095</v>
      </c>
      <c r="K32" s="51">
        <v>0</v>
      </c>
      <c r="L32" s="51" t="s">
        <v>1095</v>
      </c>
      <c r="M32" s="846">
        <v>0</v>
      </c>
      <c r="N32" s="51" t="s">
        <v>1095</v>
      </c>
      <c r="O32" s="51">
        <v>0</v>
      </c>
      <c r="P32" s="51">
        <v>0</v>
      </c>
      <c r="Q32" s="51">
        <v>0</v>
      </c>
      <c r="R32" s="51" t="s">
        <v>1095</v>
      </c>
      <c r="S32" s="51">
        <v>0</v>
      </c>
      <c r="T32" s="51" t="s">
        <v>1095</v>
      </c>
      <c r="U32" s="847">
        <v>0</v>
      </c>
      <c r="V32" s="51" t="s">
        <v>1095</v>
      </c>
      <c r="W32" s="51">
        <v>0</v>
      </c>
      <c r="X32" s="51" t="s">
        <v>1095</v>
      </c>
      <c r="Y32" s="847">
        <v>0</v>
      </c>
      <c r="Z32" s="51" t="s">
        <v>1095</v>
      </c>
      <c r="AA32" s="51"/>
      <c r="AB32" s="51"/>
      <c r="AC32" s="51"/>
      <c r="AD32" s="51"/>
      <c r="AE32" s="51"/>
      <c r="AF32" s="51"/>
      <c r="AG32" s="51"/>
    </row>
    <row r="33" spans="1:33" x14ac:dyDescent="0.2">
      <c r="A33" s="249">
        <v>6</v>
      </c>
      <c r="B33" s="463" t="s">
        <v>785</v>
      </c>
      <c r="C33" s="463" t="s">
        <v>1352</v>
      </c>
      <c r="D33" s="266" t="s">
        <v>551</v>
      </c>
      <c r="E33" s="266" t="s">
        <v>929</v>
      </c>
      <c r="F33" s="51" t="s">
        <v>929</v>
      </c>
      <c r="G33" s="51">
        <v>0</v>
      </c>
      <c r="H33" s="51" t="s">
        <v>1095</v>
      </c>
      <c r="I33" s="51">
        <v>0</v>
      </c>
      <c r="J33" s="51" t="s">
        <v>1095</v>
      </c>
      <c r="K33" s="51">
        <v>0</v>
      </c>
      <c r="L33" s="51" t="s">
        <v>1095</v>
      </c>
      <c r="M33" s="846">
        <v>0</v>
      </c>
      <c r="N33" s="51" t="s">
        <v>1095</v>
      </c>
      <c r="O33" s="51">
        <v>0</v>
      </c>
      <c r="P33" s="51">
        <v>0</v>
      </c>
      <c r="Q33" s="51">
        <v>0</v>
      </c>
      <c r="R33" s="51" t="s">
        <v>1095</v>
      </c>
      <c r="S33" s="51">
        <v>0</v>
      </c>
      <c r="T33" s="51" t="s">
        <v>1095</v>
      </c>
      <c r="U33" s="847">
        <v>0</v>
      </c>
      <c r="V33" s="51" t="s">
        <v>1095</v>
      </c>
      <c r="W33" s="51">
        <v>108738</v>
      </c>
      <c r="X33" s="51" t="s">
        <v>1095</v>
      </c>
      <c r="Y33" s="847">
        <v>108738</v>
      </c>
      <c r="Z33" s="51" t="s">
        <v>1095</v>
      </c>
      <c r="AA33" s="51"/>
      <c r="AB33" s="51"/>
      <c r="AC33" s="51"/>
      <c r="AD33" s="51"/>
      <c r="AE33" s="51"/>
      <c r="AF33" s="51"/>
      <c r="AG33" s="51"/>
    </row>
    <row r="34" spans="1:33" x14ac:dyDescent="0.2">
      <c r="A34" s="249">
        <v>7</v>
      </c>
      <c r="B34" s="463" t="s">
        <v>785</v>
      </c>
      <c r="C34" s="463" t="s">
        <v>1353</v>
      </c>
      <c r="D34" s="266" t="s">
        <v>551</v>
      </c>
      <c r="E34" s="266" t="s">
        <v>930</v>
      </c>
      <c r="F34" s="51" t="s">
        <v>930</v>
      </c>
      <c r="G34" s="51">
        <v>0</v>
      </c>
      <c r="H34" s="51" t="s">
        <v>1095</v>
      </c>
      <c r="I34" s="51">
        <v>0</v>
      </c>
      <c r="J34" s="51" t="s">
        <v>1095</v>
      </c>
      <c r="K34" s="51">
        <v>0</v>
      </c>
      <c r="L34" s="51" t="s">
        <v>1095</v>
      </c>
      <c r="M34" s="846">
        <v>0</v>
      </c>
      <c r="N34" s="51" t="s">
        <v>1095</v>
      </c>
      <c r="O34" s="51">
        <v>0</v>
      </c>
      <c r="P34" s="51">
        <v>0</v>
      </c>
      <c r="Q34" s="51">
        <v>0</v>
      </c>
      <c r="R34" s="51" t="s">
        <v>1095</v>
      </c>
      <c r="S34" s="51">
        <v>0</v>
      </c>
      <c r="T34" s="51" t="s">
        <v>1095</v>
      </c>
      <c r="U34" s="847">
        <v>0</v>
      </c>
      <c r="V34" s="51" t="s">
        <v>1095</v>
      </c>
      <c r="W34" s="51">
        <v>0</v>
      </c>
      <c r="X34" s="51" t="s">
        <v>1095</v>
      </c>
      <c r="Y34" s="847">
        <v>0</v>
      </c>
      <c r="Z34" s="51" t="s">
        <v>1095</v>
      </c>
      <c r="AA34" s="51"/>
      <c r="AB34" s="51"/>
      <c r="AC34" s="51"/>
      <c r="AD34" s="51"/>
      <c r="AE34" s="51"/>
      <c r="AF34" s="51"/>
      <c r="AG34" s="51"/>
    </row>
    <row r="35" spans="1:33" x14ac:dyDescent="0.2">
      <c r="A35" s="249">
        <v>8</v>
      </c>
      <c r="B35" s="463" t="s">
        <v>785</v>
      </c>
      <c r="C35" s="463" t="s">
        <v>1354</v>
      </c>
      <c r="D35" s="266" t="s">
        <v>551</v>
      </c>
      <c r="E35" s="266" t="s">
        <v>931</v>
      </c>
      <c r="F35" s="51" t="s">
        <v>931</v>
      </c>
      <c r="G35" s="51">
        <v>0</v>
      </c>
      <c r="H35" s="51" t="s">
        <v>1095</v>
      </c>
      <c r="I35" s="51">
        <v>0</v>
      </c>
      <c r="J35" s="51" t="s">
        <v>1095</v>
      </c>
      <c r="K35" s="51">
        <v>0</v>
      </c>
      <c r="L35" s="51" t="s">
        <v>1095</v>
      </c>
      <c r="M35" s="846">
        <v>0</v>
      </c>
      <c r="N35" s="51" t="s">
        <v>1095</v>
      </c>
      <c r="O35" s="51">
        <v>0</v>
      </c>
      <c r="P35" s="51">
        <v>0</v>
      </c>
      <c r="Q35" s="51">
        <v>0</v>
      </c>
      <c r="R35" s="51" t="s">
        <v>1095</v>
      </c>
      <c r="S35" s="51">
        <v>0</v>
      </c>
      <c r="T35" s="51" t="s">
        <v>1095</v>
      </c>
      <c r="U35" s="847">
        <v>0</v>
      </c>
      <c r="V35" s="51" t="s">
        <v>1095</v>
      </c>
      <c r="W35" s="51">
        <v>0</v>
      </c>
      <c r="X35" s="51" t="s">
        <v>1095</v>
      </c>
      <c r="Y35" s="847">
        <v>0</v>
      </c>
      <c r="Z35" s="51" t="s">
        <v>1095</v>
      </c>
      <c r="AA35" s="51"/>
      <c r="AB35" s="51"/>
      <c r="AC35" s="51"/>
      <c r="AD35" s="51"/>
      <c r="AE35" s="51"/>
      <c r="AF35" s="51"/>
      <c r="AG35" s="51"/>
    </row>
    <row r="36" spans="1:33" x14ac:dyDescent="0.2">
      <c r="A36" s="249">
        <v>9</v>
      </c>
      <c r="B36" s="463" t="s">
        <v>785</v>
      </c>
      <c r="C36" s="463" t="s">
        <v>1355</v>
      </c>
      <c r="D36" s="266" t="s">
        <v>551</v>
      </c>
      <c r="E36" s="266" t="s">
        <v>932</v>
      </c>
      <c r="F36" s="51" t="s">
        <v>932</v>
      </c>
      <c r="G36" s="51">
        <v>63537</v>
      </c>
      <c r="H36" s="51" t="s">
        <v>1095</v>
      </c>
      <c r="I36" s="51">
        <v>0</v>
      </c>
      <c r="J36" s="51" t="s">
        <v>1095</v>
      </c>
      <c r="K36" s="51">
        <v>0</v>
      </c>
      <c r="L36" s="51" t="s">
        <v>1095</v>
      </c>
      <c r="M36" s="846">
        <v>63537</v>
      </c>
      <c r="N36" s="51" t="s">
        <v>1095</v>
      </c>
      <c r="O36" s="51">
        <v>0</v>
      </c>
      <c r="P36" s="51">
        <v>0</v>
      </c>
      <c r="Q36" s="51">
        <v>0</v>
      </c>
      <c r="R36" s="51" t="s">
        <v>1095</v>
      </c>
      <c r="S36" s="51">
        <v>25183</v>
      </c>
      <c r="T36" s="51" t="s">
        <v>1095</v>
      </c>
      <c r="U36" s="847">
        <v>38354</v>
      </c>
      <c r="V36" s="51" t="s">
        <v>1095</v>
      </c>
      <c r="W36" s="51">
        <v>37000</v>
      </c>
      <c r="X36" s="51" t="s">
        <v>1095</v>
      </c>
      <c r="Y36" s="847">
        <v>37000</v>
      </c>
      <c r="Z36" s="51" t="s">
        <v>1095</v>
      </c>
      <c r="AA36" s="51"/>
      <c r="AB36" s="51"/>
      <c r="AC36" s="51"/>
      <c r="AD36" s="51"/>
      <c r="AE36" s="51"/>
      <c r="AF36" s="51"/>
      <c r="AG36" s="51"/>
    </row>
    <row r="37" spans="1:33" x14ac:dyDescent="0.2">
      <c r="A37" s="249">
        <v>10</v>
      </c>
      <c r="B37" s="463" t="s">
        <v>785</v>
      </c>
      <c r="C37" s="463" t="s">
        <v>1356</v>
      </c>
      <c r="D37" s="266" t="s">
        <v>551</v>
      </c>
      <c r="E37" s="266" t="s">
        <v>933</v>
      </c>
      <c r="F37" s="51" t="s">
        <v>933</v>
      </c>
      <c r="G37" s="51">
        <v>0</v>
      </c>
      <c r="H37" s="51" t="s">
        <v>1095</v>
      </c>
      <c r="I37" s="51">
        <v>0</v>
      </c>
      <c r="J37" s="51" t="s">
        <v>1095</v>
      </c>
      <c r="K37" s="51">
        <v>0</v>
      </c>
      <c r="L37" s="51" t="s">
        <v>1095</v>
      </c>
      <c r="M37" s="846">
        <v>0</v>
      </c>
      <c r="N37" s="51" t="s">
        <v>1095</v>
      </c>
      <c r="O37" s="51">
        <v>0</v>
      </c>
      <c r="P37" s="51">
        <v>0</v>
      </c>
      <c r="Q37" s="51">
        <v>0</v>
      </c>
      <c r="R37" s="51" t="s">
        <v>1095</v>
      </c>
      <c r="S37" s="51">
        <v>0</v>
      </c>
      <c r="T37" s="51" t="s">
        <v>1095</v>
      </c>
      <c r="U37" s="847">
        <v>0</v>
      </c>
      <c r="V37" s="51" t="s">
        <v>1095</v>
      </c>
      <c r="W37" s="51">
        <v>0</v>
      </c>
      <c r="X37" s="51" t="s">
        <v>1095</v>
      </c>
      <c r="Y37" s="847">
        <v>0</v>
      </c>
      <c r="Z37" s="51" t="s">
        <v>1095</v>
      </c>
      <c r="AA37" s="51"/>
      <c r="AB37" s="51"/>
      <c r="AC37" s="51"/>
      <c r="AD37" s="51"/>
      <c r="AE37" s="51"/>
      <c r="AF37" s="51"/>
      <c r="AG37" s="51"/>
    </row>
    <row r="38" spans="1:33" x14ac:dyDescent="0.2">
      <c r="A38" s="249">
        <v>1</v>
      </c>
      <c r="B38" s="463" t="s">
        <v>785</v>
      </c>
      <c r="C38" s="463" t="s">
        <v>1357</v>
      </c>
      <c r="D38" s="266" t="s">
        <v>551</v>
      </c>
      <c r="E38" s="266" t="s">
        <v>934</v>
      </c>
      <c r="F38" s="51" t="s">
        <v>934</v>
      </c>
      <c r="G38" s="51">
        <v>0</v>
      </c>
      <c r="H38" s="51" t="s">
        <v>1095</v>
      </c>
      <c r="I38" s="51">
        <v>0</v>
      </c>
      <c r="J38" s="51" t="s">
        <v>1095</v>
      </c>
      <c r="K38" s="51">
        <v>0</v>
      </c>
      <c r="L38" s="51" t="s">
        <v>1095</v>
      </c>
      <c r="M38" s="846">
        <v>0</v>
      </c>
      <c r="N38" s="51" t="s">
        <v>1095</v>
      </c>
      <c r="O38" s="51">
        <v>0</v>
      </c>
      <c r="P38" s="51">
        <v>0</v>
      </c>
      <c r="Q38" s="51">
        <v>0</v>
      </c>
      <c r="R38" s="51" t="s">
        <v>1095</v>
      </c>
      <c r="S38" s="51">
        <v>0</v>
      </c>
      <c r="T38" s="51" t="s">
        <v>1095</v>
      </c>
      <c r="U38" s="847">
        <v>0</v>
      </c>
      <c r="V38" s="51" t="s">
        <v>1095</v>
      </c>
      <c r="W38" s="51">
        <v>0</v>
      </c>
      <c r="X38" s="51" t="s">
        <v>1095</v>
      </c>
      <c r="Y38" s="847">
        <v>0</v>
      </c>
      <c r="Z38" s="51" t="s">
        <v>1095</v>
      </c>
      <c r="AA38" s="51"/>
      <c r="AB38" s="51"/>
      <c r="AC38" s="51"/>
      <c r="AD38" s="51"/>
      <c r="AE38" s="51"/>
      <c r="AF38" s="51"/>
      <c r="AG38" s="51"/>
    </row>
    <row r="39" spans="1:33" x14ac:dyDescent="0.2">
      <c r="A39" s="249">
        <v>1</v>
      </c>
      <c r="B39" s="463" t="s">
        <v>787</v>
      </c>
      <c r="C39" s="463" t="s">
        <v>1358</v>
      </c>
      <c r="D39" s="266" t="s">
        <v>786</v>
      </c>
      <c r="E39" s="266" t="s">
        <v>801</v>
      </c>
      <c r="F39" s="51" t="s">
        <v>801</v>
      </c>
      <c r="G39" s="51">
        <v>1890253</v>
      </c>
      <c r="H39" s="51" t="s">
        <v>1095</v>
      </c>
      <c r="I39" s="51">
        <v>0</v>
      </c>
      <c r="J39" s="51" t="s">
        <v>1095</v>
      </c>
      <c r="K39" s="51">
        <v>0</v>
      </c>
      <c r="L39" s="51" t="s">
        <v>1095</v>
      </c>
      <c r="M39" s="846">
        <v>1890253</v>
      </c>
      <c r="N39" s="51" t="s">
        <v>1095</v>
      </c>
      <c r="O39" s="51">
        <v>0</v>
      </c>
      <c r="P39" s="51">
        <v>0</v>
      </c>
      <c r="Q39" s="51">
        <v>0</v>
      </c>
      <c r="R39" s="51" t="s">
        <v>1095</v>
      </c>
      <c r="S39" s="51">
        <v>0</v>
      </c>
      <c r="T39" s="51" t="s">
        <v>1095</v>
      </c>
      <c r="U39" s="847">
        <v>1890253</v>
      </c>
      <c r="V39" s="51" t="s">
        <v>1095</v>
      </c>
      <c r="W39" s="51">
        <v>0</v>
      </c>
      <c r="X39" s="51" t="s">
        <v>1095</v>
      </c>
      <c r="Y39" s="847">
        <v>0</v>
      </c>
      <c r="Z39" s="51" t="s">
        <v>1095</v>
      </c>
      <c r="AA39" s="51"/>
      <c r="AB39" s="51"/>
      <c r="AC39" s="51"/>
      <c r="AD39" s="51"/>
      <c r="AE39" s="51"/>
      <c r="AF39" s="51"/>
      <c r="AG39" s="51"/>
    </row>
    <row r="40" spans="1:33" x14ac:dyDescent="0.2">
      <c r="A40" s="249">
        <v>2</v>
      </c>
      <c r="B40" s="463" t="s">
        <v>8</v>
      </c>
      <c r="C40" s="463" t="s">
        <v>1359</v>
      </c>
      <c r="D40" s="266" t="s">
        <v>7</v>
      </c>
      <c r="E40" s="266" t="s">
        <v>802</v>
      </c>
      <c r="F40" s="51" t="s">
        <v>802</v>
      </c>
      <c r="G40" s="51">
        <v>645335</v>
      </c>
      <c r="H40" s="51" t="s">
        <v>1095</v>
      </c>
      <c r="I40" s="51">
        <v>0</v>
      </c>
      <c r="J40" s="51" t="s">
        <v>1095</v>
      </c>
      <c r="K40" s="51">
        <v>0</v>
      </c>
      <c r="L40" s="51" t="s">
        <v>1095</v>
      </c>
      <c r="M40" s="846">
        <v>645335</v>
      </c>
      <c r="N40" s="51" t="s">
        <v>1095</v>
      </c>
      <c r="O40" s="51">
        <v>0</v>
      </c>
      <c r="P40" s="51">
        <v>0</v>
      </c>
      <c r="Q40" s="51">
        <v>0</v>
      </c>
      <c r="R40" s="51" t="s">
        <v>1095</v>
      </c>
      <c r="S40" s="51">
        <v>533880</v>
      </c>
      <c r="T40" s="51" t="s">
        <v>1095</v>
      </c>
      <c r="U40" s="847">
        <v>111455</v>
      </c>
      <c r="V40" s="51" t="s">
        <v>1095</v>
      </c>
      <c r="W40" s="51">
        <v>251757</v>
      </c>
      <c r="X40" s="51" t="s">
        <v>1095</v>
      </c>
      <c r="Y40" s="847">
        <v>251757</v>
      </c>
      <c r="Z40" s="51" t="s">
        <v>1095</v>
      </c>
      <c r="AA40" s="51"/>
      <c r="AB40" s="51"/>
      <c r="AC40" s="51"/>
      <c r="AD40" s="51"/>
      <c r="AE40" s="51"/>
      <c r="AF40" s="51"/>
      <c r="AG40" s="51"/>
    </row>
    <row r="41" spans="1:33" x14ac:dyDescent="0.2">
      <c r="A41" s="249">
        <v>3</v>
      </c>
      <c r="B41" s="463" t="s">
        <v>8</v>
      </c>
      <c r="C41" s="463" t="s">
        <v>1360</v>
      </c>
      <c r="D41" s="266" t="s">
        <v>7</v>
      </c>
      <c r="E41" s="266" t="s">
        <v>935</v>
      </c>
      <c r="F41" s="51" t="s">
        <v>935</v>
      </c>
      <c r="G41" s="51">
        <v>72047</v>
      </c>
      <c r="H41" s="51" t="s">
        <v>1095</v>
      </c>
      <c r="I41" s="51">
        <v>0</v>
      </c>
      <c r="J41" s="51" t="s">
        <v>1095</v>
      </c>
      <c r="K41" s="51">
        <v>0</v>
      </c>
      <c r="L41" s="51" t="s">
        <v>1095</v>
      </c>
      <c r="M41" s="846">
        <v>72047</v>
      </c>
      <c r="N41" s="51" t="s">
        <v>1095</v>
      </c>
      <c r="O41" s="51">
        <v>0</v>
      </c>
      <c r="P41" s="51">
        <v>0</v>
      </c>
      <c r="Q41" s="51">
        <v>0</v>
      </c>
      <c r="R41" s="51" t="s">
        <v>1095</v>
      </c>
      <c r="S41" s="51">
        <v>72371</v>
      </c>
      <c r="T41" s="51" t="s">
        <v>1095</v>
      </c>
      <c r="U41" s="847">
        <v>0</v>
      </c>
      <c r="V41" s="51" t="s">
        <v>1095</v>
      </c>
      <c r="W41" s="51">
        <v>0</v>
      </c>
      <c r="X41" s="51" t="s">
        <v>1095</v>
      </c>
      <c r="Y41" s="847">
        <v>0</v>
      </c>
      <c r="Z41" s="51" t="s">
        <v>1095</v>
      </c>
      <c r="AA41" s="51"/>
      <c r="AB41" s="51"/>
      <c r="AC41" s="51"/>
      <c r="AD41" s="51"/>
      <c r="AE41" s="51"/>
      <c r="AF41" s="51"/>
      <c r="AG41" s="51"/>
    </row>
    <row r="42" spans="1:33" x14ac:dyDescent="0.2">
      <c r="A42" s="249">
        <v>4</v>
      </c>
      <c r="B42" s="463" t="s">
        <v>8</v>
      </c>
      <c r="C42" s="463" t="s">
        <v>1361</v>
      </c>
      <c r="D42" s="266" t="s">
        <v>7</v>
      </c>
      <c r="E42" s="266" t="s">
        <v>936</v>
      </c>
      <c r="F42" s="51" t="s">
        <v>936</v>
      </c>
      <c r="G42" s="51">
        <v>65398</v>
      </c>
      <c r="H42" s="51" t="s">
        <v>1095</v>
      </c>
      <c r="I42" s="51">
        <v>0</v>
      </c>
      <c r="J42" s="51" t="s">
        <v>1095</v>
      </c>
      <c r="K42" s="51">
        <v>0</v>
      </c>
      <c r="L42" s="51" t="s">
        <v>1095</v>
      </c>
      <c r="M42" s="846">
        <v>65398</v>
      </c>
      <c r="N42" s="51" t="s">
        <v>1095</v>
      </c>
      <c r="O42" s="51">
        <v>0</v>
      </c>
      <c r="P42" s="51">
        <v>0</v>
      </c>
      <c r="Q42" s="51">
        <v>0</v>
      </c>
      <c r="R42" s="51" t="s">
        <v>1095</v>
      </c>
      <c r="S42" s="51">
        <v>77851</v>
      </c>
      <c r="T42" s="51" t="s">
        <v>1095</v>
      </c>
      <c r="U42" s="847">
        <v>0</v>
      </c>
      <c r="V42" s="51" t="s">
        <v>1095</v>
      </c>
      <c r="W42" s="51">
        <v>15221</v>
      </c>
      <c r="X42" s="51" t="s">
        <v>1095</v>
      </c>
      <c r="Y42" s="847">
        <v>15221</v>
      </c>
      <c r="Z42" s="51" t="s">
        <v>1095</v>
      </c>
      <c r="AA42" s="51"/>
      <c r="AB42" s="51"/>
      <c r="AC42" s="51"/>
      <c r="AD42" s="51"/>
      <c r="AE42" s="51"/>
      <c r="AF42" s="51"/>
      <c r="AG42" s="51"/>
    </row>
    <row r="43" spans="1:33" x14ac:dyDescent="0.2">
      <c r="A43" s="249">
        <v>5</v>
      </c>
      <c r="B43" s="463" t="s">
        <v>8</v>
      </c>
      <c r="C43" s="463" t="s">
        <v>1362</v>
      </c>
      <c r="D43" s="266" t="s">
        <v>7</v>
      </c>
      <c r="E43" s="266" t="s">
        <v>937</v>
      </c>
      <c r="F43" s="51" t="s">
        <v>937</v>
      </c>
      <c r="G43" s="51">
        <v>0</v>
      </c>
      <c r="H43" s="51" t="s">
        <v>1095</v>
      </c>
      <c r="I43" s="51">
        <v>0</v>
      </c>
      <c r="J43" s="51" t="s">
        <v>1095</v>
      </c>
      <c r="K43" s="51">
        <v>0</v>
      </c>
      <c r="L43" s="51" t="s">
        <v>1095</v>
      </c>
      <c r="M43" s="846">
        <v>0</v>
      </c>
      <c r="N43" s="51" t="s">
        <v>1095</v>
      </c>
      <c r="O43" s="51">
        <v>0</v>
      </c>
      <c r="P43" s="51">
        <v>0</v>
      </c>
      <c r="Q43" s="51">
        <v>0</v>
      </c>
      <c r="R43" s="51" t="s">
        <v>1095</v>
      </c>
      <c r="S43" s="51">
        <v>0</v>
      </c>
      <c r="T43" s="51" t="s">
        <v>1095</v>
      </c>
      <c r="U43" s="847">
        <v>0</v>
      </c>
      <c r="V43" s="51" t="s">
        <v>1095</v>
      </c>
      <c r="W43" s="51">
        <v>0</v>
      </c>
      <c r="X43" s="51" t="s">
        <v>1095</v>
      </c>
      <c r="Y43" s="847">
        <v>0</v>
      </c>
      <c r="Z43" s="51" t="s">
        <v>1095</v>
      </c>
      <c r="AA43" s="51"/>
      <c r="AB43" s="51"/>
      <c r="AC43" s="51"/>
      <c r="AD43" s="51"/>
      <c r="AE43" s="51"/>
      <c r="AF43" s="51"/>
      <c r="AG43" s="51"/>
    </row>
    <row r="44" spans="1:33" x14ac:dyDescent="0.2">
      <c r="A44" s="249">
        <v>1</v>
      </c>
      <c r="B44" s="463" t="s">
        <v>8</v>
      </c>
      <c r="C44" s="463" t="s">
        <v>1363</v>
      </c>
      <c r="D44" s="266" t="s">
        <v>7</v>
      </c>
      <c r="E44" s="266" t="s">
        <v>938</v>
      </c>
      <c r="F44" s="51" t="s">
        <v>938</v>
      </c>
      <c r="G44" s="51">
        <v>12474</v>
      </c>
      <c r="H44" s="51" t="s">
        <v>1095</v>
      </c>
      <c r="I44" s="51">
        <v>0</v>
      </c>
      <c r="J44" s="51" t="s">
        <v>1095</v>
      </c>
      <c r="K44" s="51">
        <v>0</v>
      </c>
      <c r="L44" s="51" t="s">
        <v>1095</v>
      </c>
      <c r="M44" s="846">
        <v>12474</v>
      </c>
      <c r="N44" s="51" t="s">
        <v>1095</v>
      </c>
      <c r="O44" s="51">
        <v>0</v>
      </c>
      <c r="P44" s="51">
        <v>0</v>
      </c>
      <c r="Q44" s="51">
        <v>0</v>
      </c>
      <c r="R44" s="51" t="s">
        <v>1095</v>
      </c>
      <c r="S44" s="51">
        <v>12491</v>
      </c>
      <c r="T44" s="51" t="s">
        <v>1095</v>
      </c>
      <c r="U44" s="847">
        <v>0</v>
      </c>
      <c r="V44" s="51" t="s">
        <v>1095</v>
      </c>
      <c r="W44" s="51">
        <v>0</v>
      </c>
      <c r="X44" s="51" t="s">
        <v>1095</v>
      </c>
      <c r="Y44" s="847">
        <v>0</v>
      </c>
      <c r="Z44" s="51" t="s">
        <v>1095</v>
      </c>
      <c r="AA44" s="51"/>
      <c r="AB44" s="51"/>
      <c r="AC44" s="51"/>
      <c r="AD44" s="51"/>
      <c r="AE44" s="51"/>
      <c r="AF44" s="51"/>
      <c r="AG44" s="51"/>
    </row>
    <row r="45" spans="1:33" x14ac:dyDescent="0.2">
      <c r="A45" s="249">
        <v>2</v>
      </c>
      <c r="B45" s="463" t="s">
        <v>18</v>
      </c>
      <c r="C45" s="463" t="s">
        <v>1364</v>
      </c>
      <c r="D45" s="266" t="s">
        <v>17</v>
      </c>
      <c r="E45" s="266" t="s">
        <v>1090</v>
      </c>
      <c r="F45" s="51" t="s">
        <v>1090</v>
      </c>
      <c r="G45" s="51">
        <v>23456734</v>
      </c>
      <c r="H45" s="51" t="s">
        <v>1095</v>
      </c>
      <c r="I45" s="51">
        <v>-300000</v>
      </c>
      <c r="J45" s="51" t="s">
        <v>1095</v>
      </c>
      <c r="K45" s="51">
        <v>-1231409</v>
      </c>
      <c r="L45" s="51" t="s">
        <v>1095</v>
      </c>
      <c r="M45" s="846">
        <v>21925325</v>
      </c>
      <c r="N45" s="51" t="s">
        <v>1095</v>
      </c>
      <c r="O45" s="51">
        <v>0</v>
      </c>
      <c r="P45" s="51">
        <v>0</v>
      </c>
      <c r="Q45" s="51">
        <v>-345750</v>
      </c>
      <c r="R45" s="51" t="s">
        <v>1095</v>
      </c>
      <c r="S45" s="51">
        <v>20409358</v>
      </c>
      <c r="T45" s="51" t="s">
        <v>1095</v>
      </c>
      <c r="U45" s="847">
        <v>1170217</v>
      </c>
      <c r="V45" s="51" t="s">
        <v>1095</v>
      </c>
      <c r="W45" s="51">
        <v>0</v>
      </c>
      <c r="X45" s="51" t="s">
        <v>1095</v>
      </c>
      <c r="Y45" s="847">
        <v>0</v>
      </c>
      <c r="Z45" s="51" t="s">
        <v>1095</v>
      </c>
      <c r="AA45" s="51"/>
      <c r="AB45" s="51"/>
      <c r="AC45" s="51"/>
      <c r="AD45" s="51"/>
      <c r="AE45" s="51"/>
      <c r="AF45" s="51"/>
      <c r="AG45" s="51"/>
    </row>
    <row r="46" spans="1:33" x14ac:dyDescent="0.2">
      <c r="A46" s="249">
        <v>3</v>
      </c>
      <c r="B46" s="463" t="s">
        <v>20</v>
      </c>
      <c r="C46" s="463" t="s">
        <v>1365</v>
      </c>
      <c r="D46" s="266" t="s">
        <v>19</v>
      </c>
      <c r="E46" s="266" t="s">
        <v>939</v>
      </c>
      <c r="F46" s="51" t="s">
        <v>939</v>
      </c>
      <c r="G46" s="51">
        <v>88200</v>
      </c>
      <c r="H46" s="51" t="s">
        <v>1095</v>
      </c>
      <c r="I46" s="51">
        <v>-882</v>
      </c>
      <c r="J46" s="51" t="s">
        <v>1095</v>
      </c>
      <c r="K46" s="51">
        <v>0</v>
      </c>
      <c r="L46" s="51" t="s">
        <v>1095</v>
      </c>
      <c r="M46" s="846">
        <v>87318</v>
      </c>
      <c r="N46" s="51" t="s">
        <v>1095</v>
      </c>
      <c r="O46" s="51">
        <v>0</v>
      </c>
      <c r="P46" s="51">
        <v>0</v>
      </c>
      <c r="Q46" s="51">
        <v>0</v>
      </c>
      <c r="R46" s="51" t="s">
        <v>1095</v>
      </c>
      <c r="S46" s="51">
        <v>0</v>
      </c>
      <c r="T46" s="51" t="s">
        <v>1095</v>
      </c>
      <c r="U46" s="847">
        <v>87318</v>
      </c>
      <c r="V46" s="51" t="s">
        <v>1095</v>
      </c>
      <c r="W46" s="51">
        <v>0</v>
      </c>
      <c r="X46" s="51" t="s">
        <v>1095</v>
      </c>
      <c r="Y46" s="847">
        <v>0</v>
      </c>
      <c r="Z46" s="51" t="s">
        <v>1095</v>
      </c>
      <c r="AA46" s="51"/>
      <c r="AB46" s="51"/>
      <c r="AC46" s="51"/>
      <c r="AD46" s="51"/>
      <c r="AE46" s="51"/>
      <c r="AF46" s="51"/>
      <c r="AG46" s="51"/>
    </row>
    <row r="47" spans="1:33" x14ac:dyDescent="0.2">
      <c r="A47" s="249">
        <v>4</v>
      </c>
      <c r="B47" s="463" t="s">
        <v>20</v>
      </c>
      <c r="C47" s="463" t="s">
        <v>1366</v>
      </c>
      <c r="D47" s="266" t="s">
        <v>19</v>
      </c>
      <c r="E47" s="266" t="s">
        <v>940</v>
      </c>
      <c r="F47" s="51" t="s">
        <v>940</v>
      </c>
      <c r="G47" s="51">
        <v>0</v>
      </c>
      <c r="H47" s="51" t="s">
        <v>1095</v>
      </c>
      <c r="I47" s="51">
        <v>0</v>
      </c>
      <c r="J47" s="51" t="s">
        <v>1095</v>
      </c>
      <c r="K47" s="51">
        <v>0</v>
      </c>
      <c r="L47" s="51" t="s">
        <v>1095</v>
      </c>
      <c r="M47" s="846">
        <v>0</v>
      </c>
      <c r="N47" s="51" t="s">
        <v>1095</v>
      </c>
      <c r="O47" s="51">
        <v>0</v>
      </c>
      <c r="P47" s="51">
        <v>0</v>
      </c>
      <c r="Q47" s="51">
        <v>0</v>
      </c>
      <c r="R47" s="51" t="s">
        <v>1095</v>
      </c>
      <c r="S47" s="51">
        <v>0</v>
      </c>
      <c r="T47" s="51" t="s">
        <v>1095</v>
      </c>
      <c r="U47" s="847">
        <v>0</v>
      </c>
      <c r="V47" s="51" t="s">
        <v>1095</v>
      </c>
      <c r="W47" s="51">
        <v>0</v>
      </c>
      <c r="X47" s="51" t="s">
        <v>1095</v>
      </c>
      <c r="Y47" s="847">
        <v>0</v>
      </c>
      <c r="Z47" s="51" t="s">
        <v>1095</v>
      </c>
      <c r="AA47" s="51"/>
      <c r="AB47" s="51"/>
      <c r="AC47" s="51"/>
      <c r="AD47" s="51"/>
      <c r="AE47" s="51"/>
      <c r="AF47" s="51"/>
      <c r="AG47" s="51"/>
    </row>
    <row r="48" spans="1:33" x14ac:dyDescent="0.2">
      <c r="A48" s="249">
        <v>1</v>
      </c>
      <c r="B48" s="463" t="s">
        <v>20</v>
      </c>
      <c r="C48" s="463" t="s">
        <v>1367</v>
      </c>
      <c r="D48" s="266" t="s">
        <v>19</v>
      </c>
      <c r="E48" s="266" t="s">
        <v>941</v>
      </c>
      <c r="F48" s="51" t="s">
        <v>941</v>
      </c>
      <c r="G48" s="51">
        <v>661340</v>
      </c>
      <c r="H48" s="51" t="s">
        <v>1095</v>
      </c>
      <c r="I48" s="51">
        <v>-6613</v>
      </c>
      <c r="J48" s="51" t="s">
        <v>1095</v>
      </c>
      <c r="K48" s="51">
        <v>0</v>
      </c>
      <c r="L48" s="51" t="s">
        <v>1095</v>
      </c>
      <c r="M48" s="846">
        <v>654727</v>
      </c>
      <c r="N48" s="51" t="s">
        <v>1095</v>
      </c>
      <c r="O48" s="51">
        <v>0</v>
      </c>
      <c r="P48" s="51">
        <v>0</v>
      </c>
      <c r="Q48" s="51">
        <v>0</v>
      </c>
      <c r="R48" s="51" t="s">
        <v>1095</v>
      </c>
      <c r="S48" s="51">
        <v>0</v>
      </c>
      <c r="T48" s="51" t="s">
        <v>1095</v>
      </c>
      <c r="U48" s="847">
        <v>654727</v>
      </c>
      <c r="V48" s="51" t="s">
        <v>1095</v>
      </c>
      <c r="W48" s="51">
        <v>0</v>
      </c>
      <c r="X48" s="51" t="s">
        <v>1095</v>
      </c>
      <c r="Y48" s="847">
        <v>0</v>
      </c>
      <c r="Z48" s="51" t="s">
        <v>1095</v>
      </c>
      <c r="AA48" s="51"/>
      <c r="AB48" s="51"/>
      <c r="AC48" s="51"/>
      <c r="AD48" s="51"/>
      <c r="AE48" s="51"/>
      <c r="AF48" s="51"/>
      <c r="AG48" s="51"/>
    </row>
    <row r="49" spans="1:33" x14ac:dyDescent="0.2">
      <c r="A49" s="249">
        <v>1</v>
      </c>
      <c r="B49" s="463" t="s">
        <v>20</v>
      </c>
      <c r="C49" s="463" t="s">
        <v>1368</v>
      </c>
      <c r="D49" s="266" t="s">
        <v>19</v>
      </c>
      <c r="E49" s="266" t="s">
        <v>942</v>
      </c>
      <c r="F49" s="51" t="s">
        <v>942</v>
      </c>
      <c r="G49" s="51">
        <v>31360</v>
      </c>
      <c r="H49" s="51" t="s">
        <v>1095</v>
      </c>
      <c r="I49" s="51">
        <v>-314</v>
      </c>
      <c r="J49" s="51" t="s">
        <v>1095</v>
      </c>
      <c r="K49" s="51">
        <v>0</v>
      </c>
      <c r="L49" s="51" t="s">
        <v>1095</v>
      </c>
      <c r="M49" s="846">
        <v>31046</v>
      </c>
      <c r="N49" s="51" t="s">
        <v>1095</v>
      </c>
      <c r="O49" s="51">
        <v>0</v>
      </c>
      <c r="P49" s="51">
        <v>0</v>
      </c>
      <c r="Q49" s="51">
        <v>0</v>
      </c>
      <c r="R49" s="51" t="s">
        <v>1095</v>
      </c>
      <c r="S49" s="51">
        <v>64571</v>
      </c>
      <c r="T49" s="51" t="s">
        <v>1095</v>
      </c>
      <c r="U49" s="847">
        <v>0</v>
      </c>
      <c r="V49" s="51" t="s">
        <v>1095</v>
      </c>
      <c r="W49" s="51">
        <v>0</v>
      </c>
      <c r="X49" s="51" t="s">
        <v>1095</v>
      </c>
      <c r="Y49" s="847">
        <v>0</v>
      </c>
      <c r="Z49" s="51" t="s">
        <v>1095</v>
      </c>
      <c r="AA49" s="51"/>
      <c r="AB49" s="51"/>
      <c r="AC49" s="51"/>
      <c r="AD49" s="51"/>
      <c r="AE49" s="51"/>
      <c r="AF49" s="51"/>
      <c r="AG49" s="51"/>
    </row>
    <row r="50" spans="1:33" x14ac:dyDescent="0.2">
      <c r="A50" s="249">
        <v>1</v>
      </c>
      <c r="B50" s="463" t="s">
        <v>22</v>
      </c>
      <c r="C50" s="463" t="s">
        <v>1369</v>
      </c>
      <c r="D50" s="266" t="s">
        <v>21</v>
      </c>
      <c r="E50" s="266" t="s">
        <v>943</v>
      </c>
      <c r="F50" s="51" t="s">
        <v>943</v>
      </c>
      <c r="G50" s="51">
        <v>238132</v>
      </c>
      <c r="H50" s="51" t="s">
        <v>1095</v>
      </c>
      <c r="I50" s="51">
        <v>0</v>
      </c>
      <c r="J50" s="51" t="s">
        <v>1095</v>
      </c>
      <c r="K50" s="51">
        <v>0</v>
      </c>
      <c r="L50" s="51" t="s">
        <v>1095</v>
      </c>
      <c r="M50" s="846">
        <v>238132</v>
      </c>
      <c r="N50" s="51" t="s">
        <v>1095</v>
      </c>
      <c r="O50" s="51">
        <v>0</v>
      </c>
      <c r="P50" s="51">
        <v>0</v>
      </c>
      <c r="Q50" s="51">
        <v>0</v>
      </c>
      <c r="R50" s="51" t="s">
        <v>1095</v>
      </c>
      <c r="S50" s="51">
        <v>30110</v>
      </c>
      <c r="T50" s="51" t="s">
        <v>1095</v>
      </c>
      <c r="U50" s="847">
        <v>208022</v>
      </c>
      <c r="V50" s="51" t="s">
        <v>1095</v>
      </c>
      <c r="W50" s="51">
        <v>24845</v>
      </c>
      <c r="X50" s="51" t="s">
        <v>1095</v>
      </c>
      <c r="Y50" s="847">
        <v>24845</v>
      </c>
      <c r="Z50" s="51" t="s">
        <v>1095</v>
      </c>
      <c r="AA50" s="51"/>
      <c r="AB50" s="51"/>
      <c r="AC50" s="51"/>
      <c r="AD50" s="51"/>
      <c r="AE50" s="51"/>
      <c r="AF50" s="51"/>
      <c r="AG50" s="51"/>
    </row>
    <row r="51" spans="1:33" x14ac:dyDescent="0.2">
      <c r="A51" s="249">
        <v>2</v>
      </c>
      <c r="B51" s="463" t="s">
        <v>24</v>
      </c>
      <c r="C51" s="463" t="s">
        <v>1370</v>
      </c>
      <c r="D51" s="266" t="s">
        <v>23</v>
      </c>
      <c r="E51" s="266" t="s">
        <v>944</v>
      </c>
      <c r="F51" s="51" t="s">
        <v>944</v>
      </c>
      <c r="G51" s="51">
        <v>0</v>
      </c>
      <c r="H51" s="51" t="s">
        <v>1095</v>
      </c>
      <c r="I51" s="51">
        <v>0</v>
      </c>
      <c r="J51" s="51" t="s">
        <v>1095</v>
      </c>
      <c r="K51" s="51">
        <v>0</v>
      </c>
      <c r="L51" s="51" t="s">
        <v>1095</v>
      </c>
      <c r="M51" s="846">
        <v>0</v>
      </c>
      <c r="N51" s="51" t="s">
        <v>1095</v>
      </c>
      <c r="O51" s="51">
        <v>0</v>
      </c>
      <c r="P51" s="51">
        <v>0</v>
      </c>
      <c r="Q51" s="51">
        <v>0</v>
      </c>
      <c r="R51" s="51" t="s">
        <v>1095</v>
      </c>
      <c r="S51" s="51">
        <v>0</v>
      </c>
      <c r="T51" s="51" t="s">
        <v>1095</v>
      </c>
      <c r="U51" s="847">
        <v>0</v>
      </c>
      <c r="V51" s="51" t="s">
        <v>1095</v>
      </c>
      <c r="W51" s="51">
        <v>0</v>
      </c>
      <c r="X51" s="51" t="s">
        <v>1095</v>
      </c>
      <c r="Y51" s="847">
        <v>0</v>
      </c>
      <c r="Z51" s="51" t="s">
        <v>1095</v>
      </c>
      <c r="AA51" s="51"/>
      <c r="AB51" s="51"/>
      <c r="AC51" s="51"/>
      <c r="AD51" s="51"/>
      <c r="AE51" s="51"/>
      <c r="AF51" s="51"/>
      <c r="AG51" s="51"/>
    </row>
    <row r="52" spans="1:33" x14ac:dyDescent="0.2">
      <c r="A52" s="249">
        <v>1</v>
      </c>
      <c r="B52" s="463" t="s">
        <v>28</v>
      </c>
      <c r="C52" s="463" t="s">
        <v>1371</v>
      </c>
      <c r="D52" s="266" t="s">
        <v>27</v>
      </c>
      <c r="E52" s="266" t="s">
        <v>848</v>
      </c>
      <c r="F52" s="51" t="s">
        <v>848</v>
      </c>
      <c r="G52" s="51">
        <v>124784</v>
      </c>
      <c r="H52" s="51" t="s">
        <v>1095</v>
      </c>
      <c r="I52" s="51">
        <v>0</v>
      </c>
      <c r="J52" s="51" t="s">
        <v>1095</v>
      </c>
      <c r="K52" s="51">
        <v>0</v>
      </c>
      <c r="L52" s="51" t="s">
        <v>1095</v>
      </c>
      <c r="M52" s="846">
        <v>124784</v>
      </c>
      <c r="N52" s="51" t="s">
        <v>1095</v>
      </c>
      <c r="O52" s="51">
        <v>0</v>
      </c>
      <c r="P52" s="51">
        <v>0</v>
      </c>
      <c r="Q52" s="51">
        <v>0</v>
      </c>
      <c r="R52" s="51" t="s">
        <v>1095</v>
      </c>
      <c r="S52" s="51">
        <v>0</v>
      </c>
      <c r="T52" s="51" t="s">
        <v>1095</v>
      </c>
      <c r="U52" s="847">
        <v>124784</v>
      </c>
      <c r="V52" s="51" t="s">
        <v>1095</v>
      </c>
      <c r="W52" s="51">
        <v>36432</v>
      </c>
      <c r="X52" s="51" t="s">
        <v>1095</v>
      </c>
      <c r="Y52" s="847">
        <v>36432</v>
      </c>
      <c r="Z52" s="51" t="s">
        <v>1095</v>
      </c>
      <c r="AA52" s="51"/>
      <c r="AB52" s="51"/>
      <c r="AC52" s="51"/>
      <c r="AD52" s="51"/>
      <c r="AE52" s="51"/>
      <c r="AF52" s="51"/>
      <c r="AG52" s="51"/>
    </row>
    <row r="53" spans="1:33" x14ac:dyDescent="0.2">
      <c r="A53" s="249">
        <v>2</v>
      </c>
      <c r="B53" s="463" t="s">
        <v>28</v>
      </c>
      <c r="C53" s="463" t="s">
        <v>1372</v>
      </c>
      <c r="D53" s="266" t="s">
        <v>27</v>
      </c>
      <c r="E53" s="266" t="s">
        <v>866</v>
      </c>
      <c r="F53" s="51" t="s">
        <v>866</v>
      </c>
      <c r="G53" s="51">
        <v>0</v>
      </c>
      <c r="H53" s="51" t="s">
        <v>1095</v>
      </c>
      <c r="I53" s="51">
        <v>0</v>
      </c>
      <c r="J53" s="51" t="s">
        <v>1095</v>
      </c>
      <c r="K53" s="51">
        <v>0</v>
      </c>
      <c r="L53" s="51" t="s">
        <v>1095</v>
      </c>
      <c r="M53" s="846">
        <v>0</v>
      </c>
      <c r="N53" s="51" t="s">
        <v>1095</v>
      </c>
      <c r="O53" s="51">
        <v>0</v>
      </c>
      <c r="P53" s="51">
        <v>0</v>
      </c>
      <c r="Q53" s="51">
        <v>0</v>
      </c>
      <c r="R53" s="51" t="s">
        <v>1095</v>
      </c>
      <c r="S53" s="51">
        <v>0</v>
      </c>
      <c r="T53" s="51" t="s">
        <v>1095</v>
      </c>
      <c r="U53" s="847">
        <v>0</v>
      </c>
      <c r="V53" s="51" t="s">
        <v>1095</v>
      </c>
      <c r="W53" s="51">
        <v>0</v>
      </c>
      <c r="X53" s="51" t="s">
        <v>1095</v>
      </c>
      <c r="Y53" s="847">
        <v>0</v>
      </c>
      <c r="Z53" s="51" t="s">
        <v>1095</v>
      </c>
      <c r="AA53" s="51"/>
      <c r="AB53" s="51"/>
      <c r="AC53" s="51"/>
      <c r="AD53" s="51"/>
      <c r="AE53" s="51"/>
      <c r="AF53" s="51"/>
      <c r="AG53" s="51"/>
    </row>
    <row r="54" spans="1:33" x14ac:dyDescent="0.2">
      <c r="A54" s="249">
        <v>3</v>
      </c>
      <c r="B54" s="463" t="s">
        <v>45</v>
      </c>
      <c r="C54" s="463" t="s">
        <v>1373</v>
      </c>
      <c r="D54" s="266" t="s">
        <v>44</v>
      </c>
      <c r="E54" s="266" t="s">
        <v>945</v>
      </c>
      <c r="F54" s="51" t="s">
        <v>945</v>
      </c>
      <c r="G54" s="51">
        <v>0</v>
      </c>
      <c r="H54" s="51" t="s">
        <v>1095</v>
      </c>
      <c r="I54" s="51">
        <v>0</v>
      </c>
      <c r="J54" s="51" t="s">
        <v>1095</v>
      </c>
      <c r="K54" s="51">
        <v>0</v>
      </c>
      <c r="L54" s="51" t="s">
        <v>1095</v>
      </c>
      <c r="M54" s="846">
        <v>0</v>
      </c>
      <c r="N54" s="51" t="s">
        <v>1095</v>
      </c>
      <c r="O54" s="51">
        <v>0</v>
      </c>
      <c r="P54" s="51">
        <v>0</v>
      </c>
      <c r="Q54" s="51">
        <v>0</v>
      </c>
      <c r="R54" s="51" t="s">
        <v>1095</v>
      </c>
      <c r="S54" s="51">
        <v>0</v>
      </c>
      <c r="T54" s="51" t="s">
        <v>1095</v>
      </c>
      <c r="U54" s="847">
        <v>0</v>
      </c>
      <c r="V54" s="51" t="s">
        <v>1095</v>
      </c>
      <c r="W54" s="51">
        <v>0</v>
      </c>
      <c r="X54" s="51" t="s">
        <v>1095</v>
      </c>
      <c r="Y54" s="847">
        <v>0</v>
      </c>
      <c r="Z54" s="51" t="s">
        <v>1095</v>
      </c>
      <c r="AA54" s="51"/>
      <c r="AB54" s="51"/>
      <c r="AC54" s="51"/>
      <c r="AD54" s="51"/>
      <c r="AE54" s="51"/>
      <c r="AF54" s="51"/>
      <c r="AG54" s="51"/>
    </row>
    <row r="55" spans="1:33" x14ac:dyDescent="0.2">
      <c r="A55" s="249">
        <v>4</v>
      </c>
      <c r="B55" s="463" t="s">
        <v>45</v>
      </c>
      <c r="C55" s="463" t="s">
        <v>1374</v>
      </c>
      <c r="D55" s="266" t="s">
        <v>44</v>
      </c>
      <c r="E55" s="266" t="s">
        <v>946</v>
      </c>
      <c r="F55" s="51" t="s">
        <v>946</v>
      </c>
      <c r="G55" s="51">
        <v>15516</v>
      </c>
      <c r="H55" s="51" t="s">
        <v>1095</v>
      </c>
      <c r="I55" s="51">
        <v>0</v>
      </c>
      <c r="J55" s="51" t="s">
        <v>1095</v>
      </c>
      <c r="K55" s="51">
        <v>0</v>
      </c>
      <c r="L55" s="51" t="s">
        <v>1095</v>
      </c>
      <c r="M55" s="846">
        <v>15516</v>
      </c>
      <c r="N55" s="51" t="s">
        <v>1095</v>
      </c>
      <c r="O55" s="51">
        <v>0</v>
      </c>
      <c r="P55" s="51">
        <v>0</v>
      </c>
      <c r="Q55" s="51">
        <v>0</v>
      </c>
      <c r="R55" s="51" t="s">
        <v>1095</v>
      </c>
      <c r="S55" s="51">
        <v>15516</v>
      </c>
      <c r="T55" s="51" t="s">
        <v>1095</v>
      </c>
      <c r="U55" s="847">
        <v>0</v>
      </c>
      <c r="V55" s="51" t="s">
        <v>1095</v>
      </c>
      <c r="W55" s="51">
        <v>0</v>
      </c>
      <c r="X55" s="51" t="s">
        <v>1095</v>
      </c>
      <c r="Y55" s="847">
        <v>0</v>
      </c>
      <c r="Z55" s="51" t="s">
        <v>1095</v>
      </c>
      <c r="AA55" s="51"/>
      <c r="AB55" s="51"/>
      <c r="AC55" s="51"/>
      <c r="AD55" s="51"/>
      <c r="AE55" s="51"/>
      <c r="AF55" s="51"/>
      <c r="AG55" s="51"/>
    </row>
    <row r="56" spans="1:33" x14ac:dyDescent="0.2">
      <c r="A56" s="249">
        <v>5</v>
      </c>
      <c r="B56" s="463" t="s">
        <v>45</v>
      </c>
      <c r="C56" s="463" t="s">
        <v>1375</v>
      </c>
      <c r="D56" s="266" t="s">
        <v>44</v>
      </c>
      <c r="E56" s="266" t="s">
        <v>947</v>
      </c>
      <c r="F56" s="51" t="s">
        <v>947</v>
      </c>
      <c r="G56" s="51">
        <v>17981</v>
      </c>
      <c r="H56" s="51" t="s">
        <v>1095</v>
      </c>
      <c r="I56" s="51">
        <v>0</v>
      </c>
      <c r="J56" s="51" t="s">
        <v>1095</v>
      </c>
      <c r="K56" s="51">
        <v>0</v>
      </c>
      <c r="L56" s="51" t="s">
        <v>1095</v>
      </c>
      <c r="M56" s="846">
        <v>17981</v>
      </c>
      <c r="N56" s="51" t="s">
        <v>1095</v>
      </c>
      <c r="O56" s="51">
        <v>0</v>
      </c>
      <c r="P56" s="51">
        <v>0</v>
      </c>
      <c r="Q56" s="51">
        <v>905</v>
      </c>
      <c r="R56" s="51" t="s">
        <v>1095</v>
      </c>
      <c r="S56" s="51">
        <v>20253</v>
      </c>
      <c r="T56" s="51" t="s">
        <v>1095</v>
      </c>
      <c r="U56" s="847">
        <v>0</v>
      </c>
      <c r="V56" s="51" t="s">
        <v>1095</v>
      </c>
      <c r="W56" s="51">
        <v>0</v>
      </c>
      <c r="X56" s="51" t="s">
        <v>1095</v>
      </c>
      <c r="Y56" s="847">
        <v>0</v>
      </c>
      <c r="Z56" s="51" t="s">
        <v>1095</v>
      </c>
      <c r="AA56" s="51"/>
      <c r="AB56" s="51"/>
      <c r="AC56" s="51"/>
      <c r="AD56" s="51"/>
      <c r="AE56" s="51"/>
      <c r="AF56" s="51"/>
      <c r="AG56" s="51"/>
    </row>
    <row r="57" spans="1:33" x14ac:dyDescent="0.2">
      <c r="A57" s="249">
        <v>6</v>
      </c>
      <c r="B57" s="463" t="s">
        <v>45</v>
      </c>
      <c r="C57" s="463" t="s">
        <v>1376</v>
      </c>
      <c r="D57" s="266" t="s">
        <v>44</v>
      </c>
      <c r="E57" s="266" t="s">
        <v>948</v>
      </c>
      <c r="F57" s="51" t="s">
        <v>948</v>
      </c>
      <c r="G57" s="51">
        <v>0</v>
      </c>
      <c r="H57" s="51" t="s">
        <v>1095</v>
      </c>
      <c r="I57" s="51">
        <v>0</v>
      </c>
      <c r="J57" s="51" t="s">
        <v>1095</v>
      </c>
      <c r="K57" s="51">
        <v>0</v>
      </c>
      <c r="L57" s="51" t="s">
        <v>1095</v>
      </c>
      <c r="M57" s="846">
        <v>0</v>
      </c>
      <c r="N57" s="51" t="s">
        <v>1095</v>
      </c>
      <c r="O57" s="51">
        <v>0</v>
      </c>
      <c r="P57" s="51">
        <v>0</v>
      </c>
      <c r="Q57" s="51">
        <v>0</v>
      </c>
      <c r="R57" s="51" t="s">
        <v>1095</v>
      </c>
      <c r="S57" s="51">
        <v>0</v>
      </c>
      <c r="T57" s="51" t="s">
        <v>1095</v>
      </c>
      <c r="U57" s="847">
        <v>0</v>
      </c>
      <c r="V57" s="51" t="s">
        <v>1095</v>
      </c>
      <c r="W57" s="51">
        <v>0</v>
      </c>
      <c r="X57" s="51" t="s">
        <v>1095</v>
      </c>
      <c r="Y57" s="847">
        <v>0</v>
      </c>
      <c r="Z57" s="51" t="s">
        <v>1095</v>
      </c>
      <c r="AA57" s="51"/>
      <c r="AB57" s="51"/>
      <c r="AC57" s="51"/>
      <c r="AD57" s="51"/>
      <c r="AE57" s="51"/>
      <c r="AF57" s="51"/>
      <c r="AG57" s="51"/>
    </row>
    <row r="58" spans="1:33" x14ac:dyDescent="0.2">
      <c r="A58" s="249">
        <v>1</v>
      </c>
      <c r="B58" s="463" t="s">
        <v>45</v>
      </c>
      <c r="C58" s="463" t="s">
        <v>1377</v>
      </c>
      <c r="D58" s="266" t="s">
        <v>44</v>
      </c>
      <c r="E58" s="266" t="s">
        <v>949</v>
      </c>
      <c r="F58" s="51" t="s">
        <v>949</v>
      </c>
      <c r="G58" s="51">
        <v>0</v>
      </c>
      <c r="H58" s="51" t="s">
        <v>1095</v>
      </c>
      <c r="I58" s="51">
        <v>0</v>
      </c>
      <c r="J58" s="51" t="s">
        <v>1095</v>
      </c>
      <c r="K58" s="51">
        <v>0</v>
      </c>
      <c r="L58" s="51" t="s">
        <v>1095</v>
      </c>
      <c r="M58" s="846">
        <v>0</v>
      </c>
      <c r="N58" s="51" t="s">
        <v>1095</v>
      </c>
      <c r="O58" s="51">
        <v>0</v>
      </c>
      <c r="P58" s="51">
        <v>0</v>
      </c>
      <c r="Q58" s="51">
        <v>0</v>
      </c>
      <c r="R58" s="51" t="s">
        <v>1095</v>
      </c>
      <c r="S58" s="51">
        <v>17463</v>
      </c>
      <c r="T58" s="51" t="s">
        <v>1095</v>
      </c>
      <c r="U58" s="847">
        <v>0</v>
      </c>
      <c r="V58" s="51" t="s">
        <v>1095</v>
      </c>
      <c r="W58" s="51">
        <v>0</v>
      </c>
      <c r="X58" s="51" t="s">
        <v>1095</v>
      </c>
      <c r="Y58" s="847">
        <v>0</v>
      </c>
      <c r="Z58" s="51" t="s">
        <v>1095</v>
      </c>
      <c r="AA58" s="51"/>
      <c r="AB58" s="51"/>
      <c r="AC58" s="51"/>
      <c r="AD58" s="51"/>
      <c r="AE58" s="51"/>
      <c r="AF58" s="51"/>
      <c r="AG58" s="51"/>
    </row>
    <row r="59" spans="1:33" x14ac:dyDescent="0.2">
      <c r="A59" s="249">
        <v>1</v>
      </c>
      <c r="B59" s="463" t="s">
        <v>45</v>
      </c>
      <c r="C59" s="463" t="s">
        <v>1378</v>
      </c>
      <c r="D59" s="266" t="s">
        <v>44</v>
      </c>
      <c r="E59" s="266" t="s">
        <v>950</v>
      </c>
      <c r="F59" s="51" t="s">
        <v>950</v>
      </c>
      <c r="G59" s="51">
        <v>153472</v>
      </c>
      <c r="H59" s="51" t="s">
        <v>1095</v>
      </c>
      <c r="I59" s="51">
        <v>0</v>
      </c>
      <c r="J59" s="51" t="s">
        <v>1095</v>
      </c>
      <c r="K59" s="51">
        <v>0</v>
      </c>
      <c r="L59" s="51" t="s">
        <v>1095</v>
      </c>
      <c r="M59" s="846">
        <v>153472</v>
      </c>
      <c r="N59" s="51" t="s">
        <v>1095</v>
      </c>
      <c r="O59" s="51">
        <v>0</v>
      </c>
      <c r="P59" s="51">
        <v>0</v>
      </c>
      <c r="Q59" s="51">
        <v>0</v>
      </c>
      <c r="R59" s="51" t="s">
        <v>1095</v>
      </c>
      <c r="S59" s="51">
        <v>97791</v>
      </c>
      <c r="T59" s="51" t="s">
        <v>1095</v>
      </c>
      <c r="U59" s="847">
        <v>55681</v>
      </c>
      <c r="V59" s="51" t="s">
        <v>1095</v>
      </c>
      <c r="W59" s="51">
        <v>219432</v>
      </c>
      <c r="X59" s="51" t="s">
        <v>1095</v>
      </c>
      <c r="Y59" s="847">
        <v>219432</v>
      </c>
      <c r="Z59" s="51" t="s">
        <v>1095</v>
      </c>
      <c r="AA59" s="51"/>
      <c r="AB59" s="51"/>
      <c r="AC59" s="51"/>
      <c r="AD59" s="51"/>
      <c r="AE59" s="51"/>
      <c r="AF59" s="51"/>
      <c r="AG59" s="51"/>
    </row>
    <row r="60" spans="1:33" x14ac:dyDescent="0.2">
      <c r="A60" s="249">
        <v>1</v>
      </c>
      <c r="B60" s="463" t="s">
        <v>47</v>
      </c>
      <c r="C60" s="463" t="s">
        <v>1379</v>
      </c>
      <c r="D60" s="266" t="s">
        <v>46</v>
      </c>
      <c r="E60" s="266" t="s">
        <v>951</v>
      </c>
      <c r="F60" s="51" t="s">
        <v>951</v>
      </c>
      <c r="G60" s="51">
        <v>0</v>
      </c>
      <c r="H60" s="51" t="s">
        <v>1095</v>
      </c>
      <c r="I60" s="51">
        <v>0</v>
      </c>
      <c r="J60" s="51" t="s">
        <v>1095</v>
      </c>
      <c r="K60" s="51">
        <v>0</v>
      </c>
      <c r="L60" s="51" t="s">
        <v>1095</v>
      </c>
      <c r="M60" s="846">
        <v>0</v>
      </c>
      <c r="N60" s="51" t="s">
        <v>1095</v>
      </c>
      <c r="O60" s="51">
        <v>0</v>
      </c>
      <c r="P60" s="51">
        <v>0</v>
      </c>
      <c r="Q60" s="51">
        <v>0</v>
      </c>
      <c r="R60" s="51" t="s">
        <v>1095</v>
      </c>
      <c r="S60" s="51">
        <v>0</v>
      </c>
      <c r="T60" s="51" t="s">
        <v>1095</v>
      </c>
      <c r="U60" s="847">
        <v>0</v>
      </c>
      <c r="V60" s="51" t="s">
        <v>1095</v>
      </c>
      <c r="W60" s="51">
        <v>0</v>
      </c>
      <c r="X60" s="51" t="s">
        <v>1095</v>
      </c>
      <c r="Y60" s="847">
        <v>0</v>
      </c>
      <c r="Z60" s="51" t="s">
        <v>1095</v>
      </c>
      <c r="AA60" s="51"/>
      <c r="AB60" s="51"/>
      <c r="AC60" s="51"/>
      <c r="AD60" s="51"/>
      <c r="AE60" s="51"/>
      <c r="AF60" s="51"/>
      <c r="AG60" s="51"/>
    </row>
    <row r="61" spans="1:33" x14ac:dyDescent="0.2">
      <c r="A61" s="249">
        <v>2</v>
      </c>
      <c r="B61" s="463" t="s">
        <v>51</v>
      </c>
      <c r="C61" s="463" t="s">
        <v>1380</v>
      </c>
      <c r="D61" s="266" t="s">
        <v>50</v>
      </c>
      <c r="E61" s="266" t="s">
        <v>952</v>
      </c>
      <c r="F61" s="51" t="s">
        <v>952</v>
      </c>
      <c r="G61" s="51">
        <v>243564</v>
      </c>
      <c r="H61" s="51" t="s">
        <v>1095</v>
      </c>
      <c r="I61" s="51">
        <v>0</v>
      </c>
      <c r="J61" s="51" t="s">
        <v>1095</v>
      </c>
      <c r="K61" s="51">
        <v>0</v>
      </c>
      <c r="L61" s="51" t="s">
        <v>1095</v>
      </c>
      <c r="M61" s="846">
        <v>243564</v>
      </c>
      <c r="N61" s="51" t="s">
        <v>1095</v>
      </c>
      <c r="O61" s="51">
        <v>0</v>
      </c>
      <c r="P61" s="51">
        <v>0</v>
      </c>
      <c r="Q61" s="51">
        <v>0</v>
      </c>
      <c r="R61" s="51" t="s">
        <v>1095</v>
      </c>
      <c r="S61" s="51">
        <v>205916</v>
      </c>
      <c r="T61" s="51" t="s">
        <v>1095</v>
      </c>
      <c r="U61" s="847">
        <v>37648</v>
      </c>
      <c r="V61" s="51" t="s">
        <v>1095</v>
      </c>
      <c r="W61" s="51">
        <v>32812</v>
      </c>
      <c r="X61" s="51" t="s">
        <v>1095</v>
      </c>
      <c r="Y61" s="847">
        <v>32812</v>
      </c>
      <c r="Z61" s="51" t="s">
        <v>1095</v>
      </c>
      <c r="AA61" s="51"/>
      <c r="AB61" s="51"/>
      <c r="AC61" s="51"/>
      <c r="AD61" s="51"/>
      <c r="AE61" s="51"/>
      <c r="AF61" s="51"/>
      <c r="AG61" s="51"/>
    </row>
    <row r="62" spans="1:33" x14ac:dyDescent="0.2">
      <c r="A62" s="249">
        <v>3</v>
      </c>
      <c r="B62" s="463" t="s">
        <v>53</v>
      </c>
      <c r="C62" s="463" t="s">
        <v>1381</v>
      </c>
      <c r="D62" s="266" t="s">
        <v>52</v>
      </c>
      <c r="E62" s="266" t="s">
        <v>953</v>
      </c>
      <c r="F62" s="51" t="s">
        <v>953</v>
      </c>
      <c r="G62" s="51">
        <v>549376</v>
      </c>
      <c r="H62" s="51" t="s">
        <v>1095</v>
      </c>
      <c r="I62" s="51">
        <v>0</v>
      </c>
      <c r="J62" s="51" t="s">
        <v>1095</v>
      </c>
      <c r="K62" s="51">
        <v>-20516</v>
      </c>
      <c r="L62" s="51" t="s">
        <v>1095</v>
      </c>
      <c r="M62" s="846">
        <v>528860</v>
      </c>
      <c r="N62" s="51" t="s">
        <v>1095</v>
      </c>
      <c r="O62" s="51">
        <v>0</v>
      </c>
      <c r="P62" s="51">
        <v>0</v>
      </c>
      <c r="Q62" s="51">
        <v>2909</v>
      </c>
      <c r="R62" s="51" t="s">
        <v>1095</v>
      </c>
      <c r="S62" s="51">
        <v>250205</v>
      </c>
      <c r="T62" s="51" t="s">
        <v>1095</v>
      </c>
      <c r="U62" s="847">
        <v>281564</v>
      </c>
      <c r="V62" s="51" t="s">
        <v>1095</v>
      </c>
      <c r="W62" s="51">
        <v>121599</v>
      </c>
      <c r="X62" s="51" t="s">
        <v>1095</v>
      </c>
      <c r="Y62" s="847">
        <v>121599</v>
      </c>
      <c r="Z62" s="51" t="s">
        <v>1095</v>
      </c>
      <c r="AA62" s="51"/>
      <c r="AB62" s="51"/>
      <c r="AC62" s="51"/>
      <c r="AD62" s="51"/>
      <c r="AE62" s="51"/>
      <c r="AF62" s="51"/>
      <c r="AG62" s="51"/>
    </row>
    <row r="63" spans="1:33" x14ac:dyDescent="0.2">
      <c r="A63" s="249">
        <v>4</v>
      </c>
      <c r="B63" s="463" t="s">
        <v>53</v>
      </c>
      <c r="C63" s="463" t="s">
        <v>1382</v>
      </c>
      <c r="D63" s="266" t="s">
        <v>52</v>
      </c>
      <c r="E63" s="266" t="s">
        <v>954</v>
      </c>
      <c r="F63" s="51" t="s">
        <v>954</v>
      </c>
      <c r="G63" s="51">
        <v>500657</v>
      </c>
      <c r="H63" s="51" t="s">
        <v>1095</v>
      </c>
      <c r="I63" s="51">
        <v>0</v>
      </c>
      <c r="J63" s="51" t="s">
        <v>1095</v>
      </c>
      <c r="K63" s="51">
        <v>-32111</v>
      </c>
      <c r="L63" s="51" t="s">
        <v>1095</v>
      </c>
      <c r="M63" s="846">
        <v>468546</v>
      </c>
      <c r="N63" s="51" t="s">
        <v>1095</v>
      </c>
      <c r="O63" s="51">
        <v>0</v>
      </c>
      <c r="P63" s="51">
        <v>0</v>
      </c>
      <c r="Q63" s="51">
        <v>0</v>
      </c>
      <c r="R63" s="51" t="s">
        <v>1095</v>
      </c>
      <c r="S63" s="51">
        <v>423015</v>
      </c>
      <c r="T63" s="51" t="s">
        <v>1095</v>
      </c>
      <c r="U63" s="847">
        <v>45531</v>
      </c>
      <c r="V63" s="51" t="s">
        <v>1095</v>
      </c>
      <c r="W63" s="51">
        <v>142499</v>
      </c>
      <c r="X63" s="51" t="s">
        <v>1095</v>
      </c>
      <c r="Y63" s="847">
        <v>142499</v>
      </c>
      <c r="Z63" s="51" t="s">
        <v>1095</v>
      </c>
      <c r="AA63" s="51"/>
      <c r="AB63" s="51"/>
      <c r="AC63" s="51"/>
      <c r="AD63" s="51"/>
      <c r="AE63" s="51"/>
      <c r="AF63" s="51"/>
      <c r="AG63" s="51"/>
    </row>
    <row r="64" spans="1:33" x14ac:dyDescent="0.2">
      <c r="A64" s="249">
        <v>1</v>
      </c>
      <c r="B64" s="463" t="s">
        <v>53</v>
      </c>
      <c r="C64" s="463" t="s">
        <v>1383</v>
      </c>
      <c r="D64" s="266" t="s">
        <v>52</v>
      </c>
      <c r="E64" s="266" t="s">
        <v>955</v>
      </c>
      <c r="F64" s="51" t="s">
        <v>955</v>
      </c>
      <c r="G64" s="51">
        <v>27987</v>
      </c>
      <c r="H64" s="51" t="s">
        <v>1095</v>
      </c>
      <c r="I64" s="51">
        <v>0</v>
      </c>
      <c r="J64" s="51" t="s">
        <v>1095</v>
      </c>
      <c r="K64" s="51">
        <v>-558</v>
      </c>
      <c r="L64" s="51" t="s">
        <v>1095</v>
      </c>
      <c r="M64" s="846">
        <v>27429</v>
      </c>
      <c r="N64" s="51" t="s">
        <v>1095</v>
      </c>
      <c r="O64" s="51">
        <v>0</v>
      </c>
      <c r="P64" s="51">
        <v>0</v>
      </c>
      <c r="Q64" s="51">
        <v>0</v>
      </c>
      <c r="R64" s="51" t="s">
        <v>1095</v>
      </c>
      <c r="S64" s="51">
        <v>0</v>
      </c>
      <c r="T64" s="51" t="s">
        <v>1095</v>
      </c>
      <c r="U64" s="847">
        <v>27429</v>
      </c>
      <c r="V64" s="51" t="s">
        <v>1095</v>
      </c>
      <c r="W64" s="51">
        <v>0</v>
      </c>
      <c r="X64" s="51" t="s">
        <v>1095</v>
      </c>
      <c r="Y64" s="847">
        <v>0</v>
      </c>
      <c r="Z64" s="51" t="s">
        <v>1095</v>
      </c>
      <c r="AA64" s="51"/>
      <c r="AB64" s="51"/>
      <c r="AC64" s="51"/>
      <c r="AD64" s="51"/>
      <c r="AE64" s="51"/>
      <c r="AF64" s="51"/>
      <c r="AG64" s="51"/>
    </row>
    <row r="65" spans="1:33" x14ac:dyDescent="0.2">
      <c r="A65" s="249">
        <v>1</v>
      </c>
      <c r="B65" s="463" t="s">
        <v>53</v>
      </c>
      <c r="C65" s="463" t="s">
        <v>1384</v>
      </c>
      <c r="D65" s="266" t="s">
        <v>52</v>
      </c>
      <c r="E65" s="266" t="s">
        <v>956</v>
      </c>
      <c r="F65" s="51" t="s">
        <v>956</v>
      </c>
      <c r="G65" s="51">
        <v>0</v>
      </c>
      <c r="H65" s="51" t="s">
        <v>1095</v>
      </c>
      <c r="I65" s="51">
        <v>0</v>
      </c>
      <c r="J65" s="51" t="s">
        <v>1095</v>
      </c>
      <c r="K65" s="51">
        <v>0</v>
      </c>
      <c r="L65" s="51" t="s">
        <v>1095</v>
      </c>
      <c r="M65" s="846">
        <v>0</v>
      </c>
      <c r="N65" s="51" t="s">
        <v>1095</v>
      </c>
      <c r="O65" s="51">
        <v>0</v>
      </c>
      <c r="P65" s="51">
        <v>0</v>
      </c>
      <c r="Q65" s="51">
        <v>0</v>
      </c>
      <c r="R65" s="51" t="s">
        <v>1095</v>
      </c>
      <c r="S65" s="51">
        <v>0</v>
      </c>
      <c r="T65" s="51" t="s">
        <v>1095</v>
      </c>
      <c r="U65" s="847">
        <v>0</v>
      </c>
      <c r="V65" s="51" t="s">
        <v>1095</v>
      </c>
      <c r="W65" s="51">
        <v>45612</v>
      </c>
      <c r="X65" s="51" t="s">
        <v>1095</v>
      </c>
      <c r="Y65" s="847">
        <v>45612</v>
      </c>
      <c r="Z65" s="51" t="s">
        <v>1095</v>
      </c>
      <c r="AA65" s="51"/>
      <c r="AB65" s="51"/>
      <c r="AC65" s="51"/>
      <c r="AD65" s="51"/>
      <c r="AE65" s="51"/>
      <c r="AF65" s="51"/>
      <c r="AG65" s="51"/>
    </row>
    <row r="66" spans="1:33" x14ac:dyDescent="0.2">
      <c r="A66" s="249">
        <v>2</v>
      </c>
      <c r="B66" s="463" t="s">
        <v>55</v>
      </c>
      <c r="C66" s="463" t="s">
        <v>1385</v>
      </c>
      <c r="D66" s="266" t="s">
        <v>54</v>
      </c>
      <c r="E66" s="266" t="s">
        <v>957</v>
      </c>
      <c r="F66" s="51" t="s">
        <v>957</v>
      </c>
      <c r="G66" s="51">
        <v>31653</v>
      </c>
      <c r="H66" s="51" t="s">
        <v>1095</v>
      </c>
      <c r="I66" s="51">
        <v>0</v>
      </c>
      <c r="J66" s="51" t="s">
        <v>1095</v>
      </c>
      <c r="K66" s="51">
        <v>0</v>
      </c>
      <c r="L66" s="51" t="s">
        <v>1095</v>
      </c>
      <c r="M66" s="846">
        <v>31653</v>
      </c>
      <c r="N66" s="51" t="s">
        <v>1095</v>
      </c>
      <c r="O66" s="51">
        <v>0</v>
      </c>
      <c r="P66" s="51">
        <v>0</v>
      </c>
      <c r="Q66" s="51">
        <v>0</v>
      </c>
      <c r="R66" s="51" t="s">
        <v>1095</v>
      </c>
      <c r="S66" s="51">
        <v>0</v>
      </c>
      <c r="T66" s="51" t="s">
        <v>1095</v>
      </c>
      <c r="U66" s="847">
        <v>31653</v>
      </c>
      <c r="V66" s="51" t="s">
        <v>1095</v>
      </c>
      <c r="W66" s="51">
        <v>15381</v>
      </c>
      <c r="X66" s="51" t="s">
        <v>1095</v>
      </c>
      <c r="Y66" s="847">
        <v>15381</v>
      </c>
      <c r="Z66" s="51" t="s">
        <v>1095</v>
      </c>
      <c r="AA66" s="51"/>
      <c r="AB66" s="51"/>
      <c r="AC66" s="51"/>
      <c r="AD66" s="51"/>
      <c r="AE66" s="51"/>
      <c r="AF66" s="51"/>
      <c r="AG66" s="51"/>
    </row>
    <row r="67" spans="1:33" x14ac:dyDescent="0.2">
      <c r="A67" s="249">
        <v>3</v>
      </c>
      <c r="B67" s="463" t="s">
        <v>63</v>
      </c>
      <c r="C67" s="463" t="s">
        <v>1386</v>
      </c>
      <c r="D67" s="266" t="s">
        <v>62</v>
      </c>
      <c r="E67" s="266" t="s">
        <v>803</v>
      </c>
      <c r="F67" s="51" t="s">
        <v>803</v>
      </c>
      <c r="G67" s="51">
        <v>0</v>
      </c>
      <c r="H67" s="51" t="s">
        <v>1095</v>
      </c>
      <c r="I67" s="51">
        <v>0</v>
      </c>
      <c r="J67" s="51" t="s">
        <v>1095</v>
      </c>
      <c r="K67" s="51">
        <v>0</v>
      </c>
      <c r="L67" s="51" t="s">
        <v>1095</v>
      </c>
      <c r="M67" s="846">
        <v>0</v>
      </c>
      <c r="N67" s="51" t="s">
        <v>1095</v>
      </c>
      <c r="O67" s="51">
        <v>0</v>
      </c>
      <c r="P67" s="51">
        <v>0</v>
      </c>
      <c r="Q67" s="51">
        <v>0</v>
      </c>
      <c r="R67" s="51" t="s">
        <v>1095</v>
      </c>
      <c r="S67" s="51">
        <v>0</v>
      </c>
      <c r="T67" s="51" t="s">
        <v>1095</v>
      </c>
      <c r="U67" s="847">
        <v>0</v>
      </c>
      <c r="V67" s="51" t="s">
        <v>1095</v>
      </c>
      <c r="W67" s="51">
        <v>0</v>
      </c>
      <c r="X67" s="51" t="s">
        <v>1095</v>
      </c>
      <c r="Y67" s="847">
        <v>0</v>
      </c>
      <c r="Z67" s="51" t="s">
        <v>1095</v>
      </c>
      <c r="AA67" s="51"/>
      <c r="AB67" s="51"/>
      <c r="AC67" s="51"/>
      <c r="AD67" s="51"/>
      <c r="AE67" s="51"/>
      <c r="AF67" s="51"/>
      <c r="AG67" s="51"/>
    </row>
    <row r="68" spans="1:33" x14ac:dyDescent="0.2">
      <c r="A68" s="249">
        <v>4</v>
      </c>
      <c r="B68" s="463" t="s">
        <v>63</v>
      </c>
      <c r="C68" s="463" t="s">
        <v>1387</v>
      </c>
      <c r="D68" s="266" t="s">
        <v>62</v>
      </c>
      <c r="E68" s="266" t="s">
        <v>804</v>
      </c>
      <c r="F68" s="51" t="s">
        <v>804</v>
      </c>
      <c r="G68" s="51">
        <v>109368</v>
      </c>
      <c r="H68" s="51" t="s">
        <v>1095</v>
      </c>
      <c r="I68" s="51">
        <v>0</v>
      </c>
      <c r="J68" s="51" t="s">
        <v>1095</v>
      </c>
      <c r="K68" s="51">
        <v>0</v>
      </c>
      <c r="L68" s="51" t="s">
        <v>1095</v>
      </c>
      <c r="M68" s="846">
        <v>109368</v>
      </c>
      <c r="N68" s="51" t="s">
        <v>1095</v>
      </c>
      <c r="O68" s="51">
        <v>0</v>
      </c>
      <c r="P68" s="51">
        <v>0</v>
      </c>
      <c r="Q68" s="51">
        <v>0</v>
      </c>
      <c r="R68" s="51" t="s">
        <v>1095</v>
      </c>
      <c r="S68" s="51">
        <v>143665</v>
      </c>
      <c r="T68" s="51" t="s">
        <v>1095</v>
      </c>
      <c r="U68" s="847">
        <v>0</v>
      </c>
      <c r="V68" s="51" t="s">
        <v>1095</v>
      </c>
      <c r="W68" s="51">
        <v>0</v>
      </c>
      <c r="X68" s="51" t="s">
        <v>1095</v>
      </c>
      <c r="Y68" s="847">
        <v>0</v>
      </c>
      <c r="Z68" s="51" t="s">
        <v>1095</v>
      </c>
      <c r="AA68" s="51"/>
      <c r="AB68" s="51"/>
      <c r="AC68" s="51"/>
      <c r="AD68" s="51"/>
      <c r="AE68" s="51"/>
      <c r="AF68" s="51"/>
      <c r="AG68" s="51"/>
    </row>
    <row r="69" spans="1:33" x14ac:dyDescent="0.2">
      <c r="A69" s="249">
        <v>5</v>
      </c>
      <c r="B69" s="463" t="s">
        <v>63</v>
      </c>
      <c r="C69" s="463" t="s">
        <v>1388</v>
      </c>
      <c r="D69" s="266" t="s">
        <v>62</v>
      </c>
      <c r="E69" s="266" t="s">
        <v>958</v>
      </c>
      <c r="F69" s="51" t="s">
        <v>958</v>
      </c>
      <c r="G69" s="51">
        <v>0</v>
      </c>
      <c r="H69" s="51" t="s">
        <v>1095</v>
      </c>
      <c r="I69" s="51">
        <v>0</v>
      </c>
      <c r="J69" s="51" t="s">
        <v>1095</v>
      </c>
      <c r="K69" s="51">
        <v>0</v>
      </c>
      <c r="L69" s="51" t="s">
        <v>1095</v>
      </c>
      <c r="M69" s="846">
        <v>0</v>
      </c>
      <c r="N69" s="51" t="s">
        <v>1095</v>
      </c>
      <c r="O69" s="51">
        <v>0</v>
      </c>
      <c r="P69" s="51">
        <v>0</v>
      </c>
      <c r="Q69" s="51">
        <v>0</v>
      </c>
      <c r="R69" s="51" t="s">
        <v>1095</v>
      </c>
      <c r="S69" s="51">
        <v>0</v>
      </c>
      <c r="T69" s="51" t="s">
        <v>1095</v>
      </c>
      <c r="U69" s="847">
        <v>0</v>
      </c>
      <c r="V69" s="51" t="s">
        <v>1095</v>
      </c>
      <c r="W69" s="51">
        <v>0</v>
      </c>
      <c r="X69" s="51" t="s">
        <v>1095</v>
      </c>
      <c r="Y69" s="847">
        <v>0</v>
      </c>
      <c r="Z69" s="51" t="s">
        <v>1095</v>
      </c>
      <c r="AA69" s="51"/>
      <c r="AB69" s="51"/>
      <c r="AC69" s="51"/>
      <c r="AD69" s="51"/>
      <c r="AE69" s="51"/>
      <c r="AF69" s="51"/>
      <c r="AG69" s="51"/>
    </row>
    <row r="70" spans="1:33" x14ac:dyDescent="0.2">
      <c r="A70" s="249">
        <v>6</v>
      </c>
      <c r="B70" s="463" t="s">
        <v>63</v>
      </c>
      <c r="C70" s="463" t="s">
        <v>1389</v>
      </c>
      <c r="D70" s="266" t="s">
        <v>62</v>
      </c>
      <c r="E70" s="266" t="s">
        <v>959</v>
      </c>
      <c r="F70" s="51" t="s">
        <v>959</v>
      </c>
      <c r="G70" s="51">
        <v>0</v>
      </c>
      <c r="H70" s="51" t="s">
        <v>1095</v>
      </c>
      <c r="I70" s="51">
        <v>0</v>
      </c>
      <c r="J70" s="51" t="s">
        <v>1095</v>
      </c>
      <c r="K70" s="51">
        <v>0</v>
      </c>
      <c r="L70" s="51" t="s">
        <v>1095</v>
      </c>
      <c r="M70" s="846">
        <v>0</v>
      </c>
      <c r="N70" s="51" t="s">
        <v>1095</v>
      </c>
      <c r="O70" s="51">
        <v>0</v>
      </c>
      <c r="P70" s="51">
        <v>0</v>
      </c>
      <c r="Q70" s="51">
        <v>0</v>
      </c>
      <c r="R70" s="51" t="s">
        <v>1095</v>
      </c>
      <c r="S70" s="51">
        <v>0</v>
      </c>
      <c r="T70" s="51" t="s">
        <v>1095</v>
      </c>
      <c r="U70" s="847">
        <v>0</v>
      </c>
      <c r="V70" s="51" t="s">
        <v>1095</v>
      </c>
      <c r="W70" s="51">
        <v>0</v>
      </c>
      <c r="X70" s="51" t="s">
        <v>1095</v>
      </c>
      <c r="Y70" s="847">
        <v>0</v>
      </c>
      <c r="Z70" s="51" t="s">
        <v>1095</v>
      </c>
      <c r="AA70" s="51"/>
      <c r="AB70" s="51"/>
      <c r="AC70" s="51"/>
      <c r="AD70" s="51"/>
      <c r="AE70" s="51"/>
      <c r="AF70" s="51"/>
      <c r="AG70" s="51"/>
    </row>
    <row r="71" spans="1:33" x14ac:dyDescent="0.2">
      <c r="A71" s="249">
        <v>7</v>
      </c>
      <c r="B71" s="463" t="s">
        <v>63</v>
      </c>
      <c r="C71" s="463" t="s">
        <v>1390</v>
      </c>
      <c r="D71" s="266" t="s">
        <v>62</v>
      </c>
      <c r="E71" s="266" t="s">
        <v>960</v>
      </c>
      <c r="F71" s="51" t="s">
        <v>960</v>
      </c>
      <c r="G71" s="51">
        <v>0</v>
      </c>
      <c r="H71" s="51" t="s">
        <v>1095</v>
      </c>
      <c r="I71" s="51">
        <v>0</v>
      </c>
      <c r="J71" s="51" t="s">
        <v>1095</v>
      </c>
      <c r="K71" s="51">
        <v>0</v>
      </c>
      <c r="L71" s="51" t="s">
        <v>1095</v>
      </c>
      <c r="M71" s="846">
        <v>0</v>
      </c>
      <c r="N71" s="51" t="s">
        <v>1095</v>
      </c>
      <c r="O71" s="51">
        <v>0</v>
      </c>
      <c r="P71" s="51">
        <v>0</v>
      </c>
      <c r="Q71" s="51">
        <v>0</v>
      </c>
      <c r="R71" s="51" t="s">
        <v>1095</v>
      </c>
      <c r="S71" s="51">
        <v>0</v>
      </c>
      <c r="T71" s="51" t="s">
        <v>1095</v>
      </c>
      <c r="U71" s="847">
        <v>0</v>
      </c>
      <c r="V71" s="51" t="s">
        <v>1095</v>
      </c>
      <c r="W71" s="51">
        <v>0</v>
      </c>
      <c r="X71" s="51" t="s">
        <v>1095</v>
      </c>
      <c r="Y71" s="847">
        <v>0</v>
      </c>
      <c r="Z71" s="51" t="s">
        <v>1095</v>
      </c>
      <c r="AA71" s="51"/>
      <c r="AB71" s="51"/>
      <c r="AC71" s="51"/>
      <c r="AD71" s="51"/>
      <c r="AE71" s="51"/>
      <c r="AF71" s="51"/>
      <c r="AG71" s="51"/>
    </row>
    <row r="72" spans="1:33" x14ac:dyDescent="0.2">
      <c r="A72" s="249">
        <v>1</v>
      </c>
      <c r="B72" s="463" t="s">
        <v>63</v>
      </c>
      <c r="C72" s="463" t="s">
        <v>1391</v>
      </c>
      <c r="D72" s="266" t="s">
        <v>62</v>
      </c>
      <c r="E72" s="266" t="s">
        <v>961</v>
      </c>
      <c r="F72" s="51" t="s">
        <v>961</v>
      </c>
      <c r="G72" s="51">
        <v>0</v>
      </c>
      <c r="H72" s="51" t="s">
        <v>1095</v>
      </c>
      <c r="I72" s="51">
        <v>0</v>
      </c>
      <c r="J72" s="51" t="s">
        <v>1095</v>
      </c>
      <c r="K72" s="51">
        <v>0</v>
      </c>
      <c r="L72" s="51" t="s">
        <v>1095</v>
      </c>
      <c r="M72" s="846">
        <v>0</v>
      </c>
      <c r="N72" s="51" t="s">
        <v>1095</v>
      </c>
      <c r="O72" s="51">
        <v>0</v>
      </c>
      <c r="P72" s="51">
        <v>0</v>
      </c>
      <c r="Q72" s="51">
        <v>0</v>
      </c>
      <c r="R72" s="51" t="s">
        <v>1095</v>
      </c>
      <c r="S72" s="51">
        <v>0</v>
      </c>
      <c r="T72" s="51" t="s">
        <v>1095</v>
      </c>
      <c r="U72" s="847">
        <v>0</v>
      </c>
      <c r="V72" s="51" t="s">
        <v>1095</v>
      </c>
      <c r="W72" s="51">
        <v>0</v>
      </c>
      <c r="X72" s="51" t="s">
        <v>1095</v>
      </c>
      <c r="Y72" s="847">
        <v>0</v>
      </c>
      <c r="Z72" s="51" t="s">
        <v>1095</v>
      </c>
      <c r="AA72" s="51"/>
      <c r="AB72" s="51"/>
      <c r="AC72" s="51"/>
      <c r="AD72" s="51"/>
      <c r="AE72" s="51"/>
      <c r="AF72" s="51"/>
      <c r="AG72" s="51"/>
    </row>
    <row r="73" spans="1:33" x14ac:dyDescent="0.2">
      <c r="A73" s="249">
        <v>1</v>
      </c>
      <c r="B73" s="463" t="s">
        <v>63</v>
      </c>
      <c r="C73" s="463" t="s">
        <v>1392</v>
      </c>
      <c r="D73" s="266" t="s">
        <v>62</v>
      </c>
      <c r="E73" s="266" t="s">
        <v>962</v>
      </c>
      <c r="F73" s="51" t="s">
        <v>962</v>
      </c>
      <c r="G73" s="51">
        <v>0</v>
      </c>
      <c r="H73" s="51" t="s">
        <v>1095</v>
      </c>
      <c r="I73" s="51">
        <v>0</v>
      </c>
      <c r="J73" s="51" t="s">
        <v>1095</v>
      </c>
      <c r="K73" s="51">
        <v>0</v>
      </c>
      <c r="L73" s="51" t="s">
        <v>1095</v>
      </c>
      <c r="M73" s="846">
        <v>0</v>
      </c>
      <c r="N73" s="51" t="s">
        <v>1095</v>
      </c>
      <c r="O73" s="51">
        <v>0</v>
      </c>
      <c r="P73" s="51">
        <v>0</v>
      </c>
      <c r="Q73" s="51">
        <v>0</v>
      </c>
      <c r="R73" s="51" t="s">
        <v>1095</v>
      </c>
      <c r="S73" s="51">
        <v>0</v>
      </c>
      <c r="T73" s="51" t="s">
        <v>1095</v>
      </c>
      <c r="U73" s="847">
        <v>0</v>
      </c>
      <c r="V73" s="51" t="s">
        <v>1095</v>
      </c>
      <c r="W73" s="51">
        <v>0</v>
      </c>
      <c r="X73" s="51" t="s">
        <v>1095</v>
      </c>
      <c r="Y73" s="847">
        <v>0</v>
      </c>
      <c r="Z73" s="51" t="s">
        <v>1095</v>
      </c>
      <c r="AA73" s="51"/>
      <c r="AB73" s="51"/>
      <c r="AC73" s="51"/>
      <c r="AD73" s="51"/>
      <c r="AE73" s="51"/>
      <c r="AF73" s="51"/>
      <c r="AG73" s="51"/>
    </row>
    <row r="74" spans="1:33" x14ac:dyDescent="0.2">
      <c r="A74" s="249">
        <v>2</v>
      </c>
      <c r="B74" s="463" t="s">
        <v>88</v>
      </c>
      <c r="C74" s="463" t="s">
        <v>1393</v>
      </c>
      <c r="D74" s="266" t="s">
        <v>87</v>
      </c>
      <c r="E74" s="266" t="s">
        <v>805</v>
      </c>
      <c r="F74" s="51" t="s">
        <v>805</v>
      </c>
      <c r="G74" s="51">
        <v>409216</v>
      </c>
      <c r="H74" s="51" t="s">
        <v>1095</v>
      </c>
      <c r="I74" s="51">
        <v>0</v>
      </c>
      <c r="J74" s="51" t="s">
        <v>1095</v>
      </c>
      <c r="K74" s="51">
        <v>-19233</v>
      </c>
      <c r="L74" s="51" t="s">
        <v>1095</v>
      </c>
      <c r="M74" s="846">
        <v>389983</v>
      </c>
      <c r="N74" s="51" t="s">
        <v>1095</v>
      </c>
      <c r="O74" s="51">
        <v>0</v>
      </c>
      <c r="P74" s="51">
        <v>0</v>
      </c>
      <c r="Q74" s="51">
        <v>0</v>
      </c>
      <c r="R74" s="51" t="s">
        <v>1095</v>
      </c>
      <c r="S74" s="51">
        <v>114013</v>
      </c>
      <c r="T74" s="51" t="s">
        <v>1095</v>
      </c>
      <c r="U74" s="847">
        <v>275970</v>
      </c>
      <c r="V74" s="51" t="s">
        <v>1095</v>
      </c>
      <c r="W74" s="51">
        <v>236230</v>
      </c>
      <c r="X74" s="51" t="s">
        <v>1095</v>
      </c>
      <c r="Y74" s="847">
        <v>236230</v>
      </c>
      <c r="Z74" s="51" t="s">
        <v>1095</v>
      </c>
      <c r="AA74" s="51"/>
      <c r="AB74" s="51"/>
      <c r="AC74" s="51"/>
      <c r="AD74" s="51"/>
      <c r="AE74" s="51"/>
      <c r="AF74" s="51"/>
      <c r="AG74" s="51"/>
    </row>
    <row r="75" spans="1:33" x14ac:dyDescent="0.2">
      <c r="A75" s="249">
        <v>1</v>
      </c>
      <c r="B75" s="463" t="s">
        <v>94</v>
      </c>
      <c r="C75" s="463" t="s">
        <v>1394</v>
      </c>
      <c r="D75" s="266" t="s">
        <v>93</v>
      </c>
      <c r="E75" s="266" t="s">
        <v>806</v>
      </c>
      <c r="F75" s="51" t="s">
        <v>806</v>
      </c>
      <c r="G75" s="51">
        <v>2089412</v>
      </c>
      <c r="H75" s="51" t="s">
        <v>1095</v>
      </c>
      <c r="I75" s="51">
        <v>0</v>
      </c>
      <c r="J75" s="51" t="s">
        <v>1095</v>
      </c>
      <c r="K75" s="51">
        <v>0</v>
      </c>
      <c r="L75" s="51" t="s">
        <v>1095</v>
      </c>
      <c r="M75" s="846">
        <v>2089412</v>
      </c>
      <c r="N75" s="51" t="s">
        <v>1095</v>
      </c>
      <c r="O75" s="51">
        <v>0</v>
      </c>
      <c r="P75" s="51">
        <v>0</v>
      </c>
      <c r="Q75" s="51">
        <v>273</v>
      </c>
      <c r="R75" s="51" t="s">
        <v>1095</v>
      </c>
      <c r="S75" s="51">
        <v>2100578</v>
      </c>
      <c r="T75" s="51" t="s">
        <v>1095</v>
      </c>
      <c r="U75" s="847">
        <v>0</v>
      </c>
      <c r="V75" s="51" t="s">
        <v>1095</v>
      </c>
      <c r="W75" s="51">
        <v>0</v>
      </c>
      <c r="X75" s="51" t="s">
        <v>1095</v>
      </c>
      <c r="Y75" s="847">
        <v>0</v>
      </c>
      <c r="Z75" s="51" t="s">
        <v>1095</v>
      </c>
      <c r="AA75" s="51"/>
      <c r="AB75" s="51"/>
      <c r="AC75" s="51"/>
      <c r="AD75" s="51"/>
      <c r="AE75" s="51"/>
      <c r="AF75" s="51"/>
      <c r="AG75" s="51"/>
    </row>
    <row r="76" spans="1:33" x14ac:dyDescent="0.2">
      <c r="A76" s="249">
        <v>2</v>
      </c>
      <c r="B76" s="463" t="s">
        <v>94</v>
      </c>
      <c r="C76" s="463" t="s">
        <v>1395</v>
      </c>
      <c r="D76" s="266" t="s">
        <v>93</v>
      </c>
      <c r="E76" s="266" t="s">
        <v>915</v>
      </c>
      <c r="F76" s="51" t="s">
        <v>915</v>
      </c>
      <c r="G76" s="51">
        <v>807107</v>
      </c>
      <c r="H76" s="51" t="s">
        <v>1095</v>
      </c>
      <c r="I76" s="51">
        <v>-50000</v>
      </c>
      <c r="J76" s="51" t="s">
        <v>1095</v>
      </c>
      <c r="K76" s="51">
        <v>-103210</v>
      </c>
      <c r="L76" s="51" t="s">
        <v>1095</v>
      </c>
      <c r="M76" s="846">
        <v>653897</v>
      </c>
      <c r="N76" s="51" t="s">
        <v>1095</v>
      </c>
      <c r="O76" s="51">
        <v>0</v>
      </c>
      <c r="P76" s="51">
        <v>0</v>
      </c>
      <c r="Q76" s="51">
        <v>-29422</v>
      </c>
      <c r="R76" s="51" t="s">
        <v>1095</v>
      </c>
      <c r="S76" s="51">
        <v>916673</v>
      </c>
      <c r="T76" s="51" t="s">
        <v>1095</v>
      </c>
      <c r="U76" s="847">
        <v>0</v>
      </c>
      <c r="V76" s="51" t="s">
        <v>1095</v>
      </c>
      <c r="W76" s="51">
        <v>259239</v>
      </c>
      <c r="X76" s="51" t="s">
        <v>1095</v>
      </c>
      <c r="Y76" s="847">
        <v>259239</v>
      </c>
      <c r="Z76" s="51" t="s">
        <v>1095</v>
      </c>
      <c r="AA76" s="51"/>
      <c r="AB76" s="51"/>
      <c r="AC76" s="51"/>
      <c r="AD76" s="51"/>
      <c r="AE76" s="51"/>
      <c r="AF76" s="51"/>
      <c r="AG76" s="51"/>
    </row>
    <row r="77" spans="1:33" x14ac:dyDescent="0.2">
      <c r="A77" s="249">
        <v>1</v>
      </c>
      <c r="B77" s="463" t="s">
        <v>96</v>
      </c>
      <c r="C77" s="463" t="s">
        <v>1396</v>
      </c>
      <c r="D77" s="266" t="s">
        <v>95</v>
      </c>
      <c r="E77" s="266" t="s">
        <v>1083</v>
      </c>
      <c r="F77" s="51" t="s">
        <v>1083</v>
      </c>
      <c r="G77" s="51">
        <v>2058286</v>
      </c>
      <c r="H77" s="51" t="s">
        <v>1095</v>
      </c>
      <c r="I77" s="51">
        <v>0</v>
      </c>
      <c r="J77" s="51" t="s">
        <v>1095</v>
      </c>
      <c r="K77" s="51">
        <v>-51032</v>
      </c>
      <c r="L77" s="51" t="s">
        <v>1095</v>
      </c>
      <c r="M77" s="846">
        <v>2007254</v>
      </c>
      <c r="N77" s="51" t="s">
        <v>1095</v>
      </c>
      <c r="O77" s="51">
        <v>0</v>
      </c>
      <c r="P77" s="51">
        <v>0</v>
      </c>
      <c r="Q77" s="51">
        <v>-16570</v>
      </c>
      <c r="R77" s="51" t="s">
        <v>1095</v>
      </c>
      <c r="S77" s="51">
        <v>1411122</v>
      </c>
      <c r="T77" s="51" t="s">
        <v>1095</v>
      </c>
      <c r="U77" s="847">
        <v>579562</v>
      </c>
      <c r="V77" s="51" t="s">
        <v>1095</v>
      </c>
      <c r="W77" s="51">
        <v>0</v>
      </c>
      <c r="X77" s="51" t="s">
        <v>1095</v>
      </c>
      <c r="Y77" s="847">
        <v>0</v>
      </c>
      <c r="Z77" s="51" t="s">
        <v>1095</v>
      </c>
      <c r="AA77" s="51"/>
      <c r="AB77" s="51"/>
      <c r="AC77" s="51"/>
      <c r="AD77" s="51"/>
      <c r="AE77" s="51"/>
      <c r="AF77" s="51"/>
      <c r="AG77" s="51"/>
    </row>
    <row r="78" spans="1:33" x14ac:dyDescent="0.2">
      <c r="A78" s="249">
        <v>1</v>
      </c>
      <c r="B78" s="463" t="s">
        <v>96</v>
      </c>
      <c r="C78" s="463" t="s">
        <v>1397</v>
      </c>
      <c r="D78" s="266" t="s">
        <v>95</v>
      </c>
      <c r="E78" s="266" t="s">
        <v>963</v>
      </c>
      <c r="F78" s="51" t="s">
        <v>963</v>
      </c>
      <c r="G78" s="51">
        <v>251784</v>
      </c>
      <c r="H78" s="51" t="s">
        <v>1095</v>
      </c>
      <c r="I78" s="51">
        <v>0</v>
      </c>
      <c r="J78" s="51" t="s">
        <v>1095</v>
      </c>
      <c r="K78" s="51">
        <v>0</v>
      </c>
      <c r="L78" s="51" t="s">
        <v>1095</v>
      </c>
      <c r="M78" s="846">
        <v>251784</v>
      </c>
      <c r="N78" s="51" t="s">
        <v>1095</v>
      </c>
      <c r="O78" s="51">
        <v>0</v>
      </c>
      <c r="P78" s="51">
        <v>0</v>
      </c>
      <c r="Q78" s="51">
        <v>0</v>
      </c>
      <c r="R78" s="51" t="s">
        <v>1095</v>
      </c>
      <c r="S78" s="51">
        <v>0</v>
      </c>
      <c r="T78" s="51" t="s">
        <v>1095</v>
      </c>
      <c r="U78" s="847">
        <v>251784</v>
      </c>
      <c r="V78" s="51" t="s">
        <v>1095</v>
      </c>
      <c r="W78" s="51">
        <v>0</v>
      </c>
      <c r="X78" s="51" t="s">
        <v>1095</v>
      </c>
      <c r="Y78" s="847">
        <v>0</v>
      </c>
      <c r="Z78" s="51" t="s">
        <v>1095</v>
      </c>
      <c r="AA78" s="51"/>
      <c r="AB78" s="51"/>
      <c r="AC78" s="51"/>
      <c r="AD78" s="51"/>
      <c r="AE78" s="51"/>
      <c r="AF78" s="51"/>
      <c r="AG78" s="51"/>
    </row>
    <row r="79" spans="1:33" x14ac:dyDescent="0.2">
      <c r="A79" s="249">
        <v>2</v>
      </c>
      <c r="B79" s="463" t="s">
        <v>102</v>
      </c>
      <c r="C79" s="463" t="s">
        <v>1398</v>
      </c>
      <c r="D79" s="266" t="s">
        <v>101</v>
      </c>
      <c r="E79" s="266" t="s">
        <v>805</v>
      </c>
      <c r="F79" s="51" t="s">
        <v>805</v>
      </c>
      <c r="G79" s="51">
        <v>256768</v>
      </c>
      <c r="H79" s="51" t="s">
        <v>1095</v>
      </c>
      <c r="I79" s="51">
        <v>-25700</v>
      </c>
      <c r="J79" s="51" t="s">
        <v>1095</v>
      </c>
      <c r="K79" s="51">
        <v>-12100</v>
      </c>
      <c r="L79" s="51" t="s">
        <v>1095</v>
      </c>
      <c r="M79" s="846">
        <v>218968</v>
      </c>
      <c r="N79" s="51" t="s">
        <v>1095</v>
      </c>
      <c r="O79" s="51">
        <v>0</v>
      </c>
      <c r="P79" s="51">
        <v>0</v>
      </c>
      <c r="Q79" s="51">
        <v>-24819</v>
      </c>
      <c r="R79" s="51" t="s">
        <v>1095</v>
      </c>
      <c r="S79" s="51">
        <v>418232</v>
      </c>
      <c r="T79" s="51" t="s">
        <v>1095</v>
      </c>
      <c r="U79" s="847">
        <v>0</v>
      </c>
      <c r="V79" s="51" t="s">
        <v>1095</v>
      </c>
      <c r="W79" s="51">
        <v>401264</v>
      </c>
      <c r="X79" s="51" t="s">
        <v>1095</v>
      </c>
      <c r="Y79" s="847">
        <v>401264</v>
      </c>
      <c r="Z79" s="51" t="s">
        <v>1095</v>
      </c>
      <c r="AA79" s="51"/>
      <c r="AB79" s="51"/>
      <c r="AC79" s="51"/>
      <c r="AD79" s="51"/>
      <c r="AE79" s="51"/>
      <c r="AF79" s="51"/>
      <c r="AG79" s="51"/>
    </row>
    <row r="80" spans="1:33" x14ac:dyDescent="0.2">
      <c r="A80" s="249">
        <v>3</v>
      </c>
      <c r="B80" s="463" t="s">
        <v>104</v>
      </c>
      <c r="C80" s="463" t="s">
        <v>1399</v>
      </c>
      <c r="D80" s="266" t="s">
        <v>103</v>
      </c>
      <c r="E80" s="266" t="s">
        <v>964</v>
      </c>
      <c r="F80" s="51" t="s">
        <v>964</v>
      </c>
      <c r="G80" s="51">
        <v>0</v>
      </c>
      <c r="H80" s="51" t="s">
        <v>1095</v>
      </c>
      <c r="I80" s="51">
        <v>0</v>
      </c>
      <c r="J80" s="51" t="s">
        <v>1095</v>
      </c>
      <c r="K80" s="51">
        <v>0</v>
      </c>
      <c r="L80" s="51" t="s">
        <v>1095</v>
      </c>
      <c r="M80" s="846">
        <v>0</v>
      </c>
      <c r="N80" s="51" t="s">
        <v>1095</v>
      </c>
      <c r="O80" s="51">
        <v>0</v>
      </c>
      <c r="P80" s="51">
        <v>0</v>
      </c>
      <c r="Q80" s="51">
        <v>0</v>
      </c>
      <c r="R80" s="51" t="s">
        <v>1095</v>
      </c>
      <c r="S80" s="51">
        <v>0</v>
      </c>
      <c r="T80" s="51" t="s">
        <v>1095</v>
      </c>
      <c r="U80" s="847">
        <v>0</v>
      </c>
      <c r="V80" s="51" t="s">
        <v>1095</v>
      </c>
      <c r="W80" s="51">
        <v>0</v>
      </c>
      <c r="X80" s="51" t="s">
        <v>1095</v>
      </c>
      <c r="Y80" s="847">
        <v>0</v>
      </c>
      <c r="Z80" s="51" t="s">
        <v>1095</v>
      </c>
      <c r="AA80" s="51"/>
      <c r="AB80" s="51"/>
      <c r="AC80" s="51"/>
      <c r="AD80" s="51"/>
      <c r="AE80" s="51"/>
      <c r="AF80" s="51"/>
      <c r="AG80" s="51"/>
    </row>
    <row r="81" spans="1:33" x14ac:dyDescent="0.2">
      <c r="A81" s="249">
        <v>1</v>
      </c>
      <c r="B81" s="463" t="s">
        <v>104</v>
      </c>
      <c r="C81" s="463" t="s">
        <v>1400</v>
      </c>
      <c r="D81" s="266" t="s">
        <v>103</v>
      </c>
      <c r="E81" s="266" t="s">
        <v>965</v>
      </c>
      <c r="F81" s="51" t="s">
        <v>965</v>
      </c>
      <c r="G81" s="51">
        <v>0</v>
      </c>
      <c r="H81" s="51" t="s">
        <v>1095</v>
      </c>
      <c r="I81" s="51">
        <v>0</v>
      </c>
      <c r="J81" s="51" t="s">
        <v>1095</v>
      </c>
      <c r="K81" s="51">
        <v>0</v>
      </c>
      <c r="L81" s="51" t="s">
        <v>1095</v>
      </c>
      <c r="M81" s="846">
        <v>0</v>
      </c>
      <c r="N81" s="51" t="s">
        <v>1095</v>
      </c>
      <c r="O81" s="51">
        <v>0</v>
      </c>
      <c r="P81" s="51">
        <v>0</v>
      </c>
      <c r="Q81" s="51">
        <v>0</v>
      </c>
      <c r="R81" s="51" t="s">
        <v>1095</v>
      </c>
      <c r="S81" s="51">
        <v>0</v>
      </c>
      <c r="T81" s="51" t="s">
        <v>1095</v>
      </c>
      <c r="U81" s="847">
        <v>0</v>
      </c>
      <c r="V81" s="51" t="s">
        <v>1095</v>
      </c>
      <c r="W81" s="51">
        <v>0</v>
      </c>
      <c r="X81" s="51" t="s">
        <v>1095</v>
      </c>
      <c r="Y81" s="847">
        <v>0</v>
      </c>
      <c r="Z81" s="51" t="s">
        <v>1095</v>
      </c>
      <c r="AA81" s="51"/>
      <c r="AB81" s="51"/>
      <c r="AC81" s="51"/>
      <c r="AD81" s="51"/>
      <c r="AE81" s="51"/>
      <c r="AF81" s="51"/>
      <c r="AG81" s="51"/>
    </row>
    <row r="82" spans="1:33" x14ac:dyDescent="0.2">
      <c r="A82" s="249">
        <v>2</v>
      </c>
      <c r="B82" s="463" t="s">
        <v>104</v>
      </c>
      <c r="C82" s="463" t="s">
        <v>1401</v>
      </c>
      <c r="D82" s="266" t="s">
        <v>103</v>
      </c>
      <c r="E82" s="266" t="s">
        <v>944</v>
      </c>
      <c r="F82" s="51" t="s">
        <v>944</v>
      </c>
      <c r="G82" s="51">
        <v>0</v>
      </c>
      <c r="H82" s="51" t="s">
        <v>1095</v>
      </c>
      <c r="I82" s="51">
        <v>0</v>
      </c>
      <c r="J82" s="51" t="s">
        <v>1095</v>
      </c>
      <c r="K82" s="51">
        <v>0</v>
      </c>
      <c r="L82" s="51" t="s">
        <v>1095</v>
      </c>
      <c r="M82" s="846">
        <v>0</v>
      </c>
      <c r="N82" s="51" t="s">
        <v>1095</v>
      </c>
      <c r="O82" s="51">
        <v>0</v>
      </c>
      <c r="P82" s="51">
        <v>0</v>
      </c>
      <c r="Q82" s="51">
        <v>0</v>
      </c>
      <c r="R82" s="51" t="s">
        <v>1095</v>
      </c>
      <c r="S82" s="51">
        <v>0</v>
      </c>
      <c r="T82" s="51" t="s">
        <v>1095</v>
      </c>
      <c r="U82" s="847">
        <v>0</v>
      </c>
      <c r="V82" s="51" t="s">
        <v>1095</v>
      </c>
      <c r="W82" s="51">
        <v>0</v>
      </c>
      <c r="X82" s="51" t="s">
        <v>1095</v>
      </c>
      <c r="Y82" s="847">
        <v>0</v>
      </c>
      <c r="Z82" s="51" t="s">
        <v>1095</v>
      </c>
      <c r="AA82" s="51"/>
      <c r="AB82" s="51"/>
      <c r="AC82" s="51"/>
      <c r="AD82" s="51"/>
      <c r="AE82" s="51"/>
      <c r="AF82" s="51"/>
      <c r="AG82" s="51"/>
    </row>
    <row r="83" spans="1:33" x14ac:dyDescent="0.2">
      <c r="A83" s="249">
        <v>3</v>
      </c>
      <c r="B83" s="463" t="s">
        <v>106</v>
      </c>
      <c r="C83" s="463" t="s">
        <v>1402</v>
      </c>
      <c r="D83" s="266" t="s">
        <v>105</v>
      </c>
      <c r="E83" s="266" t="s">
        <v>808</v>
      </c>
      <c r="F83" s="51" t="s">
        <v>808</v>
      </c>
      <c r="G83" s="51">
        <v>833218</v>
      </c>
      <c r="H83" s="51" t="s">
        <v>1095</v>
      </c>
      <c r="I83" s="51">
        <v>0</v>
      </c>
      <c r="J83" s="51" t="s">
        <v>1095</v>
      </c>
      <c r="K83" s="51">
        <v>0</v>
      </c>
      <c r="L83" s="51" t="s">
        <v>1095</v>
      </c>
      <c r="M83" s="846">
        <v>833218</v>
      </c>
      <c r="N83" s="51" t="s">
        <v>1095</v>
      </c>
      <c r="O83" s="51">
        <v>0</v>
      </c>
      <c r="P83" s="51">
        <v>0</v>
      </c>
      <c r="Q83" s="51">
        <v>1686</v>
      </c>
      <c r="R83" s="51" t="s">
        <v>1095</v>
      </c>
      <c r="S83" s="51">
        <v>309464</v>
      </c>
      <c r="T83" s="51" t="s">
        <v>1095</v>
      </c>
      <c r="U83" s="847">
        <v>525440</v>
      </c>
      <c r="V83" s="51" t="s">
        <v>1095</v>
      </c>
      <c r="W83" s="51">
        <v>616966</v>
      </c>
      <c r="X83" s="51" t="s">
        <v>1095</v>
      </c>
      <c r="Y83" s="847">
        <v>616966</v>
      </c>
      <c r="Z83" s="51" t="s">
        <v>1095</v>
      </c>
      <c r="AA83" s="51"/>
      <c r="AB83" s="51"/>
      <c r="AC83" s="51"/>
      <c r="AD83" s="51"/>
      <c r="AE83" s="51"/>
      <c r="AF83" s="51"/>
      <c r="AG83" s="51"/>
    </row>
    <row r="84" spans="1:33" x14ac:dyDescent="0.2">
      <c r="A84" s="249">
        <v>4</v>
      </c>
      <c r="B84" s="463" t="s">
        <v>106</v>
      </c>
      <c r="C84" s="463" t="s">
        <v>1403</v>
      </c>
      <c r="D84" s="266" t="s">
        <v>105</v>
      </c>
      <c r="E84" s="266" t="s">
        <v>966</v>
      </c>
      <c r="F84" s="51" t="s">
        <v>966</v>
      </c>
      <c r="G84" s="51">
        <v>0</v>
      </c>
      <c r="H84" s="51" t="s">
        <v>1095</v>
      </c>
      <c r="I84" s="51">
        <v>0</v>
      </c>
      <c r="J84" s="51" t="s">
        <v>1095</v>
      </c>
      <c r="K84" s="51">
        <v>0</v>
      </c>
      <c r="L84" s="51" t="s">
        <v>1095</v>
      </c>
      <c r="M84" s="846">
        <v>0</v>
      </c>
      <c r="N84" s="51" t="s">
        <v>1095</v>
      </c>
      <c r="O84" s="51">
        <v>0</v>
      </c>
      <c r="P84" s="51">
        <v>0</v>
      </c>
      <c r="Q84" s="51">
        <v>0</v>
      </c>
      <c r="R84" s="51" t="s">
        <v>1095</v>
      </c>
      <c r="S84" s="51">
        <v>0</v>
      </c>
      <c r="T84" s="51" t="s">
        <v>1095</v>
      </c>
      <c r="U84" s="847">
        <v>0</v>
      </c>
      <c r="V84" s="51" t="s">
        <v>1095</v>
      </c>
      <c r="W84" s="51">
        <v>0</v>
      </c>
      <c r="X84" s="51" t="s">
        <v>1095</v>
      </c>
      <c r="Y84" s="847">
        <v>0</v>
      </c>
      <c r="Z84" s="51" t="s">
        <v>1095</v>
      </c>
      <c r="AA84" s="51"/>
      <c r="AB84" s="51"/>
      <c r="AC84" s="51"/>
      <c r="AD84" s="51"/>
      <c r="AE84" s="51"/>
      <c r="AF84" s="51"/>
      <c r="AG84" s="51"/>
    </row>
    <row r="85" spans="1:33" x14ac:dyDescent="0.2">
      <c r="A85" s="249">
        <v>5</v>
      </c>
      <c r="B85" s="463" t="s">
        <v>106</v>
      </c>
      <c r="C85" s="463" t="s">
        <v>1404</v>
      </c>
      <c r="D85" s="266" t="s">
        <v>105</v>
      </c>
      <c r="E85" s="266" t="s">
        <v>967</v>
      </c>
      <c r="F85" s="51" t="s">
        <v>967</v>
      </c>
      <c r="G85" s="51">
        <v>0</v>
      </c>
      <c r="H85" s="51" t="s">
        <v>1095</v>
      </c>
      <c r="I85" s="51">
        <v>0</v>
      </c>
      <c r="J85" s="51" t="s">
        <v>1095</v>
      </c>
      <c r="K85" s="51">
        <v>0</v>
      </c>
      <c r="L85" s="51" t="s">
        <v>1095</v>
      </c>
      <c r="M85" s="846">
        <v>0</v>
      </c>
      <c r="N85" s="51" t="s">
        <v>1095</v>
      </c>
      <c r="O85" s="51">
        <v>0</v>
      </c>
      <c r="P85" s="51">
        <v>0</v>
      </c>
      <c r="Q85" s="51">
        <v>0</v>
      </c>
      <c r="R85" s="51" t="s">
        <v>1095</v>
      </c>
      <c r="S85" s="51">
        <v>6885</v>
      </c>
      <c r="T85" s="51" t="s">
        <v>1095</v>
      </c>
      <c r="U85" s="847">
        <v>0</v>
      </c>
      <c r="V85" s="51" t="s">
        <v>1095</v>
      </c>
      <c r="W85" s="51">
        <v>0</v>
      </c>
      <c r="X85" s="51" t="s">
        <v>1095</v>
      </c>
      <c r="Y85" s="847">
        <v>0</v>
      </c>
      <c r="Z85" s="51" t="s">
        <v>1095</v>
      </c>
      <c r="AA85" s="51"/>
      <c r="AB85" s="51"/>
      <c r="AC85" s="51"/>
      <c r="AD85" s="51"/>
      <c r="AE85" s="51"/>
      <c r="AF85" s="51"/>
      <c r="AG85" s="51"/>
    </row>
    <row r="86" spans="1:33" x14ac:dyDescent="0.2">
      <c r="A86" s="249">
        <v>1</v>
      </c>
      <c r="B86" s="463" t="s">
        <v>106</v>
      </c>
      <c r="C86" s="463" t="s">
        <v>1405</v>
      </c>
      <c r="D86" s="266" t="s">
        <v>105</v>
      </c>
      <c r="E86" s="266" t="s">
        <v>968</v>
      </c>
      <c r="F86" s="51" t="s">
        <v>968</v>
      </c>
      <c r="G86" s="51">
        <v>0</v>
      </c>
      <c r="H86" s="51" t="s">
        <v>1095</v>
      </c>
      <c r="I86" s="51">
        <v>0</v>
      </c>
      <c r="J86" s="51" t="s">
        <v>1095</v>
      </c>
      <c r="K86" s="51">
        <v>0</v>
      </c>
      <c r="L86" s="51" t="s">
        <v>1095</v>
      </c>
      <c r="M86" s="846">
        <v>0</v>
      </c>
      <c r="N86" s="51" t="s">
        <v>1095</v>
      </c>
      <c r="O86" s="51">
        <v>0</v>
      </c>
      <c r="P86" s="51">
        <v>0</v>
      </c>
      <c r="Q86" s="51">
        <v>0</v>
      </c>
      <c r="R86" s="51" t="s">
        <v>1095</v>
      </c>
      <c r="S86" s="51">
        <v>2854</v>
      </c>
      <c r="T86" s="51" t="s">
        <v>1095</v>
      </c>
      <c r="U86" s="847">
        <v>0</v>
      </c>
      <c r="V86" s="51" t="s">
        <v>1095</v>
      </c>
      <c r="W86" s="51">
        <v>0</v>
      </c>
      <c r="X86" s="51" t="s">
        <v>1095</v>
      </c>
      <c r="Y86" s="847">
        <v>0</v>
      </c>
      <c r="Z86" s="51" t="s">
        <v>1095</v>
      </c>
      <c r="AA86" s="51"/>
      <c r="AB86" s="51"/>
      <c r="AC86" s="51"/>
      <c r="AD86" s="51"/>
      <c r="AE86" s="51"/>
      <c r="AF86" s="51"/>
      <c r="AG86" s="51"/>
    </row>
    <row r="87" spans="1:33" x14ac:dyDescent="0.2">
      <c r="A87" s="249">
        <v>1</v>
      </c>
      <c r="B87" s="463" t="s">
        <v>106</v>
      </c>
      <c r="C87" s="463" t="s">
        <v>1406</v>
      </c>
      <c r="D87" s="266" t="s">
        <v>105</v>
      </c>
      <c r="E87" s="266" t="s">
        <v>969</v>
      </c>
      <c r="F87" s="51" t="s">
        <v>969</v>
      </c>
      <c r="G87" s="51">
        <v>0</v>
      </c>
      <c r="H87" s="51" t="s">
        <v>1095</v>
      </c>
      <c r="I87" s="51">
        <v>0</v>
      </c>
      <c r="J87" s="51" t="s">
        <v>1095</v>
      </c>
      <c r="K87" s="51">
        <v>0</v>
      </c>
      <c r="L87" s="51" t="s">
        <v>1095</v>
      </c>
      <c r="M87" s="846">
        <v>0</v>
      </c>
      <c r="N87" s="51" t="s">
        <v>1095</v>
      </c>
      <c r="O87" s="51">
        <v>0</v>
      </c>
      <c r="P87" s="51">
        <v>0</v>
      </c>
      <c r="Q87" s="51">
        <v>0</v>
      </c>
      <c r="R87" s="51" t="s">
        <v>1095</v>
      </c>
      <c r="S87" s="51">
        <v>2229</v>
      </c>
      <c r="T87" s="51" t="s">
        <v>1095</v>
      </c>
      <c r="U87" s="847">
        <v>0</v>
      </c>
      <c r="V87" s="51" t="s">
        <v>1095</v>
      </c>
      <c r="W87" s="51">
        <v>2185</v>
      </c>
      <c r="X87" s="51" t="s">
        <v>1095</v>
      </c>
      <c r="Y87" s="847">
        <v>2185</v>
      </c>
      <c r="Z87" s="51" t="s">
        <v>1095</v>
      </c>
      <c r="AA87" s="51"/>
      <c r="AB87" s="51"/>
      <c r="AC87" s="51"/>
      <c r="AD87" s="51"/>
      <c r="AE87" s="51"/>
      <c r="AF87" s="51"/>
      <c r="AG87" s="51"/>
    </row>
    <row r="88" spans="1:33" x14ac:dyDescent="0.2">
      <c r="A88" s="249">
        <v>1</v>
      </c>
      <c r="B88" s="463" t="s">
        <v>114</v>
      </c>
      <c r="C88" s="463" t="s">
        <v>1407</v>
      </c>
      <c r="D88" s="266" t="s">
        <v>113</v>
      </c>
      <c r="E88" s="266" t="s">
        <v>809</v>
      </c>
      <c r="F88" s="51" t="s">
        <v>809</v>
      </c>
      <c r="G88" s="51">
        <v>45540</v>
      </c>
      <c r="H88" s="51" t="s">
        <v>1095</v>
      </c>
      <c r="I88" s="51">
        <v>-610</v>
      </c>
      <c r="J88" s="51" t="s">
        <v>1095</v>
      </c>
      <c r="K88" s="51">
        <v>-2186</v>
      </c>
      <c r="L88" s="51" t="s">
        <v>1095</v>
      </c>
      <c r="M88" s="846">
        <v>42744</v>
      </c>
      <c r="N88" s="51" t="s">
        <v>1095</v>
      </c>
      <c r="O88" s="51">
        <v>0</v>
      </c>
      <c r="P88" s="51">
        <v>0</v>
      </c>
      <c r="Q88" s="51">
        <v>0</v>
      </c>
      <c r="R88" s="51" t="s">
        <v>1095</v>
      </c>
      <c r="S88" s="51">
        <v>34014</v>
      </c>
      <c r="T88" s="51" t="s">
        <v>1095</v>
      </c>
      <c r="U88" s="847">
        <v>8730</v>
      </c>
      <c r="V88" s="51" t="s">
        <v>1095</v>
      </c>
      <c r="W88" s="51">
        <v>283820</v>
      </c>
      <c r="X88" s="51" t="s">
        <v>1095</v>
      </c>
      <c r="Y88" s="847">
        <v>283820</v>
      </c>
      <c r="Z88" s="51" t="s">
        <v>1095</v>
      </c>
      <c r="AA88" s="51"/>
      <c r="AB88" s="51"/>
      <c r="AC88" s="51"/>
      <c r="AD88" s="51"/>
      <c r="AE88" s="51"/>
      <c r="AF88" s="51"/>
      <c r="AG88" s="51"/>
    </row>
    <row r="89" spans="1:33" x14ac:dyDescent="0.2">
      <c r="A89" s="249">
        <v>1</v>
      </c>
      <c r="B89" s="463" t="s">
        <v>124</v>
      </c>
      <c r="C89" s="463" t="s">
        <v>1408</v>
      </c>
      <c r="D89" s="266" t="s">
        <v>123</v>
      </c>
      <c r="E89" s="266" t="s">
        <v>123</v>
      </c>
      <c r="F89" s="51" t="s">
        <v>123</v>
      </c>
      <c r="G89" s="51">
        <v>4620771</v>
      </c>
      <c r="H89" s="51" t="s">
        <v>1095</v>
      </c>
      <c r="I89" s="51">
        <v>-16600</v>
      </c>
      <c r="J89" s="51" t="s">
        <v>1095</v>
      </c>
      <c r="K89" s="51">
        <v>-90000</v>
      </c>
      <c r="L89" s="51" t="s">
        <v>1095</v>
      </c>
      <c r="M89" s="846">
        <v>4514171</v>
      </c>
      <c r="N89" s="51" t="s">
        <v>1095</v>
      </c>
      <c r="O89" s="51">
        <v>0</v>
      </c>
      <c r="P89" s="51">
        <v>0</v>
      </c>
      <c r="Q89" s="51">
        <v>1604</v>
      </c>
      <c r="R89" s="51" t="s">
        <v>1095</v>
      </c>
      <c r="S89" s="51">
        <v>3339900</v>
      </c>
      <c r="T89" s="51" t="s">
        <v>1095</v>
      </c>
      <c r="U89" s="847">
        <v>1175875</v>
      </c>
      <c r="V89" s="51" t="s">
        <v>1095</v>
      </c>
      <c r="W89" s="51">
        <v>0</v>
      </c>
      <c r="X89" s="51" t="s">
        <v>1095</v>
      </c>
      <c r="Y89" s="847">
        <v>0</v>
      </c>
      <c r="Z89" s="51" t="s">
        <v>1095</v>
      </c>
      <c r="AA89" s="51"/>
      <c r="AB89" s="51"/>
      <c r="AC89" s="51"/>
      <c r="AD89" s="51"/>
      <c r="AE89" s="51"/>
      <c r="AF89" s="51"/>
      <c r="AG89" s="51"/>
    </row>
    <row r="90" spans="1:33" x14ac:dyDescent="0.2">
      <c r="A90" s="249">
        <v>1</v>
      </c>
      <c r="B90" s="463" t="s">
        <v>132</v>
      </c>
      <c r="C90" s="463" t="s">
        <v>1409</v>
      </c>
      <c r="D90" s="266" t="s">
        <v>131</v>
      </c>
      <c r="E90" s="266" t="s">
        <v>810</v>
      </c>
      <c r="F90" s="51" t="s">
        <v>810</v>
      </c>
      <c r="G90" s="51">
        <v>96587</v>
      </c>
      <c r="H90" s="51" t="s">
        <v>1095</v>
      </c>
      <c r="I90" s="51">
        <v>0</v>
      </c>
      <c r="J90" s="51" t="s">
        <v>1095</v>
      </c>
      <c r="K90" s="51">
        <v>0</v>
      </c>
      <c r="L90" s="51" t="s">
        <v>1095</v>
      </c>
      <c r="M90" s="846">
        <v>96587</v>
      </c>
      <c r="N90" s="51" t="s">
        <v>1095</v>
      </c>
      <c r="O90" s="51">
        <v>0</v>
      </c>
      <c r="P90" s="51">
        <v>0</v>
      </c>
      <c r="Q90" s="51">
        <v>854</v>
      </c>
      <c r="R90" s="51" t="s">
        <v>1095</v>
      </c>
      <c r="S90" s="51">
        <v>0</v>
      </c>
      <c r="T90" s="51" t="s">
        <v>1095</v>
      </c>
      <c r="U90" s="847">
        <v>97441</v>
      </c>
      <c r="V90" s="51" t="s">
        <v>1095</v>
      </c>
      <c r="W90" s="51">
        <v>44097</v>
      </c>
      <c r="X90" s="51" t="s">
        <v>1095</v>
      </c>
      <c r="Y90" s="847">
        <v>44097</v>
      </c>
      <c r="Z90" s="51" t="s">
        <v>1095</v>
      </c>
      <c r="AA90" s="51"/>
      <c r="AB90" s="51"/>
      <c r="AC90" s="51"/>
      <c r="AD90" s="51"/>
      <c r="AE90" s="51"/>
      <c r="AF90" s="51"/>
      <c r="AG90" s="51"/>
    </row>
    <row r="91" spans="1:33" x14ac:dyDescent="0.2">
      <c r="A91" s="249">
        <v>2</v>
      </c>
      <c r="B91" s="463" t="s">
        <v>140</v>
      </c>
      <c r="C91" s="463" t="s">
        <v>1410</v>
      </c>
      <c r="D91" s="266" t="s">
        <v>139</v>
      </c>
      <c r="E91" s="266" t="s">
        <v>811</v>
      </c>
      <c r="F91" s="51" t="s">
        <v>811</v>
      </c>
      <c r="G91" s="51">
        <v>427582</v>
      </c>
      <c r="H91" s="51" t="s">
        <v>1095</v>
      </c>
      <c r="I91" s="51">
        <v>0</v>
      </c>
      <c r="J91" s="51" t="s">
        <v>1095</v>
      </c>
      <c r="K91" s="51">
        <v>0</v>
      </c>
      <c r="L91" s="51" t="s">
        <v>1095</v>
      </c>
      <c r="M91" s="846">
        <v>427582</v>
      </c>
      <c r="N91" s="51" t="s">
        <v>1095</v>
      </c>
      <c r="O91" s="51">
        <v>0</v>
      </c>
      <c r="P91" s="51">
        <v>0</v>
      </c>
      <c r="Q91" s="51">
        <v>0</v>
      </c>
      <c r="R91" s="51" t="s">
        <v>1095</v>
      </c>
      <c r="S91" s="51">
        <v>249749</v>
      </c>
      <c r="T91" s="51" t="s">
        <v>1095</v>
      </c>
      <c r="U91" s="847">
        <v>177833</v>
      </c>
      <c r="V91" s="51" t="s">
        <v>1095</v>
      </c>
      <c r="W91" s="51">
        <v>340840</v>
      </c>
      <c r="X91" s="51" t="s">
        <v>1095</v>
      </c>
      <c r="Y91" s="847">
        <v>340840</v>
      </c>
      <c r="Z91" s="51" t="s">
        <v>1095</v>
      </c>
      <c r="AA91" s="51"/>
      <c r="AB91" s="51"/>
      <c r="AC91" s="51"/>
      <c r="AD91" s="51"/>
      <c r="AE91" s="51"/>
      <c r="AF91" s="51"/>
      <c r="AG91" s="51"/>
    </row>
    <row r="92" spans="1:33" x14ac:dyDescent="0.2">
      <c r="A92" s="249">
        <v>1</v>
      </c>
      <c r="B92" s="463" t="s">
        <v>148</v>
      </c>
      <c r="C92" s="463" t="s">
        <v>1411</v>
      </c>
      <c r="D92" s="266" t="s">
        <v>147</v>
      </c>
      <c r="E92" s="266" t="s">
        <v>812</v>
      </c>
      <c r="F92" s="51" t="s">
        <v>812</v>
      </c>
      <c r="G92" s="51">
        <v>1078880</v>
      </c>
      <c r="H92" s="51" t="s">
        <v>1095</v>
      </c>
      <c r="I92" s="51">
        <v>-10789</v>
      </c>
      <c r="J92" s="51" t="s">
        <v>1095</v>
      </c>
      <c r="K92" s="51">
        <v>-32366</v>
      </c>
      <c r="L92" s="51" t="s">
        <v>1095</v>
      </c>
      <c r="M92" s="846">
        <v>1035725</v>
      </c>
      <c r="N92" s="51" t="s">
        <v>1095</v>
      </c>
      <c r="O92" s="51">
        <v>0</v>
      </c>
      <c r="P92" s="51">
        <v>0</v>
      </c>
      <c r="Q92" s="51">
        <v>510</v>
      </c>
      <c r="R92" s="51" t="s">
        <v>1095</v>
      </c>
      <c r="S92" s="51">
        <v>889191</v>
      </c>
      <c r="T92" s="51" t="s">
        <v>1095</v>
      </c>
      <c r="U92" s="847">
        <v>147044</v>
      </c>
      <c r="V92" s="51" t="s">
        <v>1095</v>
      </c>
      <c r="W92" s="51">
        <v>193704</v>
      </c>
      <c r="X92" s="51" t="s">
        <v>1095</v>
      </c>
      <c r="Y92" s="847">
        <v>193704</v>
      </c>
      <c r="Z92" s="51" t="s">
        <v>1095</v>
      </c>
      <c r="AA92" s="51"/>
      <c r="AB92" s="51"/>
      <c r="AC92" s="51"/>
      <c r="AD92" s="51"/>
      <c r="AE92" s="51"/>
      <c r="AF92" s="51"/>
      <c r="AG92" s="51"/>
    </row>
    <row r="93" spans="1:33" x14ac:dyDescent="0.2">
      <c r="A93" s="249">
        <v>1</v>
      </c>
      <c r="B93" s="463" t="s">
        <v>148</v>
      </c>
      <c r="C93" s="463" t="s">
        <v>1412</v>
      </c>
      <c r="D93" s="266" t="s">
        <v>147</v>
      </c>
      <c r="E93" s="266" t="s">
        <v>865</v>
      </c>
      <c r="F93" s="51" t="s">
        <v>865</v>
      </c>
      <c r="G93" s="51">
        <v>0</v>
      </c>
      <c r="H93" s="51" t="s">
        <v>1095</v>
      </c>
      <c r="I93" s="51">
        <v>0</v>
      </c>
      <c r="J93" s="51" t="s">
        <v>1095</v>
      </c>
      <c r="K93" s="51">
        <v>0</v>
      </c>
      <c r="L93" s="51" t="s">
        <v>1095</v>
      </c>
      <c r="M93" s="846">
        <v>0</v>
      </c>
      <c r="N93" s="51" t="s">
        <v>1095</v>
      </c>
      <c r="O93" s="51">
        <v>0</v>
      </c>
      <c r="P93" s="51">
        <v>0</v>
      </c>
      <c r="Q93" s="51">
        <v>0</v>
      </c>
      <c r="R93" s="51" t="s">
        <v>1095</v>
      </c>
      <c r="S93" s="51">
        <v>0</v>
      </c>
      <c r="T93" s="51" t="s">
        <v>1095</v>
      </c>
      <c r="U93" s="847">
        <v>0</v>
      </c>
      <c r="V93" s="51" t="s">
        <v>1095</v>
      </c>
      <c r="W93" s="51">
        <v>0</v>
      </c>
      <c r="X93" s="51" t="s">
        <v>1095</v>
      </c>
      <c r="Y93" s="847">
        <v>0</v>
      </c>
      <c r="Z93" s="51" t="s">
        <v>1095</v>
      </c>
      <c r="AA93" s="51"/>
      <c r="AB93" s="51"/>
      <c r="AC93" s="51"/>
      <c r="AD93" s="51"/>
      <c r="AE93" s="51"/>
      <c r="AF93" s="51"/>
      <c r="AG93" s="51"/>
    </row>
    <row r="94" spans="1:33" x14ac:dyDescent="0.2">
      <c r="A94" s="249">
        <v>2</v>
      </c>
      <c r="B94" s="463" t="s">
        <v>150</v>
      </c>
      <c r="C94" s="463" t="s">
        <v>1413</v>
      </c>
      <c r="D94" s="266" t="s">
        <v>149</v>
      </c>
      <c r="E94" s="266" t="s">
        <v>1095</v>
      </c>
      <c r="F94" s="51" t="s">
        <v>1095</v>
      </c>
      <c r="G94" s="51" t="s">
        <v>1095</v>
      </c>
      <c r="H94" s="51" t="s">
        <v>1095</v>
      </c>
      <c r="I94" s="51" t="s">
        <v>1095</v>
      </c>
      <c r="J94" s="51" t="s">
        <v>1095</v>
      </c>
      <c r="K94" s="51" t="s">
        <v>1095</v>
      </c>
      <c r="L94" s="51" t="s">
        <v>1095</v>
      </c>
      <c r="M94" s="845" t="s">
        <v>1095</v>
      </c>
      <c r="N94" s="51" t="s">
        <v>1095</v>
      </c>
      <c r="O94" s="51" t="s">
        <v>1095</v>
      </c>
      <c r="P94" s="51">
        <v>0</v>
      </c>
      <c r="Q94" s="51" t="s">
        <v>1095</v>
      </c>
      <c r="R94" s="51" t="s">
        <v>1095</v>
      </c>
      <c r="S94" s="51" t="s">
        <v>1095</v>
      </c>
      <c r="T94" s="51" t="s">
        <v>1095</v>
      </c>
      <c r="U94" s="51" t="s">
        <v>1095</v>
      </c>
      <c r="V94" s="51" t="s">
        <v>1095</v>
      </c>
      <c r="W94" s="51" t="s">
        <v>1095</v>
      </c>
      <c r="X94" s="51" t="s">
        <v>1095</v>
      </c>
      <c r="Y94" s="51" t="s">
        <v>1095</v>
      </c>
      <c r="Z94" s="51" t="s">
        <v>1095</v>
      </c>
      <c r="AA94" s="51"/>
      <c r="AB94" s="51"/>
      <c r="AC94" s="51"/>
      <c r="AD94" s="51"/>
      <c r="AE94" s="51"/>
      <c r="AF94" s="51"/>
      <c r="AG94" s="51"/>
    </row>
    <row r="95" spans="1:33" x14ac:dyDescent="0.2">
      <c r="A95" s="249">
        <v>3</v>
      </c>
      <c r="B95" s="463" t="s">
        <v>154</v>
      </c>
      <c r="C95" s="463" t="s">
        <v>1414</v>
      </c>
      <c r="D95" s="266" t="s">
        <v>153</v>
      </c>
      <c r="E95" s="266" t="s">
        <v>813</v>
      </c>
      <c r="F95" s="51" t="s">
        <v>813</v>
      </c>
      <c r="G95" s="51">
        <v>1948659</v>
      </c>
      <c r="H95" s="51" t="s">
        <v>1095</v>
      </c>
      <c r="I95" s="51">
        <v>0</v>
      </c>
      <c r="J95" s="51" t="s">
        <v>1095</v>
      </c>
      <c r="K95" s="51">
        <v>0</v>
      </c>
      <c r="L95" s="51" t="s">
        <v>1095</v>
      </c>
      <c r="M95" s="846">
        <v>1948659</v>
      </c>
      <c r="N95" s="51" t="s">
        <v>1095</v>
      </c>
      <c r="O95" s="51">
        <v>0</v>
      </c>
      <c r="P95" s="51">
        <v>0</v>
      </c>
      <c r="Q95" s="51">
        <v>10497</v>
      </c>
      <c r="R95" s="51" t="s">
        <v>1095</v>
      </c>
      <c r="S95" s="51">
        <v>775240</v>
      </c>
      <c r="T95" s="51" t="s">
        <v>1095</v>
      </c>
      <c r="U95" s="847">
        <v>1183916</v>
      </c>
      <c r="V95" s="51" t="s">
        <v>1095</v>
      </c>
      <c r="W95" s="51">
        <v>209234</v>
      </c>
      <c r="X95" s="51" t="s">
        <v>1095</v>
      </c>
      <c r="Y95" s="847">
        <v>209234</v>
      </c>
      <c r="Z95" s="51" t="s">
        <v>1095</v>
      </c>
      <c r="AA95" s="51"/>
      <c r="AB95" s="51"/>
      <c r="AC95" s="51"/>
      <c r="AD95" s="51"/>
      <c r="AE95" s="51"/>
      <c r="AF95" s="51"/>
      <c r="AG95" s="51"/>
    </row>
    <row r="96" spans="1:33" x14ac:dyDescent="0.2">
      <c r="A96" s="249">
        <v>1</v>
      </c>
      <c r="B96" s="463" t="s">
        <v>158</v>
      </c>
      <c r="C96" s="463" t="s">
        <v>1415</v>
      </c>
      <c r="D96" s="266" t="s">
        <v>157</v>
      </c>
      <c r="E96" s="266" t="s">
        <v>970</v>
      </c>
      <c r="F96" s="51" t="s">
        <v>970</v>
      </c>
      <c r="G96" s="51">
        <v>876072</v>
      </c>
      <c r="H96" s="51" t="s">
        <v>1095</v>
      </c>
      <c r="I96" s="51">
        <v>-6413</v>
      </c>
      <c r="J96" s="51" t="s">
        <v>1095</v>
      </c>
      <c r="K96" s="51">
        <v>-13667</v>
      </c>
      <c r="L96" s="51" t="s">
        <v>1095</v>
      </c>
      <c r="M96" s="846">
        <v>855992</v>
      </c>
      <c r="N96" s="51" t="s">
        <v>1095</v>
      </c>
      <c r="O96" s="51">
        <v>0</v>
      </c>
      <c r="P96" s="51">
        <v>0</v>
      </c>
      <c r="Q96" s="51">
        <v>0</v>
      </c>
      <c r="R96" s="51" t="s">
        <v>1095</v>
      </c>
      <c r="S96" s="51">
        <v>0</v>
      </c>
      <c r="T96" s="51" t="s">
        <v>1095</v>
      </c>
      <c r="U96" s="847">
        <v>855992</v>
      </c>
      <c r="V96" s="51" t="s">
        <v>1095</v>
      </c>
      <c r="W96" s="51">
        <v>0</v>
      </c>
      <c r="X96" s="51" t="s">
        <v>1095</v>
      </c>
      <c r="Y96" s="847">
        <v>0</v>
      </c>
      <c r="Z96" s="51" t="s">
        <v>1095</v>
      </c>
      <c r="AA96" s="51"/>
      <c r="AB96" s="51"/>
      <c r="AC96" s="51"/>
      <c r="AD96" s="51"/>
      <c r="AE96" s="51"/>
      <c r="AF96" s="51"/>
      <c r="AG96" s="51"/>
    </row>
    <row r="97" spans="1:33" x14ac:dyDescent="0.2">
      <c r="A97" s="249">
        <v>1</v>
      </c>
      <c r="B97" s="463" t="s">
        <v>158</v>
      </c>
      <c r="C97" s="463" t="s">
        <v>1416</v>
      </c>
      <c r="D97" s="266" t="s">
        <v>157</v>
      </c>
      <c r="E97" s="266" t="s">
        <v>971</v>
      </c>
      <c r="F97" s="51" t="s">
        <v>971</v>
      </c>
      <c r="G97" s="51">
        <v>392911</v>
      </c>
      <c r="H97" s="51" t="s">
        <v>1095</v>
      </c>
      <c r="I97" s="51">
        <v>-2876</v>
      </c>
      <c r="J97" s="51" t="s">
        <v>1095</v>
      </c>
      <c r="K97" s="51">
        <v>-6129</v>
      </c>
      <c r="L97" s="51" t="s">
        <v>1095</v>
      </c>
      <c r="M97" s="846">
        <v>383906</v>
      </c>
      <c r="N97" s="51" t="s">
        <v>1095</v>
      </c>
      <c r="O97" s="51">
        <v>0</v>
      </c>
      <c r="P97" s="51">
        <v>0</v>
      </c>
      <c r="Q97" s="51">
        <v>0</v>
      </c>
      <c r="R97" s="51" t="s">
        <v>1095</v>
      </c>
      <c r="S97" s="51">
        <v>202888</v>
      </c>
      <c r="T97" s="51" t="s">
        <v>1095</v>
      </c>
      <c r="U97" s="847">
        <v>181018</v>
      </c>
      <c r="V97" s="51" t="s">
        <v>1095</v>
      </c>
      <c r="W97" s="51">
        <v>149938</v>
      </c>
      <c r="X97" s="51" t="s">
        <v>1095</v>
      </c>
      <c r="Y97" s="847">
        <v>149938</v>
      </c>
      <c r="Z97" s="51" t="s">
        <v>1095</v>
      </c>
      <c r="AA97" s="51"/>
      <c r="AB97" s="51"/>
      <c r="AC97" s="51"/>
      <c r="AD97" s="51"/>
      <c r="AE97" s="51"/>
      <c r="AF97" s="51"/>
      <c r="AG97" s="51"/>
    </row>
    <row r="98" spans="1:33" x14ac:dyDescent="0.2">
      <c r="A98" s="249">
        <v>2</v>
      </c>
      <c r="B98" s="463" t="s">
        <v>158</v>
      </c>
      <c r="C98" s="463" t="s">
        <v>1417</v>
      </c>
      <c r="D98" s="266" t="s">
        <v>157</v>
      </c>
      <c r="E98" s="266" t="s">
        <v>972</v>
      </c>
      <c r="F98" s="51" t="s">
        <v>972</v>
      </c>
      <c r="G98" s="51">
        <v>0</v>
      </c>
      <c r="H98" s="51" t="s">
        <v>1095</v>
      </c>
      <c r="I98" s="51">
        <v>0</v>
      </c>
      <c r="J98" s="51" t="s">
        <v>1095</v>
      </c>
      <c r="K98" s="51">
        <v>0</v>
      </c>
      <c r="L98" s="51" t="s">
        <v>1095</v>
      </c>
      <c r="M98" s="846">
        <v>0</v>
      </c>
      <c r="N98" s="51" t="s">
        <v>1095</v>
      </c>
      <c r="O98" s="51">
        <v>0</v>
      </c>
      <c r="P98" s="51">
        <v>0</v>
      </c>
      <c r="Q98" s="51">
        <v>0</v>
      </c>
      <c r="R98" s="51" t="s">
        <v>1095</v>
      </c>
      <c r="S98" s="51">
        <v>0</v>
      </c>
      <c r="T98" s="51" t="s">
        <v>1095</v>
      </c>
      <c r="U98" s="847">
        <v>0</v>
      </c>
      <c r="V98" s="51" t="s">
        <v>1095</v>
      </c>
      <c r="W98" s="51">
        <v>0</v>
      </c>
      <c r="X98" s="51" t="s">
        <v>1095</v>
      </c>
      <c r="Y98" s="847">
        <v>0</v>
      </c>
      <c r="Z98" s="51" t="s">
        <v>1095</v>
      </c>
      <c r="AA98" s="51"/>
      <c r="AB98" s="51"/>
      <c r="AC98" s="51"/>
      <c r="AD98" s="51"/>
      <c r="AE98" s="51"/>
      <c r="AF98" s="51"/>
      <c r="AG98" s="51"/>
    </row>
    <row r="99" spans="1:33" x14ac:dyDescent="0.2">
      <c r="A99" s="249">
        <v>3</v>
      </c>
      <c r="B99" s="463" t="s">
        <v>170</v>
      </c>
      <c r="C99" s="463" t="s">
        <v>1418</v>
      </c>
      <c r="D99" s="266" t="s">
        <v>169</v>
      </c>
      <c r="E99" s="266" t="s">
        <v>973</v>
      </c>
      <c r="F99" s="51" t="s">
        <v>973</v>
      </c>
      <c r="G99" s="51">
        <v>0</v>
      </c>
      <c r="H99" s="51" t="s">
        <v>1095</v>
      </c>
      <c r="I99" s="51">
        <v>0</v>
      </c>
      <c r="J99" s="51" t="s">
        <v>1095</v>
      </c>
      <c r="K99" s="51">
        <v>0</v>
      </c>
      <c r="L99" s="51" t="s">
        <v>1095</v>
      </c>
      <c r="M99" s="846">
        <v>0</v>
      </c>
      <c r="N99" s="51" t="s">
        <v>1095</v>
      </c>
      <c r="O99" s="51">
        <v>0</v>
      </c>
      <c r="P99" s="51">
        <v>0</v>
      </c>
      <c r="Q99" s="51">
        <v>0</v>
      </c>
      <c r="R99" s="51" t="s">
        <v>1095</v>
      </c>
      <c r="S99" s="51">
        <v>0</v>
      </c>
      <c r="T99" s="51" t="s">
        <v>1095</v>
      </c>
      <c r="U99" s="847">
        <v>0</v>
      </c>
      <c r="V99" s="51" t="s">
        <v>1095</v>
      </c>
      <c r="W99" s="51">
        <v>79701</v>
      </c>
      <c r="X99" s="51" t="s">
        <v>1095</v>
      </c>
      <c r="Y99" s="847">
        <v>79701</v>
      </c>
      <c r="Z99" s="51" t="s">
        <v>1095</v>
      </c>
      <c r="AA99" s="51"/>
      <c r="AB99" s="51"/>
      <c r="AC99" s="51"/>
      <c r="AD99" s="51"/>
      <c r="AE99" s="51"/>
      <c r="AF99" s="51"/>
      <c r="AG99" s="51"/>
    </row>
    <row r="100" spans="1:33" x14ac:dyDescent="0.2">
      <c r="A100" s="249">
        <v>4</v>
      </c>
      <c r="B100" s="463" t="s">
        <v>172</v>
      </c>
      <c r="C100" s="463" t="s">
        <v>1419</v>
      </c>
      <c r="D100" s="266" t="s">
        <v>171</v>
      </c>
      <c r="E100" s="266" t="s">
        <v>803</v>
      </c>
      <c r="F100" s="51" t="s">
        <v>803</v>
      </c>
      <c r="G100" s="51">
        <v>133648</v>
      </c>
      <c r="H100" s="51" t="s">
        <v>1095</v>
      </c>
      <c r="I100" s="51">
        <v>0</v>
      </c>
      <c r="J100" s="51" t="s">
        <v>1095</v>
      </c>
      <c r="K100" s="51">
        <v>0</v>
      </c>
      <c r="L100" s="51" t="s">
        <v>1095</v>
      </c>
      <c r="M100" s="846">
        <v>133648</v>
      </c>
      <c r="N100" s="51" t="s">
        <v>1095</v>
      </c>
      <c r="O100" s="51">
        <v>0</v>
      </c>
      <c r="P100" s="51">
        <v>0</v>
      </c>
      <c r="Q100" s="51">
        <v>0</v>
      </c>
      <c r="R100" s="51" t="s">
        <v>1095</v>
      </c>
      <c r="S100" s="51">
        <v>0</v>
      </c>
      <c r="T100" s="51" t="s">
        <v>1095</v>
      </c>
      <c r="U100" s="847">
        <v>133648</v>
      </c>
      <c r="V100" s="51" t="s">
        <v>1095</v>
      </c>
      <c r="W100" s="51">
        <v>63660</v>
      </c>
      <c r="X100" s="51" t="s">
        <v>1095</v>
      </c>
      <c r="Y100" s="847">
        <v>63660</v>
      </c>
      <c r="Z100" s="51" t="s">
        <v>1095</v>
      </c>
      <c r="AA100" s="51"/>
      <c r="AB100" s="51"/>
      <c r="AC100" s="51"/>
      <c r="AD100" s="51"/>
      <c r="AE100" s="51"/>
      <c r="AF100" s="51"/>
      <c r="AG100" s="51"/>
    </row>
    <row r="101" spans="1:33" x14ac:dyDescent="0.2">
      <c r="A101" s="249">
        <v>5</v>
      </c>
      <c r="B101" s="463" t="s">
        <v>172</v>
      </c>
      <c r="C101" s="463" t="s">
        <v>1420</v>
      </c>
      <c r="D101" s="266" t="s">
        <v>171</v>
      </c>
      <c r="E101" s="266" t="s">
        <v>804</v>
      </c>
      <c r="F101" s="51" t="s">
        <v>804</v>
      </c>
      <c r="G101" s="51">
        <v>2169484</v>
      </c>
      <c r="H101" s="51" t="s">
        <v>1095</v>
      </c>
      <c r="I101" s="51">
        <v>0</v>
      </c>
      <c r="J101" s="51" t="s">
        <v>1095</v>
      </c>
      <c r="K101" s="51">
        <v>0</v>
      </c>
      <c r="L101" s="51" t="s">
        <v>1095</v>
      </c>
      <c r="M101" s="846">
        <v>2169484</v>
      </c>
      <c r="N101" s="51" t="s">
        <v>1095</v>
      </c>
      <c r="O101" s="51">
        <v>0</v>
      </c>
      <c r="P101" s="51">
        <v>0</v>
      </c>
      <c r="Q101" s="51">
        <v>0</v>
      </c>
      <c r="R101" s="51" t="s">
        <v>1095</v>
      </c>
      <c r="S101" s="51">
        <v>171989</v>
      </c>
      <c r="T101" s="51" t="s">
        <v>1095</v>
      </c>
      <c r="U101" s="847">
        <v>1997495</v>
      </c>
      <c r="V101" s="51" t="s">
        <v>1095</v>
      </c>
      <c r="W101" s="51">
        <v>0</v>
      </c>
      <c r="X101" s="51" t="s">
        <v>1095</v>
      </c>
      <c r="Y101" s="847">
        <v>0</v>
      </c>
      <c r="Z101" s="51" t="s">
        <v>1095</v>
      </c>
      <c r="AA101" s="51"/>
      <c r="AB101" s="51"/>
      <c r="AC101" s="51"/>
      <c r="AD101" s="51"/>
      <c r="AE101" s="51"/>
      <c r="AF101" s="51"/>
      <c r="AG101" s="51"/>
    </row>
    <row r="102" spans="1:33" x14ac:dyDescent="0.2">
      <c r="A102" s="249">
        <v>6</v>
      </c>
      <c r="B102" s="463" t="s">
        <v>172</v>
      </c>
      <c r="C102" s="463" t="s">
        <v>1421</v>
      </c>
      <c r="D102" s="266" t="s">
        <v>171</v>
      </c>
      <c r="E102" s="266" t="s">
        <v>974</v>
      </c>
      <c r="F102" s="51" t="s">
        <v>974</v>
      </c>
      <c r="G102" s="51">
        <v>62357</v>
      </c>
      <c r="H102" s="51" t="s">
        <v>1095</v>
      </c>
      <c r="I102" s="51">
        <v>0</v>
      </c>
      <c r="J102" s="51" t="s">
        <v>1095</v>
      </c>
      <c r="K102" s="51">
        <v>0</v>
      </c>
      <c r="L102" s="51" t="s">
        <v>1095</v>
      </c>
      <c r="M102" s="846">
        <v>62357</v>
      </c>
      <c r="N102" s="51" t="s">
        <v>1095</v>
      </c>
      <c r="O102" s="51">
        <v>0</v>
      </c>
      <c r="P102" s="51">
        <v>0</v>
      </c>
      <c r="Q102" s="51">
        <v>0</v>
      </c>
      <c r="R102" s="51" t="s">
        <v>1095</v>
      </c>
      <c r="S102" s="51">
        <v>0</v>
      </c>
      <c r="T102" s="51" t="s">
        <v>1095</v>
      </c>
      <c r="U102" s="847">
        <v>62357</v>
      </c>
      <c r="V102" s="51" t="s">
        <v>1095</v>
      </c>
      <c r="W102" s="51">
        <v>0</v>
      </c>
      <c r="X102" s="51" t="s">
        <v>1095</v>
      </c>
      <c r="Y102" s="847">
        <v>0</v>
      </c>
      <c r="Z102" s="51" t="s">
        <v>1095</v>
      </c>
      <c r="AA102" s="51"/>
      <c r="AB102" s="51"/>
      <c r="AC102" s="51"/>
      <c r="AD102" s="51"/>
      <c r="AE102" s="51"/>
      <c r="AF102" s="51"/>
      <c r="AG102" s="51"/>
    </row>
    <row r="103" spans="1:33" x14ac:dyDescent="0.2">
      <c r="A103" s="249">
        <v>7</v>
      </c>
      <c r="B103" s="463" t="s">
        <v>172</v>
      </c>
      <c r="C103" s="463" t="s">
        <v>1422</v>
      </c>
      <c r="D103" s="266" t="s">
        <v>171</v>
      </c>
      <c r="E103" s="266" t="s">
        <v>975</v>
      </c>
      <c r="F103" s="51" t="s">
        <v>975</v>
      </c>
      <c r="G103" s="51">
        <v>202358</v>
      </c>
      <c r="H103" s="51" t="s">
        <v>1095</v>
      </c>
      <c r="I103" s="51">
        <v>0</v>
      </c>
      <c r="J103" s="51" t="s">
        <v>1095</v>
      </c>
      <c r="K103" s="51">
        <v>0</v>
      </c>
      <c r="L103" s="51" t="s">
        <v>1095</v>
      </c>
      <c r="M103" s="846">
        <v>202358</v>
      </c>
      <c r="N103" s="51" t="s">
        <v>1095</v>
      </c>
      <c r="O103" s="51">
        <v>0</v>
      </c>
      <c r="P103" s="51">
        <v>0</v>
      </c>
      <c r="Q103" s="51">
        <v>0</v>
      </c>
      <c r="R103" s="51" t="s">
        <v>1095</v>
      </c>
      <c r="S103" s="51">
        <v>0</v>
      </c>
      <c r="T103" s="51" t="s">
        <v>1095</v>
      </c>
      <c r="U103" s="847">
        <v>202358</v>
      </c>
      <c r="V103" s="51" t="s">
        <v>1095</v>
      </c>
      <c r="W103" s="51">
        <v>0</v>
      </c>
      <c r="X103" s="51" t="s">
        <v>1095</v>
      </c>
      <c r="Y103" s="847">
        <v>0</v>
      </c>
      <c r="Z103" s="51" t="s">
        <v>1095</v>
      </c>
      <c r="AA103" s="51"/>
      <c r="AB103" s="51"/>
      <c r="AC103" s="51"/>
      <c r="AD103" s="51"/>
      <c r="AE103" s="51"/>
      <c r="AF103" s="51"/>
      <c r="AG103" s="51"/>
    </row>
    <row r="104" spans="1:33" x14ac:dyDescent="0.2">
      <c r="A104" s="249">
        <v>8</v>
      </c>
      <c r="B104" s="463" t="s">
        <v>172</v>
      </c>
      <c r="C104" s="463" t="s">
        <v>1423</v>
      </c>
      <c r="D104" s="266" t="s">
        <v>171</v>
      </c>
      <c r="E104" s="266" t="s">
        <v>976</v>
      </c>
      <c r="F104" s="51" t="s">
        <v>976</v>
      </c>
      <c r="G104" s="51">
        <v>13994</v>
      </c>
      <c r="H104" s="51" t="s">
        <v>1095</v>
      </c>
      <c r="I104" s="51">
        <v>0</v>
      </c>
      <c r="J104" s="51" t="s">
        <v>1095</v>
      </c>
      <c r="K104" s="51">
        <v>0</v>
      </c>
      <c r="L104" s="51" t="s">
        <v>1095</v>
      </c>
      <c r="M104" s="846">
        <v>13994</v>
      </c>
      <c r="N104" s="51" t="s">
        <v>1095</v>
      </c>
      <c r="O104" s="51">
        <v>0</v>
      </c>
      <c r="P104" s="51">
        <v>0</v>
      </c>
      <c r="Q104" s="51">
        <v>0</v>
      </c>
      <c r="R104" s="51" t="s">
        <v>1095</v>
      </c>
      <c r="S104" s="51">
        <v>0</v>
      </c>
      <c r="T104" s="51" t="s">
        <v>1095</v>
      </c>
      <c r="U104" s="847">
        <v>13994</v>
      </c>
      <c r="V104" s="51" t="s">
        <v>1095</v>
      </c>
      <c r="W104" s="51">
        <v>0</v>
      </c>
      <c r="X104" s="51" t="s">
        <v>1095</v>
      </c>
      <c r="Y104" s="847">
        <v>0</v>
      </c>
      <c r="Z104" s="51" t="s">
        <v>1095</v>
      </c>
      <c r="AA104" s="51"/>
      <c r="AB104" s="51"/>
      <c r="AC104" s="51"/>
      <c r="AD104" s="51"/>
      <c r="AE104" s="51"/>
      <c r="AF104" s="51"/>
      <c r="AG104" s="51"/>
    </row>
    <row r="105" spans="1:33" x14ac:dyDescent="0.2">
      <c r="A105" s="249">
        <v>9</v>
      </c>
      <c r="B105" s="463" t="s">
        <v>172</v>
      </c>
      <c r="C105" s="463" t="s">
        <v>1424</v>
      </c>
      <c r="D105" s="266" t="s">
        <v>171</v>
      </c>
      <c r="E105" s="266" t="s">
        <v>977</v>
      </c>
      <c r="F105" s="51" t="s">
        <v>977</v>
      </c>
      <c r="G105" s="51">
        <v>17185</v>
      </c>
      <c r="H105" s="51" t="s">
        <v>1095</v>
      </c>
      <c r="I105" s="51">
        <v>0</v>
      </c>
      <c r="J105" s="51" t="s">
        <v>1095</v>
      </c>
      <c r="K105" s="51">
        <v>0</v>
      </c>
      <c r="L105" s="51" t="s">
        <v>1095</v>
      </c>
      <c r="M105" s="846">
        <v>17185</v>
      </c>
      <c r="N105" s="51" t="s">
        <v>1095</v>
      </c>
      <c r="O105" s="51">
        <v>0</v>
      </c>
      <c r="P105" s="51">
        <v>0</v>
      </c>
      <c r="Q105" s="51">
        <v>0</v>
      </c>
      <c r="R105" s="51" t="s">
        <v>1095</v>
      </c>
      <c r="S105" s="51">
        <v>17880</v>
      </c>
      <c r="T105" s="51" t="s">
        <v>1095</v>
      </c>
      <c r="U105" s="847">
        <v>0</v>
      </c>
      <c r="V105" s="51" t="s">
        <v>1095</v>
      </c>
      <c r="W105" s="51">
        <v>0</v>
      </c>
      <c r="X105" s="51" t="s">
        <v>1095</v>
      </c>
      <c r="Y105" s="847">
        <v>0</v>
      </c>
      <c r="Z105" s="51" t="s">
        <v>1095</v>
      </c>
      <c r="AA105" s="51"/>
      <c r="AB105" s="51"/>
      <c r="AC105" s="51"/>
      <c r="AD105" s="51"/>
      <c r="AE105" s="51"/>
      <c r="AF105" s="51"/>
      <c r="AG105" s="51"/>
    </row>
    <row r="106" spans="1:33" x14ac:dyDescent="0.2">
      <c r="A106" s="249">
        <v>10</v>
      </c>
      <c r="B106" s="463" t="s">
        <v>172</v>
      </c>
      <c r="C106" s="463" t="s">
        <v>1425</v>
      </c>
      <c r="D106" s="266" t="s">
        <v>171</v>
      </c>
      <c r="E106" s="266" t="s">
        <v>978</v>
      </c>
      <c r="F106" s="51" t="s">
        <v>978</v>
      </c>
      <c r="G106" s="51">
        <v>1276600</v>
      </c>
      <c r="H106" s="51" t="s">
        <v>1095</v>
      </c>
      <c r="I106" s="51">
        <v>0</v>
      </c>
      <c r="J106" s="51" t="s">
        <v>1095</v>
      </c>
      <c r="K106" s="51">
        <v>0</v>
      </c>
      <c r="L106" s="51" t="s">
        <v>1095</v>
      </c>
      <c r="M106" s="846">
        <v>1276600</v>
      </c>
      <c r="N106" s="51" t="s">
        <v>1095</v>
      </c>
      <c r="O106" s="51">
        <v>1276600</v>
      </c>
      <c r="P106" s="51">
        <v>0</v>
      </c>
      <c r="Q106" s="51">
        <v>0</v>
      </c>
      <c r="R106" s="51" t="s">
        <v>1095</v>
      </c>
      <c r="S106" s="51">
        <v>0</v>
      </c>
      <c r="T106" s="51" t="s">
        <v>1095</v>
      </c>
      <c r="U106" s="847">
        <v>0</v>
      </c>
      <c r="V106" s="51" t="s">
        <v>1095</v>
      </c>
      <c r="W106" s="51">
        <v>0</v>
      </c>
      <c r="X106" s="51" t="s">
        <v>1095</v>
      </c>
      <c r="Y106" s="847">
        <v>0</v>
      </c>
      <c r="Z106" s="51" t="s">
        <v>1095</v>
      </c>
      <c r="AA106" s="51"/>
      <c r="AB106" s="51"/>
      <c r="AC106" s="51"/>
      <c r="AD106" s="51"/>
      <c r="AE106" s="51"/>
      <c r="AF106" s="51"/>
      <c r="AG106" s="51"/>
    </row>
    <row r="107" spans="1:33" x14ac:dyDescent="0.2">
      <c r="A107" s="249">
        <v>11</v>
      </c>
      <c r="B107" s="463" t="s">
        <v>172</v>
      </c>
      <c r="C107" s="463" t="s">
        <v>1426</v>
      </c>
      <c r="D107" s="266" t="s">
        <v>171</v>
      </c>
      <c r="E107" s="266" t="s">
        <v>979</v>
      </c>
      <c r="F107" s="51" t="s">
        <v>979</v>
      </c>
      <c r="G107" s="51">
        <v>9280</v>
      </c>
      <c r="H107" s="51" t="s">
        <v>1095</v>
      </c>
      <c r="I107" s="51">
        <v>0</v>
      </c>
      <c r="J107" s="51" t="s">
        <v>1095</v>
      </c>
      <c r="K107" s="51">
        <v>0</v>
      </c>
      <c r="L107" s="51" t="s">
        <v>1095</v>
      </c>
      <c r="M107" s="846">
        <v>9280</v>
      </c>
      <c r="N107" s="51" t="s">
        <v>1095</v>
      </c>
      <c r="O107" s="51">
        <v>0</v>
      </c>
      <c r="P107" s="51">
        <v>0</v>
      </c>
      <c r="Q107" s="51">
        <v>0</v>
      </c>
      <c r="R107" s="51" t="s">
        <v>1095</v>
      </c>
      <c r="S107" s="51">
        <v>3507</v>
      </c>
      <c r="T107" s="51" t="s">
        <v>1095</v>
      </c>
      <c r="U107" s="847">
        <v>5773</v>
      </c>
      <c r="V107" s="51" t="s">
        <v>1095</v>
      </c>
      <c r="W107" s="51">
        <v>0</v>
      </c>
      <c r="X107" s="51" t="s">
        <v>1095</v>
      </c>
      <c r="Y107" s="847">
        <v>0</v>
      </c>
      <c r="Z107" s="51" t="s">
        <v>1095</v>
      </c>
      <c r="AA107" s="51"/>
      <c r="AB107" s="51"/>
      <c r="AC107" s="51"/>
      <c r="AD107" s="51"/>
      <c r="AE107" s="51"/>
      <c r="AF107" s="51"/>
      <c r="AG107" s="51"/>
    </row>
    <row r="108" spans="1:33" x14ac:dyDescent="0.2">
      <c r="A108" s="249">
        <v>12</v>
      </c>
      <c r="B108" s="463" t="s">
        <v>172</v>
      </c>
      <c r="C108" s="463" t="s">
        <v>1427</v>
      </c>
      <c r="D108" s="266" t="s">
        <v>171</v>
      </c>
      <c r="E108" s="266" t="s">
        <v>980</v>
      </c>
      <c r="F108" s="51" t="s">
        <v>980</v>
      </c>
      <c r="G108" s="51">
        <v>66653</v>
      </c>
      <c r="H108" s="51" t="s">
        <v>1095</v>
      </c>
      <c r="I108" s="51">
        <v>0</v>
      </c>
      <c r="J108" s="51" t="s">
        <v>1095</v>
      </c>
      <c r="K108" s="51">
        <v>0</v>
      </c>
      <c r="L108" s="51" t="s">
        <v>1095</v>
      </c>
      <c r="M108" s="846">
        <v>66653</v>
      </c>
      <c r="N108" s="51" t="s">
        <v>1095</v>
      </c>
      <c r="O108" s="51">
        <v>0</v>
      </c>
      <c r="P108" s="51">
        <v>0</v>
      </c>
      <c r="Q108" s="51">
        <v>0</v>
      </c>
      <c r="R108" s="51" t="s">
        <v>1095</v>
      </c>
      <c r="S108" s="51">
        <v>32887</v>
      </c>
      <c r="T108" s="51" t="s">
        <v>1095</v>
      </c>
      <c r="U108" s="847">
        <v>33766</v>
      </c>
      <c r="V108" s="51" t="s">
        <v>1095</v>
      </c>
      <c r="W108" s="51">
        <v>0</v>
      </c>
      <c r="X108" s="51" t="s">
        <v>1095</v>
      </c>
      <c r="Y108" s="847">
        <v>0</v>
      </c>
      <c r="Z108" s="51" t="s">
        <v>1095</v>
      </c>
      <c r="AA108" s="51"/>
      <c r="AB108" s="51"/>
      <c r="AC108" s="51"/>
      <c r="AD108" s="51"/>
      <c r="AE108" s="51"/>
      <c r="AF108" s="51"/>
      <c r="AG108" s="51"/>
    </row>
    <row r="109" spans="1:33" x14ac:dyDescent="0.2">
      <c r="A109" s="249">
        <v>13</v>
      </c>
      <c r="B109" s="463" t="s">
        <v>172</v>
      </c>
      <c r="C109" s="463" t="s">
        <v>1428</v>
      </c>
      <c r="D109" s="266" t="s">
        <v>171</v>
      </c>
      <c r="E109" s="266" t="s">
        <v>981</v>
      </c>
      <c r="F109" s="51" t="s">
        <v>981</v>
      </c>
      <c r="G109" s="51">
        <v>33020</v>
      </c>
      <c r="H109" s="51" t="s">
        <v>1095</v>
      </c>
      <c r="I109" s="51">
        <v>0</v>
      </c>
      <c r="J109" s="51" t="s">
        <v>1095</v>
      </c>
      <c r="K109" s="51">
        <v>0</v>
      </c>
      <c r="L109" s="51" t="s">
        <v>1095</v>
      </c>
      <c r="M109" s="846">
        <v>33020</v>
      </c>
      <c r="N109" s="51" t="s">
        <v>1095</v>
      </c>
      <c r="O109" s="51">
        <v>0</v>
      </c>
      <c r="P109" s="51">
        <v>0</v>
      </c>
      <c r="Q109" s="51">
        <v>0</v>
      </c>
      <c r="R109" s="51" t="s">
        <v>1095</v>
      </c>
      <c r="S109" s="51">
        <v>6156</v>
      </c>
      <c r="T109" s="51" t="s">
        <v>1095</v>
      </c>
      <c r="U109" s="847">
        <v>26864</v>
      </c>
      <c r="V109" s="51" t="s">
        <v>1095</v>
      </c>
      <c r="W109" s="51">
        <v>0</v>
      </c>
      <c r="X109" s="51" t="s">
        <v>1095</v>
      </c>
      <c r="Y109" s="847">
        <v>0</v>
      </c>
      <c r="Z109" s="51" t="s">
        <v>1095</v>
      </c>
      <c r="AA109" s="51"/>
      <c r="AB109" s="51"/>
      <c r="AC109" s="51"/>
      <c r="AD109" s="51"/>
      <c r="AE109" s="51"/>
      <c r="AF109" s="51"/>
      <c r="AG109" s="51"/>
    </row>
    <row r="110" spans="1:33" x14ac:dyDescent="0.2">
      <c r="A110" s="249">
        <v>14</v>
      </c>
      <c r="B110" s="463" t="s">
        <v>172</v>
      </c>
      <c r="C110" s="463" t="s">
        <v>1429</v>
      </c>
      <c r="D110" s="266" t="s">
        <v>171</v>
      </c>
      <c r="E110" s="266" t="s">
        <v>982</v>
      </c>
      <c r="F110" s="51" t="s">
        <v>982</v>
      </c>
      <c r="G110" s="51">
        <v>0</v>
      </c>
      <c r="H110" s="51" t="s">
        <v>1095</v>
      </c>
      <c r="I110" s="51">
        <v>0</v>
      </c>
      <c r="J110" s="51" t="s">
        <v>1095</v>
      </c>
      <c r="K110" s="51">
        <v>0</v>
      </c>
      <c r="L110" s="51" t="s">
        <v>1095</v>
      </c>
      <c r="M110" s="846">
        <v>0</v>
      </c>
      <c r="N110" s="51" t="s">
        <v>1095</v>
      </c>
      <c r="O110" s="51">
        <v>0</v>
      </c>
      <c r="P110" s="51">
        <v>0</v>
      </c>
      <c r="Q110" s="51">
        <v>0</v>
      </c>
      <c r="R110" s="51" t="s">
        <v>1095</v>
      </c>
      <c r="S110" s="51">
        <v>7856</v>
      </c>
      <c r="T110" s="51" t="s">
        <v>1095</v>
      </c>
      <c r="U110" s="847">
        <v>0</v>
      </c>
      <c r="V110" s="51" t="s">
        <v>1095</v>
      </c>
      <c r="W110" s="51">
        <v>0</v>
      </c>
      <c r="X110" s="51" t="s">
        <v>1095</v>
      </c>
      <c r="Y110" s="847">
        <v>0</v>
      </c>
      <c r="Z110" s="51" t="s">
        <v>1095</v>
      </c>
      <c r="AA110" s="51"/>
      <c r="AB110" s="51"/>
      <c r="AC110" s="51"/>
      <c r="AD110" s="51"/>
      <c r="AE110" s="51"/>
      <c r="AF110" s="51"/>
      <c r="AG110" s="51"/>
    </row>
    <row r="111" spans="1:33" x14ac:dyDescent="0.2">
      <c r="A111" s="249">
        <v>15</v>
      </c>
      <c r="B111" s="463" t="s">
        <v>172</v>
      </c>
      <c r="C111" s="463" t="s">
        <v>1430</v>
      </c>
      <c r="D111" s="266" t="s">
        <v>171</v>
      </c>
      <c r="E111" s="266" t="s">
        <v>983</v>
      </c>
      <c r="F111" s="51" t="s">
        <v>983</v>
      </c>
      <c r="G111" s="51">
        <v>3633</v>
      </c>
      <c r="H111" s="51" t="s">
        <v>1095</v>
      </c>
      <c r="I111" s="51">
        <v>0</v>
      </c>
      <c r="J111" s="51" t="s">
        <v>1095</v>
      </c>
      <c r="K111" s="51">
        <v>0</v>
      </c>
      <c r="L111" s="51" t="s">
        <v>1095</v>
      </c>
      <c r="M111" s="846">
        <v>3633</v>
      </c>
      <c r="N111" s="51" t="s">
        <v>1095</v>
      </c>
      <c r="O111" s="51">
        <v>0</v>
      </c>
      <c r="P111" s="51">
        <v>0</v>
      </c>
      <c r="Q111" s="51">
        <v>0</v>
      </c>
      <c r="R111" s="51" t="s">
        <v>1095</v>
      </c>
      <c r="S111" s="51">
        <v>3633</v>
      </c>
      <c r="T111" s="51" t="s">
        <v>1095</v>
      </c>
      <c r="U111" s="847">
        <v>0</v>
      </c>
      <c r="V111" s="51" t="s">
        <v>1095</v>
      </c>
      <c r="W111" s="51">
        <v>0</v>
      </c>
      <c r="X111" s="51" t="s">
        <v>1095</v>
      </c>
      <c r="Y111" s="847">
        <v>0</v>
      </c>
      <c r="Z111" s="51" t="s">
        <v>1095</v>
      </c>
      <c r="AA111" s="51"/>
      <c r="AB111" s="51"/>
      <c r="AC111" s="51"/>
      <c r="AD111" s="51"/>
      <c r="AE111" s="51"/>
      <c r="AF111" s="51"/>
      <c r="AG111" s="51"/>
    </row>
    <row r="112" spans="1:33" x14ac:dyDescent="0.2">
      <c r="A112" s="249">
        <v>16</v>
      </c>
      <c r="B112" s="463" t="s">
        <v>172</v>
      </c>
      <c r="C112" s="463" t="s">
        <v>1431</v>
      </c>
      <c r="D112" s="266" t="s">
        <v>171</v>
      </c>
      <c r="E112" s="266" t="s">
        <v>984</v>
      </c>
      <c r="F112" s="51" t="s">
        <v>984</v>
      </c>
      <c r="G112" s="51">
        <v>262685</v>
      </c>
      <c r="H112" s="51" t="s">
        <v>1095</v>
      </c>
      <c r="I112" s="51">
        <v>0</v>
      </c>
      <c r="J112" s="51" t="s">
        <v>1095</v>
      </c>
      <c r="K112" s="51">
        <v>0</v>
      </c>
      <c r="L112" s="51" t="s">
        <v>1095</v>
      </c>
      <c r="M112" s="846">
        <v>262685</v>
      </c>
      <c r="N112" s="51" t="s">
        <v>1095</v>
      </c>
      <c r="O112" s="51">
        <v>0</v>
      </c>
      <c r="P112" s="51">
        <v>0</v>
      </c>
      <c r="Q112" s="51">
        <v>0</v>
      </c>
      <c r="R112" s="51" t="s">
        <v>1095</v>
      </c>
      <c r="S112" s="51">
        <v>19778</v>
      </c>
      <c r="T112" s="51" t="s">
        <v>1095</v>
      </c>
      <c r="U112" s="847">
        <v>242907</v>
      </c>
      <c r="V112" s="51" t="s">
        <v>1095</v>
      </c>
      <c r="W112" s="51">
        <v>0</v>
      </c>
      <c r="X112" s="51" t="s">
        <v>1095</v>
      </c>
      <c r="Y112" s="847">
        <v>0</v>
      </c>
      <c r="Z112" s="51" t="s">
        <v>1095</v>
      </c>
      <c r="AA112" s="51"/>
      <c r="AB112" s="51"/>
      <c r="AC112" s="51"/>
      <c r="AD112" s="51"/>
      <c r="AE112" s="51"/>
      <c r="AF112" s="51"/>
      <c r="AG112" s="51"/>
    </row>
    <row r="113" spans="1:33" x14ac:dyDescent="0.2">
      <c r="A113" s="249">
        <v>17</v>
      </c>
      <c r="B113" s="463" t="s">
        <v>172</v>
      </c>
      <c r="C113" s="463" t="s">
        <v>1432</v>
      </c>
      <c r="D113" s="266" t="s">
        <v>171</v>
      </c>
      <c r="E113" s="266" t="s">
        <v>985</v>
      </c>
      <c r="F113" s="51" t="s">
        <v>985</v>
      </c>
      <c r="G113" s="51">
        <v>0</v>
      </c>
      <c r="H113" s="51" t="s">
        <v>1095</v>
      </c>
      <c r="I113" s="51">
        <v>0</v>
      </c>
      <c r="J113" s="51" t="s">
        <v>1095</v>
      </c>
      <c r="K113" s="51">
        <v>0</v>
      </c>
      <c r="L113" s="51" t="s">
        <v>1095</v>
      </c>
      <c r="M113" s="846">
        <v>0</v>
      </c>
      <c r="N113" s="51" t="s">
        <v>1095</v>
      </c>
      <c r="O113" s="51">
        <v>0</v>
      </c>
      <c r="P113" s="51">
        <v>0</v>
      </c>
      <c r="Q113" s="51">
        <v>0</v>
      </c>
      <c r="R113" s="51" t="s">
        <v>1095</v>
      </c>
      <c r="S113" s="51">
        <v>0</v>
      </c>
      <c r="T113" s="51" t="s">
        <v>1095</v>
      </c>
      <c r="U113" s="847">
        <v>0</v>
      </c>
      <c r="V113" s="51" t="s">
        <v>1095</v>
      </c>
      <c r="W113" s="51">
        <v>0</v>
      </c>
      <c r="X113" s="51" t="s">
        <v>1095</v>
      </c>
      <c r="Y113" s="847">
        <v>0</v>
      </c>
      <c r="Z113" s="51" t="s">
        <v>1095</v>
      </c>
      <c r="AA113" s="51"/>
      <c r="AB113" s="51"/>
      <c r="AC113" s="51"/>
      <c r="AD113" s="51"/>
      <c r="AE113" s="51"/>
      <c r="AF113" s="51"/>
      <c r="AG113" s="51"/>
    </row>
    <row r="114" spans="1:33" x14ac:dyDescent="0.2">
      <c r="A114" s="249">
        <v>18</v>
      </c>
      <c r="B114" s="463" t="s">
        <v>172</v>
      </c>
      <c r="C114" s="463" t="s">
        <v>1433</v>
      </c>
      <c r="D114" s="266" t="s">
        <v>171</v>
      </c>
      <c r="E114" s="266" t="s">
        <v>986</v>
      </c>
      <c r="F114" s="51" t="s">
        <v>986</v>
      </c>
      <c r="G114" s="51">
        <v>0</v>
      </c>
      <c r="H114" s="51" t="s">
        <v>1095</v>
      </c>
      <c r="I114" s="51">
        <v>0</v>
      </c>
      <c r="J114" s="51" t="s">
        <v>1095</v>
      </c>
      <c r="K114" s="51">
        <v>0</v>
      </c>
      <c r="L114" s="51" t="s">
        <v>1095</v>
      </c>
      <c r="M114" s="846">
        <v>0</v>
      </c>
      <c r="N114" s="51" t="s">
        <v>1095</v>
      </c>
      <c r="O114" s="51">
        <v>0</v>
      </c>
      <c r="P114" s="51">
        <v>0</v>
      </c>
      <c r="Q114" s="51">
        <v>0</v>
      </c>
      <c r="R114" s="51" t="s">
        <v>1095</v>
      </c>
      <c r="S114" s="51">
        <v>4984</v>
      </c>
      <c r="T114" s="51" t="s">
        <v>1095</v>
      </c>
      <c r="U114" s="847">
        <v>0</v>
      </c>
      <c r="V114" s="51" t="s">
        <v>1095</v>
      </c>
      <c r="W114" s="51">
        <v>0</v>
      </c>
      <c r="X114" s="51" t="s">
        <v>1095</v>
      </c>
      <c r="Y114" s="847">
        <v>0</v>
      </c>
      <c r="Z114" s="51" t="s">
        <v>1095</v>
      </c>
      <c r="AA114" s="51"/>
      <c r="AB114" s="51"/>
      <c r="AC114" s="51"/>
      <c r="AD114" s="51"/>
      <c r="AE114" s="51"/>
      <c r="AF114" s="51"/>
      <c r="AG114" s="51"/>
    </row>
    <row r="115" spans="1:33" x14ac:dyDescent="0.2">
      <c r="A115" s="249">
        <v>19</v>
      </c>
      <c r="B115" s="463" t="s">
        <v>172</v>
      </c>
      <c r="C115" s="463" t="s">
        <v>1434</v>
      </c>
      <c r="D115" s="266" t="s">
        <v>171</v>
      </c>
      <c r="E115" s="266" t="s">
        <v>987</v>
      </c>
      <c r="F115" s="51" t="s">
        <v>987</v>
      </c>
      <c r="G115" s="51">
        <v>17560</v>
      </c>
      <c r="H115" s="51" t="s">
        <v>1095</v>
      </c>
      <c r="I115" s="51">
        <v>0</v>
      </c>
      <c r="J115" s="51" t="s">
        <v>1095</v>
      </c>
      <c r="K115" s="51">
        <v>0</v>
      </c>
      <c r="L115" s="51" t="s">
        <v>1095</v>
      </c>
      <c r="M115" s="846">
        <v>17560</v>
      </c>
      <c r="N115" s="51" t="s">
        <v>1095</v>
      </c>
      <c r="O115" s="51">
        <v>0</v>
      </c>
      <c r="P115" s="51">
        <v>0</v>
      </c>
      <c r="Q115" s="51">
        <v>0</v>
      </c>
      <c r="R115" s="51" t="s">
        <v>1095</v>
      </c>
      <c r="S115" s="51">
        <v>8111</v>
      </c>
      <c r="T115" s="51" t="s">
        <v>1095</v>
      </c>
      <c r="U115" s="847">
        <v>9449</v>
      </c>
      <c r="V115" s="51" t="s">
        <v>1095</v>
      </c>
      <c r="W115" s="51">
        <v>0</v>
      </c>
      <c r="X115" s="51" t="s">
        <v>1095</v>
      </c>
      <c r="Y115" s="847">
        <v>0</v>
      </c>
      <c r="Z115" s="51" t="s">
        <v>1095</v>
      </c>
      <c r="AA115" s="51"/>
      <c r="AB115" s="51"/>
      <c r="AC115" s="51"/>
      <c r="AD115" s="51"/>
      <c r="AE115" s="51"/>
      <c r="AF115" s="51"/>
      <c r="AG115" s="51"/>
    </row>
    <row r="116" spans="1:33" x14ac:dyDescent="0.2">
      <c r="A116" s="249">
        <v>20</v>
      </c>
      <c r="B116" s="463" t="s">
        <v>172</v>
      </c>
      <c r="C116" s="463" t="s">
        <v>1435</v>
      </c>
      <c r="D116" s="266" t="s">
        <v>171</v>
      </c>
      <c r="E116" s="266" t="s">
        <v>988</v>
      </c>
      <c r="F116" s="51" t="s">
        <v>988</v>
      </c>
      <c r="G116" s="51">
        <v>0</v>
      </c>
      <c r="H116" s="51" t="s">
        <v>1095</v>
      </c>
      <c r="I116" s="51">
        <v>0</v>
      </c>
      <c r="J116" s="51" t="s">
        <v>1095</v>
      </c>
      <c r="K116" s="51">
        <v>0</v>
      </c>
      <c r="L116" s="51" t="s">
        <v>1095</v>
      </c>
      <c r="M116" s="846">
        <v>0</v>
      </c>
      <c r="N116" s="51" t="s">
        <v>1095</v>
      </c>
      <c r="O116" s="51">
        <v>0</v>
      </c>
      <c r="P116" s="51">
        <v>0</v>
      </c>
      <c r="Q116" s="51">
        <v>0</v>
      </c>
      <c r="R116" s="51" t="s">
        <v>1095</v>
      </c>
      <c r="S116" s="51">
        <v>0</v>
      </c>
      <c r="T116" s="51" t="s">
        <v>1095</v>
      </c>
      <c r="U116" s="847">
        <v>0</v>
      </c>
      <c r="V116" s="51" t="s">
        <v>1095</v>
      </c>
      <c r="W116" s="51">
        <v>0</v>
      </c>
      <c r="X116" s="51" t="s">
        <v>1095</v>
      </c>
      <c r="Y116" s="847">
        <v>0</v>
      </c>
      <c r="Z116" s="51" t="s">
        <v>1095</v>
      </c>
      <c r="AA116" s="51"/>
      <c r="AB116" s="51"/>
      <c r="AC116" s="51"/>
      <c r="AD116" s="51"/>
      <c r="AE116" s="51"/>
      <c r="AF116" s="51"/>
      <c r="AG116" s="51"/>
    </row>
    <row r="117" spans="1:33" x14ac:dyDescent="0.2">
      <c r="A117" s="249">
        <v>21</v>
      </c>
      <c r="B117" s="463" t="s">
        <v>172</v>
      </c>
      <c r="C117" s="463" t="s">
        <v>1436</v>
      </c>
      <c r="D117" s="266" t="s">
        <v>171</v>
      </c>
      <c r="E117" s="266" t="s">
        <v>989</v>
      </c>
      <c r="F117" s="51" t="s">
        <v>989</v>
      </c>
      <c r="G117" s="51">
        <v>0</v>
      </c>
      <c r="H117" s="51" t="s">
        <v>1095</v>
      </c>
      <c r="I117" s="51">
        <v>0</v>
      </c>
      <c r="J117" s="51" t="s">
        <v>1095</v>
      </c>
      <c r="K117" s="51">
        <v>0</v>
      </c>
      <c r="L117" s="51" t="s">
        <v>1095</v>
      </c>
      <c r="M117" s="846">
        <v>0</v>
      </c>
      <c r="N117" s="51" t="s">
        <v>1095</v>
      </c>
      <c r="O117" s="51">
        <v>0</v>
      </c>
      <c r="P117" s="51">
        <v>0</v>
      </c>
      <c r="Q117" s="51">
        <v>0</v>
      </c>
      <c r="R117" s="51" t="s">
        <v>1095</v>
      </c>
      <c r="S117" s="51">
        <v>0</v>
      </c>
      <c r="T117" s="51" t="s">
        <v>1095</v>
      </c>
      <c r="U117" s="847">
        <v>0</v>
      </c>
      <c r="V117" s="51" t="s">
        <v>1095</v>
      </c>
      <c r="W117" s="51">
        <v>0</v>
      </c>
      <c r="X117" s="51" t="s">
        <v>1095</v>
      </c>
      <c r="Y117" s="847">
        <v>0</v>
      </c>
      <c r="Z117" s="51" t="s">
        <v>1095</v>
      </c>
      <c r="AA117" s="51"/>
      <c r="AB117" s="51"/>
      <c r="AC117" s="51"/>
      <c r="AD117" s="51"/>
      <c r="AE117" s="51"/>
      <c r="AF117" s="51"/>
      <c r="AG117" s="51"/>
    </row>
    <row r="118" spans="1:33" x14ac:dyDescent="0.2">
      <c r="A118" s="249">
        <v>22</v>
      </c>
      <c r="B118" s="463" t="s">
        <v>172</v>
      </c>
      <c r="C118" s="463" t="s">
        <v>1437</v>
      </c>
      <c r="D118" s="266" t="s">
        <v>171</v>
      </c>
      <c r="E118" s="266" t="s">
        <v>990</v>
      </c>
      <c r="F118" s="51" t="s">
        <v>990</v>
      </c>
      <c r="G118" s="51">
        <v>75614</v>
      </c>
      <c r="H118" s="51" t="s">
        <v>1095</v>
      </c>
      <c r="I118" s="51">
        <v>0</v>
      </c>
      <c r="J118" s="51" t="s">
        <v>1095</v>
      </c>
      <c r="K118" s="51">
        <v>0</v>
      </c>
      <c r="L118" s="51" t="s">
        <v>1095</v>
      </c>
      <c r="M118" s="846">
        <v>75614</v>
      </c>
      <c r="N118" s="51" t="s">
        <v>1095</v>
      </c>
      <c r="O118" s="51">
        <v>0</v>
      </c>
      <c r="P118" s="51">
        <v>0</v>
      </c>
      <c r="Q118" s="51">
        <v>0</v>
      </c>
      <c r="R118" s="51" t="s">
        <v>1095</v>
      </c>
      <c r="S118" s="51">
        <v>22133</v>
      </c>
      <c r="T118" s="51" t="s">
        <v>1095</v>
      </c>
      <c r="U118" s="847">
        <v>53481</v>
      </c>
      <c r="V118" s="51" t="s">
        <v>1095</v>
      </c>
      <c r="W118" s="51">
        <v>0</v>
      </c>
      <c r="X118" s="51" t="s">
        <v>1095</v>
      </c>
      <c r="Y118" s="847">
        <v>0</v>
      </c>
      <c r="Z118" s="51" t="s">
        <v>1095</v>
      </c>
      <c r="AA118" s="51"/>
      <c r="AB118" s="51"/>
      <c r="AC118" s="51"/>
      <c r="AD118" s="51"/>
      <c r="AE118" s="51"/>
      <c r="AF118" s="51"/>
      <c r="AG118" s="51"/>
    </row>
    <row r="119" spans="1:33" x14ac:dyDescent="0.2">
      <c r="A119" s="249">
        <v>1</v>
      </c>
      <c r="B119" s="463" t="s">
        <v>172</v>
      </c>
      <c r="C119" s="463" t="s">
        <v>1438</v>
      </c>
      <c r="D119" s="266" t="s">
        <v>171</v>
      </c>
      <c r="E119" s="266" t="s">
        <v>991</v>
      </c>
      <c r="F119" s="51" t="s">
        <v>991</v>
      </c>
      <c r="G119" s="51">
        <v>144064</v>
      </c>
      <c r="H119" s="51" t="s">
        <v>1095</v>
      </c>
      <c r="I119" s="51">
        <v>0</v>
      </c>
      <c r="J119" s="51" t="s">
        <v>1095</v>
      </c>
      <c r="K119" s="51">
        <v>0</v>
      </c>
      <c r="L119" s="51" t="s">
        <v>1095</v>
      </c>
      <c r="M119" s="846">
        <v>144064</v>
      </c>
      <c r="N119" s="51" t="s">
        <v>1095</v>
      </c>
      <c r="O119" s="51">
        <v>0</v>
      </c>
      <c r="P119" s="51">
        <v>0</v>
      </c>
      <c r="Q119" s="51">
        <v>0</v>
      </c>
      <c r="R119" s="51" t="s">
        <v>1095</v>
      </c>
      <c r="S119" s="51">
        <v>3437</v>
      </c>
      <c r="T119" s="51" t="s">
        <v>1095</v>
      </c>
      <c r="U119" s="847">
        <v>140627</v>
      </c>
      <c r="V119" s="51" t="s">
        <v>1095</v>
      </c>
      <c r="W119" s="51">
        <v>0</v>
      </c>
      <c r="X119" s="51" t="s">
        <v>1095</v>
      </c>
      <c r="Y119" s="847">
        <v>0</v>
      </c>
      <c r="Z119" s="51" t="s">
        <v>1095</v>
      </c>
      <c r="AA119" s="51"/>
      <c r="AB119" s="51"/>
      <c r="AC119" s="51"/>
      <c r="AD119" s="51"/>
      <c r="AE119" s="51"/>
      <c r="AF119" s="51"/>
      <c r="AG119" s="51"/>
    </row>
    <row r="120" spans="1:33" x14ac:dyDescent="0.2">
      <c r="A120" s="249">
        <v>2</v>
      </c>
      <c r="B120" s="463" t="s">
        <v>172</v>
      </c>
      <c r="C120" s="463" t="s">
        <v>1439</v>
      </c>
      <c r="D120" s="266" t="s">
        <v>171</v>
      </c>
      <c r="E120" s="266" t="s">
        <v>992</v>
      </c>
      <c r="F120" s="51" t="s">
        <v>992</v>
      </c>
      <c r="G120" s="51">
        <v>0</v>
      </c>
      <c r="H120" s="51" t="s">
        <v>1095</v>
      </c>
      <c r="I120" s="51">
        <v>0</v>
      </c>
      <c r="J120" s="51" t="s">
        <v>1095</v>
      </c>
      <c r="K120" s="51">
        <v>0</v>
      </c>
      <c r="L120" s="51" t="s">
        <v>1095</v>
      </c>
      <c r="M120" s="846">
        <v>0</v>
      </c>
      <c r="N120" s="51" t="s">
        <v>1095</v>
      </c>
      <c r="O120" s="51">
        <v>0</v>
      </c>
      <c r="P120" s="51">
        <v>0</v>
      </c>
      <c r="Q120" s="51">
        <v>0</v>
      </c>
      <c r="R120" s="51" t="s">
        <v>1095</v>
      </c>
      <c r="S120" s="51">
        <v>50070</v>
      </c>
      <c r="T120" s="51" t="s">
        <v>1095</v>
      </c>
      <c r="U120" s="847">
        <v>0</v>
      </c>
      <c r="V120" s="51" t="s">
        <v>1095</v>
      </c>
      <c r="W120" s="51">
        <v>0</v>
      </c>
      <c r="X120" s="51" t="s">
        <v>1095</v>
      </c>
      <c r="Y120" s="847">
        <v>0</v>
      </c>
      <c r="Z120" s="51" t="s">
        <v>1095</v>
      </c>
      <c r="AA120" s="51"/>
      <c r="AB120" s="51"/>
      <c r="AC120" s="51"/>
      <c r="AD120" s="51"/>
      <c r="AE120" s="51"/>
      <c r="AF120" s="51"/>
      <c r="AG120" s="51"/>
    </row>
    <row r="121" spans="1:33" x14ac:dyDescent="0.2">
      <c r="A121" s="249">
        <v>3</v>
      </c>
      <c r="B121" s="463" t="s">
        <v>172</v>
      </c>
      <c r="C121" s="463" t="s">
        <v>1440</v>
      </c>
      <c r="D121" s="266" t="s">
        <v>171</v>
      </c>
      <c r="E121" s="266" t="s">
        <v>993</v>
      </c>
      <c r="F121" s="51" t="s">
        <v>993</v>
      </c>
      <c r="G121" s="51">
        <v>60540</v>
      </c>
      <c r="H121" s="51" t="s">
        <v>1095</v>
      </c>
      <c r="I121" s="51">
        <v>0</v>
      </c>
      <c r="J121" s="51" t="s">
        <v>1095</v>
      </c>
      <c r="K121" s="51">
        <v>0</v>
      </c>
      <c r="L121" s="51" t="s">
        <v>1095</v>
      </c>
      <c r="M121" s="846">
        <v>60540</v>
      </c>
      <c r="N121" s="51" t="s">
        <v>1095</v>
      </c>
      <c r="O121" s="51">
        <v>0</v>
      </c>
      <c r="P121" s="51">
        <v>0</v>
      </c>
      <c r="Q121" s="51">
        <v>0</v>
      </c>
      <c r="R121" s="51" t="s">
        <v>1095</v>
      </c>
      <c r="S121" s="51">
        <v>0</v>
      </c>
      <c r="T121" s="51" t="s">
        <v>1095</v>
      </c>
      <c r="U121" s="847">
        <v>60540</v>
      </c>
      <c r="V121" s="51" t="s">
        <v>1095</v>
      </c>
      <c r="W121" s="51">
        <v>0</v>
      </c>
      <c r="X121" s="51" t="s">
        <v>1095</v>
      </c>
      <c r="Y121" s="847">
        <v>0</v>
      </c>
      <c r="Z121" s="51" t="s">
        <v>1095</v>
      </c>
      <c r="AA121" s="51"/>
      <c r="AB121" s="51"/>
      <c r="AC121" s="51"/>
      <c r="AD121" s="51"/>
      <c r="AE121" s="51"/>
      <c r="AF121" s="51"/>
      <c r="AG121" s="51"/>
    </row>
    <row r="122" spans="1:33" x14ac:dyDescent="0.2">
      <c r="A122" s="249">
        <v>1</v>
      </c>
      <c r="B122" s="463" t="s">
        <v>176</v>
      </c>
      <c r="C122" s="463" t="s">
        <v>1441</v>
      </c>
      <c r="D122" s="266" t="s">
        <v>175</v>
      </c>
      <c r="E122" s="266" t="s">
        <v>994</v>
      </c>
      <c r="F122" s="51" t="s">
        <v>994</v>
      </c>
      <c r="G122" s="51">
        <v>0</v>
      </c>
      <c r="H122" s="51" t="s">
        <v>1095</v>
      </c>
      <c r="I122" s="51">
        <v>0</v>
      </c>
      <c r="J122" s="51" t="s">
        <v>1095</v>
      </c>
      <c r="K122" s="51">
        <v>0</v>
      </c>
      <c r="L122" s="51" t="s">
        <v>1095</v>
      </c>
      <c r="M122" s="846">
        <v>0</v>
      </c>
      <c r="N122" s="51" t="s">
        <v>1095</v>
      </c>
      <c r="O122" s="51">
        <v>0</v>
      </c>
      <c r="P122" s="51">
        <v>0</v>
      </c>
      <c r="Q122" s="51">
        <v>0</v>
      </c>
      <c r="R122" s="51" t="s">
        <v>1095</v>
      </c>
      <c r="S122" s="51">
        <v>0</v>
      </c>
      <c r="T122" s="51" t="s">
        <v>1095</v>
      </c>
      <c r="U122" s="847">
        <v>0</v>
      </c>
      <c r="V122" s="51" t="s">
        <v>1095</v>
      </c>
      <c r="W122" s="51">
        <v>0</v>
      </c>
      <c r="X122" s="51" t="s">
        <v>1095</v>
      </c>
      <c r="Y122" s="847">
        <v>0</v>
      </c>
      <c r="Z122" s="51" t="s">
        <v>1095</v>
      </c>
      <c r="AA122" s="51"/>
      <c r="AB122" s="51"/>
      <c r="AC122" s="51"/>
      <c r="AD122" s="51"/>
      <c r="AE122" s="51"/>
      <c r="AF122" s="51"/>
      <c r="AG122" s="51"/>
    </row>
    <row r="123" spans="1:33" x14ac:dyDescent="0.2">
      <c r="A123" s="249">
        <v>1</v>
      </c>
      <c r="B123" s="463" t="s">
        <v>176</v>
      </c>
      <c r="C123" s="463" t="s">
        <v>1442</v>
      </c>
      <c r="D123" s="266" t="s">
        <v>175</v>
      </c>
      <c r="E123" s="266" t="s">
        <v>995</v>
      </c>
      <c r="F123" s="51" t="s">
        <v>995</v>
      </c>
      <c r="G123" s="51">
        <v>87390</v>
      </c>
      <c r="H123" s="51" t="s">
        <v>1095</v>
      </c>
      <c r="I123" s="51">
        <v>0</v>
      </c>
      <c r="J123" s="51" t="s">
        <v>1095</v>
      </c>
      <c r="K123" s="51">
        <v>0</v>
      </c>
      <c r="L123" s="51" t="s">
        <v>1095</v>
      </c>
      <c r="M123" s="846">
        <v>87390</v>
      </c>
      <c r="N123" s="51" t="s">
        <v>1095</v>
      </c>
      <c r="O123" s="51">
        <v>0</v>
      </c>
      <c r="P123" s="51">
        <v>0</v>
      </c>
      <c r="Q123" s="51">
        <v>0</v>
      </c>
      <c r="R123" s="51" t="s">
        <v>1095</v>
      </c>
      <c r="S123" s="51">
        <v>0</v>
      </c>
      <c r="T123" s="51" t="s">
        <v>1095</v>
      </c>
      <c r="U123" s="847">
        <v>87390</v>
      </c>
      <c r="V123" s="51" t="s">
        <v>1095</v>
      </c>
      <c r="W123" s="51">
        <v>101891</v>
      </c>
      <c r="X123" s="51" t="s">
        <v>1095</v>
      </c>
      <c r="Y123" s="847">
        <v>101891</v>
      </c>
      <c r="Z123" s="51" t="s">
        <v>1095</v>
      </c>
      <c r="AA123" s="51"/>
      <c r="AB123" s="51"/>
      <c r="AC123" s="51"/>
      <c r="AD123" s="51"/>
      <c r="AE123" s="51"/>
      <c r="AF123" s="51"/>
      <c r="AG123" s="51"/>
    </row>
    <row r="124" spans="1:33" x14ac:dyDescent="0.2">
      <c r="A124" s="249">
        <v>1</v>
      </c>
      <c r="B124" s="463" t="s">
        <v>176</v>
      </c>
      <c r="C124" s="463" t="s">
        <v>1443</v>
      </c>
      <c r="D124" s="266" t="s">
        <v>175</v>
      </c>
      <c r="E124" s="266" t="s">
        <v>996</v>
      </c>
      <c r="F124" s="51" t="s">
        <v>996</v>
      </c>
      <c r="G124" s="51">
        <v>0</v>
      </c>
      <c r="H124" s="51" t="s">
        <v>1095</v>
      </c>
      <c r="I124" s="51">
        <v>0</v>
      </c>
      <c r="J124" s="51" t="s">
        <v>1095</v>
      </c>
      <c r="K124" s="51">
        <v>0</v>
      </c>
      <c r="L124" s="51" t="s">
        <v>1095</v>
      </c>
      <c r="M124" s="846">
        <v>0</v>
      </c>
      <c r="N124" s="51" t="s">
        <v>1095</v>
      </c>
      <c r="O124" s="51">
        <v>0</v>
      </c>
      <c r="P124" s="51">
        <v>0</v>
      </c>
      <c r="Q124" s="51">
        <v>0</v>
      </c>
      <c r="R124" s="51" t="s">
        <v>1095</v>
      </c>
      <c r="S124" s="51">
        <v>0</v>
      </c>
      <c r="T124" s="51" t="s">
        <v>1095</v>
      </c>
      <c r="U124" s="847">
        <v>0</v>
      </c>
      <c r="V124" s="51" t="s">
        <v>1095</v>
      </c>
      <c r="W124" s="51">
        <v>0</v>
      </c>
      <c r="X124" s="51" t="s">
        <v>1095</v>
      </c>
      <c r="Y124" s="847">
        <v>0</v>
      </c>
      <c r="Z124" s="51" t="s">
        <v>1095</v>
      </c>
      <c r="AA124" s="51"/>
      <c r="AB124" s="51"/>
      <c r="AC124" s="51"/>
      <c r="AD124" s="51"/>
      <c r="AE124" s="51"/>
      <c r="AF124" s="51"/>
      <c r="AG124" s="51"/>
    </row>
    <row r="125" spans="1:33" x14ac:dyDescent="0.2">
      <c r="A125" s="249">
        <v>1</v>
      </c>
      <c r="B125" s="463" t="s">
        <v>180</v>
      </c>
      <c r="C125" s="463" t="s">
        <v>1444</v>
      </c>
      <c r="D125" s="266" t="s">
        <v>179</v>
      </c>
      <c r="E125" s="266" t="s">
        <v>869</v>
      </c>
      <c r="F125" s="51" t="s">
        <v>869</v>
      </c>
      <c r="G125" s="51">
        <v>1385923</v>
      </c>
      <c r="H125" s="51" t="s">
        <v>1095</v>
      </c>
      <c r="I125" s="51">
        <v>0</v>
      </c>
      <c r="J125" s="51" t="s">
        <v>1095</v>
      </c>
      <c r="K125" s="51">
        <v>0</v>
      </c>
      <c r="L125" s="51" t="s">
        <v>1095</v>
      </c>
      <c r="M125" s="846">
        <v>1385923</v>
      </c>
      <c r="N125" s="51" t="s">
        <v>1095</v>
      </c>
      <c r="O125" s="51">
        <v>0</v>
      </c>
      <c r="P125" s="51">
        <v>0</v>
      </c>
      <c r="Q125" s="51">
        <v>-52166</v>
      </c>
      <c r="R125" s="51" t="s">
        <v>1095</v>
      </c>
      <c r="S125" s="51">
        <v>1691690</v>
      </c>
      <c r="T125" s="51" t="s">
        <v>1095</v>
      </c>
      <c r="U125" s="847">
        <v>0</v>
      </c>
      <c r="V125" s="51" t="s">
        <v>1095</v>
      </c>
      <c r="W125" s="51">
        <v>0</v>
      </c>
      <c r="X125" s="51" t="s">
        <v>1095</v>
      </c>
      <c r="Y125" s="847">
        <v>0</v>
      </c>
      <c r="Z125" s="51" t="s">
        <v>1095</v>
      </c>
      <c r="AA125" s="51"/>
      <c r="AB125" s="51"/>
      <c r="AC125" s="51"/>
      <c r="AD125" s="51"/>
      <c r="AE125" s="51"/>
      <c r="AF125" s="51"/>
      <c r="AG125" s="51"/>
    </row>
    <row r="126" spans="1:33" x14ac:dyDescent="0.2">
      <c r="A126" s="249">
        <v>2</v>
      </c>
      <c r="B126" s="463" t="s">
        <v>184</v>
      </c>
      <c r="C126" s="463" t="s">
        <v>1445</v>
      </c>
      <c r="D126" s="266" t="s">
        <v>183</v>
      </c>
      <c r="E126" s="266" t="s">
        <v>814</v>
      </c>
      <c r="F126" s="51" t="s">
        <v>814</v>
      </c>
      <c r="G126" s="51">
        <v>2679037</v>
      </c>
      <c r="H126" s="51" t="s">
        <v>1095</v>
      </c>
      <c r="I126" s="51">
        <v>0</v>
      </c>
      <c r="J126" s="51" t="s">
        <v>1095</v>
      </c>
      <c r="K126" s="51">
        <v>0</v>
      </c>
      <c r="L126" s="51" t="s">
        <v>1095</v>
      </c>
      <c r="M126" s="846">
        <v>2679037</v>
      </c>
      <c r="N126" s="51" t="s">
        <v>1095</v>
      </c>
      <c r="O126" s="51">
        <v>0</v>
      </c>
      <c r="P126" s="51">
        <v>0</v>
      </c>
      <c r="Q126" s="51">
        <v>-25193</v>
      </c>
      <c r="R126" s="51" t="s">
        <v>1095</v>
      </c>
      <c r="S126" s="51">
        <v>1034686</v>
      </c>
      <c r="T126" s="51" t="s">
        <v>1095</v>
      </c>
      <c r="U126" s="847">
        <v>1619158</v>
      </c>
      <c r="V126" s="51" t="s">
        <v>1095</v>
      </c>
      <c r="W126" s="51">
        <v>468160</v>
      </c>
      <c r="X126" s="51" t="s">
        <v>1095</v>
      </c>
      <c r="Y126" s="847">
        <v>468160</v>
      </c>
      <c r="Z126" s="51" t="s">
        <v>1095</v>
      </c>
      <c r="AA126" s="51"/>
      <c r="AB126" s="51"/>
      <c r="AC126" s="51"/>
      <c r="AD126" s="51"/>
      <c r="AE126" s="51"/>
      <c r="AF126" s="51"/>
      <c r="AG126" s="51"/>
    </row>
    <row r="127" spans="1:33" x14ac:dyDescent="0.2">
      <c r="A127" s="249">
        <v>3</v>
      </c>
      <c r="B127" s="463" t="s">
        <v>186</v>
      </c>
      <c r="C127" s="463" t="s">
        <v>1446</v>
      </c>
      <c r="D127" s="266" t="s">
        <v>185</v>
      </c>
      <c r="E127" s="266" t="s">
        <v>997</v>
      </c>
      <c r="F127" s="51" t="s">
        <v>997</v>
      </c>
      <c r="G127" s="51">
        <v>2212822</v>
      </c>
      <c r="H127" s="51" t="s">
        <v>1095</v>
      </c>
      <c r="I127" s="51">
        <v>-64667</v>
      </c>
      <c r="J127" s="51" t="s">
        <v>1095</v>
      </c>
      <c r="K127" s="51">
        <v>-125236</v>
      </c>
      <c r="L127" s="51" t="s">
        <v>1095</v>
      </c>
      <c r="M127" s="846">
        <v>2022919</v>
      </c>
      <c r="N127" s="51" t="s">
        <v>1095</v>
      </c>
      <c r="O127" s="51">
        <v>0</v>
      </c>
      <c r="P127" s="51">
        <v>0</v>
      </c>
      <c r="Q127" s="51">
        <v>65387</v>
      </c>
      <c r="R127" s="51" t="s">
        <v>1095</v>
      </c>
      <c r="S127" s="51">
        <v>2459293</v>
      </c>
      <c r="T127" s="51" t="s">
        <v>1095</v>
      </c>
      <c r="U127" s="847">
        <v>0</v>
      </c>
      <c r="V127" s="51" t="s">
        <v>1095</v>
      </c>
      <c r="W127" s="51">
        <v>0</v>
      </c>
      <c r="X127" s="51" t="s">
        <v>1095</v>
      </c>
      <c r="Y127" s="847">
        <v>0</v>
      </c>
      <c r="Z127" s="51" t="s">
        <v>1095</v>
      </c>
      <c r="AA127" s="51"/>
      <c r="AB127" s="51"/>
      <c r="AC127" s="51"/>
      <c r="AD127" s="51"/>
      <c r="AE127" s="51"/>
      <c r="AF127" s="51"/>
      <c r="AG127" s="51"/>
    </row>
    <row r="128" spans="1:33" x14ac:dyDescent="0.2">
      <c r="A128" s="249">
        <v>4</v>
      </c>
      <c r="B128" s="463" t="s">
        <v>188</v>
      </c>
      <c r="C128" s="463" t="s">
        <v>1447</v>
      </c>
      <c r="D128" s="266" t="s">
        <v>187</v>
      </c>
      <c r="E128" s="266" t="s">
        <v>998</v>
      </c>
      <c r="F128" s="51" t="s">
        <v>998</v>
      </c>
      <c r="G128" s="51">
        <v>350767</v>
      </c>
      <c r="H128" s="51" t="s">
        <v>1095</v>
      </c>
      <c r="I128" s="51">
        <v>-3500</v>
      </c>
      <c r="J128" s="51" t="s">
        <v>1095</v>
      </c>
      <c r="K128" s="51">
        <v>-17000</v>
      </c>
      <c r="L128" s="51" t="s">
        <v>1095</v>
      </c>
      <c r="M128" s="846">
        <v>330267</v>
      </c>
      <c r="N128" s="51" t="s">
        <v>1095</v>
      </c>
      <c r="O128" s="51">
        <v>0</v>
      </c>
      <c r="P128" s="51">
        <v>0</v>
      </c>
      <c r="Q128" s="51">
        <v>-4853</v>
      </c>
      <c r="R128" s="51" t="s">
        <v>1095</v>
      </c>
      <c r="S128" s="51">
        <v>263262</v>
      </c>
      <c r="T128" s="51" t="s">
        <v>1095</v>
      </c>
      <c r="U128" s="847">
        <v>62152</v>
      </c>
      <c r="V128" s="51" t="s">
        <v>1095</v>
      </c>
      <c r="W128" s="51">
        <v>55000</v>
      </c>
      <c r="X128" s="51" t="s">
        <v>1095</v>
      </c>
      <c r="Y128" s="847">
        <v>55000</v>
      </c>
      <c r="Z128" s="51" t="s">
        <v>1095</v>
      </c>
      <c r="AA128" s="51"/>
      <c r="AB128" s="51"/>
      <c r="AC128" s="51"/>
      <c r="AD128" s="51"/>
      <c r="AE128" s="51"/>
      <c r="AF128" s="51"/>
      <c r="AG128" s="51"/>
    </row>
    <row r="129" spans="1:33" x14ac:dyDescent="0.2">
      <c r="A129" s="249">
        <v>5</v>
      </c>
      <c r="B129" s="463" t="s">
        <v>188</v>
      </c>
      <c r="C129" s="463" t="s">
        <v>1448</v>
      </c>
      <c r="D129" s="266" t="s">
        <v>187</v>
      </c>
      <c r="E129" s="266" t="s">
        <v>999</v>
      </c>
      <c r="F129" s="51" t="s">
        <v>999</v>
      </c>
      <c r="G129" s="51">
        <v>0</v>
      </c>
      <c r="H129" s="51" t="s">
        <v>1095</v>
      </c>
      <c r="I129" s="51">
        <v>0</v>
      </c>
      <c r="J129" s="51" t="s">
        <v>1095</v>
      </c>
      <c r="K129" s="51">
        <v>0</v>
      </c>
      <c r="L129" s="51" t="s">
        <v>1095</v>
      </c>
      <c r="M129" s="846">
        <v>0</v>
      </c>
      <c r="N129" s="51" t="s">
        <v>1095</v>
      </c>
      <c r="O129" s="51">
        <v>0</v>
      </c>
      <c r="P129" s="51">
        <v>0</v>
      </c>
      <c r="Q129" s="51">
        <v>0</v>
      </c>
      <c r="R129" s="51" t="s">
        <v>1095</v>
      </c>
      <c r="S129" s="51">
        <v>0</v>
      </c>
      <c r="T129" s="51" t="s">
        <v>1095</v>
      </c>
      <c r="U129" s="847">
        <v>0</v>
      </c>
      <c r="V129" s="51" t="s">
        <v>1095</v>
      </c>
      <c r="W129" s="51">
        <v>0</v>
      </c>
      <c r="X129" s="51" t="s">
        <v>1095</v>
      </c>
      <c r="Y129" s="847">
        <v>0</v>
      </c>
      <c r="Z129" s="51" t="s">
        <v>1095</v>
      </c>
      <c r="AA129" s="51"/>
      <c r="AB129" s="51"/>
      <c r="AC129" s="51"/>
      <c r="AD129" s="51"/>
      <c r="AE129" s="51"/>
      <c r="AF129" s="51"/>
      <c r="AG129" s="51"/>
    </row>
    <row r="130" spans="1:33" x14ac:dyDescent="0.2">
      <c r="A130" s="249">
        <v>6</v>
      </c>
      <c r="B130" s="463" t="s">
        <v>188</v>
      </c>
      <c r="C130" s="463" t="s">
        <v>1449</v>
      </c>
      <c r="D130" s="266" t="s">
        <v>187</v>
      </c>
      <c r="E130" s="266" t="s">
        <v>1000</v>
      </c>
      <c r="F130" s="51" t="s">
        <v>1000</v>
      </c>
      <c r="G130" s="51">
        <v>34524</v>
      </c>
      <c r="H130" s="51" t="s">
        <v>1095</v>
      </c>
      <c r="I130" s="51">
        <v>-1000</v>
      </c>
      <c r="J130" s="51" t="s">
        <v>1095</v>
      </c>
      <c r="K130" s="51">
        <v>-8000</v>
      </c>
      <c r="L130" s="51" t="s">
        <v>1095</v>
      </c>
      <c r="M130" s="846">
        <v>25524</v>
      </c>
      <c r="N130" s="51" t="s">
        <v>1095</v>
      </c>
      <c r="O130" s="51">
        <v>0</v>
      </c>
      <c r="P130" s="51">
        <v>0</v>
      </c>
      <c r="Q130" s="51">
        <v>0</v>
      </c>
      <c r="R130" s="51" t="s">
        <v>1095</v>
      </c>
      <c r="S130" s="51">
        <v>0</v>
      </c>
      <c r="T130" s="51" t="s">
        <v>1095</v>
      </c>
      <c r="U130" s="847">
        <v>25524</v>
      </c>
      <c r="V130" s="51" t="s">
        <v>1095</v>
      </c>
      <c r="W130" s="51">
        <v>34524</v>
      </c>
      <c r="X130" s="51" t="s">
        <v>1095</v>
      </c>
      <c r="Y130" s="847">
        <v>34524</v>
      </c>
      <c r="Z130" s="51" t="s">
        <v>1095</v>
      </c>
      <c r="AA130" s="51"/>
      <c r="AB130" s="51"/>
      <c r="AC130" s="51"/>
      <c r="AD130" s="51"/>
      <c r="AE130" s="51"/>
      <c r="AF130" s="51"/>
      <c r="AG130" s="51"/>
    </row>
    <row r="131" spans="1:33" x14ac:dyDescent="0.2">
      <c r="A131" s="249">
        <v>7</v>
      </c>
      <c r="B131" s="463" t="s">
        <v>188</v>
      </c>
      <c r="C131" s="463" t="s">
        <v>1450</v>
      </c>
      <c r="D131" s="266" t="s">
        <v>187</v>
      </c>
      <c r="E131" s="266" t="s">
        <v>1001</v>
      </c>
      <c r="F131" s="51" t="s">
        <v>1001</v>
      </c>
      <c r="G131" s="51">
        <v>347125</v>
      </c>
      <c r="H131" s="51" t="s">
        <v>1095</v>
      </c>
      <c r="I131" s="51">
        <v>-3500</v>
      </c>
      <c r="J131" s="51" t="s">
        <v>1095</v>
      </c>
      <c r="K131" s="51">
        <v>-17000</v>
      </c>
      <c r="L131" s="51" t="s">
        <v>1095</v>
      </c>
      <c r="M131" s="846">
        <v>326625</v>
      </c>
      <c r="N131" s="51" t="s">
        <v>1095</v>
      </c>
      <c r="O131" s="51">
        <v>0</v>
      </c>
      <c r="P131" s="51">
        <v>0</v>
      </c>
      <c r="Q131" s="51">
        <v>0</v>
      </c>
      <c r="R131" s="51" t="s">
        <v>1095</v>
      </c>
      <c r="S131" s="51">
        <v>178783</v>
      </c>
      <c r="T131" s="51" t="s">
        <v>1095</v>
      </c>
      <c r="U131" s="847">
        <v>147842</v>
      </c>
      <c r="V131" s="51" t="s">
        <v>1095</v>
      </c>
      <c r="W131" s="51">
        <v>0</v>
      </c>
      <c r="X131" s="51" t="s">
        <v>1095</v>
      </c>
      <c r="Y131" s="847">
        <v>0</v>
      </c>
      <c r="Z131" s="51" t="s">
        <v>1095</v>
      </c>
      <c r="AA131" s="51"/>
      <c r="AB131" s="51"/>
      <c r="AC131" s="51"/>
      <c r="AD131" s="51"/>
      <c r="AE131" s="51"/>
      <c r="AF131" s="51"/>
      <c r="AG131" s="51"/>
    </row>
    <row r="132" spans="1:33" x14ac:dyDescent="0.2">
      <c r="A132" s="249">
        <v>8</v>
      </c>
      <c r="B132" s="463" t="s">
        <v>188</v>
      </c>
      <c r="C132" s="463" t="s">
        <v>1451</v>
      </c>
      <c r="D132" s="266" t="s">
        <v>187</v>
      </c>
      <c r="E132" s="266" t="s">
        <v>1002</v>
      </c>
      <c r="F132" s="51" t="s">
        <v>1002</v>
      </c>
      <c r="G132" s="51">
        <v>30744</v>
      </c>
      <c r="H132" s="51" t="s">
        <v>1095</v>
      </c>
      <c r="I132" s="51">
        <v>-1000</v>
      </c>
      <c r="J132" s="51" t="s">
        <v>1095</v>
      </c>
      <c r="K132" s="51">
        <v>-8000</v>
      </c>
      <c r="L132" s="51" t="s">
        <v>1095</v>
      </c>
      <c r="M132" s="846">
        <v>21744</v>
      </c>
      <c r="N132" s="51" t="s">
        <v>1095</v>
      </c>
      <c r="O132" s="51">
        <v>0</v>
      </c>
      <c r="P132" s="51">
        <v>0</v>
      </c>
      <c r="Q132" s="51">
        <v>0</v>
      </c>
      <c r="R132" s="51" t="s">
        <v>1095</v>
      </c>
      <c r="S132" s="51">
        <v>1360</v>
      </c>
      <c r="T132" s="51" t="s">
        <v>1095</v>
      </c>
      <c r="U132" s="847">
        <v>20384</v>
      </c>
      <c r="V132" s="51" t="s">
        <v>1095</v>
      </c>
      <c r="W132" s="51">
        <v>0</v>
      </c>
      <c r="X132" s="51" t="s">
        <v>1095</v>
      </c>
      <c r="Y132" s="847">
        <v>0</v>
      </c>
      <c r="Z132" s="51" t="s">
        <v>1095</v>
      </c>
      <c r="AA132" s="51"/>
      <c r="AB132" s="51"/>
      <c r="AC132" s="51"/>
      <c r="AD132" s="51"/>
      <c r="AE132" s="51"/>
      <c r="AF132" s="51"/>
      <c r="AG132" s="51"/>
    </row>
    <row r="133" spans="1:33" x14ac:dyDescent="0.2">
      <c r="A133" s="249">
        <v>1</v>
      </c>
      <c r="B133" s="463" t="s">
        <v>188</v>
      </c>
      <c r="C133" s="463" t="s">
        <v>1452</v>
      </c>
      <c r="D133" s="266" t="s">
        <v>187</v>
      </c>
      <c r="E133" s="266" t="s">
        <v>1003</v>
      </c>
      <c r="F133" s="51" t="s">
        <v>1003</v>
      </c>
      <c r="G133" s="51">
        <v>86624</v>
      </c>
      <c r="H133" s="51" t="s">
        <v>1095</v>
      </c>
      <c r="I133" s="51">
        <v>-1000</v>
      </c>
      <c r="J133" s="51" t="s">
        <v>1095</v>
      </c>
      <c r="K133" s="51">
        <v>-8000</v>
      </c>
      <c r="L133" s="51" t="s">
        <v>1095</v>
      </c>
      <c r="M133" s="846">
        <v>77624</v>
      </c>
      <c r="N133" s="51" t="s">
        <v>1095</v>
      </c>
      <c r="O133" s="51">
        <v>0</v>
      </c>
      <c r="P133" s="51">
        <v>0</v>
      </c>
      <c r="Q133" s="51">
        <v>-2701</v>
      </c>
      <c r="R133" s="51" t="s">
        <v>1095</v>
      </c>
      <c r="S133" s="51">
        <v>65224</v>
      </c>
      <c r="T133" s="51" t="s">
        <v>1095</v>
      </c>
      <c r="U133" s="847">
        <v>9699</v>
      </c>
      <c r="V133" s="51" t="s">
        <v>1095</v>
      </c>
      <c r="W133" s="51">
        <v>55000</v>
      </c>
      <c r="X133" s="51" t="s">
        <v>1095</v>
      </c>
      <c r="Y133" s="847">
        <v>55000</v>
      </c>
      <c r="Z133" s="51" t="s">
        <v>1095</v>
      </c>
      <c r="AA133" s="51"/>
      <c r="AB133" s="51"/>
      <c r="AC133" s="51"/>
      <c r="AD133" s="51"/>
      <c r="AE133" s="51"/>
      <c r="AF133" s="51"/>
      <c r="AG133" s="51"/>
    </row>
    <row r="134" spans="1:33" x14ac:dyDescent="0.2">
      <c r="A134" s="249">
        <v>2</v>
      </c>
      <c r="B134" s="463" t="s">
        <v>188</v>
      </c>
      <c r="C134" s="463" t="s">
        <v>1453</v>
      </c>
      <c r="D134" s="266" t="s">
        <v>187</v>
      </c>
      <c r="E134" s="266" t="s">
        <v>1004</v>
      </c>
      <c r="F134" s="51" t="s">
        <v>1004</v>
      </c>
      <c r="G134" s="51">
        <v>336910</v>
      </c>
      <c r="H134" s="51" t="s">
        <v>1095</v>
      </c>
      <c r="I134" s="51">
        <v>-3000</v>
      </c>
      <c r="J134" s="51" t="s">
        <v>1095</v>
      </c>
      <c r="K134" s="51">
        <v>-20000</v>
      </c>
      <c r="L134" s="51" t="s">
        <v>1095</v>
      </c>
      <c r="M134" s="846">
        <v>313910</v>
      </c>
      <c r="N134" s="51" t="s">
        <v>1095</v>
      </c>
      <c r="O134" s="51">
        <v>0</v>
      </c>
      <c r="P134" s="51">
        <v>0</v>
      </c>
      <c r="Q134" s="51">
        <v>-7479</v>
      </c>
      <c r="R134" s="51" t="s">
        <v>1095</v>
      </c>
      <c r="S134" s="51">
        <v>305729</v>
      </c>
      <c r="T134" s="51" t="s">
        <v>1095</v>
      </c>
      <c r="U134" s="847">
        <v>702</v>
      </c>
      <c r="V134" s="51" t="s">
        <v>1095</v>
      </c>
      <c r="W134" s="51">
        <v>14367</v>
      </c>
      <c r="X134" s="51" t="s">
        <v>1095</v>
      </c>
      <c r="Y134" s="847">
        <v>14367</v>
      </c>
      <c r="Z134" s="51" t="s">
        <v>1095</v>
      </c>
      <c r="AA134" s="51"/>
      <c r="AB134" s="51"/>
      <c r="AC134" s="51"/>
      <c r="AD134" s="51"/>
      <c r="AE134" s="51"/>
      <c r="AF134" s="51"/>
      <c r="AG134" s="51"/>
    </row>
    <row r="135" spans="1:33" x14ac:dyDescent="0.2">
      <c r="A135" s="249">
        <v>1</v>
      </c>
      <c r="B135" s="463" t="s">
        <v>188</v>
      </c>
      <c r="C135" s="463" t="s">
        <v>1454</v>
      </c>
      <c r="D135" s="266" t="s">
        <v>187</v>
      </c>
      <c r="E135" s="266" t="s">
        <v>1005</v>
      </c>
      <c r="F135" s="51" t="s">
        <v>1005</v>
      </c>
      <c r="G135" s="51">
        <v>1368725</v>
      </c>
      <c r="H135" s="51" t="s">
        <v>1095</v>
      </c>
      <c r="I135" s="51">
        <v>-15000</v>
      </c>
      <c r="J135" s="51" t="s">
        <v>1095</v>
      </c>
      <c r="K135" s="51">
        <v>-100000</v>
      </c>
      <c r="L135" s="51" t="s">
        <v>1095</v>
      </c>
      <c r="M135" s="846">
        <v>1253725</v>
      </c>
      <c r="N135" s="51" t="s">
        <v>1095</v>
      </c>
      <c r="O135" s="51">
        <v>0</v>
      </c>
      <c r="P135" s="51">
        <v>0</v>
      </c>
      <c r="Q135" s="51">
        <v>-1078</v>
      </c>
      <c r="R135" s="51" t="s">
        <v>1095</v>
      </c>
      <c r="S135" s="51">
        <v>1292253</v>
      </c>
      <c r="T135" s="51" t="s">
        <v>1095</v>
      </c>
      <c r="U135" s="847">
        <v>0</v>
      </c>
      <c r="V135" s="51" t="s">
        <v>1095</v>
      </c>
      <c r="W135" s="51">
        <v>151601</v>
      </c>
      <c r="X135" s="51" t="s">
        <v>1095</v>
      </c>
      <c r="Y135" s="847">
        <v>151601</v>
      </c>
      <c r="Z135" s="51" t="s">
        <v>1095</v>
      </c>
      <c r="AA135" s="51"/>
      <c r="AB135" s="51"/>
      <c r="AC135" s="51"/>
      <c r="AD135" s="51"/>
      <c r="AE135" s="51"/>
      <c r="AF135" s="51"/>
      <c r="AG135" s="51"/>
    </row>
    <row r="136" spans="1:33" x14ac:dyDescent="0.2">
      <c r="A136" s="249">
        <v>1</v>
      </c>
      <c r="B136" s="463" t="s">
        <v>196</v>
      </c>
      <c r="C136" s="463" t="s">
        <v>1455</v>
      </c>
      <c r="D136" s="266" t="s">
        <v>195</v>
      </c>
      <c r="E136" s="266" t="s">
        <v>815</v>
      </c>
      <c r="F136" s="51" t="s">
        <v>815</v>
      </c>
      <c r="G136" s="51">
        <v>2723084</v>
      </c>
      <c r="H136" s="51" t="s">
        <v>1095</v>
      </c>
      <c r="I136" s="51">
        <v>-108923</v>
      </c>
      <c r="J136" s="51" t="s">
        <v>1095</v>
      </c>
      <c r="K136" s="51">
        <v>-125245</v>
      </c>
      <c r="L136" s="51" t="s">
        <v>1095</v>
      </c>
      <c r="M136" s="846">
        <v>2488916</v>
      </c>
      <c r="N136" s="51" t="s">
        <v>1095</v>
      </c>
      <c r="O136" s="51">
        <v>0</v>
      </c>
      <c r="P136" s="51">
        <v>0</v>
      </c>
      <c r="Q136" s="51">
        <v>-260858</v>
      </c>
      <c r="R136" s="51" t="s">
        <v>1095</v>
      </c>
      <c r="S136" s="51">
        <v>3618644</v>
      </c>
      <c r="T136" s="51" t="s">
        <v>1095</v>
      </c>
      <c r="U136" s="847">
        <v>0</v>
      </c>
      <c r="V136" s="51" t="s">
        <v>1095</v>
      </c>
      <c r="W136" s="51">
        <v>414488</v>
      </c>
      <c r="X136" s="51" t="s">
        <v>1095</v>
      </c>
      <c r="Y136" s="847">
        <v>414488</v>
      </c>
      <c r="Z136" s="51" t="s">
        <v>1095</v>
      </c>
      <c r="AA136" s="51"/>
      <c r="AB136" s="51"/>
      <c r="AC136" s="51"/>
      <c r="AD136" s="51"/>
      <c r="AE136" s="51"/>
      <c r="AF136" s="51"/>
      <c r="AG136" s="51"/>
    </row>
    <row r="137" spans="1:33" x14ac:dyDescent="0.2">
      <c r="A137" s="249">
        <v>1</v>
      </c>
      <c r="B137" s="463" t="s">
        <v>196</v>
      </c>
      <c r="C137" s="463" t="s">
        <v>1456</v>
      </c>
      <c r="D137" s="266" t="s">
        <v>195</v>
      </c>
      <c r="E137" s="266" t="s">
        <v>816</v>
      </c>
      <c r="F137" s="51" t="s">
        <v>816</v>
      </c>
      <c r="G137" s="51">
        <v>24601569</v>
      </c>
      <c r="H137" s="51" t="s">
        <v>1095</v>
      </c>
      <c r="I137" s="51">
        <v>-987538</v>
      </c>
      <c r="J137" s="51" t="s">
        <v>1095</v>
      </c>
      <c r="K137" s="51">
        <v>-1341076</v>
      </c>
      <c r="L137" s="51" t="s">
        <v>1095</v>
      </c>
      <c r="M137" s="846">
        <v>22272955</v>
      </c>
      <c r="N137" s="51" t="s">
        <v>1095</v>
      </c>
      <c r="O137" s="51">
        <v>0</v>
      </c>
      <c r="P137" s="51">
        <v>0</v>
      </c>
      <c r="Q137" s="51">
        <v>-320023</v>
      </c>
      <c r="R137" s="51" t="s">
        <v>1095</v>
      </c>
      <c r="S137" s="51">
        <v>31003381</v>
      </c>
      <c r="T137" s="51" t="s">
        <v>1095</v>
      </c>
      <c r="U137" s="847">
        <v>0</v>
      </c>
      <c r="V137" s="51" t="s">
        <v>1095</v>
      </c>
      <c r="W137" s="51">
        <v>0</v>
      </c>
      <c r="X137" s="51" t="s">
        <v>1095</v>
      </c>
      <c r="Y137" s="847">
        <v>0</v>
      </c>
      <c r="Z137" s="51" t="s">
        <v>1095</v>
      </c>
      <c r="AA137" s="51"/>
      <c r="AB137" s="51"/>
      <c r="AC137" s="51"/>
      <c r="AD137" s="51"/>
      <c r="AE137" s="51"/>
      <c r="AF137" s="51"/>
      <c r="AG137" s="51"/>
    </row>
    <row r="138" spans="1:33" x14ac:dyDescent="0.2">
      <c r="A138" s="249">
        <v>2</v>
      </c>
      <c r="B138" s="463" t="s">
        <v>198</v>
      </c>
      <c r="C138" s="463" t="s">
        <v>1457</v>
      </c>
      <c r="D138" s="266" t="s">
        <v>197</v>
      </c>
      <c r="E138" s="266" t="s">
        <v>1006</v>
      </c>
      <c r="F138" s="51" t="s">
        <v>1006</v>
      </c>
      <c r="G138" s="51">
        <v>4377365</v>
      </c>
      <c r="H138" s="51" t="s">
        <v>1095</v>
      </c>
      <c r="I138" s="51">
        <v>-116000</v>
      </c>
      <c r="J138" s="51" t="s">
        <v>1095</v>
      </c>
      <c r="K138" s="51">
        <v>-205736</v>
      </c>
      <c r="L138" s="51" t="s">
        <v>1095</v>
      </c>
      <c r="M138" s="846">
        <v>4055629</v>
      </c>
      <c r="N138" s="51" t="s">
        <v>1095</v>
      </c>
      <c r="O138" s="51">
        <v>0</v>
      </c>
      <c r="P138" s="51">
        <v>0</v>
      </c>
      <c r="Q138" s="51">
        <v>-10121</v>
      </c>
      <c r="R138" s="51" t="s">
        <v>1095</v>
      </c>
      <c r="S138" s="51">
        <v>4768803</v>
      </c>
      <c r="T138" s="51" t="s">
        <v>1095</v>
      </c>
      <c r="U138" s="847">
        <v>0</v>
      </c>
      <c r="V138" s="51" t="s">
        <v>1095</v>
      </c>
      <c r="W138" s="51">
        <v>0</v>
      </c>
      <c r="X138" s="51" t="s">
        <v>1095</v>
      </c>
      <c r="Y138" s="847">
        <v>0</v>
      </c>
      <c r="Z138" s="51" t="s">
        <v>1095</v>
      </c>
      <c r="AA138" s="51"/>
      <c r="AB138" s="51"/>
      <c r="AC138" s="51"/>
      <c r="AD138" s="51"/>
      <c r="AE138" s="51"/>
      <c r="AF138" s="51"/>
      <c r="AG138" s="51"/>
    </row>
    <row r="139" spans="1:33" x14ac:dyDescent="0.2">
      <c r="A139" s="249">
        <v>3</v>
      </c>
      <c r="B139" s="463" t="s">
        <v>200</v>
      </c>
      <c r="C139" s="463" t="s">
        <v>1458</v>
      </c>
      <c r="D139" s="266" t="s">
        <v>199</v>
      </c>
      <c r="E139" s="266" t="s">
        <v>1007</v>
      </c>
      <c r="F139" s="51" t="s">
        <v>1007</v>
      </c>
      <c r="G139" s="51">
        <v>70205</v>
      </c>
      <c r="H139" s="51" t="s">
        <v>1095</v>
      </c>
      <c r="I139" s="51">
        <v>-702</v>
      </c>
      <c r="J139" s="51" t="s">
        <v>1095</v>
      </c>
      <c r="K139" s="51">
        <v>0</v>
      </c>
      <c r="L139" s="51" t="s">
        <v>1095</v>
      </c>
      <c r="M139" s="846">
        <v>69503</v>
      </c>
      <c r="N139" s="51" t="s">
        <v>1095</v>
      </c>
      <c r="O139" s="51">
        <v>0</v>
      </c>
      <c r="P139" s="51">
        <v>0</v>
      </c>
      <c r="Q139" s="51">
        <v>0</v>
      </c>
      <c r="R139" s="51" t="s">
        <v>1095</v>
      </c>
      <c r="S139" s="51">
        <v>0</v>
      </c>
      <c r="T139" s="51" t="s">
        <v>1095</v>
      </c>
      <c r="U139" s="847">
        <v>69503</v>
      </c>
      <c r="V139" s="51" t="s">
        <v>1095</v>
      </c>
      <c r="W139" s="51">
        <v>55000</v>
      </c>
      <c r="X139" s="51" t="s">
        <v>1095</v>
      </c>
      <c r="Y139" s="847">
        <v>55000</v>
      </c>
      <c r="Z139" s="51" t="s">
        <v>1095</v>
      </c>
      <c r="AA139" s="51"/>
      <c r="AB139" s="51"/>
      <c r="AC139" s="51"/>
      <c r="AD139" s="51"/>
      <c r="AE139" s="51"/>
      <c r="AF139" s="51"/>
      <c r="AG139" s="51"/>
    </row>
    <row r="140" spans="1:33" x14ac:dyDescent="0.2">
      <c r="A140" s="249">
        <v>1</v>
      </c>
      <c r="B140" s="463" t="s">
        <v>206</v>
      </c>
      <c r="C140" s="463" t="s">
        <v>1459</v>
      </c>
      <c r="D140" s="266" t="s">
        <v>205</v>
      </c>
      <c r="E140" s="266" t="s">
        <v>1008</v>
      </c>
      <c r="F140" s="51" t="s">
        <v>1008</v>
      </c>
      <c r="G140" s="51">
        <v>6442288</v>
      </c>
      <c r="H140" s="51" t="s">
        <v>1095</v>
      </c>
      <c r="I140" s="51">
        <v>-193219</v>
      </c>
      <c r="J140" s="51" t="s">
        <v>1095</v>
      </c>
      <c r="K140" s="51">
        <v>-481056</v>
      </c>
      <c r="L140" s="51" t="s">
        <v>1095</v>
      </c>
      <c r="M140" s="846">
        <v>5768013</v>
      </c>
      <c r="N140" s="51" t="s">
        <v>1095</v>
      </c>
      <c r="O140" s="51">
        <v>0</v>
      </c>
      <c r="P140" s="51">
        <v>0</v>
      </c>
      <c r="Q140" s="51">
        <v>-120066</v>
      </c>
      <c r="R140" s="51" t="s">
        <v>1095</v>
      </c>
      <c r="S140" s="51">
        <v>5666803</v>
      </c>
      <c r="T140" s="51" t="s">
        <v>1095</v>
      </c>
      <c r="U140" s="847">
        <v>0</v>
      </c>
      <c r="V140" s="51" t="s">
        <v>1095</v>
      </c>
      <c r="W140" s="51">
        <v>604731</v>
      </c>
      <c r="X140" s="51" t="s">
        <v>1095</v>
      </c>
      <c r="Y140" s="847">
        <v>604731</v>
      </c>
      <c r="Z140" s="51" t="s">
        <v>1095</v>
      </c>
      <c r="AA140" s="51"/>
      <c r="AB140" s="51"/>
      <c r="AC140" s="51"/>
      <c r="AD140" s="51"/>
      <c r="AE140" s="51"/>
      <c r="AF140" s="51"/>
      <c r="AG140" s="51"/>
    </row>
    <row r="141" spans="1:33" x14ac:dyDescent="0.2">
      <c r="A141" s="249">
        <v>1</v>
      </c>
      <c r="B141" s="463" t="s">
        <v>206</v>
      </c>
      <c r="C141" s="463" t="s">
        <v>1460</v>
      </c>
      <c r="D141" s="266" t="s">
        <v>205</v>
      </c>
      <c r="E141" s="266" t="s">
        <v>1009</v>
      </c>
      <c r="F141" s="51" t="s">
        <v>1009</v>
      </c>
      <c r="G141" s="51">
        <v>1450065</v>
      </c>
      <c r="H141" s="51" t="s">
        <v>1095</v>
      </c>
      <c r="I141" s="51">
        <v>-43593</v>
      </c>
      <c r="J141" s="51" t="s">
        <v>1095</v>
      </c>
      <c r="K141" s="51">
        <v>-108532</v>
      </c>
      <c r="L141" s="51" t="s">
        <v>1095</v>
      </c>
      <c r="M141" s="846">
        <v>1297940</v>
      </c>
      <c r="N141" s="51" t="s">
        <v>1095</v>
      </c>
      <c r="O141" s="51">
        <v>0</v>
      </c>
      <c r="P141" s="51">
        <v>0</v>
      </c>
      <c r="Q141" s="51">
        <v>49509</v>
      </c>
      <c r="R141" s="51" t="s">
        <v>1095</v>
      </c>
      <c r="S141" s="51">
        <v>771182</v>
      </c>
      <c r="T141" s="51" t="s">
        <v>1095</v>
      </c>
      <c r="U141" s="847">
        <v>576267</v>
      </c>
      <c r="V141" s="51" t="s">
        <v>1095</v>
      </c>
      <c r="W141" s="51">
        <v>77346</v>
      </c>
      <c r="X141" s="51" t="s">
        <v>1095</v>
      </c>
      <c r="Y141" s="847">
        <v>77346</v>
      </c>
      <c r="Z141" s="51" t="s">
        <v>1095</v>
      </c>
      <c r="AA141" s="51"/>
      <c r="AB141" s="51"/>
      <c r="AC141" s="51"/>
      <c r="AD141" s="51"/>
      <c r="AE141" s="51"/>
      <c r="AF141" s="51"/>
      <c r="AG141" s="51"/>
    </row>
    <row r="142" spans="1:33" x14ac:dyDescent="0.2">
      <c r="A142" s="249">
        <v>2</v>
      </c>
      <c r="B142" s="463" t="s">
        <v>206</v>
      </c>
      <c r="C142" s="463" t="s">
        <v>1461</v>
      </c>
      <c r="D142" s="266" t="s">
        <v>205</v>
      </c>
      <c r="E142" s="266" t="s">
        <v>1010</v>
      </c>
      <c r="F142" s="51" t="s">
        <v>1010</v>
      </c>
      <c r="G142" s="51">
        <v>5148284</v>
      </c>
      <c r="H142" s="51" t="s">
        <v>1095</v>
      </c>
      <c r="I142" s="51">
        <v>-154408</v>
      </c>
      <c r="J142" s="51" t="s">
        <v>1095</v>
      </c>
      <c r="K142" s="51">
        <v>-384432</v>
      </c>
      <c r="L142" s="51" t="s">
        <v>1095</v>
      </c>
      <c r="M142" s="846">
        <v>4609444</v>
      </c>
      <c r="N142" s="51" t="s">
        <v>1095</v>
      </c>
      <c r="O142" s="51">
        <v>0</v>
      </c>
      <c r="P142" s="51">
        <v>0</v>
      </c>
      <c r="Q142" s="51">
        <v>4928</v>
      </c>
      <c r="R142" s="51" t="s">
        <v>1095</v>
      </c>
      <c r="S142" s="51">
        <v>5219541</v>
      </c>
      <c r="T142" s="51" t="s">
        <v>1095</v>
      </c>
      <c r="U142" s="847">
        <v>0</v>
      </c>
      <c r="V142" s="51" t="s">
        <v>1095</v>
      </c>
      <c r="W142" s="51">
        <v>169114</v>
      </c>
      <c r="X142" s="51" t="s">
        <v>1095</v>
      </c>
      <c r="Y142" s="847">
        <v>169114</v>
      </c>
      <c r="Z142" s="51" t="s">
        <v>1095</v>
      </c>
      <c r="AA142" s="51"/>
      <c r="AB142" s="51"/>
      <c r="AC142" s="51"/>
      <c r="AD142" s="51"/>
      <c r="AE142" s="51"/>
      <c r="AF142" s="51"/>
      <c r="AG142" s="51"/>
    </row>
    <row r="143" spans="1:33" x14ac:dyDescent="0.2">
      <c r="A143" s="249">
        <v>1</v>
      </c>
      <c r="B143" s="463" t="s">
        <v>206</v>
      </c>
      <c r="C143" s="463" t="s">
        <v>1462</v>
      </c>
      <c r="D143" s="266" t="s">
        <v>205</v>
      </c>
      <c r="E143" s="266" t="s">
        <v>1084</v>
      </c>
      <c r="F143" s="51" t="s">
        <v>1084</v>
      </c>
      <c r="G143" s="51">
        <v>736324</v>
      </c>
      <c r="H143" s="51" t="s">
        <v>1095</v>
      </c>
      <c r="I143" s="51">
        <v>-22084</v>
      </c>
      <c r="J143" s="51" t="s">
        <v>1095</v>
      </c>
      <c r="K143" s="51">
        <v>-54982</v>
      </c>
      <c r="L143" s="51" t="s">
        <v>1095</v>
      </c>
      <c r="M143" s="846">
        <v>659258</v>
      </c>
      <c r="N143" s="51" t="s">
        <v>1095</v>
      </c>
      <c r="O143" s="51">
        <v>0</v>
      </c>
      <c r="P143" s="51">
        <v>0</v>
      </c>
      <c r="Q143" s="51">
        <v>-6637</v>
      </c>
      <c r="R143" s="51" t="s">
        <v>1095</v>
      </c>
      <c r="S143" s="51">
        <v>725457</v>
      </c>
      <c r="T143" s="51" t="s">
        <v>1095</v>
      </c>
      <c r="U143" s="847">
        <v>0</v>
      </c>
      <c r="V143" s="51" t="s">
        <v>1095</v>
      </c>
      <c r="W143" s="51">
        <v>182824</v>
      </c>
      <c r="X143" s="51" t="s">
        <v>1095</v>
      </c>
      <c r="Y143" s="847">
        <v>182824</v>
      </c>
      <c r="Z143" s="51" t="s">
        <v>1095</v>
      </c>
      <c r="AA143" s="51"/>
      <c r="AB143" s="51"/>
      <c r="AC143" s="51"/>
      <c r="AD143" s="51"/>
      <c r="AE143" s="51"/>
      <c r="AF143" s="51"/>
      <c r="AG143" s="51"/>
    </row>
    <row r="144" spans="1:33" x14ac:dyDescent="0.2">
      <c r="A144" s="249">
        <v>2</v>
      </c>
      <c r="B144" s="463" t="s">
        <v>210</v>
      </c>
      <c r="C144" s="463" t="s">
        <v>1463</v>
      </c>
      <c r="D144" s="266" t="s">
        <v>209</v>
      </c>
      <c r="E144" s="266" t="s">
        <v>1011</v>
      </c>
      <c r="F144" s="51" t="s">
        <v>1011</v>
      </c>
      <c r="G144" s="51">
        <v>0</v>
      </c>
      <c r="H144" s="51" t="s">
        <v>1095</v>
      </c>
      <c r="I144" s="51">
        <v>0</v>
      </c>
      <c r="J144" s="51" t="s">
        <v>1095</v>
      </c>
      <c r="K144" s="51">
        <v>0</v>
      </c>
      <c r="L144" s="51" t="s">
        <v>1095</v>
      </c>
      <c r="M144" s="846">
        <v>0</v>
      </c>
      <c r="N144" s="51" t="s">
        <v>1095</v>
      </c>
      <c r="O144" s="51">
        <v>0</v>
      </c>
      <c r="P144" s="51">
        <v>0</v>
      </c>
      <c r="Q144" s="51">
        <v>0</v>
      </c>
      <c r="R144" s="51" t="s">
        <v>1095</v>
      </c>
      <c r="S144" s="51">
        <v>11474</v>
      </c>
      <c r="T144" s="51" t="s">
        <v>1095</v>
      </c>
      <c r="U144" s="847">
        <v>0</v>
      </c>
      <c r="V144" s="51" t="s">
        <v>1095</v>
      </c>
      <c r="W144" s="51">
        <v>0</v>
      </c>
      <c r="X144" s="51" t="s">
        <v>1095</v>
      </c>
      <c r="Y144" s="847">
        <v>0</v>
      </c>
      <c r="Z144" s="51" t="s">
        <v>1095</v>
      </c>
      <c r="AA144" s="51"/>
      <c r="AB144" s="51"/>
      <c r="AC144" s="51"/>
      <c r="AD144" s="51"/>
      <c r="AE144" s="51"/>
      <c r="AF144" s="51"/>
      <c r="AG144" s="51"/>
    </row>
    <row r="145" spans="1:33" x14ac:dyDescent="0.2">
      <c r="A145" s="249">
        <v>1</v>
      </c>
      <c r="B145" s="463" t="s">
        <v>694</v>
      </c>
      <c r="C145" s="463" t="s">
        <v>1558</v>
      </c>
      <c r="D145" s="266" t="s">
        <v>693</v>
      </c>
      <c r="E145" s="266" t="s">
        <v>1012</v>
      </c>
      <c r="F145" s="51" t="s">
        <v>1012</v>
      </c>
      <c r="G145" s="51">
        <v>147850</v>
      </c>
      <c r="H145" s="51" t="s">
        <v>1095</v>
      </c>
      <c r="I145" s="51">
        <v>0</v>
      </c>
      <c r="J145" s="51" t="s">
        <v>1095</v>
      </c>
      <c r="K145" s="51">
        <v>0</v>
      </c>
      <c r="L145" s="51" t="s">
        <v>1095</v>
      </c>
      <c r="M145" s="846">
        <v>147850</v>
      </c>
      <c r="N145" s="51" t="s">
        <v>1095</v>
      </c>
      <c r="O145" s="51">
        <v>0</v>
      </c>
      <c r="P145" s="51">
        <v>0</v>
      </c>
      <c r="Q145" s="51">
        <v>0</v>
      </c>
      <c r="R145" s="51" t="s">
        <v>1095</v>
      </c>
      <c r="S145" s="51">
        <v>0</v>
      </c>
      <c r="T145" s="51" t="s">
        <v>1095</v>
      </c>
      <c r="U145" s="847">
        <v>147850</v>
      </c>
      <c r="V145" s="51" t="s">
        <v>1095</v>
      </c>
      <c r="W145" s="51">
        <v>0</v>
      </c>
      <c r="X145" s="51" t="s">
        <v>1095</v>
      </c>
      <c r="Y145" s="847">
        <v>0</v>
      </c>
      <c r="Z145" s="51" t="s">
        <v>1095</v>
      </c>
      <c r="AA145" s="51"/>
      <c r="AB145" s="51"/>
      <c r="AC145" s="51"/>
      <c r="AD145" s="51"/>
      <c r="AE145" s="51"/>
      <c r="AF145" s="51"/>
      <c r="AG145" s="51"/>
    </row>
    <row r="146" spans="1:33" x14ac:dyDescent="0.2">
      <c r="A146" s="249">
        <v>2</v>
      </c>
      <c r="B146" s="463" t="s">
        <v>220</v>
      </c>
      <c r="C146" s="463" t="s">
        <v>1464</v>
      </c>
      <c r="D146" s="266" t="s">
        <v>219</v>
      </c>
      <c r="E146" s="266" t="s">
        <v>1013</v>
      </c>
      <c r="F146" s="51" t="s">
        <v>1013</v>
      </c>
      <c r="G146" s="51">
        <v>0</v>
      </c>
      <c r="H146" s="51" t="s">
        <v>1095</v>
      </c>
      <c r="I146" s="51">
        <v>0</v>
      </c>
      <c r="J146" s="51" t="s">
        <v>1095</v>
      </c>
      <c r="K146" s="51">
        <v>0</v>
      </c>
      <c r="L146" s="51" t="s">
        <v>1095</v>
      </c>
      <c r="M146" s="846">
        <v>0</v>
      </c>
      <c r="N146" s="51" t="s">
        <v>1095</v>
      </c>
      <c r="O146" s="51">
        <v>0</v>
      </c>
      <c r="P146" s="51">
        <v>0</v>
      </c>
      <c r="Q146" s="51">
        <v>0</v>
      </c>
      <c r="R146" s="51" t="s">
        <v>1095</v>
      </c>
      <c r="S146" s="51">
        <v>0</v>
      </c>
      <c r="T146" s="51" t="s">
        <v>1095</v>
      </c>
      <c r="U146" s="847">
        <v>0</v>
      </c>
      <c r="V146" s="51" t="s">
        <v>1095</v>
      </c>
      <c r="W146" s="51">
        <v>0</v>
      </c>
      <c r="X146" s="51" t="s">
        <v>1095</v>
      </c>
      <c r="Y146" s="847">
        <v>0</v>
      </c>
      <c r="Z146" s="51" t="s">
        <v>1095</v>
      </c>
      <c r="AA146" s="51"/>
      <c r="AB146" s="51"/>
      <c r="AC146" s="51"/>
      <c r="AD146" s="51"/>
      <c r="AE146" s="51"/>
      <c r="AF146" s="51"/>
      <c r="AG146" s="51"/>
    </row>
    <row r="147" spans="1:33" x14ac:dyDescent="0.2">
      <c r="A147" s="249">
        <v>3</v>
      </c>
      <c r="B147" s="463" t="s">
        <v>224</v>
      </c>
      <c r="C147" s="463" t="s">
        <v>1465</v>
      </c>
      <c r="D147" s="266" t="s">
        <v>223</v>
      </c>
      <c r="E147" s="266" t="s">
        <v>810</v>
      </c>
      <c r="F147" s="51" t="s">
        <v>810</v>
      </c>
      <c r="G147" s="51">
        <v>14048</v>
      </c>
      <c r="H147" s="51" t="s">
        <v>1095</v>
      </c>
      <c r="I147" s="51">
        <v>0</v>
      </c>
      <c r="J147" s="51" t="s">
        <v>1095</v>
      </c>
      <c r="K147" s="51">
        <v>0</v>
      </c>
      <c r="L147" s="51" t="s">
        <v>1095</v>
      </c>
      <c r="M147" s="846">
        <v>14048</v>
      </c>
      <c r="N147" s="51" t="s">
        <v>1095</v>
      </c>
      <c r="O147" s="51">
        <v>0</v>
      </c>
      <c r="P147" s="51">
        <v>0</v>
      </c>
      <c r="Q147" s="51">
        <v>0</v>
      </c>
      <c r="R147" s="51" t="s">
        <v>1095</v>
      </c>
      <c r="S147" s="51">
        <v>0</v>
      </c>
      <c r="T147" s="51" t="s">
        <v>1095</v>
      </c>
      <c r="U147" s="847">
        <v>14048</v>
      </c>
      <c r="V147" s="51" t="s">
        <v>1095</v>
      </c>
      <c r="W147" s="51">
        <v>55000</v>
      </c>
      <c r="X147" s="51" t="s">
        <v>1095</v>
      </c>
      <c r="Y147" s="847">
        <v>55000</v>
      </c>
      <c r="Z147" s="51" t="s">
        <v>1095</v>
      </c>
      <c r="AA147" s="51"/>
      <c r="AB147" s="51"/>
      <c r="AC147" s="51"/>
      <c r="AD147" s="51"/>
      <c r="AE147" s="51"/>
      <c r="AF147" s="51"/>
      <c r="AG147" s="51"/>
    </row>
    <row r="148" spans="1:33" x14ac:dyDescent="0.2">
      <c r="A148" s="249">
        <v>4</v>
      </c>
      <c r="B148" s="463" t="s">
        <v>224</v>
      </c>
      <c r="C148" s="463" t="s">
        <v>1466</v>
      </c>
      <c r="D148" s="266" t="s">
        <v>223</v>
      </c>
      <c r="E148" s="266" t="s">
        <v>1014</v>
      </c>
      <c r="F148" s="51" t="s">
        <v>1014</v>
      </c>
      <c r="G148" s="51">
        <v>2469267</v>
      </c>
      <c r="H148" s="51" t="s">
        <v>1095</v>
      </c>
      <c r="I148" s="51">
        <v>-68000</v>
      </c>
      <c r="J148" s="51" t="s">
        <v>1095</v>
      </c>
      <c r="K148" s="51">
        <v>-64000</v>
      </c>
      <c r="L148" s="51" t="s">
        <v>1095</v>
      </c>
      <c r="M148" s="846">
        <v>2337267</v>
      </c>
      <c r="N148" s="51" t="s">
        <v>1095</v>
      </c>
      <c r="O148" s="51">
        <v>0</v>
      </c>
      <c r="P148" s="51">
        <v>0</v>
      </c>
      <c r="Q148" s="51">
        <v>-144202</v>
      </c>
      <c r="R148" s="51" t="s">
        <v>1095</v>
      </c>
      <c r="S148" s="51">
        <v>2930348</v>
      </c>
      <c r="T148" s="51" t="s">
        <v>1095</v>
      </c>
      <c r="U148" s="847">
        <v>0</v>
      </c>
      <c r="V148" s="51" t="s">
        <v>1095</v>
      </c>
      <c r="W148" s="51">
        <v>60000</v>
      </c>
      <c r="X148" s="51" t="s">
        <v>1095</v>
      </c>
      <c r="Y148" s="847">
        <v>60000</v>
      </c>
      <c r="Z148" s="51" t="s">
        <v>1095</v>
      </c>
      <c r="AA148" s="51"/>
      <c r="AB148" s="51"/>
      <c r="AC148" s="51"/>
      <c r="AD148" s="51"/>
      <c r="AE148" s="51"/>
      <c r="AF148" s="51"/>
      <c r="AG148" s="51"/>
    </row>
    <row r="149" spans="1:33" x14ac:dyDescent="0.2">
      <c r="A149" s="249">
        <v>1</v>
      </c>
      <c r="B149" s="463" t="s">
        <v>233</v>
      </c>
      <c r="C149" s="463" t="s">
        <v>1467</v>
      </c>
      <c r="D149" s="266" t="s">
        <v>867</v>
      </c>
      <c r="E149" s="266" t="s">
        <v>817</v>
      </c>
      <c r="F149" s="51" t="s">
        <v>817</v>
      </c>
      <c r="G149" s="51">
        <v>600984</v>
      </c>
      <c r="H149" s="51" t="s">
        <v>1095</v>
      </c>
      <c r="I149" s="51">
        <v>-8414</v>
      </c>
      <c r="J149" s="51" t="s">
        <v>1095</v>
      </c>
      <c r="K149" s="51">
        <v>0</v>
      </c>
      <c r="L149" s="51" t="s">
        <v>1095</v>
      </c>
      <c r="M149" s="846">
        <v>592570</v>
      </c>
      <c r="N149" s="51" t="s">
        <v>1095</v>
      </c>
      <c r="O149" s="51">
        <v>0</v>
      </c>
      <c r="P149" s="51">
        <v>0</v>
      </c>
      <c r="Q149" s="51">
        <v>0</v>
      </c>
      <c r="R149" s="51" t="s">
        <v>1095</v>
      </c>
      <c r="S149" s="51">
        <v>89793</v>
      </c>
      <c r="T149" s="51" t="s">
        <v>1095</v>
      </c>
      <c r="U149" s="847">
        <v>502777</v>
      </c>
      <c r="V149" s="51" t="s">
        <v>1095</v>
      </c>
      <c r="W149" s="51">
        <v>0</v>
      </c>
      <c r="X149" s="51" t="s">
        <v>1095</v>
      </c>
      <c r="Y149" s="847">
        <v>0</v>
      </c>
      <c r="Z149" s="51" t="s">
        <v>1095</v>
      </c>
      <c r="AA149" s="51"/>
      <c r="AB149" s="51"/>
      <c r="AC149" s="51"/>
      <c r="AD149" s="51"/>
      <c r="AE149" s="51"/>
      <c r="AF149" s="51"/>
      <c r="AG149" s="51"/>
    </row>
    <row r="150" spans="1:33" x14ac:dyDescent="0.2">
      <c r="A150" s="249">
        <v>1</v>
      </c>
      <c r="B150" s="463" t="s">
        <v>233</v>
      </c>
      <c r="C150" s="463" t="s">
        <v>1468</v>
      </c>
      <c r="D150" s="266" t="s">
        <v>867</v>
      </c>
      <c r="E150" s="266" t="s">
        <v>807</v>
      </c>
      <c r="F150" s="51" t="s">
        <v>807</v>
      </c>
      <c r="G150" s="51">
        <v>7619368</v>
      </c>
      <c r="H150" s="51" t="s">
        <v>1095</v>
      </c>
      <c r="I150" s="51">
        <v>-106671</v>
      </c>
      <c r="J150" s="51" t="s">
        <v>1095</v>
      </c>
      <c r="K150" s="51">
        <v>0</v>
      </c>
      <c r="L150" s="51" t="s">
        <v>1095</v>
      </c>
      <c r="M150" s="846">
        <v>7512697</v>
      </c>
      <c r="N150" s="51" t="s">
        <v>1095</v>
      </c>
      <c r="O150" s="51">
        <v>0</v>
      </c>
      <c r="P150" s="51">
        <v>0</v>
      </c>
      <c r="Q150" s="51">
        <v>-359712</v>
      </c>
      <c r="R150" s="51" t="s">
        <v>1095</v>
      </c>
      <c r="S150" s="51">
        <v>5461215</v>
      </c>
      <c r="T150" s="51" t="s">
        <v>1095</v>
      </c>
      <c r="U150" s="847">
        <v>1691770</v>
      </c>
      <c r="V150" s="51" t="s">
        <v>1095</v>
      </c>
      <c r="W150" s="51">
        <v>0</v>
      </c>
      <c r="X150" s="51" t="s">
        <v>1095</v>
      </c>
      <c r="Y150" s="847">
        <v>0</v>
      </c>
      <c r="Z150" s="51" t="s">
        <v>1095</v>
      </c>
      <c r="AA150" s="51"/>
      <c r="AB150" s="51"/>
      <c r="AC150" s="51"/>
      <c r="AD150" s="51"/>
      <c r="AE150" s="51"/>
      <c r="AF150" s="51"/>
      <c r="AG150" s="51"/>
    </row>
    <row r="151" spans="1:33" x14ac:dyDescent="0.2">
      <c r="A151" s="249">
        <v>1</v>
      </c>
      <c r="B151" s="463" t="s">
        <v>233</v>
      </c>
      <c r="C151" s="463" t="s">
        <v>1469</v>
      </c>
      <c r="D151" s="266" t="s">
        <v>867</v>
      </c>
      <c r="E151" s="266" t="s">
        <v>1016</v>
      </c>
      <c r="F151" s="51" t="s">
        <v>1016</v>
      </c>
      <c r="G151" s="51">
        <v>0</v>
      </c>
      <c r="H151" s="51" t="s">
        <v>1095</v>
      </c>
      <c r="I151" s="51">
        <v>0</v>
      </c>
      <c r="J151" s="51" t="s">
        <v>1095</v>
      </c>
      <c r="K151" s="51">
        <v>0</v>
      </c>
      <c r="L151" s="51" t="s">
        <v>1095</v>
      </c>
      <c r="M151" s="846">
        <v>0</v>
      </c>
      <c r="N151" s="51" t="s">
        <v>1095</v>
      </c>
      <c r="O151" s="51">
        <v>0</v>
      </c>
      <c r="P151" s="51">
        <v>0</v>
      </c>
      <c r="Q151" s="51">
        <v>0</v>
      </c>
      <c r="R151" s="51" t="s">
        <v>1095</v>
      </c>
      <c r="S151" s="51">
        <v>0</v>
      </c>
      <c r="T151" s="51" t="s">
        <v>1095</v>
      </c>
      <c r="U151" s="847">
        <v>0</v>
      </c>
      <c r="V151" s="51" t="s">
        <v>1095</v>
      </c>
      <c r="W151" s="51">
        <v>0</v>
      </c>
      <c r="X151" s="51" t="s">
        <v>1095</v>
      </c>
      <c r="Y151" s="847">
        <v>0</v>
      </c>
      <c r="Z151" s="51" t="s">
        <v>1095</v>
      </c>
      <c r="AA151" s="51"/>
      <c r="AB151" s="51"/>
      <c r="AC151" s="51"/>
      <c r="AD151" s="51"/>
      <c r="AE151" s="51"/>
      <c r="AF151" s="51"/>
      <c r="AG151" s="51"/>
    </row>
    <row r="152" spans="1:33" x14ac:dyDescent="0.2">
      <c r="A152" s="249">
        <v>2</v>
      </c>
      <c r="B152" s="463" t="s">
        <v>233</v>
      </c>
      <c r="C152" s="463" t="s">
        <v>1470</v>
      </c>
      <c r="D152" s="266" t="s">
        <v>867</v>
      </c>
      <c r="E152" s="266" t="s">
        <v>1017</v>
      </c>
      <c r="F152" s="51" t="s">
        <v>1017</v>
      </c>
      <c r="G152" s="51">
        <v>0</v>
      </c>
      <c r="H152" s="51" t="s">
        <v>1095</v>
      </c>
      <c r="I152" s="51">
        <v>0</v>
      </c>
      <c r="J152" s="51" t="s">
        <v>1095</v>
      </c>
      <c r="K152" s="51">
        <v>0</v>
      </c>
      <c r="L152" s="51" t="s">
        <v>1095</v>
      </c>
      <c r="M152" s="846">
        <v>0</v>
      </c>
      <c r="N152" s="51" t="s">
        <v>1095</v>
      </c>
      <c r="O152" s="51">
        <v>0</v>
      </c>
      <c r="P152" s="51">
        <v>0</v>
      </c>
      <c r="Q152" s="51">
        <v>0</v>
      </c>
      <c r="R152" s="51" t="s">
        <v>1095</v>
      </c>
      <c r="S152" s="51">
        <v>0</v>
      </c>
      <c r="T152" s="51" t="s">
        <v>1095</v>
      </c>
      <c r="U152" s="847">
        <v>0</v>
      </c>
      <c r="V152" s="51" t="s">
        <v>1095</v>
      </c>
      <c r="W152" s="51">
        <v>0</v>
      </c>
      <c r="X152" s="51" t="s">
        <v>1095</v>
      </c>
      <c r="Y152" s="847">
        <v>0</v>
      </c>
      <c r="Z152" s="51" t="s">
        <v>1095</v>
      </c>
      <c r="AA152" s="51"/>
      <c r="AB152" s="51"/>
      <c r="AC152" s="51"/>
      <c r="AD152" s="51"/>
      <c r="AE152" s="51"/>
      <c r="AF152" s="51"/>
      <c r="AG152" s="51"/>
    </row>
    <row r="153" spans="1:33" x14ac:dyDescent="0.2">
      <c r="A153" s="249">
        <v>3</v>
      </c>
      <c r="B153" s="463" t="s">
        <v>235</v>
      </c>
      <c r="C153" s="463" t="s">
        <v>1471</v>
      </c>
      <c r="D153" s="266" t="s">
        <v>234</v>
      </c>
      <c r="E153" s="266" t="s">
        <v>1015</v>
      </c>
      <c r="F153" s="51" t="s">
        <v>1015</v>
      </c>
      <c r="G153" s="51">
        <v>0</v>
      </c>
      <c r="H153" s="51" t="s">
        <v>1095</v>
      </c>
      <c r="I153" s="51">
        <v>0</v>
      </c>
      <c r="J153" s="51" t="s">
        <v>1095</v>
      </c>
      <c r="K153" s="51">
        <v>0</v>
      </c>
      <c r="L153" s="51" t="s">
        <v>1095</v>
      </c>
      <c r="M153" s="846">
        <v>0</v>
      </c>
      <c r="N153" s="51" t="s">
        <v>1095</v>
      </c>
      <c r="O153" s="51">
        <v>0</v>
      </c>
      <c r="P153" s="51">
        <v>0</v>
      </c>
      <c r="Q153" s="51">
        <v>0</v>
      </c>
      <c r="R153" s="51" t="s">
        <v>1095</v>
      </c>
      <c r="S153" s="51">
        <v>0</v>
      </c>
      <c r="T153" s="51" t="s">
        <v>1095</v>
      </c>
      <c r="U153" s="847">
        <v>0</v>
      </c>
      <c r="V153" s="51" t="s">
        <v>1095</v>
      </c>
      <c r="W153" s="51">
        <v>0</v>
      </c>
      <c r="X153" s="51" t="s">
        <v>1095</v>
      </c>
      <c r="Y153" s="847">
        <v>0</v>
      </c>
      <c r="Z153" s="51" t="s">
        <v>1095</v>
      </c>
      <c r="AA153" s="51"/>
      <c r="AB153" s="51"/>
      <c r="AC153" s="51"/>
      <c r="AD153" s="51"/>
      <c r="AE153" s="51"/>
      <c r="AF153" s="51"/>
      <c r="AG153" s="51"/>
    </row>
    <row r="154" spans="1:33" x14ac:dyDescent="0.2">
      <c r="A154" s="249">
        <v>4</v>
      </c>
      <c r="B154" s="463" t="s">
        <v>237</v>
      </c>
      <c r="C154" s="463" t="s">
        <v>1472</v>
      </c>
      <c r="D154" s="266" t="s">
        <v>236</v>
      </c>
      <c r="E154" s="266" t="s">
        <v>818</v>
      </c>
      <c r="F154" s="51" t="s">
        <v>818</v>
      </c>
      <c r="G154" s="51">
        <v>2050062</v>
      </c>
      <c r="H154" s="51" t="s">
        <v>1095</v>
      </c>
      <c r="I154" s="51">
        <v>0</v>
      </c>
      <c r="J154" s="51" t="s">
        <v>1095</v>
      </c>
      <c r="K154" s="51">
        <v>0</v>
      </c>
      <c r="L154" s="51" t="s">
        <v>1095</v>
      </c>
      <c r="M154" s="846">
        <v>2050062</v>
      </c>
      <c r="N154" s="51" t="s">
        <v>1095</v>
      </c>
      <c r="O154" s="51">
        <v>0</v>
      </c>
      <c r="P154" s="51">
        <v>0</v>
      </c>
      <c r="Q154" s="51">
        <v>-5247</v>
      </c>
      <c r="R154" s="51" t="s">
        <v>1095</v>
      </c>
      <c r="S154" s="51">
        <v>243219</v>
      </c>
      <c r="T154" s="51" t="s">
        <v>1095</v>
      </c>
      <c r="U154" s="847">
        <v>1801596</v>
      </c>
      <c r="V154" s="51" t="s">
        <v>1095</v>
      </c>
      <c r="W154" s="51">
        <v>490742</v>
      </c>
      <c r="X154" s="51" t="s">
        <v>1095</v>
      </c>
      <c r="Y154" s="847">
        <v>490742</v>
      </c>
      <c r="Z154" s="51" t="s">
        <v>1095</v>
      </c>
      <c r="AA154" s="51"/>
      <c r="AB154" s="51"/>
      <c r="AC154" s="51"/>
      <c r="AD154" s="51"/>
      <c r="AE154" s="51"/>
      <c r="AF154" s="51"/>
      <c r="AG154" s="51"/>
    </row>
    <row r="155" spans="1:33" x14ac:dyDescent="0.2">
      <c r="A155" s="249">
        <v>5</v>
      </c>
      <c r="B155" s="463" t="s">
        <v>243</v>
      </c>
      <c r="C155" s="463" t="s">
        <v>1473</v>
      </c>
      <c r="D155" s="266" t="s">
        <v>242</v>
      </c>
      <c r="E155" s="266" t="s">
        <v>803</v>
      </c>
      <c r="F155" s="51" t="s">
        <v>803</v>
      </c>
      <c r="G155" s="51">
        <v>0</v>
      </c>
      <c r="H155" s="51" t="s">
        <v>1095</v>
      </c>
      <c r="I155" s="51">
        <v>0</v>
      </c>
      <c r="J155" s="51" t="s">
        <v>1095</v>
      </c>
      <c r="K155" s="51">
        <v>0</v>
      </c>
      <c r="L155" s="51" t="s">
        <v>1095</v>
      </c>
      <c r="M155" s="846">
        <v>0</v>
      </c>
      <c r="N155" s="51" t="s">
        <v>1095</v>
      </c>
      <c r="O155" s="51">
        <v>0</v>
      </c>
      <c r="P155" s="51">
        <v>0</v>
      </c>
      <c r="Q155" s="51">
        <v>0</v>
      </c>
      <c r="R155" s="51" t="s">
        <v>1095</v>
      </c>
      <c r="S155" s="51">
        <v>0</v>
      </c>
      <c r="T155" s="51" t="s">
        <v>1095</v>
      </c>
      <c r="U155" s="847">
        <v>0</v>
      </c>
      <c r="V155" s="51" t="s">
        <v>1095</v>
      </c>
      <c r="W155" s="51">
        <v>176264</v>
      </c>
      <c r="X155" s="51" t="s">
        <v>1095</v>
      </c>
      <c r="Y155" s="847">
        <v>176264</v>
      </c>
      <c r="Z155" s="51" t="s">
        <v>1095</v>
      </c>
      <c r="AA155" s="51"/>
      <c r="AB155" s="51"/>
      <c r="AC155" s="51"/>
      <c r="AD155" s="51"/>
      <c r="AE155" s="51"/>
      <c r="AF155" s="51"/>
      <c r="AG155" s="51"/>
    </row>
    <row r="156" spans="1:33" x14ac:dyDescent="0.2">
      <c r="A156" s="249">
        <v>6</v>
      </c>
      <c r="B156" s="463" t="s">
        <v>243</v>
      </c>
      <c r="C156" s="463" t="s">
        <v>1474</v>
      </c>
      <c r="D156" s="266" t="s">
        <v>242</v>
      </c>
      <c r="E156" s="266" t="s">
        <v>804</v>
      </c>
      <c r="F156" s="51" t="s">
        <v>804</v>
      </c>
      <c r="G156" s="51">
        <v>0</v>
      </c>
      <c r="H156" s="51" t="s">
        <v>1095</v>
      </c>
      <c r="I156" s="51">
        <v>0</v>
      </c>
      <c r="J156" s="51" t="s">
        <v>1095</v>
      </c>
      <c r="K156" s="51">
        <v>0</v>
      </c>
      <c r="L156" s="51" t="s">
        <v>1095</v>
      </c>
      <c r="M156" s="846">
        <v>0</v>
      </c>
      <c r="N156" s="51" t="s">
        <v>1095</v>
      </c>
      <c r="O156" s="51">
        <v>0</v>
      </c>
      <c r="P156" s="51">
        <v>0</v>
      </c>
      <c r="Q156" s="51">
        <v>0</v>
      </c>
      <c r="R156" s="51" t="s">
        <v>1095</v>
      </c>
      <c r="S156" s="51">
        <v>0</v>
      </c>
      <c r="T156" s="51" t="s">
        <v>1095</v>
      </c>
      <c r="U156" s="847">
        <v>0</v>
      </c>
      <c r="V156" s="51" t="s">
        <v>1095</v>
      </c>
      <c r="W156" s="51">
        <v>0</v>
      </c>
      <c r="X156" s="51" t="s">
        <v>1095</v>
      </c>
      <c r="Y156" s="847">
        <v>0</v>
      </c>
      <c r="Z156" s="51" t="s">
        <v>1095</v>
      </c>
      <c r="AA156" s="51"/>
      <c r="AB156" s="51"/>
      <c r="AC156" s="51"/>
      <c r="AD156" s="51"/>
      <c r="AE156" s="51"/>
      <c r="AF156" s="51"/>
      <c r="AG156" s="51"/>
    </row>
    <row r="157" spans="1:33" x14ac:dyDescent="0.2">
      <c r="A157" s="249">
        <v>7</v>
      </c>
      <c r="B157" s="463" t="s">
        <v>243</v>
      </c>
      <c r="C157" s="463" t="s">
        <v>1475</v>
      </c>
      <c r="D157" s="266" t="s">
        <v>242</v>
      </c>
      <c r="E157" s="266" t="s">
        <v>1018</v>
      </c>
      <c r="F157" s="51" t="s">
        <v>1018</v>
      </c>
      <c r="G157" s="51">
        <v>0</v>
      </c>
      <c r="H157" s="51" t="s">
        <v>1095</v>
      </c>
      <c r="I157" s="51">
        <v>0</v>
      </c>
      <c r="J157" s="51" t="s">
        <v>1095</v>
      </c>
      <c r="K157" s="51">
        <v>0</v>
      </c>
      <c r="L157" s="51" t="s">
        <v>1095</v>
      </c>
      <c r="M157" s="846">
        <v>0</v>
      </c>
      <c r="N157" s="51" t="s">
        <v>1095</v>
      </c>
      <c r="O157" s="51">
        <v>0</v>
      </c>
      <c r="P157" s="51">
        <v>0</v>
      </c>
      <c r="Q157" s="51">
        <v>0</v>
      </c>
      <c r="R157" s="51" t="s">
        <v>1095</v>
      </c>
      <c r="S157" s="51">
        <v>0</v>
      </c>
      <c r="T157" s="51" t="s">
        <v>1095</v>
      </c>
      <c r="U157" s="847">
        <v>0</v>
      </c>
      <c r="V157" s="51" t="s">
        <v>1095</v>
      </c>
      <c r="W157" s="51">
        <v>0</v>
      </c>
      <c r="X157" s="51" t="s">
        <v>1095</v>
      </c>
      <c r="Y157" s="847">
        <v>0</v>
      </c>
      <c r="Z157" s="51" t="s">
        <v>1095</v>
      </c>
      <c r="AA157" s="51"/>
      <c r="AB157" s="51"/>
      <c r="AC157" s="51"/>
      <c r="AD157" s="51"/>
      <c r="AE157" s="51"/>
      <c r="AF157" s="51"/>
      <c r="AG157" s="51"/>
    </row>
    <row r="158" spans="1:33" x14ac:dyDescent="0.2">
      <c r="A158" s="249">
        <v>8</v>
      </c>
      <c r="B158" s="463" t="s">
        <v>243</v>
      </c>
      <c r="C158" s="463" t="s">
        <v>1476</v>
      </c>
      <c r="D158" s="266" t="s">
        <v>242</v>
      </c>
      <c r="E158" s="266" t="s">
        <v>1019</v>
      </c>
      <c r="F158" s="51" t="s">
        <v>1019</v>
      </c>
      <c r="G158" s="51">
        <v>0</v>
      </c>
      <c r="H158" s="51" t="s">
        <v>1095</v>
      </c>
      <c r="I158" s="51">
        <v>0</v>
      </c>
      <c r="J158" s="51" t="s">
        <v>1095</v>
      </c>
      <c r="K158" s="51">
        <v>0</v>
      </c>
      <c r="L158" s="51" t="s">
        <v>1095</v>
      </c>
      <c r="M158" s="846">
        <v>0</v>
      </c>
      <c r="N158" s="51" t="s">
        <v>1095</v>
      </c>
      <c r="O158" s="51">
        <v>0</v>
      </c>
      <c r="P158" s="51">
        <v>0</v>
      </c>
      <c r="Q158" s="51">
        <v>0</v>
      </c>
      <c r="R158" s="51" t="s">
        <v>1095</v>
      </c>
      <c r="S158" s="51">
        <v>0</v>
      </c>
      <c r="T158" s="51" t="s">
        <v>1095</v>
      </c>
      <c r="U158" s="847">
        <v>0</v>
      </c>
      <c r="V158" s="51" t="s">
        <v>1095</v>
      </c>
      <c r="W158" s="51">
        <v>0</v>
      </c>
      <c r="X158" s="51" t="s">
        <v>1095</v>
      </c>
      <c r="Y158" s="847">
        <v>0</v>
      </c>
      <c r="Z158" s="51" t="s">
        <v>1095</v>
      </c>
      <c r="AA158" s="51"/>
      <c r="AB158" s="51"/>
      <c r="AC158" s="51"/>
      <c r="AD158" s="51"/>
      <c r="AE158" s="51"/>
      <c r="AF158" s="51"/>
      <c r="AG158" s="51"/>
    </row>
    <row r="159" spans="1:33" x14ac:dyDescent="0.2">
      <c r="A159" s="249">
        <v>1</v>
      </c>
      <c r="B159" s="463" t="s">
        <v>243</v>
      </c>
      <c r="C159" s="463" t="s">
        <v>1477</v>
      </c>
      <c r="D159" s="266" t="s">
        <v>242</v>
      </c>
      <c r="E159" s="266" t="s">
        <v>1020</v>
      </c>
      <c r="F159" s="51" t="s">
        <v>1020</v>
      </c>
      <c r="G159" s="51">
        <v>0</v>
      </c>
      <c r="H159" s="51" t="s">
        <v>1095</v>
      </c>
      <c r="I159" s="51">
        <v>0</v>
      </c>
      <c r="J159" s="51" t="s">
        <v>1095</v>
      </c>
      <c r="K159" s="51">
        <v>0</v>
      </c>
      <c r="L159" s="51" t="s">
        <v>1095</v>
      </c>
      <c r="M159" s="846">
        <v>0</v>
      </c>
      <c r="N159" s="51" t="s">
        <v>1095</v>
      </c>
      <c r="O159" s="51">
        <v>0</v>
      </c>
      <c r="P159" s="51">
        <v>0</v>
      </c>
      <c r="Q159" s="51">
        <v>0</v>
      </c>
      <c r="R159" s="51" t="s">
        <v>1095</v>
      </c>
      <c r="S159" s="51">
        <v>0</v>
      </c>
      <c r="T159" s="51" t="s">
        <v>1095</v>
      </c>
      <c r="U159" s="847">
        <v>0</v>
      </c>
      <c r="V159" s="51" t="s">
        <v>1095</v>
      </c>
      <c r="W159" s="51">
        <v>0</v>
      </c>
      <c r="X159" s="51" t="s">
        <v>1095</v>
      </c>
      <c r="Y159" s="847">
        <v>0</v>
      </c>
      <c r="Z159" s="51" t="s">
        <v>1095</v>
      </c>
      <c r="AA159" s="51"/>
      <c r="AB159" s="51"/>
      <c r="AC159" s="51"/>
      <c r="AD159" s="51"/>
      <c r="AE159" s="51"/>
      <c r="AF159" s="51"/>
      <c r="AG159" s="51"/>
    </row>
    <row r="160" spans="1:33" x14ac:dyDescent="0.2">
      <c r="A160" s="249">
        <v>2</v>
      </c>
      <c r="B160" s="463" t="s">
        <v>243</v>
      </c>
      <c r="C160" s="463" t="s">
        <v>1478</v>
      </c>
      <c r="D160" s="266" t="s">
        <v>242</v>
      </c>
      <c r="E160" s="266" t="s">
        <v>1021</v>
      </c>
      <c r="F160" s="51" t="s">
        <v>1021</v>
      </c>
      <c r="G160" s="51">
        <v>0</v>
      </c>
      <c r="H160" s="51" t="s">
        <v>1095</v>
      </c>
      <c r="I160" s="51">
        <v>0</v>
      </c>
      <c r="J160" s="51" t="s">
        <v>1095</v>
      </c>
      <c r="K160" s="51">
        <v>0</v>
      </c>
      <c r="L160" s="51" t="s">
        <v>1095</v>
      </c>
      <c r="M160" s="846">
        <v>0</v>
      </c>
      <c r="N160" s="51" t="s">
        <v>1095</v>
      </c>
      <c r="O160" s="51">
        <v>0</v>
      </c>
      <c r="P160" s="51">
        <v>0</v>
      </c>
      <c r="Q160" s="51">
        <v>0</v>
      </c>
      <c r="R160" s="51" t="s">
        <v>1095</v>
      </c>
      <c r="S160" s="51">
        <v>0</v>
      </c>
      <c r="T160" s="51" t="s">
        <v>1095</v>
      </c>
      <c r="U160" s="847">
        <v>0</v>
      </c>
      <c r="V160" s="51" t="s">
        <v>1095</v>
      </c>
      <c r="W160" s="51">
        <v>0</v>
      </c>
      <c r="X160" s="51" t="s">
        <v>1095</v>
      </c>
      <c r="Y160" s="847">
        <v>0</v>
      </c>
      <c r="Z160" s="51" t="s">
        <v>1095</v>
      </c>
      <c r="AA160" s="51"/>
      <c r="AB160" s="51"/>
      <c r="AC160" s="51"/>
      <c r="AD160" s="51"/>
      <c r="AE160" s="51"/>
      <c r="AF160" s="51"/>
      <c r="AG160" s="51"/>
    </row>
    <row r="161" spans="1:33" x14ac:dyDescent="0.2">
      <c r="A161" s="249">
        <v>1</v>
      </c>
      <c r="B161" s="463" t="s">
        <v>243</v>
      </c>
      <c r="C161" s="463" t="s">
        <v>1479</v>
      </c>
      <c r="D161" s="266" t="s">
        <v>242</v>
      </c>
      <c r="E161" s="266" t="s">
        <v>1022</v>
      </c>
      <c r="F161" s="51" t="s">
        <v>1022</v>
      </c>
      <c r="G161" s="51">
        <v>0</v>
      </c>
      <c r="H161" s="51" t="s">
        <v>1095</v>
      </c>
      <c r="I161" s="51">
        <v>0</v>
      </c>
      <c r="J161" s="51" t="s">
        <v>1095</v>
      </c>
      <c r="K161" s="51">
        <v>0</v>
      </c>
      <c r="L161" s="51" t="s">
        <v>1095</v>
      </c>
      <c r="M161" s="846">
        <v>0</v>
      </c>
      <c r="N161" s="51" t="s">
        <v>1095</v>
      </c>
      <c r="O161" s="51">
        <v>0</v>
      </c>
      <c r="P161" s="51">
        <v>0</v>
      </c>
      <c r="Q161" s="51">
        <v>0</v>
      </c>
      <c r="R161" s="51" t="s">
        <v>1095</v>
      </c>
      <c r="S161" s="51">
        <v>0</v>
      </c>
      <c r="T161" s="51" t="s">
        <v>1095</v>
      </c>
      <c r="U161" s="847">
        <v>0</v>
      </c>
      <c r="V161" s="51" t="s">
        <v>1095</v>
      </c>
      <c r="W161" s="51">
        <v>0</v>
      </c>
      <c r="X161" s="51" t="s">
        <v>1095</v>
      </c>
      <c r="Y161" s="847">
        <v>0</v>
      </c>
      <c r="Z161" s="51" t="s">
        <v>1095</v>
      </c>
      <c r="AA161" s="51"/>
      <c r="AB161" s="51"/>
      <c r="AC161" s="51"/>
      <c r="AD161" s="51"/>
      <c r="AE161" s="51"/>
      <c r="AF161" s="51"/>
      <c r="AG161" s="51"/>
    </row>
    <row r="162" spans="1:33" x14ac:dyDescent="0.2">
      <c r="A162" s="249">
        <v>2</v>
      </c>
      <c r="B162" s="463" t="s">
        <v>243</v>
      </c>
      <c r="C162" s="463" t="s">
        <v>1480</v>
      </c>
      <c r="D162" s="266" t="s">
        <v>242</v>
      </c>
      <c r="E162" s="266" t="s">
        <v>1023</v>
      </c>
      <c r="F162" s="51" t="s">
        <v>1023</v>
      </c>
      <c r="G162" s="51">
        <v>0</v>
      </c>
      <c r="H162" s="51" t="s">
        <v>1095</v>
      </c>
      <c r="I162" s="51">
        <v>0</v>
      </c>
      <c r="J162" s="51" t="s">
        <v>1095</v>
      </c>
      <c r="K162" s="51">
        <v>0</v>
      </c>
      <c r="L162" s="51" t="s">
        <v>1095</v>
      </c>
      <c r="M162" s="846">
        <v>0</v>
      </c>
      <c r="N162" s="51" t="s">
        <v>1095</v>
      </c>
      <c r="O162" s="51">
        <v>0</v>
      </c>
      <c r="P162" s="51">
        <v>0</v>
      </c>
      <c r="Q162" s="51">
        <v>0</v>
      </c>
      <c r="R162" s="51" t="s">
        <v>1095</v>
      </c>
      <c r="S162" s="51">
        <v>0</v>
      </c>
      <c r="T162" s="51" t="s">
        <v>1095</v>
      </c>
      <c r="U162" s="847">
        <v>0</v>
      </c>
      <c r="V162" s="51" t="s">
        <v>1095</v>
      </c>
      <c r="W162" s="51">
        <v>0</v>
      </c>
      <c r="X162" s="51" t="s">
        <v>1095</v>
      </c>
      <c r="Y162" s="847">
        <v>0</v>
      </c>
      <c r="Z162" s="51" t="s">
        <v>1095</v>
      </c>
      <c r="AA162" s="51"/>
      <c r="AB162" s="51"/>
      <c r="AC162" s="51"/>
      <c r="AD162" s="51"/>
      <c r="AE162" s="51"/>
      <c r="AF162" s="51"/>
      <c r="AG162" s="51"/>
    </row>
    <row r="163" spans="1:33" x14ac:dyDescent="0.2">
      <c r="A163" s="249">
        <v>1</v>
      </c>
      <c r="B163" s="463" t="s">
        <v>249</v>
      </c>
      <c r="C163" s="463" t="s">
        <v>1481</v>
      </c>
      <c r="D163" s="266" t="s">
        <v>248</v>
      </c>
      <c r="E163" s="266" t="s">
        <v>804</v>
      </c>
      <c r="F163" s="51" t="s">
        <v>804</v>
      </c>
      <c r="G163" s="51">
        <v>1134000</v>
      </c>
      <c r="H163" s="51" t="s">
        <v>1095</v>
      </c>
      <c r="I163" s="51">
        <v>0</v>
      </c>
      <c r="J163" s="51" t="s">
        <v>1095</v>
      </c>
      <c r="K163" s="51">
        <v>0</v>
      </c>
      <c r="L163" s="51" t="s">
        <v>1095</v>
      </c>
      <c r="M163" s="846">
        <v>1134000</v>
      </c>
      <c r="N163" s="51" t="s">
        <v>1095</v>
      </c>
      <c r="O163" s="51">
        <v>0</v>
      </c>
      <c r="P163" s="51">
        <v>0</v>
      </c>
      <c r="Q163" s="51">
        <v>0</v>
      </c>
      <c r="R163" s="51" t="s">
        <v>1095</v>
      </c>
      <c r="S163" s="51">
        <v>947253</v>
      </c>
      <c r="T163" s="51" t="s">
        <v>1095</v>
      </c>
      <c r="U163" s="847">
        <v>186747</v>
      </c>
      <c r="V163" s="51" t="s">
        <v>1095</v>
      </c>
      <c r="W163" s="51">
        <v>0</v>
      </c>
      <c r="X163" s="51" t="s">
        <v>1095</v>
      </c>
      <c r="Y163" s="847">
        <v>0</v>
      </c>
      <c r="Z163" s="51" t="s">
        <v>1095</v>
      </c>
      <c r="AA163" s="51"/>
      <c r="AB163" s="51"/>
      <c r="AC163" s="51"/>
      <c r="AD163" s="51"/>
      <c r="AE163" s="51"/>
      <c r="AF163" s="51"/>
      <c r="AG163" s="51"/>
    </row>
    <row r="164" spans="1:33" x14ac:dyDescent="0.2">
      <c r="A164" s="249">
        <v>1</v>
      </c>
      <c r="B164" s="463" t="s">
        <v>249</v>
      </c>
      <c r="C164" s="463" t="s">
        <v>1482</v>
      </c>
      <c r="D164" s="266" t="s">
        <v>248</v>
      </c>
      <c r="E164" s="266" t="s">
        <v>1024</v>
      </c>
      <c r="F164" s="51" t="s">
        <v>1024</v>
      </c>
      <c r="G164" s="51">
        <v>1040202</v>
      </c>
      <c r="H164" s="51" t="s">
        <v>1095</v>
      </c>
      <c r="I164" s="51">
        <v>0</v>
      </c>
      <c r="J164" s="51" t="s">
        <v>1095</v>
      </c>
      <c r="K164" s="51">
        <v>0</v>
      </c>
      <c r="L164" s="51" t="s">
        <v>1095</v>
      </c>
      <c r="M164" s="846">
        <v>1040202</v>
      </c>
      <c r="N164" s="51" t="s">
        <v>1095</v>
      </c>
      <c r="O164" s="51">
        <v>0</v>
      </c>
      <c r="P164" s="51">
        <v>0</v>
      </c>
      <c r="Q164" s="51">
        <v>1709</v>
      </c>
      <c r="R164" s="51" t="s">
        <v>1095</v>
      </c>
      <c r="S164" s="51">
        <v>18920</v>
      </c>
      <c r="T164" s="51" t="s">
        <v>1095</v>
      </c>
      <c r="U164" s="847">
        <v>1022991</v>
      </c>
      <c r="V164" s="51" t="s">
        <v>1095</v>
      </c>
      <c r="W164" s="51">
        <v>81176</v>
      </c>
      <c r="X164" s="51" t="s">
        <v>1095</v>
      </c>
      <c r="Y164" s="847">
        <v>81176</v>
      </c>
      <c r="Z164" s="51" t="s">
        <v>1095</v>
      </c>
      <c r="AA164" s="51"/>
      <c r="AB164" s="51"/>
      <c r="AC164" s="51"/>
      <c r="AD164" s="51"/>
      <c r="AE164" s="51"/>
      <c r="AF164" s="51"/>
      <c r="AG164" s="51"/>
    </row>
    <row r="165" spans="1:33" x14ac:dyDescent="0.2">
      <c r="A165" s="249">
        <v>1</v>
      </c>
      <c r="B165" s="463" t="s">
        <v>251</v>
      </c>
      <c r="C165" s="463" t="s">
        <v>1483</v>
      </c>
      <c r="D165" s="266" t="s">
        <v>250</v>
      </c>
      <c r="E165" s="266" t="s">
        <v>1025</v>
      </c>
      <c r="F165" s="51" t="s">
        <v>1025</v>
      </c>
      <c r="G165" s="51">
        <v>0</v>
      </c>
      <c r="H165" s="51" t="s">
        <v>1095</v>
      </c>
      <c r="I165" s="51">
        <v>0</v>
      </c>
      <c r="J165" s="51" t="s">
        <v>1095</v>
      </c>
      <c r="K165" s="51">
        <v>0</v>
      </c>
      <c r="L165" s="51" t="s">
        <v>1095</v>
      </c>
      <c r="M165" s="846">
        <v>0</v>
      </c>
      <c r="N165" s="51" t="s">
        <v>1095</v>
      </c>
      <c r="O165" s="51">
        <v>0</v>
      </c>
      <c r="P165" s="51">
        <v>0</v>
      </c>
      <c r="Q165" s="51">
        <v>29861</v>
      </c>
      <c r="R165" s="51" t="s">
        <v>1095</v>
      </c>
      <c r="S165" s="51">
        <v>0</v>
      </c>
      <c r="T165" s="51" t="s">
        <v>1095</v>
      </c>
      <c r="U165" s="847">
        <v>29861</v>
      </c>
      <c r="V165" s="51" t="s">
        <v>1095</v>
      </c>
      <c r="W165" s="51">
        <v>272414</v>
      </c>
      <c r="X165" s="51" t="s">
        <v>1095</v>
      </c>
      <c r="Y165" s="847">
        <v>272414</v>
      </c>
      <c r="Z165" s="51" t="s">
        <v>1095</v>
      </c>
      <c r="AA165" s="51"/>
      <c r="AB165" s="51"/>
      <c r="AC165" s="51"/>
      <c r="AD165" s="51"/>
      <c r="AE165" s="51"/>
      <c r="AF165" s="51"/>
      <c r="AG165" s="51"/>
    </row>
    <row r="166" spans="1:33" x14ac:dyDescent="0.2">
      <c r="A166" s="249">
        <v>1</v>
      </c>
      <c r="B166" s="463" t="s">
        <v>251</v>
      </c>
      <c r="C166" s="463" t="s">
        <v>1484</v>
      </c>
      <c r="D166" s="266" t="s">
        <v>250</v>
      </c>
      <c r="E166" s="266" t="s">
        <v>1026</v>
      </c>
      <c r="F166" s="51" t="s">
        <v>1026</v>
      </c>
      <c r="G166" s="51">
        <v>0</v>
      </c>
      <c r="H166" s="51" t="s">
        <v>1095</v>
      </c>
      <c r="I166" s="51">
        <v>0</v>
      </c>
      <c r="J166" s="51" t="s">
        <v>1095</v>
      </c>
      <c r="K166" s="51">
        <v>0</v>
      </c>
      <c r="L166" s="51" t="s">
        <v>1095</v>
      </c>
      <c r="M166" s="846">
        <v>0</v>
      </c>
      <c r="N166" s="51" t="s">
        <v>1095</v>
      </c>
      <c r="O166" s="51">
        <v>0</v>
      </c>
      <c r="P166" s="51">
        <v>0</v>
      </c>
      <c r="Q166" s="51">
        <v>0</v>
      </c>
      <c r="R166" s="51" t="s">
        <v>1095</v>
      </c>
      <c r="S166" s="51">
        <v>0</v>
      </c>
      <c r="T166" s="51" t="s">
        <v>1095</v>
      </c>
      <c r="U166" s="847">
        <v>0</v>
      </c>
      <c r="V166" s="51" t="s">
        <v>1095</v>
      </c>
      <c r="W166" s="51">
        <v>0</v>
      </c>
      <c r="X166" s="51" t="s">
        <v>1095</v>
      </c>
      <c r="Y166" s="847">
        <v>0</v>
      </c>
      <c r="Z166" s="51" t="s">
        <v>1095</v>
      </c>
      <c r="AA166" s="51"/>
      <c r="AB166" s="51"/>
      <c r="AC166" s="51"/>
      <c r="AD166" s="51"/>
      <c r="AE166" s="51"/>
      <c r="AF166" s="51"/>
      <c r="AG166" s="51"/>
    </row>
    <row r="167" spans="1:33" x14ac:dyDescent="0.2">
      <c r="A167" s="249">
        <v>2</v>
      </c>
      <c r="B167" s="463" t="s">
        <v>253</v>
      </c>
      <c r="C167" s="463" t="s">
        <v>1485</v>
      </c>
      <c r="D167" s="266" t="s">
        <v>252</v>
      </c>
      <c r="E167" s="266" t="s">
        <v>798</v>
      </c>
      <c r="F167" s="51" t="s">
        <v>798</v>
      </c>
      <c r="G167" s="51">
        <v>914914</v>
      </c>
      <c r="H167" s="51" t="s">
        <v>1095</v>
      </c>
      <c r="I167" s="51">
        <v>-18000</v>
      </c>
      <c r="J167" s="51" t="s">
        <v>1095</v>
      </c>
      <c r="K167" s="51">
        <v>-21000</v>
      </c>
      <c r="L167" s="51" t="s">
        <v>1095</v>
      </c>
      <c r="M167" s="846">
        <v>875914</v>
      </c>
      <c r="N167" s="51" t="s">
        <v>1095</v>
      </c>
      <c r="O167" s="51">
        <v>0</v>
      </c>
      <c r="P167" s="51">
        <v>0</v>
      </c>
      <c r="Q167" s="51">
        <v>-59762</v>
      </c>
      <c r="R167" s="51" t="s">
        <v>1095</v>
      </c>
      <c r="S167" s="51">
        <v>193888</v>
      </c>
      <c r="T167" s="51" t="s">
        <v>1095</v>
      </c>
      <c r="U167" s="847">
        <v>622264</v>
      </c>
      <c r="V167" s="51" t="s">
        <v>1095</v>
      </c>
      <c r="W167" s="51">
        <v>0</v>
      </c>
      <c r="X167" s="51" t="s">
        <v>1095</v>
      </c>
      <c r="Y167" s="847">
        <v>0</v>
      </c>
      <c r="Z167" s="51" t="s">
        <v>1095</v>
      </c>
      <c r="AA167" s="51"/>
      <c r="AB167" s="51"/>
      <c r="AC167" s="51"/>
      <c r="AD167" s="51"/>
      <c r="AE167" s="51"/>
      <c r="AF167" s="51"/>
      <c r="AG167" s="51"/>
    </row>
    <row r="168" spans="1:33" x14ac:dyDescent="0.2">
      <c r="A168" s="249">
        <v>3</v>
      </c>
      <c r="B168" s="463" t="s">
        <v>255</v>
      </c>
      <c r="C168" s="463" t="s">
        <v>1486</v>
      </c>
      <c r="D168" s="266" t="s">
        <v>254</v>
      </c>
      <c r="E168" s="266" t="s">
        <v>819</v>
      </c>
      <c r="F168" s="51" t="s">
        <v>819</v>
      </c>
      <c r="G168" s="51">
        <v>752845</v>
      </c>
      <c r="H168" s="51" t="s">
        <v>1095</v>
      </c>
      <c r="I168" s="51">
        <v>0</v>
      </c>
      <c r="J168" s="51" t="s">
        <v>1095</v>
      </c>
      <c r="K168" s="51">
        <v>0</v>
      </c>
      <c r="L168" s="51" t="s">
        <v>1095</v>
      </c>
      <c r="M168" s="846">
        <v>752845</v>
      </c>
      <c r="N168" s="51" t="s">
        <v>1095</v>
      </c>
      <c r="O168" s="51">
        <v>0</v>
      </c>
      <c r="P168" s="51">
        <v>0</v>
      </c>
      <c r="Q168" s="51">
        <v>12059</v>
      </c>
      <c r="R168" s="51" t="s">
        <v>1095</v>
      </c>
      <c r="S168" s="51">
        <v>613621</v>
      </c>
      <c r="T168" s="51" t="s">
        <v>1095</v>
      </c>
      <c r="U168" s="847">
        <v>151283</v>
      </c>
      <c r="V168" s="51" t="s">
        <v>1095</v>
      </c>
      <c r="W168" s="51">
        <v>24187</v>
      </c>
      <c r="X168" s="51" t="s">
        <v>1095</v>
      </c>
      <c r="Y168" s="847">
        <v>24187</v>
      </c>
      <c r="Z168" s="51" t="s">
        <v>1095</v>
      </c>
      <c r="AA168" s="51"/>
      <c r="AB168" s="51"/>
      <c r="AC168" s="51"/>
      <c r="AD168" s="51"/>
      <c r="AE168" s="51"/>
      <c r="AF168" s="51"/>
      <c r="AG168" s="51"/>
    </row>
    <row r="169" spans="1:33" x14ac:dyDescent="0.2">
      <c r="A169" s="249">
        <v>4</v>
      </c>
      <c r="B169" s="463" t="s">
        <v>265</v>
      </c>
      <c r="C169" s="463" t="s">
        <v>1487</v>
      </c>
      <c r="D169" s="266" t="s">
        <v>264</v>
      </c>
      <c r="E169" s="266" t="s">
        <v>820</v>
      </c>
      <c r="F169" s="51" t="s">
        <v>820</v>
      </c>
      <c r="G169" s="51">
        <v>4330528</v>
      </c>
      <c r="H169" s="51" t="s">
        <v>1095</v>
      </c>
      <c r="I169" s="51">
        <v>-50361</v>
      </c>
      <c r="J169" s="51" t="s">
        <v>1095</v>
      </c>
      <c r="K169" s="51">
        <v>-62202</v>
      </c>
      <c r="L169" s="51" t="s">
        <v>1095</v>
      </c>
      <c r="M169" s="846">
        <v>4217965</v>
      </c>
      <c r="N169" s="51" t="s">
        <v>1095</v>
      </c>
      <c r="O169" s="51">
        <v>0</v>
      </c>
      <c r="P169" s="51">
        <v>0</v>
      </c>
      <c r="Q169" s="51">
        <v>-94715</v>
      </c>
      <c r="R169" s="51" t="s">
        <v>1095</v>
      </c>
      <c r="S169" s="51">
        <v>3335656</v>
      </c>
      <c r="T169" s="51" t="s">
        <v>1095</v>
      </c>
      <c r="U169" s="847">
        <v>787594</v>
      </c>
      <c r="V169" s="51" t="s">
        <v>1095</v>
      </c>
      <c r="W169" s="51">
        <v>623308</v>
      </c>
      <c r="X169" s="51" t="s">
        <v>1095</v>
      </c>
      <c r="Y169" s="847">
        <v>623308</v>
      </c>
      <c r="Z169" s="51" t="s">
        <v>1095</v>
      </c>
      <c r="AA169" s="51"/>
      <c r="AB169" s="51"/>
      <c r="AC169" s="51"/>
      <c r="AD169" s="51"/>
      <c r="AE169" s="51"/>
      <c r="AF169" s="51"/>
      <c r="AG169" s="51"/>
    </row>
    <row r="170" spans="1:33" x14ac:dyDescent="0.2">
      <c r="A170" s="249">
        <v>1</v>
      </c>
      <c r="B170" s="463" t="s">
        <v>267</v>
      </c>
      <c r="C170" s="463" t="s">
        <v>1488</v>
      </c>
      <c r="D170" s="266" t="s">
        <v>266</v>
      </c>
      <c r="E170" s="266" t="s">
        <v>821</v>
      </c>
      <c r="F170" s="51" t="s">
        <v>821</v>
      </c>
      <c r="G170" s="51">
        <v>282432</v>
      </c>
      <c r="H170" s="51" t="s">
        <v>1095</v>
      </c>
      <c r="I170" s="51">
        <v>0</v>
      </c>
      <c r="J170" s="51" t="s">
        <v>1095</v>
      </c>
      <c r="K170" s="51">
        <v>0</v>
      </c>
      <c r="L170" s="51" t="s">
        <v>1095</v>
      </c>
      <c r="M170" s="846">
        <v>282432</v>
      </c>
      <c r="N170" s="51" t="s">
        <v>1095</v>
      </c>
      <c r="O170" s="51">
        <v>0</v>
      </c>
      <c r="P170" s="51">
        <v>0</v>
      </c>
      <c r="Q170" s="51">
        <v>11003</v>
      </c>
      <c r="R170" s="51" t="s">
        <v>1095</v>
      </c>
      <c r="S170" s="51">
        <v>15290</v>
      </c>
      <c r="T170" s="51" t="s">
        <v>1095</v>
      </c>
      <c r="U170" s="847">
        <v>278145</v>
      </c>
      <c r="V170" s="51" t="s">
        <v>1095</v>
      </c>
      <c r="W170" s="51">
        <v>63053</v>
      </c>
      <c r="X170" s="51" t="s">
        <v>1095</v>
      </c>
      <c r="Y170" s="847">
        <v>63053</v>
      </c>
      <c r="Z170" s="51" t="s">
        <v>1095</v>
      </c>
      <c r="AA170" s="51"/>
      <c r="AB170" s="51"/>
      <c r="AC170" s="51"/>
      <c r="AD170" s="51"/>
      <c r="AE170" s="51"/>
      <c r="AF170" s="51"/>
      <c r="AG170" s="51"/>
    </row>
    <row r="171" spans="1:33" x14ac:dyDescent="0.2">
      <c r="A171" s="249">
        <v>2</v>
      </c>
      <c r="B171" s="463" t="s">
        <v>267</v>
      </c>
      <c r="C171" s="463" t="s">
        <v>1489</v>
      </c>
      <c r="D171" s="266" t="s">
        <v>266</v>
      </c>
      <c r="E171" s="266" t="s">
        <v>1027</v>
      </c>
      <c r="F171" s="51" t="s">
        <v>1027</v>
      </c>
      <c r="G171" s="51">
        <v>0</v>
      </c>
      <c r="H171" s="51" t="s">
        <v>1095</v>
      </c>
      <c r="I171" s="51">
        <v>0</v>
      </c>
      <c r="J171" s="51" t="s">
        <v>1095</v>
      </c>
      <c r="K171" s="51">
        <v>0</v>
      </c>
      <c r="L171" s="51" t="s">
        <v>1095</v>
      </c>
      <c r="M171" s="846">
        <v>0</v>
      </c>
      <c r="N171" s="51" t="s">
        <v>1095</v>
      </c>
      <c r="O171" s="51">
        <v>0</v>
      </c>
      <c r="P171" s="51">
        <v>0</v>
      </c>
      <c r="Q171" s="51">
        <v>0</v>
      </c>
      <c r="R171" s="51" t="s">
        <v>1095</v>
      </c>
      <c r="S171" s="51">
        <v>0</v>
      </c>
      <c r="T171" s="51" t="s">
        <v>1095</v>
      </c>
      <c r="U171" s="847">
        <v>0</v>
      </c>
      <c r="V171" s="51" t="s">
        <v>1095</v>
      </c>
      <c r="W171" s="51">
        <v>0</v>
      </c>
      <c r="X171" s="51" t="s">
        <v>1095</v>
      </c>
      <c r="Y171" s="847">
        <v>0</v>
      </c>
      <c r="Z171" s="51" t="s">
        <v>1095</v>
      </c>
      <c r="AA171" s="51"/>
      <c r="AB171" s="51"/>
      <c r="AC171" s="51"/>
      <c r="AD171" s="51"/>
      <c r="AE171" s="51"/>
      <c r="AF171" s="51"/>
      <c r="AG171" s="51"/>
    </row>
    <row r="172" spans="1:33" x14ac:dyDescent="0.2">
      <c r="A172" s="249">
        <v>1</v>
      </c>
      <c r="B172" s="463" t="s">
        <v>267</v>
      </c>
      <c r="C172" s="463" t="s">
        <v>1490</v>
      </c>
      <c r="D172" s="266" t="s">
        <v>266</v>
      </c>
      <c r="E172" s="266" t="s">
        <v>1028</v>
      </c>
      <c r="F172" s="51" t="s">
        <v>1028</v>
      </c>
      <c r="G172" s="51">
        <v>0</v>
      </c>
      <c r="H172" s="51" t="s">
        <v>1095</v>
      </c>
      <c r="I172" s="51">
        <v>0</v>
      </c>
      <c r="J172" s="51" t="s">
        <v>1095</v>
      </c>
      <c r="K172" s="51">
        <v>0</v>
      </c>
      <c r="L172" s="51" t="s">
        <v>1095</v>
      </c>
      <c r="M172" s="846">
        <v>0</v>
      </c>
      <c r="N172" s="51" t="s">
        <v>1095</v>
      </c>
      <c r="O172" s="51">
        <v>0</v>
      </c>
      <c r="P172" s="51">
        <v>0</v>
      </c>
      <c r="Q172" s="51">
        <v>0</v>
      </c>
      <c r="R172" s="51" t="s">
        <v>1095</v>
      </c>
      <c r="S172" s="51">
        <v>0</v>
      </c>
      <c r="T172" s="51" t="s">
        <v>1095</v>
      </c>
      <c r="U172" s="847">
        <v>0</v>
      </c>
      <c r="V172" s="51" t="s">
        <v>1095</v>
      </c>
      <c r="W172" s="51">
        <v>0</v>
      </c>
      <c r="X172" s="51" t="s">
        <v>1095</v>
      </c>
      <c r="Y172" s="847">
        <v>0</v>
      </c>
      <c r="Z172" s="51" t="s">
        <v>1095</v>
      </c>
      <c r="AA172" s="51"/>
      <c r="AB172" s="51"/>
      <c r="AC172" s="51"/>
      <c r="AD172" s="51"/>
      <c r="AE172" s="51"/>
      <c r="AF172" s="51"/>
      <c r="AG172" s="51"/>
    </row>
    <row r="173" spans="1:33" x14ac:dyDescent="0.2">
      <c r="A173" s="249">
        <v>1</v>
      </c>
      <c r="B173" s="463" t="s">
        <v>267</v>
      </c>
      <c r="C173" s="463" t="s">
        <v>1491</v>
      </c>
      <c r="D173" s="266" t="s">
        <v>266</v>
      </c>
      <c r="E173" s="266" t="s">
        <v>1029</v>
      </c>
      <c r="F173" s="51" t="s">
        <v>1029</v>
      </c>
      <c r="G173" s="51">
        <v>6015</v>
      </c>
      <c r="H173" s="51" t="s">
        <v>1095</v>
      </c>
      <c r="I173" s="51">
        <v>0</v>
      </c>
      <c r="J173" s="51" t="s">
        <v>1095</v>
      </c>
      <c r="K173" s="51">
        <v>0</v>
      </c>
      <c r="L173" s="51" t="s">
        <v>1095</v>
      </c>
      <c r="M173" s="846">
        <v>6015</v>
      </c>
      <c r="N173" s="51" t="s">
        <v>1095</v>
      </c>
      <c r="O173" s="51">
        <v>0</v>
      </c>
      <c r="P173" s="51">
        <v>0</v>
      </c>
      <c r="Q173" s="51">
        <v>0</v>
      </c>
      <c r="R173" s="51" t="s">
        <v>1095</v>
      </c>
      <c r="S173" s="51">
        <v>20924</v>
      </c>
      <c r="T173" s="51" t="s">
        <v>1095</v>
      </c>
      <c r="U173" s="847">
        <v>0</v>
      </c>
      <c r="V173" s="51" t="s">
        <v>1095</v>
      </c>
      <c r="W173" s="51">
        <v>33142</v>
      </c>
      <c r="X173" s="51" t="s">
        <v>1095</v>
      </c>
      <c r="Y173" s="847">
        <v>33142</v>
      </c>
      <c r="Z173" s="51" t="s">
        <v>1095</v>
      </c>
      <c r="AA173" s="51"/>
      <c r="AB173" s="51"/>
      <c r="AC173" s="51"/>
      <c r="AD173" s="51"/>
      <c r="AE173" s="51"/>
      <c r="AF173" s="51"/>
      <c r="AG173" s="51"/>
    </row>
    <row r="174" spans="1:33" x14ac:dyDescent="0.2">
      <c r="A174" s="249">
        <v>1</v>
      </c>
      <c r="B174" s="463" t="s">
        <v>271</v>
      </c>
      <c r="C174" s="463" t="s">
        <v>1492</v>
      </c>
      <c r="D174" s="266" t="s">
        <v>270</v>
      </c>
      <c r="E174" s="266" t="s">
        <v>822</v>
      </c>
      <c r="F174" s="51" t="s">
        <v>822</v>
      </c>
      <c r="G174" s="51">
        <v>4073410</v>
      </c>
      <c r="H174" s="51" t="s">
        <v>1095</v>
      </c>
      <c r="I174" s="51">
        <v>0</v>
      </c>
      <c r="J174" s="51" t="s">
        <v>1095</v>
      </c>
      <c r="K174" s="51">
        <v>0</v>
      </c>
      <c r="L174" s="51" t="s">
        <v>1095</v>
      </c>
      <c r="M174" s="846">
        <v>4073410</v>
      </c>
      <c r="N174" s="51" t="s">
        <v>1095</v>
      </c>
      <c r="O174" s="51">
        <v>0</v>
      </c>
      <c r="P174" s="51">
        <v>0</v>
      </c>
      <c r="Q174" s="51">
        <v>0</v>
      </c>
      <c r="R174" s="51" t="s">
        <v>1095</v>
      </c>
      <c r="S174" s="51">
        <v>4194047</v>
      </c>
      <c r="T174" s="51" t="s">
        <v>1095</v>
      </c>
      <c r="U174" s="847">
        <v>0</v>
      </c>
      <c r="V174" s="51" t="s">
        <v>1095</v>
      </c>
      <c r="W174" s="51">
        <v>0</v>
      </c>
      <c r="X174" s="51" t="s">
        <v>1095</v>
      </c>
      <c r="Y174" s="847">
        <v>0</v>
      </c>
      <c r="Z174" s="51" t="s">
        <v>1095</v>
      </c>
      <c r="AA174" s="51"/>
      <c r="AB174" s="51"/>
      <c r="AC174" s="51"/>
      <c r="AD174" s="51"/>
      <c r="AE174" s="51"/>
      <c r="AF174" s="51"/>
      <c r="AG174" s="51"/>
    </row>
    <row r="175" spans="1:33" x14ac:dyDescent="0.2">
      <c r="A175" s="249">
        <v>1</v>
      </c>
      <c r="B175" s="463" t="s">
        <v>271</v>
      </c>
      <c r="C175" s="463" t="s">
        <v>1493</v>
      </c>
      <c r="D175" s="266" t="s">
        <v>270</v>
      </c>
      <c r="E175" s="266" t="s">
        <v>823</v>
      </c>
      <c r="F175" s="51" t="s">
        <v>823</v>
      </c>
      <c r="G175" s="51">
        <v>6756487</v>
      </c>
      <c r="H175" s="51" t="s">
        <v>1095</v>
      </c>
      <c r="I175" s="51">
        <v>-84000</v>
      </c>
      <c r="J175" s="51" t="s">
        <v>1095</v>
      </c>
      <c r="K175" s="51">
        <v>-445000</v>
      </c>
      <c r="L175" s="51" t="s">
        <v>1095</v>
      </c>
      <c r="M175" s="846">
        <v>6227487</v>
      </c>
      <c r="N175" s="51" t="s">
        <v>1095</v>
      </c>
      <c r="O175" s="51">
        <v>0</v>
      </c>
      <c r="P175" s="51">
        <v>0</v>
      </c>
      <c r="Q175" s="51">
        <v>85439</v>
      </c>
      <c r="R175" s="51" t="s">
        <v>1095</v>
      </c>
      <c r="S175" s="51">
        <v>7328942</v>
      </c>
      <c r="T175" s="51" t="s">
        <v>1095</v>
      </c>
      <c r="U175" s="847">
        <v>0</v>
      </c>
      <c r="V175" s="51" t="s">
        <v>1095</v>
      </c>
      <c r="W175" s="51">
        <v>0</v>
      </c>
      <c r="X175" s="51" t="s">
        <v>1095</v>
      </c>
      <c r="Y175" s="847">
        <v>0</v>
      </c>
      <c r="Z175" s="51" t="s">
        <v>1095</v>
      </c>
      <c r="AA175" s="51"/>
      <c r="AB175" s="51"/>
      <c r="AC175" s="51"/>
      <c r="AD175" s="51"/>
      <c r="AE175" s="51"/>
      <c r="AF175" s="51"/>
      <c r="AG175" s="51"/>
    </row>
    <row r="176" spans="1:33" x14ac:dyDescent="0.2">
      <c r="A176" s="249">
        <v>1</v>
      </c>
      <c r="B176" s="463" t="s">
        <v>285</v>
      </c>
      <c r="C176" s="463" t="s">
        <v>1494</v>
      </c>
      <c r="D176" s="266" t="s">
        <v>284</v>
      </c>
      <c r="E176" s="266" t="s">
        <v>1030</v>
      </c>
      <c r="F176" s="51" t="s">
        <v>1030</v>
      </c>
      <c r="G176" s="51">
        <v>0</v>
      </c>
      <c r="H176" s="51" t="s">
        <v>1095</v>
      </c>
      <c r="I176" s="51">
        <v>0</v>
      </c>
      <c r="J176" s="51" t="s">
        <v>1095</v>
      </c>
      <c r="K176" s="51">
        <v>0</v>
      </c>
      <c r="L176" s="51" t="s">
        <v>1095</v>
      </c>
      <c r="M176" s="846">
        <v>0</v>
      </c>
      <c r="N176" s="51" t="s">
        <v>1095</v>
      </c>
      <c r="O176" s="51">
        <v>0</v>
      </c>
      <c r="P176" s="51">
        <v>0</v>
      </c>
      <c r="Q176" s="51">
        <v>0</v>
      </c>
      <c r="R176" s="51" t="s">
        <v>1095</v>
      </c>
      <c r="S176" s="51">
        <v>556817</v>
      </c>
      <c r="T176" s="51" t="s">
        <v>1095</v>
      </c>
      <c r="U176" s="847">
        <v>0</v>
      </c>
      <c r="V176" s="51" t="s">
        <v>1095</v>
      </c>
      <c r="W176" s="51">
        <v>56029</v>
      </c>
      <c r="X176" s="51" t="s">
        <v>1095</v>
      </c>
      <c r="Y176" s="847">
        <v>56029</v>
      </c>
      <c r="Z176" s="51" t="s">
        <v>1095</v>
      </c>
      <c r="AA176" s="51"/>
      <c r="AB176" s="51"/>
      <c r="AC176" s="51"/>
      <c r="AD176" s="51"/>
      <c r="AE176" s="51"/>
      <c r="AF176" s="51"/>
      <c r="AG176" s="51"/>
    </row>
    <row r="177" spans="1:33" x14ac:dyDescent="0.2">
      <c r="A177" s="249">
        <v>1</v>
      </c>
      <c r="B177" s="463" t="s">
        <v>1146</v>
      </c>
      <c r="C177" s="463" t="s">
        <v>1557</v>
      </c>
      <c r="D177" s="266" t="s">
        <v>567</v>
      </c>
      <c r="E177" s="266" t="s">
        <v>1031</v>
      </c>
      <c r="F177" s="51" t="s">
        <v>1031</v>
      </c>
      <c r="G177" s="51">
        <v>424216</v>
      </c>
      <c r="H177" s="51" t="s">
        <v>1095</v>
      </c>
      <c r="I177" s="51">
        <v>0</v>
      </c>
      <c r="J177" s="51" t="s">
        <v>1095</v>
      </c>
      <c r="K177" s="51">
        <v>-42500</v>
      </c>
      <c r="L177" s="51" t="s">
        <v>1095</v>
      </c>
      <c r="M177" s="846">
        <v>381716</v>
      </c>
      <c r="N177" s="51" t="s">
        <v>1095</v>
      </c>
      <c r="O177" s="51">
        <v>0</v>
      </c>
      <c r="P177" s="51">
        <v>0</v>
      </c>
      <c r="Q177" s="51">
        <v>-3000</v>
      </c>
      <c r="R177" s="51" t="s">
        <v>1095</v>
      </c>
      <c r="S177" s="51">
        <v>277526</v>
      </c>
      <c r="T177" s="51" t="s">
        <v>1095</v>
      </c>
      <c r="U177" s="847">
        <v>101190</v>
      </c>
      <c r="V177" s="51" t="s">
        <v>1095</v>
      </c>
      <c r="W177" s="51">
        <v>43427</v>
      </c>
      <c r="X177" s="51" t="s">
        <v>1095</v>
      </c>
      <c r="Y177" s="847">
        <v>43427</v>
      </c>
      <c r="Z177" s="51" t="s">
        <v>1095</v>
      </c>
      <c r="AA177" s="51"/>
      <c r="AB177" s="51"/>
      <c r="AC177" s="51"/>
      <c r="AD177" s="51"/>
      <c r="AE177" s="51"/>
      <c r="AF177" s="51"/>
      <c r="AG177" s="51"/>
    </row>
    <row r="178" spans="1:33" x14ac:dyDescent="0.2">
      <c r="A178" s="249">
        <v>1</v>
      </c>
      <c r="B178" s="463" t="s">
        <v>295</v>
      </c>
      <c r="C178" s="463" t="s">
        <v>1495</v>
      </c>
      <c r="D178" s="266" t="s">
        <v>294</v>
      </c>
      <c r="E178" s="266" t="s">
        <v>810</v>
      </c>
      <c r="F178" s="51" t="s">
        <v>810</v>
      </c>
      <c r="G178" s="51">
        <v>1766232</v>
      </c>
      <c r="H178" s="51" t="s">
        <v>1095</v>
      </c>
      <c r="I178" s="51">
        <v>0</v>
      </c>
      <c r="J178" s="51" t="s">
        <v>1095</v>
      </c>
      <c r="K178" s="51">
        <v>-191408</v>
      </c>
      <c r="L178" s="51" t="s">
        <v>1095</v>
      </c>
      <c r="M178" s="846">
        <v>1574824</v>
      </c>
      <c r="N178" s="51" t="s">
        <v>1095</v>
      </c>
      <c r="O178" s="51">
        <v>0</v>
      </c>
      <c r="P178" s="51">
        <v>0</v>
      </c>
      <c r="Q178" s="51">
        <v>-10296</v>
      </c>
      <c r="R178" s="51" t="s">
        <v>1095</v>
      </c>
      <c r="S178" s="51">
        <v>0</v>
      </c>
      <c r="T178" s="51" t="s">
        <v>1095</v>
      </c>
      <c r="U178" s="847">
        <v>1564528</v>
      </c>
      <c r="V178" s="51" t="s">
        <v>1095</v>
      </c>
      <c r="W178" s="51">
        <v>0</v>
      </c>
      <c r="X178" s="51" t="s">
        <v>1095</v>
      </c>
      <c r="Y178" s="847">
        <v>0</v>
      </c>
      <c r="Z178" s="51" t="s">
        <v>1095</v>
      </c>
      <c r="AA178" s="51"/>
      <c r="AB178" s="51"/>
      <c r="AC178" s="51"/>
      <c r="AD178" s="51"/>
      <c r="AE178" s="51"/>
      <c r="AF178" s="51"/>
      <c r="AG178" s="51"/>
    </row>
    <row r="179" spans="1:33" x14ac:dyDescent="0.2">
      <c r="A179" s="249">
        <v>1</v>
      </c>
      <c r="B179" s="463" t="s">
        <v>301</v>
      </c>
      <c r="C179" s="463" t="s">
        <v>1496</v>
      </c>
      <c r="D179" s="266" t="s">
        <v>300</v>
      </c>
      <c r="E179" s="266" t="s">
        <v>806</v>
      </c>
      <c r="F179" s="51" t="s">
        <v>806</v>
      </c>
      <c r="G179" s="51">
        <v>2208780</v>
      </c>
      <c r="H179" s="51" t="s">
        <v>1095</v>
      </c>
      <c r="I179" s="51">
        <v>-22088</v>
      </c>
      <c r="J179" s="51" t="s">
        <v>1095</v>
      </c>
      <c r="K179" s="51">
        <v>-66263</v>
      </c>
      <c r="L179" s="51" t="s">
        <v>1095</v>
      </c>
      <c r="M179" s="846">
        <v>2120429</v>
      </c>
      <c r="N179" s="51" t="s">
        <v>1095</v>
      </c>
      <c r="O179" s="51">
        <v>48787</v>
      </c>
      <c r="P179" s="51">
        <v>0</v>
      </c>
      <c r="Q179" s="51">
        <v>0</v>
      </c>
      <c r="R179" s="51" t="s">
        <v>1095</v>
      </c>
      <c r="S179" s="51">
        <v>1938765</v>
      </c>
      <c r="T179" s="51" t="s">
        <v>1095</v>
      </c>
      <c r="U179" s="847">
        <v>132877</v>
      </c>
      <c r="V179" s="51" t="s">
        <v>1095</v>
      </c>
      <c r="W179" s="51">
        <v>0</v>
      </c>
      <c r="X179" s="51" t="s">
        <v>1095</v>
      </c>
      <c r="Y179" s="847">
        <v>0</v>
      </c>
      <c r="Z179" s="51" t="s">
        <v>1095</v>
      </c>
      <c r="AA179" s="51"/>
      <c r="AB179" s="51"/>
      <c r="AC179" s="51"/>
      <c r="AD179" s="51"/>
      <c r="AE179" s="51"/>
      <c r="AF179" s="51"/>
      <c r="AG179" s="51"/>
    </row>
    <row r="180" spans="1:33" x14ac:dyDescent="0.2">
      <c r="A180" s="249">
        <v>2</v>
      </c>
      <c r="B180" s="463" t="s">
        <v>315</v>
      </c>
      <c r="C180" s="463" t="s">
        <v>1497</v>
      </c>
      <c r="D180" s="266" t="s">
        <v>314</v>
      </c>
      <c r="E180" s="266" t="s">
        <v>801</v>
      </c>
      <c r="F180" s="51" t="s">
        <v>801</v>
      </c>
      <c r="G180" s="51">
        <v>695502</v>
      </c>
      <c r="H180" s="51" t="s">
        <v>1095</v>
      </c>
      <c r="I180" s="51">
        <v>0</v>
      </c>
      <c r="J180" s="51" t="s">
        <v>1095</v>
      </c>
      <c r="K180" s="51">
        <v>0</v>
      </c>
      <c r="L180" s="51" t="s">
        <v>1095</v>
      </c>
      <c r="M180" s="846">
        <v>695502</v>
      </c>
      <c r="N180" s="51" t="s">
        <v>1095</v>
      </c>
      <c r="O180" s="51">
        <v>0</v>
      </c>
      <c r="P180" s="51">
        <v>0</v>
      </c>
      <c r="Q180" s="51">
        <v>5821</v>
      </c>
      <c r="R180" s="51" t="s">
        <v>1095</v>
      </c>
      <c r="S180" s="51">
        <v>338869</v>
      </c>
      <c r="T180" s="51" t="s">
        <v>1095</v>
      </c>
      <c r="U180" s="847">
        <v>362454</v>
      </c>
      <c r="V180" s="51" t="s">
        <v>1095</v>
      </c>
      <c r="W180" s="51">
        <v>206859</v>
      </c>
      <c r="X180" s="51" t="s">
        <v>1095</v>
      </c>
      <c r="Y180" s="847">
        <v>206859</v>
      </c>
      <c r="Z180" s="51" t="s">
        <v>1095</v>
      </c>
      <c r="AA180" s="51"/>
      <c r="AB180" s="51"/>
      <c r="AC180" s="51"/>
      <c r="AD180" s="51"/>
      <c r="AE180" s="51"/>
      <c r="AF180" s="51"/>
      <c r="AG180" s="51"/>
    </row>
    <row r="181" spans="1:33" x14ac:dyDescent="0.2">
      <c r="A181" s="249">
        <v>1</v>
      </c>
      <c r="B181" s="463" t="s">
        <v>319</v>
      </c>
      <c r="C181" s="463" t="s">
        <v>1498</v>
      </c>
      <c r="D181" s="266" t="s">
        <v>318</v>
      </c>
      <c r="E181" s="266" t="s">
        <v>1032</v>
      </c>
      <c r="F181" s="51" t="s">
        <v>1032</v>
      </c>
      <c r="G181" s="51">
        <v>556303</v>
      </c>
      <c r="H181" s="51" t="s">
        <v>1095</v>
      </c>
      <c r="I181" s="51">
        <v>0</v>
      </c>
      <c r="J181" s="51" t="s">
        <v>1095</v>
      </c>
      <c r="K181" s="51">
        <v>0</v>
      </c>
      <c r="L181" s="51" t="s">
        <v>1095</v>
      </c>
      <c r="M181" s="846">
        <v>556303</v>
      </c>
      <c r="N181" s="51" t="s">
        <v>1095</v>
      </c>
      <c r="O181" s="51">
        <v>0</v>
      </c>
      <c r="P181" s="51">
        <v>0</v>
      </c>
      <c r="Q181" s="51">
        <v>2949</v>
      </c>
      <c r="R181" s="51" t="s">
        <v>1095</v>
      </c>
      <c r="S181" s="51">
        <v>635014</v>
      </c>
      <c r="T181" s="51" t="s">
        <v>1095</v>
      </c>
      <c r="U181" s="847">
        <v>0</v>
      </c>
      <c r="V181" s="51" t="s">
        <v>1095</v>
      </c>
      <c r="W181" s="51">
        <v>0</v>
      </c>
      <c r="X181" s="51" t="s">
        <v>1095</v>
      </c>
      <c r="Y181" s="847">
        <v>0</v>
      </c>
      <c r="Z181" s="51" t="s">
        <v>1095</v>
      </c>
      <c r="AA181" s="51"/>
      <c r="AB181" s="51"/>
      <c r="AC181" s="51"/>
      <c r="AD181" s="51"/>
      <c r="AE181" s="51"/>
      <c r="AF181" s="51"/>
      <c r="AG181" s="51"/>
    </row>
    <row r="182" spans="1:33" x14ac:dyDescent="0.2">
      <c r="A182" s="249">
        <v>2</v>
      </c>
      <c r="B182" s="463" t="s">
        <v>335</v>
      </c>
      <c r="C182" s="463" t="s">
        <v>1499</v>
      </c>
      <c r="D182" s="266" t="s">
        <v>334</v>
      </c>
      <c r="E182" s="266" t="s">
        <v>1033</v>
      </c>
      <c r="F182" s="51" t="s">
        <v>1033</v>
      </c>
      <c r="G182" s="51">
        <v>18648</v>
      </c>
      <c r="H182" s="51" t="s">
        <v>1095</v>
      </c>
      <c r="I182" s="51">
        <v>0</v>
      </c>
      <c r="J182" s="51" t="s">
        <v>1095</v>
      </c>
      <c r="K182" s="51">
        <v>0</v>
      </c>
      <c r="L182" s="51" t="s">
        <v>1095</v>
      </c>
      <c r="M182" s="846">
        <v>18648</v>
      </c>
      <c r="N182" s="51" t="s">
        <v>1095</v>
      </c>
      <c r="O182" s="51">
        <v>0</v>
      </c>
      <c r="P182" s="51">
        <v>0</v>
      </c>
      <c r="Q182" s="51">
        <v>0</v>
      </c>
      <c r="R182" s="51" t="s">
        <v>1095</v>
      </c>
      <c r="S182" s="51">
        <v>21854</v>
      </c>
      <c r="T182" s="51" t="s">
        <v>1095</v>
      </c>
      <c r="U182" s="847">
        <v>0</v>
      </c>
      <c r="V182" s="51" t="s">
        <v>1095</v>
      </c>
      <c r="W182" s="51">
        <v>0</v>
      </c>
      <c r="X182" s="51" t="s">
        <v>1095</v>
      </c>
      <c r="Y182" s="847">
        <v>0</v>
      </c>
      <c r="Z182" s="51" t="s">
        <v>1095</v>
      </c>
      <c r="AA182" s="51"/>
      <c r="AB182" s="51"/>
      <c r="AC182" s="51"/>
      <c r="AD182" s="51"/>
      <c r="AE182" s="51"/>
      <c r="AF182" s="51"/>
      <c r="AG182" s="51"/>
    </row>
    <row r="183" spans="1:33" x14ac:dyDescent="0.2">
      <c r="A183" s="249">
        <v>3</v>
      </c>
      <c r="B183" s="463" t="s">
        <v>343</v>
      </c>
      <c r="C183" s="463" t="s">
        <v>1500</v>
      </c>
      <c r="D183" s="266" t="s">
        <v>342</v>
      </c>
      <c r="E183" s="266" t="s">
        <v>801</v>
      </c>
      <c r="F183" s="51" t="s">
        <v>801</v>
      </c>
      <c r="G183" s="51">
        <v>2606703</v>
      </c>
      <c r="H183" s="51" t="s">
        <v>1095</v>
      </c>
      <c r="I183" s="51">
        <v>-28936</v>
      </c>
      <c r="J183" s="51" t="s">
        <v>1095</v>
      </c>
      <c r="K183" s="51">
        <v>-36101</v>
      </c>
      <c r="L183" s="51" t="s">
        <v>1095</v>
      </c>
      <c r="M183" s="846">
        <v>2541666</v>
      </c>
      <c r="N183" s="51" t="s">
        <v>1095</v>
      </c>
      <c r="O183" s="51">
        <v>0</v>
      </c>
      <c r="P183" s="51">
        <v>0</v>
      </c>
      <c r="Q183" s="51">
        <v>-12333</v>
      </c>
      <c r="R183" s="51" t="s">
        <v>1095</v>
      </c>
      <c r="S183" s="51">
        <v>1800198</v>
      </c>
      <c r="T183" s="51" t="s">
        <v>1095</v>
      </c>
      <c r="U183" s="847">
        <v>729135</v>
      </c>
      <c r="V183" s="51" t="s">
        <v>1095</v>
      </c>
      <c r="W183" s="51">
        <v>0</v>
      </c>
      <c r="X183" s="51" t="s">
        <v>1095</v>
      </c>
      <c r="Y183" s="847">
        <v>0</v>
      </c>
      <c r="Z183" s="51" t="s">
        <v>1095</v>
      </c>
      <c r="AA183" s="51"/>
      <c r="AB183" s="51"/>
      <c r="AC183" s="51"/>
      <c r="AD183" s="51"/>
      <c r="AE183" s="51"/>
      <c r="AF183" s="51"/>
      <c r="AG183" s="51"/>
    </row>
    <row r="184" spans="1:33" x14ac:dyDescent="0.2">
      <c r="A184" s="249">
        <v>1</v>
      </c>
      <c r="B184" s="463" t="s">
        <v>343</v>
      </c>
      <c r="C184" s="463" t="s">
        <v>1501</v>
      </c>
      <c r="D184" s="266" t="s">
        <v>342</v>
      </c>
      <c r="E184" s="266" t="s">
        <v>807</v>
      </c>
      <c r="F184" s="51" t="s">
        <v>807</v>
      </c>
      <c r="G184" s="51">
        <v>2223777</v>
      </c>
      <c r="H184" s="51" t="s">
        <v>1095</v>
      </c>
      <c r="I184" s="51">
        <v>-5677</v>
      </c>
      <c r="J184" s="51" t="s">
        <v>1095</v>
      </c>
      <c r="K184" s="51">
        <v>-12456</v>
      </c>
      <c r="L184" s="51" t="s">
        <v>1095</v>
      </c>
      <c r="M184" s="846">
        <v>2205644</v>
      </c>
      <c r="N184" s="51" t="s">
        <v>1095</v>
      </c>
      <c r="O184" s="51">
        <v>0</v>
      </c>
      <c r="P184" s="51">
        <v>0</v>
      </c>
      <c r="Q184" s="51">
        <v>-294</v>
      </c>
      <c r="R184" s="51" t="s">
        <v>1095</v>
      </c>
      <c r="S184" s="51">
        <v>1690816</v>
      </c>
      <c r="T184" s="51" t="s">
        <v>1095</v>
      </c>
      <c r="U184" s="847">
        <v>514534</v>
      </c>
      <c r="V184" s="51" t="s">
        <v>1095</v>
      </c>
      <c r="W184" s="51">
        <v>0</v>
      </c>
      <c r="X184" s="51" t="s">
        <v>1095</v>
      </c>
      <c r="Y184" s="847">
        <v>0</v>
      </c>
      <c r="Z184" s="51" t="s">
        <v>1095</v>
      </c>
      <c r="AA184" s="51"/>
      <c r="AB184" s="51"/>
      <c r="AC184" s="51"/>
      <c r="AD184" s="51"/>
      <c r="AE184" s="51"/>
      <c r="AF184" s="51"/>
      <c r="AG184" s="51"/>
    </row>
    <row r="185" spans="1:33" x14ac:dyDescent="0.2">
      <c r="A185" s="249">
        <v>1</v>
      </c>
      <c r="B185" s="463" t="s">
        <v>355</v>
      </c>
      <c r="C185" s="463" t="s">
        <v>1502</v>
      </c>
      <c r="D185" s="266" t="s">
        <v>354</v>
      </c>
      <c r="E185" s="266" t="s">
        <v>1034</v>
      </c>
      <c r="F185" s="51" t="s">
        <v>1034</v>
      </c>
      <c r="G185" s="51">
        <v>0</v>
      </c>
      <c r="H185" s="51" t="s">
        <v>1095</v>
      </c>
      <c r="I185" s="51">
        <v>0</v>
      </c>
      <c r="J185" s="51" t="s">
        <v>1095</v>
      </c>
      <c r="K185" s="51">
        <v>0</v>
      </c>
      <c r="L185" s="51" t="s">
        <v>1095</v>
      </c>
      <c r="M185" s="846">
        <v>0</v>
      </c>
      <c r="N185" s="51" t="s">
        <v>1095</v>
      </c>
      <c r="O185" s="51">
        <v>0</v>
      </c>
      <c r="P185" s="51">
        <v>0</v>
      </c>
      <c r="Q185" s="51">
        <v>0</v>
      </c>
      <c r="R185" s="51" t="s">
        <v>1095</v>
      </c>
      <c r="S185" s="51">
        <v>0</v>
      </c>
      <c r="T185" s="51" t="s">
        <v>1095</v>
      </c>
      <c r="U185" s="847">
        <v>0</v>
      </c>
      <c r="V185" s="51" t="s">
        <v>1095</v>
      </c>
      <c r="W185" s="51">
        <v>0</v>
      </c>
      <c r="X185" s="51" t="s">
        <v>1095</v>
      </c>
      <c r="Y185" s="847">
        <v>0</v>
      </c>
      <c r="Z185" s="51" t="s">
        <v>1095</v>
      </c>
      <c r="AA185" s="51"/>
      <c r="AB185" s="51"/>
      <c r="AC185" s="51"/>
      <c r="AD185" s="51"/>
      <c r="AE185" s="51"/>
      <c r="AF185" s="51"/>
      <c r="AG185" s="51"/>
    </row>
    <row r="186" spans="1:33" x14ac:dyDescent="0.2">
      <c r="A186" s="249">
        <v>1</v>
      </c>
      <c r="B186" s="463" t="s">
        <v>355</v>
      </c>
      <c r="C186" s="463" t="s">
        <v>1503</v>
      </c>
      <c r="D186" s="266" t="s">
        <v>354</v>
      </c>
      <c r="E186" s="266" t="s">
        <v>1035</v>
      </c>
      <c r="F186" s="51" t="s">
        <v>1035</v>
      </c>
      <c r="G186" s="51">
        <v>811125</v>
      </c>
      <c r="H186" s="51" t="s">
        <v>1095</v>
      </c>
      <c r="I186" s="51">
        <v>0</v>
      </c>
      <c r="J186" s="51" t="s">
        <v>1095</v>
      </c>
      <c r="K186" s="51">
        <v>0</v>
      </c>
      <c r="L186" s="51" t="s">
        <v>1095</v>
      </c>
      <c r="M186" s="846">
        <v>811125</v>
      </c>
      <c r="N186" s="51" t="s">
        <v>1095</v>
      </c>
      <c r="O186" s="51">
        <v>0</v>
      </c>
      <c r="P186" s="51">
        <v>0</v>
      </c>
      <c r="Q186" s="51">
        <v>0</v>
      </c>
      <c r="R186" s="51" t="s">
        <v>1095</v>
      </c>
      <c r="S186" s="51">
        <v>0</v>
      </c>
      <c r="T186" s="51" t="s">
        <v>1095</v>
      </c>
      <c r="U186" s="847">
        <v>811125</v>
      </c>
      <c r="V186" s="51" t="s">
        <v>1095</v>
      </c>
      <c r="W186" s="51">
        <v>122010</v>
      </c>
      <c r="X186" s="51" t="s">
        <v>1095</v>
      </c>
      <c r="Y186" s="847">
        <v>122010</v>
      </c>
      <c r="Z186" s="51" t="s">
        <v>1095</v>
      </c>
      <c r="AA186" s="51"/>
      <c r="AB186" s="51"/>
      <c r="AC186" s="51"/>
      <c r="AD186" s="51"/>
      <c r="AE186" s="51"/>
      <c r="AF186" s="51"/>
      <c r="AG186" s="51"/>
    </row>
    <row r="187" spans="1:33" x14ac:dyDescent="0.2">
      <c r="A187" s="249">
        <v>2</v>
      </c>
      <c r="B187" s="463" t="s">
        <v>355</v>
      </c>
      <c r="C187" s="463" t="s">
        <v>1504</v>
      </c>
      <c r="D187" s="266" t="s">
        <v>354</v>
      </c>
      <c r="E187" s="266" t="s">
        <v>1036</v>
      </c>
      <c r="F187" s="51" t="s">
        <v>1036</v>
      </c>
      <c r="G187" s="51">
        <v>0</v>
      </c>
      <c r="H187" s="51" t="s">
        <v>1095</v>
      </c>
      <c r="I187" s="51">
        <v>0</v>
      </c>
      <c r="J187" s="51" t="s">
        <v>1095</v>
      </c>
      <c r="K187" s="51">
        <v>0</v>
      </c>
      <c r="L187" s="51" t="s">
        <v>1095</v>
      </c>
      <c r="M187" s="846">
        <v>0</v>
      </c>
      <c r="N187" s="51" t="s">
        <v>1095</v>
      </c>
      <c r="O187" s="51">
        <v>0</v>
      </c>
      <c r="P187" s="51">
        <v>0</v>
      </c>
      <c r="Q187" s="51">
        <v>0</v>
      </c>
      <c r="R187" s="51" t="s">
        <v>1095</v>
      </c>
      <c r="S187" s="51">
        <v>0</v>
      </c>
      <c r="T187" s="51" t="s">
        <v>1095</v>
      </c>
      <c r="U187" s="847">
        <v>0</v>
      </c>
      <c r="V187" s="51" t="s">
        <v>1095</v>
      </c>
      <c r="W187" s="51">
        <v>0</v>
      </c>
      <c r="X187" s="51" t="s">
        <v>1095</v>
      </c>
      <c r="Y187" s="847">
        <v>0</v>
      </c>
      <c r="Z187" s="51" t="s">
        <v>1095</v>
      </c>
      <c r="AA187" s="51"/>
      <c r="AB187" s="51"/>
      <c r="AC187" s="51"/>
      <c r="AD187" s="51"/>
      <c r="AE187" s="51"/>
      <c r="AF187" s="51"/>
      <c r="AG187" s="51"/>
    </row>
    <row r="188" spans="1:33" x14ac:dyDescent="0.2">
      <c r="A188" s="249">
        <v>3</v>
      </c>
      <c r="B188" s="463" t="s">
        <v>359</v>
      </c>
      <c r="C188" s="463" t="s">
        <v>1505</v>
      </c>
      <c r="D188" s="266" t="s">
        <v>358</v>
      </c>
      <c r="E188" s="266" t="s">
        <v>798</v>
      </c>
      <c r="F188" s="51" t="s">
        <v>798</v>
      </c>
      <c r="G188" s="51">
        <v>15488962</v>
      </c>
      <c r="H188" s="51" t="s">
        <v>1095</v>
      </c>
      <c r="I188" s="51">
        <v>0</v>
      </c>
      <c r="J188" s="51" t="s">
        <v>1095</v>
      </c>
      <c r="K188" s="51">
        <v>-727981</v>
      </c>
      <c r="L188" s="51" t="s">
        <v>1095</v>
      </c>
      <c r="M188" s="846">
        <v>14760981</v>
      </c>
      <c r="N188" s="51" t="s">
        <v>1095</v>
      </c>
      <c r="O188" s="51">
        <v>294921</v>
      </c>
      <c r="P188" s="51">
        <v>0</v>
      </c>
      <c r="Q188" s="51">
        <v>-41632</v>
      </c>
      <c r="R188" s="51" t="s">
        <v>1095</v>
      </c>
      <c r="S188" s="51">
        <v>730618</v>
      </c>
      <c r="T188" s="51" t="s">
        <v>1095</v>
      </c>
      <c r="U188" s="847">
        <v>13693810</v>
      </c>
      <c r="V188" s="51" t="s">
        <v>1095</v>
      </c>
      <c r="W188" s="51">
        <v>0</v>
      </c>
      <c r="X188" s="51" t="s">
        <v>1095</v>
      </c>
      <c r="Y188" s="847">
        <v>0</v>
      </c>
      <c r="Z188" s="51" t="s">
        <v>1095</v>
      </c>
      <c r="AA188" s="51"/>
      <c r="AB188" s="51"/>
      <c r="AC188" s="51"/>
      <c r="AD188" s="51"/>
      <c r="AE188" s="51"/>
      <c r="AF188" s="51"/>
      <c r="AG188" s="51"/>
    </row>
    <row r="189" spans="1:33" x14ac:dyDescent="0.2">
      <c r="A189" s="249">
        <v>4</v>
      </c>
      <c r="B189" s="463" t="s">
        <v>369</v>
      </c>
      <c r="C189" s="463" t="s">
        <v>1506</v>
      </c>
      <c r="D189" s="266" t="s">
        <v>368</v>
      </c>
      <c r="E189" s="266" t="s">
        <v>1037</v>
      </c>
      <c r="F189" s="51" t="s">
        <v>1037</v>
      </c>
      <c r="G189" s="51">
        <v>224650</v>
      </c>
      <c r="H189" s="51" t="s">
        <v>1095</v>
      </c>
      <c r="I189" s="51">
        <v>0</v>
      </c>
      <c r="J189" s="51" t="s">
        <v>1095</v>
      </c>
      <c r="K189" s="51">
        <v>-12956</v>
      </c>
      <c r="L189" s="51" t="s">
        <v>1095</v>
      </c>
      <c r="M189" s="846">
        <v>211694</v>
      </c>
      <c r="N189" s="51" t="s">
        <v>1095</v>
      </c>
      <c r="O189" s="51">
        <v>0</v>
      </c>
      <c r="P189" s="51">
        <v>0</v>
      </c>
      <c r="Q189" s="51">
        <v>-107</v>
      </c>
      <c r="R189" s="51" t="s">
        <v>1095</v>
      </c>
      <c r="S189" s="51">
        <v>208247</v>
      </c>
      <c r="T189" s="51" t="s">
        <v>1095</v>
      </c>
      <c r="U189" s="847">
        <v>3340</v>
      </c>
      <c r="V189" s="51" t="s">
        <v>1095</v>
      </c>
      <c r="W189" s="51">
        <v>307443</v>
      </c>
      <c r="X189" s="51" t="s">
        <v>1095</v>
      </c>
      <c r="Y189" s="847">
        <v>307443</v>
      </c>
      <c r="Z189" s="51" t="s">
        <v>1095</v>
      </c>
      <c r="AA189" s="51"/>
      <c r="AB189" s="51"/>
      <c r="AC189" s="51"/>
      <c r="AD189" s="51"/>
      <c r="AE189" s="51"/>
      <c r="AF189" s="51"/>
      <c r="AG189" s="51"/>
    </row>
    <row r="190" spans="1:33" x14ac:dyDescent="0.2">
      <c r="A190" s="249">
        <v>1</v>
      </c>
      <c r="B190" s="463" t="s">
        <v>373</v>
      </c>
      <c r="C190" s="463" t="s">
        <v>1507</v>
      </c>
      <c r="D190" s="266" t="s">
        <v>372</v>
      </c>
      <c r="E190" s="266" t="s">
        <v>1038</v>
      </c>
      <c r="F190" s="51" t="s">
        <v>1038</v>
      </c>
      <c r="G190" s="51">
        <v>0</v>
      </c>
      <c r="H190" s="51" t="s">
        <v>1095</v>
      </c>
      <c r="I190" s="51">
        <v>0</v>
      </c>
      <c r="J190" s="51" t="s">
        <v>1095</v>
      </c>
      <c r="K190" s="51">
        <v>0</v>
      </c>
      <c r="L190" s="51" t="s">
        <v>1095</v>
      </c>
      <c r="M190" s="846">
        <v>0</v>
      </c>
      <c r="N190" s="51" t="s">
        <v>1095</v>
      </c>
      <c r="O190" s="51">
        <v>0</v>
      </c>
      <c r="P190" s="51">
        <v>0</v>
      </c>
      <c r="Q190" s="51">
        <v>0</v>
      </c>
      <c r="R190" s="51" t="s">
        <v>1095</v>
      </c>
      <c r="S190" s="51">
        <v>0</v>
      </c>
      <c r="T190" s="51" t="s">
        <v>1095</v>
      </c>
      <c r="U190" s="847">
        <v>0</v>
      </c>
      <c r="V190" s="51" t="s">
        <v>1095</v>
      </c>
      <c r="W190" s="51">
        <v>0</v>
      </c>
      <c r="X190" s="51" t="s">
        <v>1095</v>
      </c>
      <c r="Y190" s="847">
        <v>0</v>
      </c>
      <c r="Z190" s="51" t="s">
        <v>1095</v>
      </c>
      <c r="AA190" s="51"/>
      <c r="AB190" s="51"/>
      <c r="AC190" s="51"/>
      <c r="AD190" s="51"/>
      <c r="AE190" s="51"/>
      <c r="AF190" s="51"/>
      <c r="AG190" s="51"/>
    </row>
    <row r="191" spans="1:33" x14ac:dyDescent="0.2">
      <c r="A191" s="249">
        <v>1</v>
      </c>
      <c r="B191" s="463" t="s">
        <v>373</v>
      </c>
      <c r="C191" s="463" t="s">
        <v>1508</v>
      </c>
      <c r="D191" s="266" t="s">
        <v>372</v>
      </c>
      <c r="E191" s="266" t="s">
        <v>1039</v>
      </c>
      <c r="F191" s="51" t="s">
        <v>1039</v>
      </c>
      <c r="G191" s="51">
        <v>45864</v>
      </c>
      <c r="H191" s="51" t="s">
        <v>1095</v>
      </c>
      <c r="I191" s="51">
        <v>-550</v>
      </c>
      <c r="J191" s="51" t="s">
        <v>1095</v>
      </c>
      <c r="K191" s="51">
        <v>-2293</v>
      </c>
      <c r="L191" s="51" t="s">
        <v>1095</v>
      </c>
      <c r="M191" s="846">
        <v>43021</v>
      </c>
      <c r="N191" s="51" t="s">
        <v>1095</v>
      </c>
      <c r="O191" s="51">
        <v>0</v>
      </c>
      <c r="P191" s="51">
        <v>0</v>
      </c>
      <c r="Q191" s="51">
        <v>0</v>
      </c>
      <c r="R191" s="51" t="s">
        <v>1095</v>
      </c>
      <c r="S191" s="51">
        <v>45890</v>
      </c>
      <c r="T191" s="51" t="s">
        <v>1095</v>
      </c>
      <c r="U191" s="847">
        <v>0</v>
      </c>
      <c r="V191" s="51" t="s">
        <v>1095</v>
      </c>
      <c r="W191" s="51">
        <v>0</v>
      </c>
      <c r="X191" s="51" t="s">
        <v>1095</v>
      </c>
      <c r="Y191" s="847">
        <v>0</v>
      </c>
      <c r="Z191" s="51" t="s">
        <v>1095</v>
      </c>
      <c r="AA191" s="51"/>
      <c r="AB191" s="51"/>
      <c r="AC191" s="51"/>
      <c r="AD191" s="51"/>
      <c r="AE191" s="51"/>
      <c r="AF191" s="51"/>
      <c r="AG191" s="51"/>
    </row>
    <row r="192" spans="1:33" x14ac:dyDescent="0.2">
      <c r="A192" s="249">
        <v>1</v>
      </c>
      <c r="B192" s="463" t="s">
        <v>373</v>
      </c>
      <c r="C192" s="463" t="s">
        <v>1509</v>
      </c>
      <c r="D192" s="266" t="s">
        <v>372</v>
      </c>
      <c r="E192" s="266" t="s">
        <v>1040</v>
      </c>
      <c r="F192" s="51" t="s">
        <v>1040</v>
      </c>
      <c r="G192" s="51">
        <v>0</v>
      </c>
      <c r="H192" s="51" t="s">
        <v>1095</v>
      </c>
      <c r="I192" s="51">
        <v>0</v>
      </c>
      <c r="J192" s="51" t="s">
        <v>1095</v>
      </c>
      <c r="K192" s="51">
        <v>0</v>
      </c>
      <c r="L192" s="51" t="s">
        <v>1095</v>
      </c>
      <c r="M192" s="846">
        <v>0</v>
      </c>
      <c r="N192" s="51" t="s">
        <v>1095</v>
      </c>
      <c r="O192" s="51">
        <v>0</v>
      </c>
      <c r="P192" s="51">
        <v>0</v>
      </c>
      <c r="Q192" s="51">
        <v>0</v>
      </c>
      <c r="R192" s="51" t="s">
        <v>1095</v>
      </c>
      <c r="S192" s="51">
        <v>0</v>
      </c>
      <c r="T192" s="51" t="s">
        <v>1095</v>
      </c>
      <c r="U192" s="847">
        <v>0</v>
      </c>
      <c r="V192" s="51" t="s">
        <v>1095</v>
      </c>
      <c r="W192" s="51">
        <v>0</v>
      </c>
      <c r="X192" s="51" t="s">
        <v>1095</v>
      </c>
      <c r="Y192" s="847">
        <v>0</v>
      </c>
      <c r="Z192" s="51" t="s">
        <v>1095</v>
      </c>
      <c r="AA192" s="51"/>
      <c r="AB192" s="51"/>
      <c r="AC192" s="51"/>
      <c r="AD192" s="51"/>
      <c r="AE192" s="51"/>
      <c r="AF192" s="51"/>
      <c r="AG192" s="51"/>
    </row>
    <row r="193" spans="1:33" x14ac:dyDescent="0.2">
      <c r="A193" s="249">
        <v>2</v>
      </c>
      <c r="B193" s="463" t="s">
        <v>373</v>
      </c>
      <c r="C193" s="463" t="s">
        <v>1510</v>
      </c>
      <c r="D193" s="266" t="s">
        <v>372</v>
      </c>
      <c r="E193" s="266" t="s">
        <v>1041</v>
      </c>
      <c r="F193" s="51" t="s">
        <v>1041</v>
      </c>
      <c r="G193" s="51">
        <v>197568</v>
      </c>
      <c r="H193" s="51" t="s">
        <v>1095</v>
      </c>
      <c r="I193" s="51">
        <v>-2371</v>
      </c>
      <c r="J193" s="51" t="s">
        <v>1095</v>
      </c>
      <c r="K193" s="51">
        <v>-9878</v>
      </c>
      <c r="L193" s="51" t="s">
        <v>1095</v>
      </c>
      <c r="M193" s="846">
        <v>185319</v>
      </c>
      <c r="N193" s="51" t="s">
        <v>1095</v>
      </c>
      <c r="O193" s="51">
        <v>0</v>
      </c>
      <c r="P193" s="51">
        <v>0</v>
      </c>
      <c r="Q193" s="51">
        <v>0</v>
      </c>
      <c r="R193" s="51" t="s">
        <v>1095</v>
      </c>
      <c r="S193" s="51">
        <v>146838</v>
      </c>
      <c r="T193" s="51" t="s">
        <v>1095</v>
      </c>
      <c r="U193" s="847">
        <v>38481</v>
      </c>
      <c r="V193" s="51" t="s">
        <v>1095</v>
      </c>
      <c r="W193" s="51">
        <v>0</v>
      </c>
      <c r="X193" s="51" t="s">
        <v>1095</v>
      </c>
      <c r="Y193" s="847">
        <v>0</v>
      </c>
      <c r="Z193" s="51" t="s">
        <v>1095</v>
      </c>
      <c r="AA193" s="51"/>
      <c r="AB193" s="51"/>
      <c r="AC193" s="51"/>
      <c r="AD193" s="51"/>
      <c r="AE193" s="51"/>
      <c r="AF193" s="51"/>
      <c r="AG193" s="51"/>
    </row>
    <row r="194" spans="1:33" x14ac:dyDescent="0.2">
      <c r="A194" s="249">
        <v>1</v>
      </c>
      <c r="B194" s="463" t="s">
        <v>375</v>
      </c>
      <c r="C194" s="463" t="s">
        <v>1511</v>
      </c>
      <c r="D194" s="266" t="s">
        <v>374</v>
      </c>
      <c r="E194" s="266" t="s">
        <v>806</v>
      </c>
      <c r="F194" s="51" t="s">
        <v>806</v>
      </c>
      <c r="G194" s="51">
        <v>185221</v>
      </c>
      <c r="H194" s="51" t="s">
        <v>1095</v>
      </c>
      <c r="I194" s="51">
        <v>-1852</v>
      </c>
      <c r="J194" s="51" t="s">
        <v>1095</v>
      </c>
      <c r="K194" s="51">
        <v>-8891</v>
      </c>
      <c r="L194" s="51" t="s">
        <v>1095</v>
      </c>
      <c r="M194" s="846">
        <v>174478</v>
      </c>
      <c r="N194" s="51" t="s">
        <v>1095</v>
      </c>
      <c r="O194" s="51">
        <v>0</v>
      </c>
      <c r="P194" s="51">
        <v>0</v>
      </c>
      <c r="Q194" s="51">
        <v>0</v>
      </c>
      <c r="R194" s="51" t="s">
        <v>1095</v>
      </c>
      <c r="S194" s="51">
        <v>0</v>
      </c>
      <c r="T194" s="51" t="s">
        <v>1095</v>
      </c>
      <c r="U194" s="847">
        <v>174478</v>
      </c>
      <c r="V194" s="51" t="s">
        <v>1095</v>
      </c>
      <c r="W194" s="51">
        <v>0</v>
      </c>
      <c r="X194" s="51" t="s">
        <v>1095</v>
      </c>
      <c r="Y194" s="847">
        <v>0</v>
      </c>
      <c r="Z194" s="51" t="s">
        <v>1095</v>
      </c>
      <c r="AA194" s="51"/>
      <c r="AB194" s="51"/>
      <c r="AC194" s="51"/>
      <c r="AD194" s="51"/>
      <c r="AE194" s="51"/>
      <c r="AF194" s="51"/>
      <c r="AG194" s="51"/>
    </row>
    <row r="195" spans="1:33" x14ac:dyDescent="0.2">
      <c r="A195" s="249">
        <v>2</v>
      </c>
      <c r="B195" s="463" t="s">
        <v>379</v>
      </c>
      <c r="C195" s="463" t="s">
        <v>1512</v>
      </c>
      <c r="D195" s="266" t="s">
        <v>378</v>
      </c>
      <c r="E195" s="266" t="s">
        <v>824</v>
      </c>
      <c r="F195" s="51" t="s">
        <v>824</v>
      </c>
      <c r="G195" s="51">
        <v>3310546</v>
      </c>
      <c r="H195" s="51" t="s">
        <v>1095</v>
      </c>
      <c r="I195" s="51">
        <v>0</v>
      </c>
      <c r="J195" s="51" t="s">
        <v>1095</v>
      </c>
      <c r="K195" s="51">
        <v>0</v>
      </c>
      <c r="L195" s="51" t="s">
        <v>1095</v>
      </c>
      <c r="M195" s="846">
        <v>3310546</v>
      </c>
      <c r="N195" s="51" t="s">
        <v>1095</v>
      </c>
      <c r="O195" s="51">
        <v>0</v>
      </c>
      <c r="P195" s="51">
        <v>0</v>
      </c>
      <c r="Q195" s="51">
        <v>0</v>
      </c>
      <c r="R195" s="51" t="s">
        <v>1095</v>
      </c>
      <c r="S195" s="51">
        <v>0</v>
      </c>
      <c r="T195" s="51" t="s">
        <v>1095</v>
      </c>
      <c r="U195" s="847">
        <v>3310546</v>
      </c>
      <c r="V195" s="51" t="s">
        <v>1095</v>
      </c>
      <c r="W195" s="51">
        <v>162387</v>
      </c>
      <c r="X195" s="51" t="s">
        <v>1095</v>
      </c>
      <c r="Y195" s="847">
        <v>162387</v>
      </c>
      <c r="Z195" s="51" t="s">
        <v>1095</v>
      </c>
      <c r="AA195" s="51"/>
      <c r="AB195" s="51"/>
      <c r="AC195" s="51"/>
      <c r="AD195" s="51"/>
      <c r="AE195" s="51"/>
      <c r="AF195" s="51"/>
      <c r="AG195" s="51"/>
    </row>
    <row r="196" spans="1:33" x14ac:dyDescent="0.2">
      <c r="A196" s="249">
        <v>3</v>
      </c>
      <c r="B196" s="463" t="s">
        <v>381</v>
      </c>
      <c r="C196" s="463" t="s">
        <v>1513</v>
      </c>
      <c r="D196" s="266" t="s">
        <v>380</v>
      </c>
      <c r="E196" s="266" t="s">
        <v>1042</v>
      </c>
      <c r="F196" s="51" t="s">
        <v>1042</v>
      </c>
      <c r="G196" s="51">
        <v>0</v>
      </c>
      <c r="H196" s="51" t="s">
        <v>1095</v>
      </c>
      <c r="I196" s="51">
        <v>0</v>
      </c>
      <c r="J196" s="51" t="s">
        <v>1095</v>
      </c>
      <c r="K196" s="51">
        <v>0</v>
      </c>
      <c r="L196" s="51" t="s">
        <v>1095</v>
      </c>
      <c r="M196" s="846">
        <v>0</v>
      </c>
      <c r="N196" s="51" t="s">
        <v>1095</v>
      </c>
      <c r="O196" s="51">
        <v>0</v>
      </c>
      <c r="P196" s="51">
        <v>0</v>
      </c>
      <c r="Q196" s="51">
        <v>0</v>
      </c>
      <c r="R196" s="51" t="s">
        <v>1095</v>
      </c>
      <c r="S196" s="51">
        <v>0</v>
      </c>
      <c r="T196" s="51" t="s">
        <v>1095</v>
      </c>
      <c r="U196" s="847">
        <v>0</v>
      </c>
      <c r="V196" s="51" t="s">
        <v>1095</v>
      </c>
      <c r="W196" s="51">
        <v>0</v>
      </c>
      <c r="X196" s="51" t="s">
        <v>1095</v>
      </c>
      <c r="Y196" s="847">
        <v>0</v>
      </c>
      <c r="Z196" s="51" t="s">
        <v>1095</v>
      </c>
      <c r="AA196" s="51"/>
      <c r="AB196" s="51"/>
      <c r="AC196" s="51"/>
      <c r="AD196" s="51"/>
      <c r="AE196" s="51"/>
      <c r="AF196" s="51"/>
      <c r="AG196" s="51"/>
    </row>
    <row r="197" spans="1:33" x14ac:dyDescent="0.2">
      <c r="A197" s="249">
        <v>1</v>
      </c>
      <c r="B197" s="463" t="s">
        <v>381</v>
      </c>
      <c r="C197" s="463" t="s">
        <v>1514</v>
      </c>
      <c r="D197" s="266" t="s">
        <v>380</v>
      </c>
      <c r="E197" s="266" t="s">
        <v>1043</v>
      </c>
      <c r="F197" s="51" t="s">
        <v>1043</v>
      </c>
      <c r="G197" s="51">
        <v>0</v>
      </c>
      <c r="H197" s="51" t="s">
        <v>1095</v>
      </c>
      <c r="I197" s="51">
        <v>0</v>
      </c>
      <c r="J197" s="51" t="s">
        <v>1095</v>
      </c>
      <c r="K197" s="51">
        <v>0</v>
      </c>
      <c r="L197" s="51" t="s">
        <v>1095</v>
      </c>
      <c r="M197" s="846">
        <v>0</v>
      </c>
      <c r="N197" s="51" t="s">
        <v>1095</v>
      </c>
      <c r="O197" s="51">
        <v>0</v>
      </c>
      <c r="P197" s="51">
        <v>0</v>
      </c>
      <c r="Q197" s="51">
        <v>0</v>
      </c>
      <c r="R197" s="51" t="s">
        <v>1095</v>
      </c>
      <c r="S197" s="51">
        <v>0</v>
      </c>
      <c r="T197" s="51" t="s">
        <v>1095</v>
      </c>
      <c r="U197" s="847">
        <v>0</v>
      </c>
      <c r="V197" s="51" t="s">
        <v>1095</v>
      </c>
      <c r="W197" s="51">
        <v>0</v>
      </c>
      <c r="X197" s="51" t="s">
        <v>1095</v>
      </c>
      <c r="Y197" s="847">
        <v>0</v>
      </c>
      <c r="Z197" s="51" t="s">
        <v>1095</v>
      </c>
      <c r="AA197" s="51"/>
      <c r="AB197" s="51"/>
      <c r="AC197" s="51"/>
      <c r="AD197" s="51"/>
      <c r="AE197" s="51"/>
      <c r="AF197" s="51"/>
      <c r="AG197" s="51"/>
    </row>
    <row r="198" spans="1:33" x14ac:dyDescent="0.2">
      <c r="A198" s="249">
        <v>2</v>
      </c>
      <c r="B198" s="463" t="s">
        <v>391</v>
      </c>
      <c r="C198" s="463" t="s">
        <v>1515</v>
      </c>
      <c r="D198" s="266" t="s">
        <v>390</v>
      </c>
      <c r="E198" s="266" t="s">
        <v>1044</v>
      </c>
      <c r="F198" s="51" t="s">
        <v>1044</v>
      </c>
      <c r="G198" s="51">
        <v>35359</v>
      </c>
      <c r="H198" s="51" t="s">
        <v>1095</v>
      </c>
      <c r="I198" s="51">
        <v>0</v>
      </c>
      <c r="J198" s="51" t="s">
        <v>1095</v>
      </c>
      <c r="K198" s="51">
        <v>0</v>
      </c>
      <c r="L198" s="51" t="s">
        <v>1095</v>
      </c>
      <c r="M198" s="846">
        <v>35359</v>
      </c>
      <c r="N198" s="51" t="s">
        <v>1095</v>
      </c>
      <c r="O198" s="51">
        <v>0</v>
      </c>
      <c r="P198" s="51">
        <v>0</v>
      </c>
      <c r="Q198" s="51">
        <v>0</v>
      </c>
      <c r="R198" s="51" t="s">
        <v>1095</v>
      </c>
      <c r="S198" s="51">
        <v>42837</v>
      </c>
      <c r="T198" s="51" t="s">
        <v>1095</v>
      </c>
      <c r="U198" s="847">
        <v>0</v>
      </c>
      <c r="V198" s="51" t="s">
        <v>1095</v>
      </c>
      <c r="W198" s="51">
        <v>0</v>
      </c>
      <c r="X198" s="51" t="s">
        <v>1095</v>
      </c>
      <c r="Y198" s="847">
        <v>0</v>
      </c>
      <c r="Z198" s="51" t="s">
        <v>1095</v>
      </c>
      <c r="AA198" s="51"/>
      <c r="AB198" s="51"/>
      <c r="AC198" s="51"/>
      <c r="AD198" s="51"/>
      <c r="AE198" s="51"/>
      <c r="AF198" s="51"/>
      <c r="AG198" s="51"/>
    </row>
    <row r="199" spans="1:33" x14ac:dyDescent="0.2">
      <c r="A199" s="249">
        <v>1</v>
      </c>
      <c r="B199" s="463" t="s">
        <v>391</v>
      </c>
      <c r="C199" s="463" t="s">
        <v>1516</v>
      </c>
      <c r="D199" s="266" t="s">
        <v>390</v>
      </c>
      <c r="E199" s="266" t="s">
        <v>1045</v>
      </c>
      <c r="F199" s="51" t="s">
        <v>1045</v>
      </c>
      <c r="G199" s="51">
        <v>340174</v>
      </c>
      <c r="H199" s="51" t="s">
        <v>1095</v>
      </c>
      <c r="I199" s="51">
        <v>0</v>
      </c>
      <c r="J199" s="51" t="s">
        <v>1095</v>
      </c>
      <c r="K199" s="51">
        <v>0</v>
      </c>
      <c r="L199" s="51" t="s">
        <v>1095</v>
      </c>
      <c r="M199" s="846">
        <v>340174</v>
      </c>
      <c r="N199" s="51" t="s">
        <v>1095</v>
      </c>
      <c r="O199" s="51">
        <v>0</v>
      </c>
      <c r="P199" s="51">
        <v>0</v>
      </c>
      <c r="Q199" s="51">
        <v>0</v>
      </c>
      <c r="R199" s="51" t="s">
        <v>1095</v>
      </c>
      <c r="S199" s="51">
        <v>912182</v>
      </c>
      <c r="T199" s="51" t="s">
        <v>1095</v>
      </c>
      <c r="U199" s="847">
        <v>0</v>
      </c>
      <c r="V199" s="51" t="s">
        <v>1095</v>
      </c>
      <c r="W199" s="51">
        <v>0</v>
      </c>
      <c r="X199" s="51" t="s">
        <v>1095</v>
      </c>
      <c r="Y199" s="847">
        <v>0</v>
      </c>
      <c r="Z199" s="51" t="s">
        <v>1095</v>
      </c>
      <c r="AA199" s="51"/>
      <c r="AB199" s="51"/>
      <c r="AC199" s="51"/>
      <c r="AD199" s="51"/>
      <c r="AE199" s="51"/>
      <c r="AF199" s="51"/>
      <c r="AG199" s="51"/>
    </row>
    <row r="200" spans="1:33" x14ac:dyDescent="0.2">
      <c r="A200" s="249">
        <v>1</v>
      </c>
      <c r="B200" s="463" t="s">
        <v>391</v>
      </c>
      <c r="C200" s="463" t="s">
        <v>1517</v>
      </c>
      <c r="D200" s="266" t="s">
        <v>390</v>
      </c>
      <c r="E200" s="266" t="s">
        <v>1046</v>
      </c>
      <c r="F200" s="51" t="s">
        <v>1046</v>
      </c>
      <c r="G200" s="51">
        <v>220754</v>
      </c>
      <c r="H200" s="51" t="s">
        <v>1095</v>
      </c>
      <c r="I200" s="51">
        <v>0</v>
      </c>
      <c r="J200" s="51" t="s">
        <v>1095</v>
      </c>
      <c r="K200" s="51">
        <v>0</v>
      </c>
      <c r="L200" s="51" t="s">
        <v>1095</v>
      </c>
      <c r="M200" s="846">
        <v>220754</v>
      </c>
      <c r="N200" s="51" t="s">
        <v>1095</v>
      </c>
      <c r="O200" s="51">
        <v>0</v>
      </c>
      <c r="P200" s="51">
        <v>0</v>
      </c>
      <c r="Q200" s="51">
        <v>0</v>
      </c>
      <c r="R200" s="51" t="s">
        <v>1095</v>
      </c>
      <c r="S200" s="51">
        <v>95585</v>
      </c>
      <c r="T200" s="51" t="s">
        <v>1095</v>
      </c>
      <c r="U200" s="847">
        <v>125169</v>
      </c>
      <c r="V200" s="51" t="s">
        <v>1095</v>
      </c>
      <c r="W200" s="51">
        <v>0</v>
      </c>
      <c r="X200" s="51" t="s">
        <v>1095</v>
      </c>
      <c r="Y200" s="847">
        <v>0</v>
      </c>
      <c r="Z200" s="51" t="s">
        <v>1095</v>
      </c>
      <c r="AA200" s="51"/>
      <c r="AB200" s="51"/>
      <c r="AC200" s="51"/>
      <c r="AD200" s="51"/>
      <c r="AE200" s="51"/>
      <c r="AF200" s="51"/>
      <c r="AG200" s="51"/>
    </row>
    <row r="201" spans="1:33" x14ac:dyDescent="0.2">
      <c r="A201" s="249">
        <v>2</v>
      </c>
      <c r="B201" s="463" t="s">
        <v>393</v>
      </c>
      <c r="C201" s="463" t="s">
        <v>1518</v>
      </c>
      <c r="D201" s="266" t="s">
        <v>392</v>
      </c>
      <c r="E201" s="266" t="s">
        <v>1047</v>
      </c>
      <c r="F201" s="51" t="s">
        <v>1095</v>
      </c>
      <c r="G201" s="51" t="s">
        <v>1095</v>
      </c>
      <c r="H201" s="51" t="s">
        <v>1095</v>
      </c>
      <c r="I201" s="51" t="s">
        <v>1095</v>
      </c>
      <c r="J201" s="51" t="s">
        <v>1095</v>
      </c>
      <c r="K201" s="51" t="s">
        <v>1095</v>
      </c>
      <c r="L201" s="51" t="s">
        <v>1095</v>
      </c>
      <c r="M201" s="845" t="s">
        <v>1095</v>
      </c>
      <c r="N201" s="51" t="s">
        <v>1095</v>
      </c>
      <c r="O201" s="51" t="s">
        <v>1095</v>
      </c>
      <c r="P201" s="51">
        <v>0</v>
      </c>
      <c r="Q201" s="51" t="s">
        <v>1095</v>
      </c>
      <c r="R201" s="51" t="s">
        <v>1095</v>
      </c>
      <c r="S201" s="51" t="s">
        <v>1095</v>
      </c>
      <c r="T201" s="51" t="s">
        <v>1095</v>
      </c>
      <c r="U201" s="51" t="s">
        <v>1095</v>
      </c>
      <c r="V201" s="51" t="s">
        <v>1095</v>
      </c>
      <c r="W201" s="51" t="s">
        <v>1095</v>
      </c>
      <c r="X201" s="51" t="s">
        <v>1095</v>
      </c>
      <c r="Y201" s="51" t="s">
        <v>1095</v>
      </c>
      <c r="Z201" s="51" t="s">
        <v>1095</v>
      </c>
      <c r="AA201" s="51"/>
      <c r="AB201" s="51"/>
      <c r="AC201" s="51"/>
      <c r="AD201" s="51"/>
      <c r="AE201" s="51"/>
      <c r="AF201" s="51"/>
      <c r="AG201" s="51"/>
    </row>
    <row r="202" spans="1:33" x14ac:dyDescent="0.2">
      <c r="A202" s="249">
        <v>1</v>
      </c>
      <c r="B202" s="463" t="s">
        <v>393</v>
      </c>
      <c r="C202" s="463" t="s">
        <v>1519</v>
      </c>
      <c r="D202" s="266" t="s">
        <v>392</v>
      </c>
      <c r="E202" s="266" t="s">
        <v>1048</v>
      </c>
      <c r="F202" s="51" t="s">
        <v>1095</v>
      </c>
      <c r="G202" s="51" t="s">
        <v>1095</v>
      </c>
      <c r="H202" s="51" t="s">
        <v>1095</v>
      </c>
      <c r="I202" s="51" t="s">
        <v>1095</v>
      </c>
      <c r="J202" s="51" t="s">
        <v>1095</v>
      </c>
      <c r="K202" s="51" t="s">
        <v>1095</v>
      </c>
      <c r="L202" s="51" t="s">
        <v>1095</v>
      </c>
      <c r="M202" s="845" t="s">
        <v>1095</v>
      </c>
      <c r="N202" s="51" t="s">
        <v>1095</v>
      </c>
      <c r="O202" s="51" t="s">
        <v>1095</v>
      </c>
      <c r="P202" s="51">
        <v>0</v>
      </c>
      <c r="Q202" s="51" t="s">
        <v>1095</v>
      </c>
      <c r="R202" s="51" t="s">
        <v>1095</v>
      </c>
      <c r="S202" s="51" t="s">
        <v>1095</v>
      </c>
      <c r="T202" s="51" t="s">
        <v>1095</v>
      </c>
      <c r="U202" s="51" t="s">
        <v>1095</v>
      </c>
      <c r="V202" s="51" t="s">
        <v>1095</v>
      </c>
      <c r="W202" s="51" t="s">
        <v>1095</v>
      </c>
      <c r="X202" s="51" t="s">
        <v>1095</v>
      </c>
      <c r="Y202" s="51" t="s">
        <v>1095</v>
      </c>
      <c r="Z202" s="51" t="s">
        <v>1095</v>
      </c>
      <c r="AA202" s="51"/>
      <c r="AB202" s="51"/>
      <c r="AC202" s="51"/>
      <c r="AD202" s="51"/>
      <c r="AE202" s="51"/>
      <c r="AF202" s="51"/>
      <c r="AG202" s="51"/>
    </row>
    <row r="203" spans="1:33" x14ac:dyDescent="0.2">
      <c r="A203" s="249">
        <v>2</v>
      </c>
      <c r="B203" s="463" t="s">
        <v>403</v>
      </c>
      <c r="C203" s="463" t="s">
        <v>1520</v>
      </c>
      <c r="D203" s="266" t="s">
        <v>402</v>
      </c>
      <c r="E203" s="266" t="s">
        <v>847</v>
      </c>
      <c r="F203" s="51" t="s">
        <v>847</v>
      </c>
      <c r="G203" s="51">
        <v>0</v>
      </c>
      <c r="H203" s="51" t="s">
        <v>1095</v>
      </c>
      <c r="I203" s="51">
        <v>0</v>
      </c>
      <c r="J203" s="51" t="s">
        <v>1095</v>
      </c>
      <c r="K203" s="51">
        <v>0</v>
      </c>
      <c r="L203" s="51" t="s">
        <v>1095</v>
      </c>
      <c r="M203" s="846">
        <v>0</v>
      </c>
      <c r="N203" s="51" t="s">
        <v>1095</v>
      </c>
      <c r="O203" s="51">
        <v>0</v>
      </c>
      <c r="P203" s="51">
        <v>0</v>
      </c>
      <c r="Q203" s="51">
        <v>0</v>
      </c>
      <c r="R203" s="51" t="s">
        <v>1095</v>
      </c>
      <c r="S203" s="51">
        <v>0</v>
      </c>
      <c r="T203" s="51" t="s">
        <v>1095</v>
      </c>
      <c r="U203" s="847">
        <v>0</v>
      </c>
      <c r="V203" s="51" t="s">
        <v>1095</v>
      </c>
      <c r="W203" s="51">
        <v>0</v>
      </c>
      <c r="X203" s="51" t="s">
        <v>1095</v>
      </c>
      <c r="Y203" s="847">
        <v>0</v>
      </c>
      <c r="Z203" s="51" t="s">
        <v>1095</v>
      </c>
      <c r="AA203" s="51"/>
      <c r="AB203" s="51"/>
      <c r="AC203" s="51"/>
      <c r="AD203" s="51"/>
      <c r="AE203" s="51"/>
      <c r="AF203" s="51"/>
      <c r="AG203" s="51"/>
    </row>
    <row r="204" spans="1:33" x14ac:dyDescent="0.2">
      <c r="A204" s="249">
        <v>3</v>
      </c>
      <c r="B204" s="463" t="s">
        <v>405</v>
      </c>
      <c r="C204" s="463" t="s">
        <v>1521</v>
      </c>
      <c r="D204" s="266" t="s">
        <v>404</v>
      </c>
      <c r="E204" s="266" t="s">
        <v>810</v>
      </c>
      <c r="F204" s="51" t="s">
        <v>810</v>
      </c>
      <c r="G204" s="51">
        <v>228020</v>
      </c>
      <c r="H204" s="51" t="s">
        <v>1095</v>
      </c>
      <c r="I204" s="51">
        <v>-2508</v>
      </c>
      <c r="J204" s="51" t="s">
        <v>1095</v>
      </c>
      <c r="K204" s="51">
        <v>-10717</v>
      </c>
      <c r="L204" s="51" t="s">
        <v>1095</v>
      </c>
      <c r="M204" s="846">
        <v>214795</v>
      </c>
      <c r="N204" s="51" t="s">
        <v>1095</v>
      </c>
      <c r="O204" s="51">
        <v>0</v>
      </c>
      <c r="P204" s="51">
        <v>0</v>
      </c>
      <c r="Q204" s="51">
        <v>-47790</v>
      </c>
      <c r="R204" s="51" t="s">
        <v>1095</v>
      </c>
      <c r="S204" s="51">
        <v>0</v>
      </c>
      <c r="T204" s="51" t="s">
        <v>1095</v>
      </c>
      <c r="U204" s="847">
        <v>167005</v>
      </c>
      <c r="V204" s="51" t="s">
        <v>1095</v>
      </c>
      <c r="W204" s="51">
        <v>59133</v>
      </c>
      <c r="X204" s="51" t="s">
        <v>1095</v>
      </c>
      <c r="Y204" s="847">
        <v>59133</v>
      </c>
      <c r="Z204" s="51" t="s">
        <v>1095</v>
      </c>
      <c r="AA204" s="51"/>
      <c r="AB204" s="51"/>
      <c r="AC204" s="51"/>
      <c r="AD204" s="51"/>
      <c r="AE204" s="51"/>
      <c r="AF204" s="51"/>
      <c r="AG204" s="51"/>
    </row>
    <row r="205" spans="1:33" x14ac:dyDescent="0.2">
      <c r="A205" s="249">
        <v>4</v>
      </c>
      <c r="B205" s="463" t="s">
        <v>405</v>
      </c>
      <c r="C205" s="463" t="s">
        <v>1522</v>
      </c>
      <c r="D205" s="266" t="s">
        <v>404</v>
      </c>
      <c r="E205" s="266" t="s">
        <v>1049</v>
      </c>
      <c r="F205" s="51" t="s">
        <v>1049</v>
      </c>
      <c r="G205" s="51">
        <v>42726</v>
      </c>
      <c r="H205" s="51" t="s">
        <v>1095</v>
      </c>
      <c r="I205" s="51">
        <v>-470</v>
      </c>
      <c r="J205" s="51" t="s">
        <v>1095</v>
      </c>
      <c r="K205" s="51">
        <v>-2008</v>
      </c>
      <c r="L205" s="51" t="s">
        <v>1095</v>
      </c>
      <c r="M205" s="846">
        <v>40248</v>
      </c>
      <c r="N205" s="51" t="s">
        <v>1095</v>
      </c>
      <c r="O205" s="51">
        <v>0</v>
      </c>
      <c r="P205" s="51">
        <v>0</v>
      </c>
      <c r="Q205" s="51">
        <v>0</v>
      </c>
      <c r="R205" s="51" t="s">
        <v>1095</v>
      </c>
      <c r="S205" s="51">
        <v>76347</v>
      </c>
      <c r="T205" s="51" t="s">
        <v>1095</v>
      </c>
      <c r="U205" s="847">
        <v>0</v>
      </c>
      <c r="V205" s="51" t="s">
        <v>1095</v>
      </c>
      <c r="W205" s="51">
        <v>5107</v>
      </c>
      <c r="X205" s="51" t="s">
        <v>1095</v>
      </c>
      <c r="Y205" s="847">
        <v>5107</v>
      </c>
      <c r="Z205" s="51" t="s">
        <v>1095</v>
      </c>
      <c r="AA205" s="51"/>
      <c r="AB205" s="51"/>
      <c r="AC205" s="51"/>
      <c r="AD205" s="51"/>
      <c r="AE205" s="51"/>
      <c r="AF205" s="51"/>
      <c r="AG205" s="51"/>
    </row>
    <row r="206" spans="1:33" x14ac:dyDescent="0.2">
      <c r="A206" s="249">
        <v>5</v>
      </c>
      <c r="B206" s="463" t="s">
        <v>407</v>
      </c>
      <c r="C206" s="463" t="s">
        <v>1523</v>
      </c>
      <c r="D206" s="266" t="s">
        <v>406</v>
      </c>
      <c r="E206" s="266" t="s">
        <v>1050</v>
      </c>
      <c r="F206" s="51" t="s">
        <v>1050</v>
      </c>
      <c r="G206" s="51">
        <v>274868</v>
      </c>
      <c r="H206" s="51" t="s">
        <v>1095</v>
      </c>
      <c r="I206" s="51">
        <v>0</v>
      </c>
      <c r="J206" s="51" t="s">
        <v>1095</v>
      </c>
      <c r="K206" s="51">
        <v>0</v>
      </c>
      <c r="L206" s="51" t="s">
        <v>1095</v>
      </c>
      <c r="M206" s="846">
        <v>274868</v>
      </c>
      <c r="N206" s="51" t="s">
        <v>1095</v>
      </c>
      <c r="O206" s="51">
        <v>0</v>
      </c>
      <c r="P206" s="51">
        <v>0</v>
      </c>
      <c r="Q206" s="51">
        <v>0</v>
      </c>
      <c r="R206" s="51" t="s">
        <v>1095</v>
      </c>
      <c r="S206" s="51">
        <v>285750</v>
      </c>
      <c r="T206" s="51" t="s">
        <v>1095</v>
      </c>
      <c r="U206" s="847">
        <v>0</v>
      </c>
      <c r="V206" s="51" t="s">
        <v>1095</v>
      </c>
      <c r="W206" s="51">
        <v>0</v>
      </c>
      <c r="X206" s="51" t="s">
        <v>1095</v>
      </c>
      <c r="Y206" s="847">
        <v>0</v>
      </c>
      <c r="Z206" s="51" t="s">
        <v>1095</v>
      </c>
      <c r="AA206" s="51"/>
      <c r="AB206" s="51"/>
      <c r="AC206" s="51"/>
      <c r="AD206" s="51"/>
      <c r="AE206" s="51"/>
      <c r="AF206" s="51"/>
      <c r="AG206" s="51"/>
    </row>
    <row r="207" spans="1:33" x14ac:dyDescent="0.2">
      <c r="A207" s="249">
        <v>1</v>
      </c>
      <c r="B207" s="463" t="s">
        <v>407</v>
      </c>
      <c r="C207" s="463" t="s">
        <v>1524</v>
      </c>
      <c r="D207" s="266" t="s">
        <v>406</v>
      </c>
      <c r="E207" s="266" t="s">
        <v>1051</v>
      </c>
      <c r="F207" s="51" t="s">
        <v>1051</v>
      </c>
      <c r="G207" s="51">
        <v>240736</v>
      </c>
      <c r="H207" s="51" t="s">
        <v>1095</v>
      </c>
      <c r="I207" s="51">
        <v>0</v>
      </c>
      <c r="J207" s="51" t="s">
        <v>1095</v>
      </c>
      <c r="K207" s="51">
        <v>0</v>
      </c>
      <c r="L207" s="51" t="s">
        <v>1095</v>
      </c>
      <c r="M207" s="846">
        <v>240736</v>
      </c>
      <c r="N207" s="51" t="s">
        <v>1095</v>
      </c>
      <c r="O207" s="51">
        <v>0</v>
      </c>
      <c r="P207" s="51">
        <v>0</v>
      </c>
      <c r="Q207" s="51">
        <v>0</v>
      </c>
      <c r="R207" s="51" t="s">
        <v>1095</v>
      </c>
      <c r="S207" s="51">
        <v>0</v>
      </c>
      <c r="T207" s="51" t="s">
        <v>1095</v>
      </c>
      <c r="U207" s="847">
        <v>240736</v>
      </c>
      <c r="V207" s="51" t="s">
        <v>1095</v>
      </c>
      <c r="W207" s="51">
        <v>0</v>
      </c>
      <c r="X207" s="51" t="s">
        <v>1095</v>
      </c>
      <c r="Y207" s="847">
        <v>0</v>
      </c>
      <c r="Z207" s="51" t="s">
        <v>1095</v>
      </c>
      <c r="AA207" s="51"/>
      <c r="AB207" s="51"/>
      <c r="AC207" s="51"/>
      <c r="AD207" s="51"/>
      <c r="AE207" s="51"/>
      <c r="AF207" s="51"/>
      <c r="AG207" s="51"/>
    </row>
    <row r="208" spans="1:33" x14ac:dyDescent="0.2">
      <c r="A208" s="249">
        <v>2</v>
      </c>
      <c r="B208" s="463" t="s">
        <v>407</v>
      </c>
      <c r="C208" s="463" t="s">
        <v>1525</v>
      </c>
      <c r="D208" s="266" t="s">
        <v>406</v>
      </c>
      <c r="E208" s="266" t="s">
        <v>1052</v>
      </c>
      <c r="F208" s="51" t="s">
        <v>1052</v>
      </c>
      <c r="G208" s="51">
        <v>483956</v>
      </c>
      <c r="H208" s="51" t="s">
        <v>1095</v>
      </c>
      <c r="I208" s="51">
        <v>0</v>
      </c>
      <c r="J208" s="51" t="s">
        <v>1095</v>
      </c>
      <c r="K208" s="51">
        <v>0</v>
      </c>
      <c r="L208" s="51" t="s">
        <v>1095</v>
      </c>
      <c r="M208" s="846">
        <v>483956</v>
      </c>
      <c r="N208" s="51" t="s">
        <v>1095</v>
      </c>
      <c r="O208" s="51">
        <v>0</v>
      </c>
      <c r="P208" s="51">
        <v>0</v>
      </c>
      <c r="Q208" s="51">
        <v>0</v>
      </c>
      <c r="R208" s="51" t="s">
        <v>1095</v>
      </c>
      <c r="S208" s="51">
        <v>50389</v>
      </c>
      <c r="T208" s="51" t="s">
        <v>1095</v>
      </c>
      <c r="U208" s="847">
        <v>433567</v>
      </c>
      <c r="V208" s="51" t="s">
        <v>1095</v>
      </c>
      <c r="W208" s="51">
        <v>58509</v>
      </c>
      <c r="X208" s="51" t="s">
        <v>1095</v>
      </c>
      <c r="Y208" s="847">
        <v>58509</v>
      </c>
      <c r="Z208" s="51" t="s">
        <v>1095</v>
      </c>
      <c r="AA208" s="51"/>
      <c r="AB208" s="51"/>
      <c r="AC208" s="51"/>
      <c r="AD208" s="51"/>
      <c r="AE208" s="51"/>
      <c r="AF208" s="51"/>
      <c r="AG208" s="51"/>
    </row>
    <row r="209" spans="1:33" x14ac:dyDescent="0.2">
      <c r="A209" s="249">
        <v>3</v>
      </c>
      <c r="B209" s="463" t="s">
        <v>407</v>
      </c>
      <c r="C209" s="463" t="s">
        <v>1526</v>
      </c>
      <c r="D209" s="266" t="s">
        <v>406</v>
      </c>
      <c r="E209" s="266" t="s">
        <v>1053</v>
      </c>
      <c r="F209" s="51" t="s">
        <v>1053</v>
      </c>
      <c r="G209" s="51">
        <v>746010</v>
      </c>
      <c r="H209" s="51" t="s">
        <v>1095</v>
      </c>
      <c r="I209" s="51">
        <v>0</v>
      </c>
      <c r="J209" s="51" t="s">
        <v>1095</v>
      </c>
      <c r="K209" s="51">
        <v>0</v>
      </c>
      <c r="L209" s="51" t="s">
        <v>1095</v>
      </c>
      <c r="M209" s="846">
        <v>746010</v>
      </c>
      <c r="N209" s="51" t="s">
        <v>1095</v>
      </c>
      <c r="O209" s="51">
        <v>0</v>
      </c>
      <c r="P209" s="51">
        <v>0</v>
      </c>
      <c r="Q209" s="51">
        <v>0</v>
      </c>
      <c r="R209" s="51" t="s">
        <v>1095</v>
      </c>
      <c r="S209" s="51">
        <v>18254</v>
      </c>
      <c r="T209" s="51" t="s">
        <v>1095</v>
      </c>
      <c r="U209" s="847">
        <v>727756</v>
      </c>
      <c r="V209" s="51" t="s">
        <v>1095</v>
      </c>
      <c r="W209" s="51">
        <v>0</v>
      </c>
      <c r="X209" s="51" t="s">
        <v>1095</v>
      </c>
      <c r="Y209" s="847">
        <v>0</v>
      </c>
      <c r="Z209" s="51" t="s">
        <v>1095</v>
      </c>
      <c r="AA209" s="51"/>
      <c r="AB209" s="51"/>
      <c r="AC209" s="51"/>
      <c r="AD209" s="51"/>
      <c r="AE209" s="51"/>
      <c r="AF209" s="51"/>
      <c r="AG209" s="51"/>
    </row>
    <row r="210" spans="1:33" x14ac:dyDescent="0.2">
      <c r="A210" s="249">
        <v>1</v>
      </c>
      <c r="B210" s="463" t="s">
        <v>407</v>
      </c>
      <c r="C210" s="463" t="s">
        <v>1527</v>
      </c>
      <c r="D210" s="266" t="s">
        <v>406</v>
      </c>
      <c r="E210" s="266" t="s">
        <v>1054</v>
      </c>
      <c r="F210" s="51" t="s">
        <v>1054</v>
      </c>
      <c r="G210" s="51">
        <v>53298</v>
      </c>
      <c r="H210" s="51" t="s">
        <v>1095</v>
      </c>
      <c r="I210" s="51">
        <v>0</v>
      </c>
      <c r="J210" s="51" t="s">
        <v>1095</v>
      </c>
      <c r="K210" s="51">
        <v>0</v>
      </c>
      <c r="L210" s="51" t="s">
        <v>1095</v>
      </c>
      <c r="M210" s="846">
        <v>53298</v>
      </c>
      <c r="N210" s="51" t="s">
        <v>1095</v>
      </c>
      <c r="O210" s="51">
        <v>0</v>
      </c>
      <c r="P210" s="51">
        <v>0</v>
      </c>
      <c r="Q210" s="51">
        <v>0</v>
      </c>
      <c r="R210" s="51" t="s">
        <v>1095</v>
      </c>
      <c r="S210" s="51">
        <v>35182</v>
      </c>
      <c r="T210" s="51" t="s">
        <v>1095</v>
      </c>
      <c r="U210" s="847">
        <v>18116</v>
      </c>
      <c r="V210" s="51" t="s">
        <v>1095</v>
      </c>
      <c r="W210" s="51">
        <v>0</v>
      </c>
      <c r="X210" s="51" t="s">
        <v>1095</v>
      </c>
      <c r="Y210" s="847">
        <v>0</v>
      </c>
      <c r="Z210" s="51" t="s">
        <v>1095</v>
      </c>
      <c r="AA210" s="51"/>
      <c r="AB210" s="51"/>
      <c r="AC210" s="51"/>
      <c r="AD210" s="51"/>
      <c r="AE210" s="51"/>
      <c r="AF210" s="51"/>
      <c r="AG210" s="51"/>
    </row>
    <row r="211" spans="1:33" x14ac:dyDescent="0.2">
      <c r="A211" s="249">
        <v>1</v>
      </c>
      <c r="B211" s="463" t="s">
        <v>413</v>
      </c>
      <c r="C211" s="463" t="s">
        <v>1528</v>
      </c>
      <c r="D211" s="266" t="s">
        <v>412</v>
      </c>
      <c r="E211" s="266" t="s">
        <v>821</v>
      </c>
      <c r="F211" s="51" t="s">
        <v>821</v>
      </c>
      <c r="G211" s="51">
        <v>897960</v>
      </c>
      <c r="H211" s="51" t="s">
        <v>1095</v>
      </c>
      <c r="I211" s="51">
        <v>0</v>
      </c>
      <c r="J211" s="51" t="s">
        <v>1095</v>
      </c>
      <c r="K211" s="51">
        <v>0</v>
      </c>
      <c r="L211" s="51" t="s">
        <v>1095</v>
      </c>
      <c r="M211" s="846">
        <v>897960</v>
      </c>
      <c r="N211" s="51" t="s">
        <v>1095</v>
      </c>
      <c r="O211" s="51">
        <v>0</v>
      </c>
      <c r="P211" s="51">
        <v>0</v>
      </c>
      <c r="Q211" s="51">
        <v>0</v>
      </c>
      <c r="R211" s="51" t="s">
        <v>1095</v>
      </c>
      <c r="S211" s="51">
        <v>142006</v>
      </c>
      <c r="T211" s="51" t="s">
        <v>1095</v>
      </c>
      <c r="U211" s="847">
        <v>755954</v>
      </c>
      <c r="V211" s="51" t="s">
        <v>1095</v>
      </c>
      <c r="W211" s="51">
        <v>0</v>
      </c>
      <c r="X211" s="51" t="s">
        <v>1095</v>
      </c>
      <c r="Y211" s="847">
        <v>0</v>
      </c>
      <c r="Z211" s="51" t="s">
        <v>1095</v>
      </c>
      <c r="AA211" s="51"/>
      <c r="AB211" s="51"/>
      <c r="AC211" s="51"/>
      <c r="AD211" s="51"/>
      <c r="AE211" s="51"/>
      <c r="AF211" s="51"/>
      <c r="AG211" s="51"/>
    </row>
    <row r="212" spans="1:33" x14ac:dyDescent="0.2">
      <c r="A212" s="249">
        <v>2</v>
      </c>
      <c r="B212" s="463" t="s">
        <v>413</v>
      </c>
      <c r="C212" s="463" t="s">
        <v>1529</v>
      </c>
      <c r="D212" s="266" t="s">
        <v>412</v>
      </c>
      <c r="E212" s="266" t="s">
        <v>1055</v>
      </c>
      <c r="F212" s="51" t="s">
        <v>1055</v>
      </c>
      <c r="G212" s="51">
        <v>0</v>
      </c>
      <c r="H212" s="51" t="s">
        <v>1095</v>
      </c>
      <c r="I212" s="51">
        <v>0</v>
      </c>
      <c r="J212" s="51" t="s">
        <v>1095</v>
      </c>
      <c r="K212" s="51">
        <v>0</v>
      </c>
      <c r="L212" s="51" t="s">
        <v>1095</v>
      </c>
      <c r="M212" s="846">
        <v>0</v>
      </c>
      <c r="N212" s="51" t="s">
        <v>1095</v>
      </c>
      <c r="O212" s="51">
        <v>0</v>
      </c>
      <c r="P212" s="51">
        <v>0</v>
      </c>
      <c r="Q212" s="51">
        <v>0</v>
      </c>
      <c r="R212" s="51" t="s">
        <v>1095</v>
      </c>
      <c r="S212" s="51">
        <v>0</v>
      </c>
      <c r="T212" s="51" t="s">
        <v>1095</v>
      </c>
      <c r="U212" s="847">
        <v>0</v>
      </c>
      <c r="V212" s="51" t="s">
        <v>1095</v>
      </c>
      <c r="W212" s="51">
        <v>0</v>
      </c>
      <c r="X212" s="51" t="s">
        <v>1095</v>
      </c>
      <c r="Y212" s="847">
        <v>0</v>
      </c>
      <c r="Z212" s="51" t="s">
        <v>1095</v>
      </c>
      <c r="AA212" s="51"/>
      <c r="AB212" s="51"/>
      <c r="AC212" s="51"/>
      <c r="AD212" s="51"/>
      <c r="AE212" s="51"/>
      <c r="AF212" s="51"/>
      <c r="AG212" s="51"/>
    </row>
    <row r="213" spans="1:33" x14ac:dyDescent="0.2">
      <c r="A213" s="249">
        <v>3</v>
      </c>
      <c r="B213" s="463" t="s">
        <v>413</v>
      </c>
      <c r="C213" s="463" t="s">
        <v>1530</v>
      </c>
      <c r="D213" s="266" t="s">
        <v>412</v>
      </c>
      <c r="E213" s="266" t="s">
        <v>1088</v>
      </c>
      <c r="F213" s="51" t="s">
        <v>1088</v>
      </c>
      <c r="G213" s="51">
        <v>0</v>
      </c>
      <c r="H213" s="51" t="s">
        <v>1095</v>
      </c>
      <c r="I213" s="51">
        <v>0</v>
      </c>
      <c r="J213" s="51" t="s">
        <v>1095</v>
      </c>
      <c r="K213" s="51">
        <v>0</v>
      </c>
      <c r="L213" s="51" t="s">
        <v>1095</v>
      </c>
      <c r="M213" s="846">
        <v>0</v>
      </c>
      <c r="N213" s="51" t="s">
        <v>1095</v>
      </c>
      <c r="O213" s="51">
        <v>0</v>
      </c>
      <c r="P213" s="51">
        <v>0</v>
      </c>
      <c r="Q213" s="51">
        <v>0</v>
      </c>
      <c r="R213" s="51" t="s">
        <v>1095</v>
      </c>
      <c r="S213" s="51">
        <v>0</v>
      </c>
      <c r="T213" s="51" t="s">
        <v>1095</v>
      </c>
      <c r="U213" s="847">
        <v>0</v>
      </c>
      <c r="V213" s="51" t="s">
        <v>1095</v>
      </c>
      <c r="W213" s="51">
        <v>0</v>
      </c>
      <c r="X213" s="51" t="s">
        <v>1095</v>
      </c>
      <c r="Y213" s="847">
        <v>0</v>
      </c>
      <c r="Z213" s="51" t="s">
        <v>1095</v>
      </c>
      <c r="AA213" s="51"/>
      <c r="AB213" s="51"/>
      <c r="AC213" s="51"/>
      <c r="AD213" s="51"/>
      <c r="AE213" s="51"/>
      <c r="AF213" s="51"/>
      <c r="AG213" s="51"/>
    </row>
    <row r="214" spans="1:33" x14ac:dyDescent="0.2">
      <c r="A214" s="249">
        <v>4</v>
      </c>
      <c r="B214" s="463" t="s">
        <v>445</v>
      </c>
      <c r="C214" s="463" t="s">
        <v>1531</v>
      </c>
      <c r="D214" s="266" t="s">
        <v>444</v>
      </c>
      <c r="E214" s="266" t="s">
        <v>1011</v>
      </c>
      <c r="F214" s="51" t="s">
        <v>1011</v>
      </c>
      <c r="G214" s="51">
        <v>0</v>
      </c>
      <c r="H214" s="51" t="s">
        <v>1095</v>
      </c>
      <c r="I214" s="51">
        <v>0</v>
      </c>
      <c r="J214" s="51" t="s">
        <v>1095</v>
      </c>
      <c r="K214" s="51">
        <v>0</v>
      </c>
      <c r="L214" s="51" t="s">
        <v>1095</v>
      </c>
      <c r="M214" s="846">
        <v>0</v>
      </c>
      <c r="N214" s="51" t="s">
        <v>1095</v>
      </c>
      <c r="O214" s="51">
        <v>0</v>
      </c>
      <c r="P214" s="51">
        <v>0</v>
      </c>
      <c r="Q214" s="51">
        <v>0</v>
      </c>
      <c r="R214" s="51" t="s">
        <v>1095</v>
      </c>
      <c r="S214" s="51">
        <v>0</v>
      </c>
      <c r="T214" s="51" t="s">
        <v>1095</v>
      </c>
      <c r="U214" s="847">
        <v>0</v>
      </c>
      <c r="V214" s="51" t="s">
        <v>1095</v>
      </c>
      <c r="W214" s="51">
        <v>0</v>
      </c>
      <c r="X214" s="51" t="s">
        <v>1095</v>
      </c>
      <c r="Y214" s="847">
        <v>0</v>
      </c>
      <c r="Z214" s="51" t="s">
        <v>1095</v>
      </c>
      <c r="AA214" s="51"/>
      <c r="AB214" s="51"/>
      <c r="AC214" s="51"/>
      <c r="AD214" s="51"/>
      <c r="AE214" s="51"/>
      <c r="AF214" s="51"/>
      <c r="AG214" s="51"/>
    </row>
    <row r="215" spans="1:33" x14ac:dyDescent="0.2">
      <c r="A215" s="249">
        <v>5</v>
      </c>
      <c r="B215" s="463" t="s">
        <v>459</v>
      </c>
      <c r="C215" s="463" t="s">
        <v>1532</v>
      </c>
      <c r="D215" s="266" t="s">
        <v>458</v>
      </c>
      <c r="E215" s="266" t="s">
        <v>825</v>
      </c>
      <c r="F215" s="51" t="s">
        <v>825</v>
      </c>
      <c r="G215" s="51">
        <v>3088620</v>
      </c>
      <c r="H215" s="51" t="s">
        <v>1095</v>
      </c>
      <c r="I215" s="51">
        <v>-30886</v>
      </c>
      <c r="J215" s="51" t="s">
        <v>1095</v>
      </c>
      <c r="K215" s="51">
        <v>-154431</v>
      </c>
      <c r="L215" s="51" t="s">
        <v>1095</v>
      </c>
      <c r="M215" s="846">
        <v>2903303</v>
      </c>
      <c r="N215" s="51" t="s">
        <v>1095</v>
      </c>
      <c r="O215" s="51">
        <v>0</v>
      </c>
      <c r="P215" s="51">
        <v>0</v>
      </c>
      <c r="Q215" s="51">
        <v>-186</v>
      </c>
      <c r="R215" s="51" t="s">
        <v>1095</v>
      </c>
      <c r="S215" s="51">
        <v>1337182</v>
      </c>
      <c r="T215" s="51" t="s">
        <v>1095</v>
      </c>
      <c r="U215" s="847">
        <v>1565935</v>
      </c>
      <c r="V215" s="51" t="s">
        <v>1095</v>
      </c>
      <c r="W215" s="51">
        <v>601652</v>
      </c>
      <c r="X215" s="51" t="s">
        <v>1095</v>
      </c>
      <c r="Y215" s="847">
        <v>601652</v>
      </c>
      <c r="Z215" s="51" t="s">
        <v>1095</v>
      </c>
      <c r="AA215" s="51"/>
      <c r="AB215" s="51"/>
      <c r="AC215" s="51"/>
      <c r="AD215" s="51"/>
      <c r="AE215" s="51"/>
      <c r="AF215" s="51"/>
      <c r="AG215" s="51"/>
    </row>
    <row r="216" spans="1:33" x14ac:dyDescent="0.2">
      <c r="A216" s="249">
        <v>6</v>
      </c>
      <c r="B216" s="463" t="s">
        <v>459</v>
      </c>
      <c r="C216" s="463" t="s">
        <v>1533</v>
      </c>
      <c r="D216" s="266" t="s">
        <v>458</v>
      </c>
      <c r="E216" s="266" t="s">
        <v>1056</v>
      </c>
      <c r="F216" s="51" t="s">
        <v>1056</v>
      </c>
      <c r="G216" s="51">
        <v>0</v>
      </c>
      <c r="H216" s="51" t="s">
        <v>1095</v>
      </c>
      <c r="I216" s="51">
        <v>0</v>
      </c>
      <c r="J216" s="51" t="s">
        <v>1095</v>
      </c>
      <c r="K216" s="51">
        <v>0</v>
      </c>
      <c r="L216" s="51" t="s">
        <v>1095</v>
      </c>
      <c r="M216" s="846">
        <v>0</v>
      </c>
      <c r="N216" s="51" t="s">
        <v>1095</v>
      </c>
      <c r="O216" s="51">
        <v>0</v>
      </c>
      <c r="P216" s="51">
        <v>0</v>
      </c>
      <c r="Q216" s="51">
        <v>0</v>
      </c>
      <c r="R216" s="51" t="s">
        <v>1095</v>
      </c>
      <c r="S216" s="51">
        <v>603163</v>
      </c>
      <c r="T216" s="51" t="s">
        <v>1095</v>
      </c>
      <c r="U216" s="847">
        <v>0</v>
      </c>
      <c r="V216" s="51" t="s">
        <v>1095</v>
      </c>
      <c r="W216" s="51">
        <v>0</v>
      </c>
      <c r="X216" s="51" t="s">
        <v>1095</v>
      </c>
      <c r="Y216" s="847">
        <v>0</v>
      </c>
      <c r="Z216" s="51" t="s">
        <v>1095</v>
      </c>
      <c r="AA216" s="51"/>
      <c r="AB216" s="51"/>
      <c r="AC216" s="51"/>
      <c r="AD216" s="51"/>
      <c r="AE216" s="51"/>
      <c r="AF216" s="51"/>
      <c r="AG216" s="51"/>
    </row>
    <row r="217" spans="1:33" x14ac:dyDescent="0.2">
      <c r="A217" s="249">
        <v>7</v>
      </c>
      <c r="B217" s="463" t="s">
        <v>459</v>
      </c>
      <c r="C217" s="463" t="s">
        <v>1534</v>
      </c>
      <c r="D217" s="266" t="s">
        <v>458</v>
      </c>
      <c r="E217" s="266" t="s">
        <v>1057</v>
      </c>
      <c r="F217" s="51" t="s">
        <v>1057</v>
      </c>
      <c r="G217" s="51">
        <v>0</v>
      </c>
      <c r="H217" s="51" t="s">
        <v>1095</v>
      </c>
      <c r="I217" s="51">
        <v>0</v>
      </c>
      <c r="J217" s="51" t="s">
        <v>1095</v>
      </c>
      <c r="K217" s="51">
        <v>0</v>
      </c>
      <c r="L217" s="51" t="s">
        <v>1095</v>
      </c>
      <c r="M217" s="846">
        <v>0</v>
      </c>
      <c r="N217" s="51" t="s">
        <v>1095</v>
      </c>
      <c r="O217" s="51">
        <v>0</v>
      </c>
      <c r="P217" s="51">
        <v>0</v>
      </c>
      <c r="Q217" s="51">
        <v>0</v>
      </c>
      <c r="R217" s="51" t="s">
        <v>1095</v>
      </c>
      <c r="S217" s="51">
        <v>0</v>
      </c>
      <c r="T217" s="51" t="s">
        <v>1095</v>
      </c>
      <c r="U217" s="847">
        <v>0</v>
      </c>
      <c r="V217" s="51" t="s">
        <v>1095</v>
      </c>
      <c r="W217" s="51">
        <v>0</v>
      </c>
      <c r="X217" s="51" t="s">
        <v>1095</v>
      </c>
      <c r="Y217" s="847">
        <v>0</v>
      </c>
      <c r="Z217" s="51" t="s">
        <v>1095</v>
      </c>
      <c r="AA217" s="51"/>
      <c r="AB217" s="51"/>
      <c r="AC217" s="51"/>
      <c r="AD217" s="51"/>
      <c r="AE217" s="51"/>
      <c r="AF217" s="51"/>
      <c r="AG217" s="51"/>
    </row>
    <row r="218" spans="1:33" x14ac:dyDescent="0.2">
      <c r="A218" s="249">
        <v>8</v>
      </c>
      <c r="B218" s="463" t="s">
        <v>459</v>
      </c>
      <c r="C218" s="463" t="s">
        <v>1535</v>
      </c>
      <c r="D218" s="266" t="s">
        <v>458</v>
      </c>
      <c r="E218" s="266" t="s">
        <v>1058</v>
      </c>
      <c r="F218" s="51" t="s">
        <v>1058</v>
      </c>
      <c r="G218" s="51">
        <v>0</v>
      </c>
      <c r="H218" s="51" t="s">
        <v>1095</v>
      </c>
      <c r="I218" s="51">
        <v>0</v>
      </c>
      <c r="J218" s="51" t="s">
        <v>1095</v>
      </c>
      <c r="K218" s="51">
        <v>0</v>
      </c>
      <c r="L218" s="51" t="s">
        <v>1095</v>
      </c>
      <c r="M218" s="846">
        <v>0</v>
      </c>
      <c r="N218" s="51" t="s">
        <v>1095</v>
      </c>
      <c r="O218" s="51">
        <v>0</v>
      </c>
      <c r="P218" s="51">
        <v>0</v>
      </c>
      <c r="Q218" s="51">
        <v>0</v>
      </c>
      <c r="R218" s="51" t="s">
        <v>1095</v>
      </c>
      <c r="S218" s="51">
        <v>0</v>
      </c>
      <c r="T218" s="51" t="s">
        <v>1095</v>
      </c>
      <c r="U218" s="847">
        <v>0</v>
      </c>
      <c r="V218" s="51" t="s">
        <v>1095</v>
      </c>
      <c r="W218" s="51">
        <v>0</v>
      </c>
      <c r="X218" s="51" t="s">
        <v>1095</v>
      </c>
      <c r="Y218" s="847">
        <v>0</v>
      </c>
      <c r="Z218" s="51" t="s">
        <v>1095</v>
      </c>
      <c r="AA218" s="51"/>
      <c r="AB218" s="51"/>
      <c r="AC218" s="51"/>
      <c r="AD218" s="51"/>
      <c r="AE218" s="51"/>
      <c r="AF218" s="51"/>
      <c r="AG218" s="51"/>
    </row>
    <row r="219" spans="1:33" x14ac:dyDescent="0.2">
      <c r="A219" s="249">
        <v>9</v>
      </c>
      <c r="B219" s="463" t="s">
        <v>459</v>
      </c>
      <c r="C219" s="463" t="s">
        <v>1536</v>
      </c>
      <c r="D219" s="266" t="s">
        <v>458</v>
      </c>
      <c r="E219" s="266" t="s">
        <v>1059</v>
      </c>
      <c r="F219" s="51" t="s">
        <v>1059</v>
      </c>
      <c r="G219" s="51">
        <v>0</v>
      </c>
      <c r="H219" s="51" t="s">
        <v>1095</v>
      </c>
      <c r="I219" s="51">
        <v>0</v>
      </c>
      <c r="J219" s="51" t="s">
        <v>1095</v>
      </c>
      <c r="K219" s="51">
        <v>0</v>
      </c>
      <c r="L219" s="51" t="s">
        <v>1095</v>
      </c>
      <c r="M219" s="846">
        <v>0</v>
      </c>
      <c r="N219" s="51" t="s">
        <v>1095</v>
      </c>
      <c r="O219" s="51">
        <v>0</v>
      </c>
      <c r="P219" s="51">
        <v>0</v>
      </c>
      <c r="Q219" s="51">
        <v>0</v>
      </c>
      <c r="R219" s="51" t="s">
        <v>1095</v>
      </c>
      <c r="S219" s="51">
        <v>0</v>
      </c>
      <c r="T219" s="51" t="s">
        <v>1095</v>
      </c>
      <c r="U219" s="847">
        <v>0</v>
      </c>
      <c r="V219" s="51" t="s">
        <v>1095</v>
      </c>
      <c r="W219" s="51">
        <v>0</v>
      </c>
      <c r="X219" s="51" t="s">
        <v>1095</v>
      </c>
      <c r="Y219" s="847">
        <v>0</v>
      </c>
      <c r="Z219" s="51" t="s">
        <v>1095</v>
      </c>
      <c r="AA219" s="51"/>
      <c r="AB219" s="51"/>
      <c r="AC219" s="51"/>
      <c r="AD219" s="51"/>
      <c r="AE219" s="51"/>
      <c r="AF219" s="51"/>
      <c r="AG219" s="51"/>
    </row>
    <row r="220" spans="1:33" x14ac:dyDescent="0.2">
      <c r="A220" s="249">
        <v>10</v>
      </c>
      <c r="B220" s="463" t="s">
        <v>459</v>
      </c>
      <c r="C220" s="463" t="s">
        <v>1537</v>
      </c>
      <c r="D220" s="266" t="s">
        <v>458</v>
      </c>
      <c r="E220" s="266" t="s">
        <v>1060</v>
      </c>
      <c r="F220" s="51" t="s">
        <v>1060</v>
      </c>
      <c r="G220" s="51">
        <v>1252</v>
      </c>
      <c r="H220" s="51" t="s">
        <v>1095</v>
      </c>
      <c r="I220" s="51">
        <v>-13</v>
      </c>
      <c r="J220" s="51" t="s">
        <v>1095</v>
      </c>
      <c r="K220" s="51">
        <v>-63</v>
      </c>
      <c r="L220" s="51" t="s">
        <v>1095</v>
      </c>
      <c r="M220" s="846">
        <v>1176</v>
      </c>
      <c r="N220" s="51" t="s">
        <v>1095</v>
      </c>
      <c r="O220" s="51">
        <v>0</v>
      </c>
      <c r="P220" s="51">
        <v>0</v>
      </c>
      <c r="Q220" s="51">
        <v>0</v>
      </c>
      <c r="R220" s="51" t="s">
        <v>1095</v>
      </c>
      <c r="S220" s="51">
        <v>1252</v>
      </c>
      <c r="T220" s="51" t="s">
        <v>1095</v>
      </c>
      <c r="U220" s="847">
        <v>0</v>
      </c>
      <c r="V220" s="51" t="s">
        <v>1095</v>
      </c>
      <c r="W220" s="51">
        <v>0</v>
      </c>
      <c r="X220" s="51" t="s">
        <v>1095</v>
      </c>
      <c r="Y220" s="847">
        <v>0</v>
      </c>
      <c r="Z220" s="51" t="s">
        <v>1095</v>
      </c>
      <c r="AA220" s="51"/>
      <c r="AB220" s="51"/>
      <c r="AC220" s="51"/>
      <c r="AD220" s="51"/>
      <c r="AE220" s="51"/>
      <c r="AF220" s="51"/>
      <c r="AG220" s="51"/>
    </row>
    <row r="221" spans="1:33" x14ac:dyDescent="0.2">
      <c r="A221" s="249">
        <v>11</v>
      </c>
      <c r="B221" s="463" t="s">
        <v>459</v>
      </c>
      <c r="C221" s="463" t="s">
        <v>1538</v>
      </c>
      <c r="D221" s="266" t="s">
        <v>458</v>
      </c>
      <c r="E221" s="266" t="s">
        <v>1061</v>
      </c>
      <c r="F221" s="51" t="s">
        <v>1061</v>
      </c>
      <c r="G221" s="51">
        <v>39312</v>
      </c>
      <c r="H221" s="51" t="s">
        <v>1095</v>
      </c>
      <c r="I221" s="51">
        <v>-393</v>
      </c>
      <c r="J221" s="51" t="s">
        <v>1095</v>
      </c>
      <c r="K221" s="51">
        <v>-1966</v>
      </c>
      <c r="L221" s="51" t="s">
        <v>1095</v>
      </c>
      <c r="M221" s="846">
        <v>36953</v>
      </c>
      <c r="N221" s="51" t="s">
        <v>1095</v>
      </c>
      <c r="O221" s="51">
        <v>0</v>
      </c>
      <c r="P221" s="51">
        <v>0</v>
      </c>
      <c r="Q221" s="51">
        <v>0</v>
      </c>
      <c r="R221" s="51" t="s">
        <v>1095</v>
      </c>
      <c r="S221" s="51">
        <v>47815</v>
      </c>
      <c r="T221" s="51" t="s">
        <v>1095</v>
      </c>
      <c r="U221" s="847">
        <v>0</v>
      </c>
      <c r="V221" s="51" t="s">
        <v>1095</v>
      </c>
      <c r="W221" s="51">
        <v>0</v>
      </c>
      <c r="X221" s="51" t="s">
        <v>1095</v>
      </c>
      <c r="Y221" s="847">
        <v>0</v>
      </c>
      <c r="Z221" s="51" t="s">
        <v>1095</v>
      </c>
      <c r="AA221" s="51"/>
      <c r="AB221" s="51"/>
      <c r="AC221" s="51"/>
      <c r="AD221" s="51"/>
      <c r="AE221" s="51"/>
      <c r="AF221" s="51"/>
      <c r="AG221" s="51"/>
    </row>
    <row r="222" spans="1:33" x14ac:dyDescent="0.2">
      <c r="A222" s="249">
        <v>1</v>
      </c>
      <c r="B222" s="463" t="s">
        <v>459</v>
      </c>
      <c r="C222" s="463" t="s">
        <v>1539</v>
      </c>
      <c r="D222" s="266" t="s">
        <v>458</v>
      </c>
      <c r="E222" s="266" t="s">
        <v>1062</v>
      </c>
      <c r="F222" s="51" t="s">
        <v>1062</v>
      </c>
      <c r="G222" s="51">
        <v>271152</v>
      </c>
      <c r="H222" s="51" t="s">
        <v>1095</v>
      </c>
      <c r="I222" s="51">
        <v>-2712</v>
      </c>
      <c r="J222" s="51" t="s">
        <v>1095</v>
      </c>
      <c r="K222" s="51">
        <v>-13558</v>
      </c>
      <c r="L222" s="51" t="s">
        <v>1095</v>
      </c>
      <c r="M222" s="846">
        <v>254882</v>
      </c>
      <c r="N222" s="51" t="s">
        <v>1095</v>
      </c>
      <c r="O222" s="51">
        <v>0</v>
      </c>
      <c r="P222" s="51">
        <v>0</v>
      </c>
      <c r="Q222" s="51">
        <v>0</v>
      </c>
      <c r="R222" s="51" t="s">
        <v>1095</v>
      </c>
      <c r="S222" s="51">
        <v>438141</v>
      </c>
      <c r="T222" s="51" t="s">
        <v>1095</v>
      </c>
      <c r="U222" s="847">
        <v>0</v>
      </c>
      <c r="V222" s="51" t="s">
        <v>1095</v>
      </c>
      <c r="W222" s="51">
        <v>0</v>
      </c>
      <c r="X222" s="51" t="s">
        <v>1095</v>
      </c>
      <c r="Y222" s="847">
        <v>0</v>
      </c>
      <c r="Z222" s="51" t="s">
        <v>1095</v>
      </c>
      <c r="AA222" s="51"/>
      <c r="AB222" s="51"/>
      <c r="AC222" s="51"/>
      <c r="AD222" s="51"/>
      <c r="AE222" s="51"/>
      <c r="AF222" s="51"/>
      <c r="AG222" s="51"/>
    </row>
    <row r="223" spans="1:33" x14ac:dyDescent="0.2">
      <c r="A223" s="249">
        <v>2</v>
      </c>
      <c r="B223" s="463" t="s">
        <v>459</v>
      </c>
      <c r="C223" s="463" t="s">
        <v>1540</v>
      </c>
      <c r="D223" s="266" t="s">
        <v>458</v>
      </c>
      <c r="E223" s="266" t="s">
        <v>1063</v>
      </c>
      <c r="F223" s="51" t="s">
        <v>1063</v>
      </c>
      <c r="G223" s="51">
        <v>0</v>
      </c>
      <c r="H223" s="51" t="s">
        <v>1095</v>
      </c>
      <c r="I223" s="51">
        <v>0</v>
      </c>
      <c r="J223" s="51" t="s">
        <v>1095</v>
      </c>
      <c r="K223" s="51">
        <v>0</v>
      </c>
      <c r="L223" s="51" t="s">
        <v>1095</v>
      </c>
      <c r="M223" s="846">
        <v>0</v>
      </c>
      <c r="N223" s="51" t="s">
        <v>1095</v>
      </c>
      <c r="O223" s="51">
        <v>0</v>
      </c>
      <c r="P223" s="51">
        <v>0</v>
      </c>
      <c r="Q223" s="51">
        <v>0</v>
      </c>
      <c r="R223" s="51" t="s">
        <v>1095</v>
      </c>
      <c r="S223" s="51">
        <v>66063</v>
      </c>
      <c r="T223" s="51" t="s">
        <v>1095</v>
      </c>
      <c r="U223" s="847">
        <v>0</v>
      </c>
      <c r="V223" s="51" t="s">
        <v>1095</v>
      </c>
      <c r="W223" s="51">
        <v>0</v>
      </c>
      <c r="X223" s="51" t="s">
        <v>1095</v>
      </c>
      <c r="Y223" s="847">
        <v>0</v>
      </c>
      <c r="Z223" s="51" t="s">
        <v>1095</v>
      </c>
      <c r="AA223" s="51"/>
      <c r="AB223" s="51"/>
      <c r="AC223" s="51"/>
      <c r="AD223" s="51"/>
      <c r="AE223" s="51"/>
      <c r="AF223" s="51"/>
      <c r="AG223" s="51"/>
    </row>
    <row r="224" spans="1:33" x14ac:dyDescent="0.2">
      <c r="A224" s="249">
        <v>1</v>
      </c>
      <c r="B224" s="463" t="s">
        <v>459</v>
      </c>
      <c r="C224" s="463" t="s">
        <v>1541</v>
      </c>
      <c r="D224" s="266" t="s">
        <v>458</v>
      </c>
      <c r="E224" s="266" t="s">
        <v>1064</v>
      </c>
      <c r="F224" s="51" t="s">
        <v>1064</v>
      </c>
      <c r="G224" s="51">
        <v>0</v>
      </c>
      <c r="H224" s="51" t="s">
        <v>1095</v>
      </c>
      <c r="I224" s="51">
        <v>0</v>
      </c>
      <c r="J224" s="51" t="s">
        <v>1095</v>
      </c>
      <c r="K224" s="51">
        <v>0</v>
      </c>
      <c r="L224" s="51" t="s">
        <v>1095</v>
      </c>
      <c r="M224" s="846">
        <v>0</v>
      </c>
      <c r="N224" s="51" t="s">
        <v>1095</v>
      </c>
      <c r="O224" s="51">
        <v>0</v>
      </c>
      <c r="P224" s="51">
        <v>0</v>
      </c>
      <c r="Q224" s="51">
        <v>0</v>
      </c>
      <c r="R224" s="51" t="s">
        <v>1095</v>
      </c>
      <c r="S224" s="51">
        <v>151289</v>
      </c>
      <c r="T224" s="51" t="s">
        <v>1095</v>
      </c>
      <c r="U224" s="847">
        <v>0</v>
      </c>
      <c r="V224" s="51" t="s">
        <v>1095</v>
      </c>
      <c r="W224" s="51">
        <v>9083</v>
      </c>
      <c r="X224" s="51" t="s">
        <v>1095</v>
      </c>
      <c r="Y224" s="847">
        <v>9083</v>
      </c>
      <c r="Z224" s="51" t="s">
        <v>1095</v>
      </c>
      <c r="AA224" s="51"/>
      <c r="AB224" s="51"/>
      <c r="AC224" s="51"/>
      <c r="AD224" s="51"/>
      <c r="AE224" s="51"/>
      <c r="AF224" s="51"/>
      <c r="AG224" s="51"/>
    </row>
    <row r="225" spans="1:33" x14ac:dyDescent="0.2">
      <c r="A225" s="249">
        <v>1</v>
      </c>
      <c r="B225" s="463" t="s">
        <v>459</v>
      </c>
      <c r="C225" s="463" t="s">
        <v>1542</v>
      </c>
      <c r="D225" s="266" t="s">
        <v>458</v>
      </c>
      <c r="E225" s="266" t="s">
        <v>1065</v>
      </c>
      <c r="F225" s="51" t="s">
        <v>1065</v>
      </c>
      <c r="G225" s="51">
        <v>19278</v>
      </c>
      <c r="H225" s="51" t="s">
        <v>1095</v>
      </c>
      <c r="I225" s="51">
        <v>-193</v>
      </c>
      <c r="J225" s="51" t="s">
        <v>1095</v>
      </c>
      <c r="K225" s="51">
        <v>-964</v>
      </c>
      <c r="L225" s="51" t="s">
        <v>1095</v>
      </c>
      <c r="M225" s="846">
        <v>18121</v>
      </c>
      <c r="N225" s="51" t="s">
        <v>1095</v>
      </c>
      <c r="O225" s="51">
        <v>0</v>
      </c>
      <c r="P225" s="51">
        <v>0</v>
      </c>
      <c r="Q225" s="51">
        <v>0</v>
      </c>
      <c r="R225" s="51" t="s">
        <v>1095</v>
      </c>
      <c r="S225" s="51">
        <v>57868</v>
      </c>
      <c r="T225" s="51" t="s">
        <v>1095</v>
      </c>
      <c r="U225" s="847">
        <v>0</v>
      </c>
      <c r="V225" s="51" t="s">
        <v>1095</v>
      </c>
      <c r="W225" s="51">
        <v>0</v>
      </c>
      <c r="X225" s="51" t="s">
        <v>1095</v>
      </c>
      <c r="Y225" s="847">
        <v>0</v>
      </c>
      <c r="Z225" s="51" t="s">
        <v>1095</v>
      </c>
      <c r="AA225" s="51"/>
      <c r="AB225" s="51"/>
      <c r="AC225" s="51"/>
      <c r="AD225" s="51"/>
      <c r="AE225" s="51"/>
      <c r="AF225" s="51"/>
      <c r="AG225" s="51"/>
    </row>
    <row r="226" spans="1:33" x14ac:dyDescent="0.2">
      <c r="A226" s="249">
        <v>1</v>
      </c>
      <c r="B226" s="463" t="s">
        <v>461</v>
      </c>
      <c r="C226" s="463" t="s">
        <v>1543</v>
      </c>
      <c r="D226" s="266" t="s">
        <v>460</v>
      </c>
      <c r="E226" s="266" t="s">
        <v>1066</v>
      </c>
      <c r="F226" s="51" t="s">
        <v>1066</v>
      </c>
      <c r="G226" s="51">
        <v>0</v>
      </c>
      <c r="H226" s="51" t="s">
        <v>1095</v>
      </c>
      <c r="I226" s="51">
        <v>0</v>
      </c>
      <c r="J226" s="51" t="s">
        <v>1095</v>
      </c>
      <c r="K226" s="51">
        <v>0</v>
      </c>
      <c r="L226" s="51" t="s">
        <v>1095</v>
      </c>
      <c r="M226" s="846">
        <v>0</v>
      </c>
      <c r="N226" s="51" t="s">
        <v>1095</v>
      </c>
      <c r="O226" s="51">
        <v>0</v>
      </c>
      <c r="P226" s="51">
        <v>0</v>
      </c>
      <c r="Q226" s="51">
        <v>0</v>
      </c>
      <c r="R226" s="51" t="s">
        <v>1095</v>
      </c>
      <c r="S226" s="51">
        <v>0</v>
      </c>
      <c r="T226" s="51" t="s">
        <v>1095</v>
      </c>
      <c r="U226" s="847">
        <v>0</v>
      </c>
      <c r="V226" s="51" t="s">
        <v>1095</v>
      </c>
      <c r="W226" s="51">
        <v>0</v>
      </c>
      <c r="X226" s="51" t="s">
        <v>1095</v>
      </c>
      <c r="Y226" s="847">
        <v>0</v>
      </c>
      <c r="Z226" s="51" t="s">
        <v>1095</v>
      </c>
      <c r="AA226" s="51"/>
      <c r="AB226" s="51"/>
      <c r="AC226" s="51"/>
      <c r="AD226" s="51"/>
      <c r="AE226" s="51"/>
      <c r="AF226" s="51"/>
      <c r="AG226" s="51"/>
    </row>
    <row r="227" spans="1:33" x14ac:dyDescent="0.2">
      <c r="A227" s="249">
        <v>1</v>
      </c>
      <c r="B227" s="463" t="s">
        <v>461</v>
      </c>
      <c r="C227" s="463" t="s">
        <v>1544</v>
      </c>
      <c r="D227" s="266" t="s">
        <v>460</v>
      </c>
      <c r="E227" s="266" t="s">
        <v>1067</v>
      </c>
      <c r="F227" s="51" t="s">
        <v>1067</v>
      </c>
      <c r="G227" s="51">
        <v>20600</v>
      </c>
      <c r="H227" s="51" t="s">
        <v>1095</v>
      </c>
      <c r="I227" s="51">
        <v>0</v>
      </c>
      <c r="J227" s="51" t="s">
        <v>1095</v>
      </c>
      <c r="K227" s="51">
        <v>0</v>
      </c>
      <c r="L227" s="51" t="s">
        <v>1095</v>
      </c>
      <c r="M227" s="846">
        <v>20600</v>
      </c>
      <c r="N227" s="51" t="s">
        <v>1095</v>
      </c>
      <c r="O227" s="51">
        <v>0</v>
      </c>
      <c r="P227" s="51">
        <v>0</v>
      </c>
      <c r="Q227" s="51">
        <v>0</v>
      </c>
      <c r="R227" s="51" t="s">
        <v>1095</v>
      </c>
      <c r="S227" s="51">
        <v>0</v>
      </c>
      <c r="T227" s="51" t="s">
        <v>1095</v>
      </c>
      <c r="U227" s="847">
        <v>20600</v>
      </c>
      <c r="V227" s="51" t="s">
        <v>1095</v>
      </c>
      <c r="W227" s="51">
        <v>71326</v>
      </c>
      <c r="X227" s="51" t="s">
        <v>1095</v>
      </c>
      <c r="Y227" s="847">
        <v>71326</v>
      </c>
      <c r="Z227" s="51" t="s">
        <v>1095</v>
      </c>
      <c r="AA227" s="51"/>
      <c r="AB227" s="51"/>
      <c r="AC227" s="51"/>
      <c r="AD227" s="51"/>
      <c r="AE227" s="51"/>
      <c r="AF227" s="51"/>
      <c r="AG227" s="51"/>
    </row>
    <row r="228" spans="1:33" x14ac:dyDescent="0.2">
      <c r="A228" s="249">
        <v>2</v>
      </c>
      <c r="B228" s="463" t="s">
        <v>463</v>
      </c>
      <c r="C228" s="463" t="s">
        <v>1545</v>
      </c>
      <c r="D228" s="266" t="s">
        <v>462</v>
      </c>
      <c r="E228" s="266" t="s">
        <v>824</v>
      </c>
      <c r="F228" s="51" t="s">
        <v>824</v>
      </c>
      <c r="G228" s="51">
        <v>238804</v>
      </c>
      <c r="H228" s="51" t="s">
        <v>1095</v>
      </c>
      <c r="I228" s="51">
        <v>0</v>
      </c>
      <c r="J228" s="51" t="s">
        <v>1095</v>
      </c>
      <c r="K228" s="51">
        <v>-590</v>
      </c>
      <c r="L228" s="51" t="s">
        <v>1095</v>
      </c>
      <c r="M228" s="846">
        <v>238214</v>
      </c>
      <c r="N228" s="51" t="s">
        <v>1095</v>
      </c>
      <c r="O228" s="51">
        <v>0</v>
      </c>
      <c r="P228" s="51">
        <v>0</v>
      </c>
      <c r="Q228" s="51">
        <v>1833</v>
      </c>
      <c r="R228" s="51" t="s">
        <v>1095</v>
      </c>
      <c r="S228" s="51">
        <v>179178</v>
      </c>
      <c r="T228" s="51" t="s">
        <v>1095</v>
      </c>
      <c r="U228" s="847">
        <v>60869</v>
      </c>
      <c r="V228" s="51" t="s">
        <v>1095</v>
      </c>
      <c r="W228" s="51">
        <v>18044</v>
      </c>
      <c r="X228" s="51" t="s">
        <v>1095</v>
      </c>
      <c r="Y228" s="847">
        <v>18044</v>
      </c>
      <c r="Z228" s="51" t="s">
        <v>1095</v>
      </c>
      <c r="AA228" s="51"/>
      <c r="AB228" s="51"/>
      <c r="AC228" s="51"/>
      <c r="AD228" s="51"/>
      <c r="AE228" s="51"/>
      <c r="AF228" s="51"/>
      <c r="AG228" s="51"/>
    </row>
    <row r="229" spans="1:33" x14ac:dyDescent="0.2">
      <c r="A229" s="249">
        <v>3</v>
      </c>
      <c r="B229" s="463" t="s">
        <v>467</v>
      </c>
      <c r="C229" s="463" t="s">
        <v>1546</v>
      </c>
      <c r="D229" s="266" t="s">
        <v>466</v>
      </c>
      <c r="E229" s="266" t="s">
        <v>868</v>
      </c>
      <c r="F229" s="51" t="s">
        <v>868</v>
      </c>
      <c r="G229" s="51">
        <v>3335470</v>
      </c>
      <c r="H229" s="51" t="s">
        <v>1095</v>
      </c>
      <c r="I229" s="51">
        <v>0</v>
      </c>
      <c r="J229" s="51" t="s">
        <v>1095</v>
      </c>
      <c r="K229" s="51">
        <v>0</v>
      </c>
      <c r="L229" s="51" t="s">
        <v>1095</v>
      </c>
      <c r="M229" s="846">
        <v>3335470</v>
      </c>
      <c r="N229" s="51" t="s">
        <v>1095</v>
      </c>
      <c r="O229" s="51">
        <v>0</v>
      </c>
      <c r="P229" s="51">
        <v>0</v>
      </c>
      <c r="Q229" s="51">
        <v>145184</v>
      </c>
      <c r="R229" s="51" t="s">
        <v>1095</v>
      </c>
      <c r="S229" s="51">
        <v>4432118</v>
      </c>
      <c r="T229" s="51" t="s">
        <v>1095</v>
      </c>
      <c r="U229" s="847">
        <v>0</v>
      </c>
      <c r="V229" s="51" t="s">
        <v>1095</v>
      </c>
      <c r="W229" s="51">
        <v>0</v>
      </c>
      <c r="X229" s="51" t="s">
        <v>1095</v>
      </c>
      <c r="Y229" s="847">
        <v>0</v>
      </c>
      <c r="Z229" s="51" t="s">
        <v>1095</v>
      </c>
      <c r="AA229" s="51"/>
      <c r="AB229" s="51"/>
      <c r="AC229" s="51"/>
      <c r="AD229" s="51"/>
      <c r="AE229" s="51"/>
      <c r="AF229" s="51"/>
      <c r="AG229" s="51"/>
    </row>
    <row r="230" spans="1:33" x14ac:dyDescent="0.2">
      <c r="A230" s="249">
        <v>1</v>
      </c>
      <c r="B230" s="463" t="s">
        <v>469</v>
      </c>
      <c r="C230" s="463" t="s">
        <v>1547</v>
      </c>
      <c r="D230" s="266" t="s">
        <v>468</v>
      </c>
      <c r="E230" s="266" t="s">
        <v>1068</v>
      </c>
      <c r="F230" s="51" t="s">
        <v>1068</v>
      </c>
      <c r="G230" s="51">
        <v>1169096</v>
      </c>
      <c r="H230" s="51" t="s">
        <v>1095</v>
      </c>
      <c r="I230" s="51">
        <v>-5136</v>
      </c>
      <c r="J230" s="51" t="s">
        <v>1095</v>
      </c>
      <c r="K230" s="51">
        <v>-23675</v>
      </c>
      <c r="L230" s="51" t="s">
        <v>1095</v>
      </c>
      <c r="M230" s="846">
        <v>1140285</v>
      </c>
      <c r="N230" s="51" t="s">
        <v>1095</v>
      </c>
      <c r="O230" s="51">
        <v>0</v>
      </c>
      <c r="P230" s="51">
        <v>0</v>
      </c>
      <c r="Q230" s="51">
        <v>-27393</v>
      </c>
      <c r="R230" s="51" t="s">
        <v>1095</v>
      </c>
      <c r="S230" s="51">
        <v>976250</v>
      </c>
      <c r="T230" s="51" t="s">
        <v>1095</v>
      </c>
      <c r="U230" s="847">
        <v>136642</v>
      </c>
      <c r="V230" s="51" t="s">
        <v>1095</v>
      </c>
      <c r="W230" s="51">
        <v>145784</v>
      </c>
      <c r="X230" s="51" t="s">
        <v>1095</v>
      </c>
      <c r="Y230" s="847">
        <v>145784</v>
      </c>
      <c r="Z230" s="51" t="s">
        <v>1095</v>
      </c>
      <c r="AA230" s="51"/>
      <c r="AB230" s="51"/>
      <c r="AC230" s="51"/>
      <c r="AD230" s="51"/>
      <c r="AE230" s="51"/>
      <c r="AF230" s="51"/>
      <c r="AG230" s="51"/>
    </row>
    <row r="231" spans="1:33" x14ac:dyDescent="0.2">
      <c r="A231" s="249">
        <v>2</v>
      </c>
      <c r="B231" s="463" t="s">
        <v>1148</v>
      </c>
      <c r="C231" s="463" t="s">
        <v>1556</v>
      </c>
      <c r="D231" s="266" t="s">
        <v>1147</v>
      </c>
      <c r="E231" s="266" t="s">
        <v>808</v>
      </c>
      <c r="F231" s="51" t="s">
        <v>808</v>
      </c>
      <c r="G231" s="51">
        <v>255463</v>
      </c>
      <c r="H231" s="51" t="s">
        <v>1095</v>
      </c>
      <c r="I231" s="51">
        <v>0</v>
      </c>
      <c r="J231" s="51" t="s">
        <v>1095</v>
      </c>
      <c r="K231" s="51">
        <v>-14256</v>
      </c>
      <c r="L231" s="51" t="s">
        <v>1095</v>
      </c>
      <c r="M231" s="846">
        <v>241207</v>
      </c>
      <c r="N231" s="51" t="s">
        <v>1095</v>
      </c>
      <c r="O231" s="51">
        <v>0</v>
      </c>
      <c r="P231" s="51">
        <v>0</v>
      </c>
      <c r="Q231" s="51">
        <v>1236</v>
      </c>
      <c r="R231" s="51" t="s">
        <v>1095</v>
      </c>
      <c r="S231" s="51">
        <v>0</v>
      </c>
      <c r="T231" s="51" t="s">
        <v>1095</v>
      </c>
      <c r="U231" s="847">
        <v>242443</v>
      </c>
      <c r="V231" s="51" t="s">
        <v>1095</v>
      </c>
      <c r="W231" s="51">
        <v>200220</v>
      </c>
      <c r="X231" s="51" t="s">
        <v>1095</v>
      </c>
      <c r="Y231" s="847">
        <v>200220</v>
      </c>
      <c r="Z231" s="51" t="s">
        <v>1095</v>
      </c>
      <c r="AA231" s="51"/>
      <c r="AB231" s="51"/>
      <c r="AC231" s="51"/>
      <c r="AD231" s="51"/>
      <c r="AE231" s="51"/>
      <c r="AF231" s="51"/>
      <c r="AG231" s="51"/>
    </row>
    <row r="232" spans="1:33" x14ac:dyDescent="0.2">
      <c r="A232" s="249">
        <v>1</v>
      </c>
      <c r="B232" s="463" t="s">
        <v>1148</v>
      </c>
      <c r="C232" s="463" t="s">
        <v>1555</v>
      </c>
      <c r="D232" s="266" t="s">
        <v>1147</v>
      </c>
      <c r="E232" s="266" t="s">
        <v>1069</v>
      </c>
      <c r="F232" s="51" t="s">
        <v>1069</v>
      </c>
      <c r="G232" s="51">
        <v>0</v>
      </c>
      <c r="H232" s="51" t="s">
        <v>1095</v>
      </c>
      <c r="I232" s="51">
        <v>0</v>
      </c>
      <c r="J232" s="51" t="s">
        <v>1095</v>
      </c>
      <c r="K232" s="51">
        <v>0</v>
      </c>
      <c r="L232" s="51" t="s">
        <v>1095</v>
      </c>
      <c r="M232" s="846">
        <v>0</v>
      </c>
      <c r="N232" s="51" t="s">
        <v>1095</v>
      </c>
      <c r="O232" s="51">
        <v>0</v>
      </c>
      <c r="P232" s="51">
        <v>0</v>
      </c>
      <c r="Q232" s="51">
        <v>0</v>
      </c>
      <c r="R232" s="51" t="s">
        <v>1095</v>
      </c>
      <c r="S232" s="51">
        <v>14606</v>
      </c>
      <c r="T232" s="51" t="s">
        <v>1095</v>
      </c>
      <c r="U232" s="847">
        <v>0</v>
      </c>
      <c r="V232" s="51" t="s">
        <v>1095</v>
      </c>
      <c r="W232" s="51">
        <v>0</v>
      </c>
      <c r="X232" s="51" t="s">
        <v>1095</v>
      </c>
      <c r="Y232" s="847">
        <v>0</v>
      </c>
      <c r="Z232" s="51" t="s">
        <v>1095</v>
      </c>
      <c r="AA232" s="51"/>
      <c r="AB232" s="51"/>
      <c r="AC232" s="51"/>
      <c r="AD232" s="51"/>
      <c r="AE232" s="51"/>
      <c r="AF232" s="51"/>
      <c r="AG232" s="51"/>
    </row>
    <row r="233" spans="1:33" x14ac:dyDescent="0.2">
      <c r="A233" s="249">
        <v>1</v>
      </c>
      <c r="B233" s="463" t="s">
        <v>1148</v>
      </c>
      <c r="C233" s="463" t="s">
        <v>1554</v>
      </c>
      <c r="D233" s="266" t="s">
        <v>1147</v>
      </c>
      <c r="E233" s="266" t="s">
        <v>1070</v>
      </c>
      <c r="F233" s="51" t="s">
        <v>1070</v>
      </c>
      <c r="G233" s="51">
        <v>0</v>
      </c>
      <c r="H233" s="51" t="s">
        <v>1095</v>
      </c>
      <c r="I233" s="51">
        <v>0</v>
      </c>
      <c r="J233" s="51" t="s">
        <v>1095</v>
      </c>
      <c r="K233" s="51">
        <v>0</v>
      </c>
      <c r="L233" s="51" t="s">
        <v>1095</v>
      </c>
      <c r="M233" s="846">
        <v>0</v>
      </c>
      <c r="N233" s="51" t="s">
        <v>1095</v>
      </c>
      <c r="O233" s="51">
        <v>0</v>
      </c>
      <c r="P233" s="51">
        <v>0</v>
      </c>
      <c r="Q233" s="51">
        <v>0</v>
      </c>
      <c r="R233" s="51" t="s">
        <v>1095</v>
      </c>
      <c r="S233" s="51">
        <v>30534</v>
      </c>
      <c r="T233" s="51" t="s">
        <v>1095</v>
      </c>
      <c r="U233" s="847">
        <v>0</v>
      </c>
      <c r="V233" s="51" t="s">
        <v>1095</v>
      </c>
      <c r="W233" s="51">
        <v>0</v>
      </c>
      <c r="X233" s="51" t="s">
        <v>1095</v>
      </c>
      <c r="Y233" s="847">
        <v>0</v>
      </c>
      <c r="Z233" s="51" t="s">
        <v>1095</v>
      </c>
      <c r="AA233" s="51"/>
      <c r="AB233" s="51"/>
      <c r="AC233" s="51"/>
      <c r="AD233" s="51"/>
      <c r="AE233" s="51"/>
      <c r="AF233" s="51"/>
      <c r="AG233" s="51"/>
    </row>
    <row r="234" spans="1:33" x14ac:dyDescent="0.2">
      <c r="A234" s="249">
        <v>1</v>
      </c>
      <c r="B234" s="463" t="s">
        <v>503</v>
      </c>
      <c r="C234" s="463" t="s">
        <v>1548</v>
      </c>
      <c r="D234" s="266" t="s">
        <v>502</v>
      </c>
      <c r="E234" s="266" t="s">
        <v>815</v>
      </c>
      <c r="F234" s="51" t="s">
        <v>815</v>
      </c>
      <c r="G234" s="51">
        <v>3211</v>
      </c>
      <c r="H234" s="51" t="s">
        <v>1095</v>
      </c>
      <c r="I234" s="51">
        <v>0</v>
      </c>
      <c r="J234" s="51" t="s">
        <v>1095</v>
      </c>
      <c r="K234" s="51">
        <v>0</v>
      </c>
      <c r="L234" s="51" t="s">
        <v>1095</v>
      </c>
      <c r="M234" s="846">
        <v>3211</v>
      </c>
      <c r="N234" s="51" t="s">
        <v>1095</v>
      </c>
      <c r="O234" s="51">
        <v>0</v>
      </c>
      <c r="P234" s="51">
        <v>0</v>
      </c>
      <c r="Q234" s="51">
        <v>0</v>
      </c>
      <c r="R234" s="51" t="s">
        <v>1095</v>
      </c>
      <c r="S234" s="51">
        <v>0</v>
      </c>
      <c r="T234" s="51" t="s">
        <v>1095</v>
      </c>
      <c r="U234" s="847">
        <v>3211</v>
      </c>
      <c r="V234" s="51" t="s">
        <v>1095</v>
      </c>
      <c r="W234" s="51">
        <v>0</v>
      </c>
      <c r="X234" s="51" t="s">
        <v>1095</v>
      </c>
      <c r="Y234" s="847">
        <v>0</v>
      </c>
      <c r="Z234" s="51" t="s">
        <v>1095</v>
      </c>
      <c r="AA234" s="51"/>
      <c r="AB234" s="51"/>
      <c r="AC234" s="51"/>
      <c r="AD234" s="51"/>
      <c r="AE234" s="51"/>
      <c r="AF234" s="51"/>
      <c r="AG234" s="51"/>
    </row>
    <row r="235" spans="1:33" x14ac:dyDescent="0.2">
      <c r="B235" s="356" t="s">
        <v>503</v>
      </c>
      <c r="C235" s="356" t="s">
        <v>1549</v>
      </c>
      <c r="D235" s="266" t="s">
        <v>502</v>
      </c>
      <c r="E235" s="266" t="s">
        <v>1071</v>
      </c>
      <c r="F235" s="51" t="s">
        <v>1071</v>
      </c>
      <c r="G235" s="51">
        <v>912776</v>
      </c>
      <c r="H235" s="51" t="s">
        <v>1095</v>
      </c>
      <c r="I235" s="51">
        <v>0</v>
      </c>
      <c r="J235" s="51" t="s">
        <v>1095</v>
      </c>
      <c r="K235" s="51">
        <v>0</v>
      </c>
      <c r="L235" s="51" t="s">
        <v>1095</v>
      </c>
      <c r="M235" s="846">
        <v>912776</v>
      </c>
      <c r="N235" s="51" t="s">
        <v>1095</v>
      </c>
      <c r="O235" s="51">
        <v>0</v>
      </c>
      <c r="P235" s="51">
        <v>0</v>
      </c>
      <c r="Q235" s="51">
        <v>-2762</v>
      </c>
      <c r="R235" s="51" t="s">
        <v>1095</v>
      </c>
      <c r="S235" s="51">
        <v>924779</v>
      </c>
      <c r="T235" s="51" t="s">
        <v>1095</v>
      </c>
      <c r="U235" s="847">
        <v>0</v>
      </c>
      <c r="V235" s="51" t="s">
        <v>1095</v>
      </c>
      <c r="W235" s="51">
        <v>76307</v>
      </c>
      <c r="X235" s="51" t="s">
        <v>1095</v>
      </c>
      <c r="Y235" s="847">
        <v>76307</v>
      </c>
      <c r="Z235" s="51" t="s">
        <v>1095</v>
      </c>
      <c r="AA235" s="51"/>
      <c r="AB235" s="51"/>
      <c r="AC235" s="51"/>
      <c r="AD235" s="51"/>
      <c r="AE235" s="51"/>
      <c r="AF235" s="51"/>
      <c r="AG235" s="51"/>
    </row>
    <row r="236" spans="1:33" s="266" customFormat="1" x14ac:dyDescent="0.2">
      <c r="B236" s="356" t="s">
        <v>509</v>
      </c>
      <c r="C236" s="356" t="s">
        <v>1550</v>
      </c>
      <c r="D236" s="602" t="s">
        <v>508</v>
      </c>
      <c r="E236" s="266" t="s">
        <v>824</v>
      </c>
      <c r="F236" s="51" t="s">
        <v>824</v>
      </c>
      <c r="G236" s="51">
        <v>184125</v>
      </c>
      <c r="H236" s="51" t="s">
        <v>1095</v>
      </c>
      <c r="I236" s="51">
        <v>0</v>
      </c>
      <c r="J236" s="51" t="s">
        <v>1095</v>
      </c>
      <c r="K236" s="51">
        <v>0</v>
      </c>
      <c r="L236" s="51" t="s">
        <v>1095</v>
      </c>
      <c r="M236" s="846">
        <v>184125</v>
      </c>
      <c r="N236" s="51" t="s">
        <v>1095</v>
      </c>
      <c r="O236" s="51">
        <v>0</v>
      </c>
      <c r="P236" s="51">
        <v>0</v>
      </c>
      <c r="Q236" s="51">
        <v>0</v>
      </c>
      <c r="R236" s="51" t="s">
        <v>1095</v>
      </c>
      <c r="S236" s="51">
        <v>102986</v>
      </c>
      <c r="T236" s="51" t="s">
        <v>1095</v>
      </c>
      <c r="U236" s="847">
        <v>81139</v>
      </c>
      <c r="V236" s="51" t="s">
        <v>1095</v>
      </c>
      <c r="W236" s="51">
        <v>8715</v>
      </c>
      <c r="X236" s="51" t="s">
        <v>1095</v>
      </c>
      <c r="Y236" s="847">
        <v>8715</v>
      </c>
      <c r="Z236" s="51" t="s">
        <v>1095</v>
      </c>
    </row>
    <row r="237" spans="1:33" s="266" customFormat="1" x14ac:dyDescent="0.2">
      <c r="B237" s="356" t="s">
        <v>519</v>
      </c>
      <c r="C237" s="356" t="s">
        <v>1551</v>
      </c>
      <c r="D237" s="602" t="s">
        <v>518</v>
      </c>
      <c r="E237" s="266" t="s">
        <v>1072</v>
      </c>
      <c r="F237" s="51" t="s">
        <v>1072</v>
      </c>
      <c r="G237" s="51">
        <v>3111410</v>
      </c>
      <c r="H237" s="51" t="s">
        <v>1095</v>
      </c>
      <c r="I237" s="51">
        <v>-24891</v>
      </c>
      <c r="J237" s="51" t="s">
        <v>1095</v>
      </c>
      <c r="K237" s="51">
        <v>-386236</v>
      </c>
      <c r="L237" s="51" t="s">
        <v>1095</v>
      </c>
      <c r="M237" s="846">
        <v>2700283</v>
      </c>
      <c r="N237" s="51" t="s">
        <v>1095</v>
      </c>
      <c r="O237" s="51">
        <v>0</v>
      </c>
      <c r="P237" s="51">
        <v>0</v>
      </c>
      <c r="Q237" s="51">
        <v>-19754</v>
      </c>
      <c r="R237" s="51" t="s">
        <v>1095</v>
      </c>
      <c r="S237" s="51">
        <v>2541936</v>
      </c>
      <c r="T237" s="51" t="s">
        <v>1095</v>
      </c>
      <c r="U237" s="847">
        <v>138593</v>
      </c>
      <c r="V237" s="51" t="s">
        <v>1095</v>
      </c>
      <c r="W237" s="51">
        <v>0</v>
      </c>
      <c r="X237" s="51" t="s">
        <v>1095</v>
      </c>
      <c r="Y237" s="847">
        <v>0</v>
      </c>
      <c r="Z237" s="51" t="s">
        <v>1095</v>
      </c>
    </row>
    <row r="238" spans="1:33" s="266" customFormat="1" x14ac:dyDescent="0.2">
      <c r="B238" s="356" t="s">
        <v>523</v>
      </c>
      <c r="C238" s="356" t="s">
        <v>1552</v>
      </c>
      <c r="D238" s="602" t="s">
        <v>522</v>
      </c>
      <c r="E238" s="266" t="s">
        <v>1073</v>
      </c>
      <c r="G238" s="51">
        <v>877254</v>
      </c>
      <c r="H238" s="51" t="s">
        <v>1095</v>
      </c>
      <c r="I238" s="51">
        <v>-5000</v>
      </c>
      <c r="J238" s="51" t="s">
        <v>1095</v>
      </c>
      <c r="K238" s="51">
        <v>0</v>
      </c>
      <c r="L238" s="51" t="s">
        <v>1095</v>
      </c>
      <c r="M238" s="846">
        <v>872254</v>
      </c>
      <c r="N238" s="51" t="s">
        <v>1095</v>
      </c>
      <c r="O238" s="51">
        <v>0</v>
      </c>
      <c r="P238" s="51">
        <v>0</v>
      </c>
      <c r="Q238" s="51">
        <v>314253</v>
      </c>
      <c r="R238" s="51" t="s">
        <v>1095</v>
      </c>
      <c r="S238" s="51">
        <v>785867</v>
      </c>
      <c r="T238" s="51" t="s">
        <v>1095</v>
      </c>
      <c r="U238" s="847">
        <v>400640</v>
      </c>
      <c r="V238" s="51" t="s">
        <v>1095</v>
      </c>
      <c r="W238" s="51">
        <v>0</v>
      </c>
      <c r="X238" s="51" t="s">
        <v>1095</v>
      </c>
      <c r="Y238" s="847">
        <v>0</v>
      </c>
    </row>
    <row r="239" spans="1:33" s="266" customFormat="1" x14ac:dyDescent="0.2">
      <c r="B239" s="249"/>
      <c r="C239" s="249"/>
      <c r="G239" s="356"/>
      <c r="H239" s="356"/>
      <c r="I239" s="356"/>
      <c r="J239" s="356"/>
    </row>
    <row r="240" spans="1:33" s="266" customFormat="1" x14ac:dyDescent="0.2">
      <c r="B240" s="249"/>
      <c r="C240" s="249"/>
      <c r="G240" s="356"/>
      <c r="H240" s="356"/>
      <c r="I240" s="356"/>
      <c r="J240" s="356"/>
    </row>
    <row r="241" spans="2:10" s="266" customFormat="1" x14ac:dyDescent="0.2">
      <c r="B241" s="249"/>
      <c r="C241" s="249"/>
      <c r="G241" s="356"/>
      <c r="H241" s="356"/>
      <c r="I241" s="356"/>
      <c r="J241" s="356"/>
    </row>
    <row r="242" spans="2:10" s="266" customFormat="1" x14ac:dyDescent="0.2">
      <c r="B242" s="249"/>
      <c r="C242" s="249"/>
      <c r="G242" s="356"/>
      <c r="H242" s="356"/>
      <c r="I242" s="356"/>
      <c r="J242" s="356"/>
    </row>
    <row r="243" spans="2:10" s="266" customFormat="1" x14ac:dyDescent="0.2">
      <c r="B243" s="249"/>
      <c r="C243" s="249"/>
      <c r="G243" s="356"/>
      <c r="H243" s="356"/>
      <c r="I243" s="356"/>
      <c r="J243" s="356"/>
    </row>
    <row r="244" spans="2:10" s="266" customFormat="1" x14ac:dyDescent="0.2">
      <c r="B244" s="249"/>
      <c r="C244" s="249"/>
      <c r="G244" s="356"/>
      <c r="H244" s="356"/>
      <c r="I244" s="356"/>
      <c r="J244" s="356"/>
    </row>
    <row r="245" spans="2:10" s="266" customFormat="1" x14ac:dyDescent="0.2">
      <c r="B245" s="249"/>
      <c r="C245" s="249"/>
      <c r="G245" s="356"/>
      <c r="H245" s="356"/>
      <c r="I245" s="356"/>
      <c r="J245" s="356"/>
    </row>
    <row r="246" spans="2:10" s="266" customFormat="1" x14ac:dyDescent="0.2">
      <c r="B246" s="249"/>
      <c r="C246" s="249"/>
      <c r="G246" s="356"/>
      <c r="H246" s="356"/>
      <c r="I246" s="356"/>
      <c r="J246" s="356"/>
    </row>
    <row r="247" spans="2:10" s="266" customFormat="1" x14ac:dyDescent="0.2">
      <c r="B247" s="249"/>
      <c r="C247" s="249"/>
      <c r="G247" s="356"/>
      <c r="H247" s="356"/>
      <c r="I247" s="356"/>
      <c r="J247" s="356"/>
    </row>
    <row r="248" spans="2:10" s="266" customFormat="1" x14ac:dyDescent="0.2">
      <c r="B248" s="249"/>
      <c r="C248" s="249"/>
      <c r="G248" s="356"/>
      <c r="H248" s="356"/>
      <c r="I248" s="356"/>
      <c r="J248" s="356"/>
    </row>
    <row r="249" spans="2:10" s="266" customFormat="1" x14ac:dyDescent="0.2">
      <c r="B249" s="249"/>
      <c r="C249" s="249"/>
      <c r="G249" s="356"/>
      <c r="H249" s="356"/>
      <c r="I249" s="356"/>
      <c r="J249" s="356"/>
    </row>
    <row r="250" spans="2:10" s="266" customFormat="1" x14ac:dyDescent="0.2">
      <c r="B250" s="249"/>
      <c r="C250" s="249"/>
      <c r="G250" s="356"/>
      <c r="H250" s="356"/>
      <c r="I250" s="356"/>
      <c r="J250" s="356"/>
    </row>
    <row r="251" spans="2:10" s="266" customFormat="1" x14ac:dyDescent="0.2">
      <c r="B251" s="249"/>
      <c r="C251" s="249"/>
      <c r="G251" s="356"/>
      <c r="H251" s="356"/>
      <c r="I251" s="356"/>
      <c r="J251" s="356"/>
    </row>
    <row r="252" spans="2:10" s="266" customFormat="1" x14ac:dyDescent="0.2">
      <c r="B252" s="249"/>
      <c r="C252" s="249"/>
      <c r="G252" s="356"/>
      <c r="H252" s="356"/>
      <c r="I252" s="356"/>
      <c r="J252" s="356"/>
    </row>
    <row r="253" spans="2:10" s="266" customFormat="1" x14ac:dyDescent="0.2">
      <c r="B253" s="249"/>
      <c r="C253" s="249"/>
      <c r="G253" s="356"/>
      <c r="H253" s="356"/>
      <c r="I253" s="356"/>
      <c r="J253" s="356"/>
    </row>
    <row r="254" spans="2:10" s="266" customFormat="1" x14ac:dyDescent="0.2">
      <c r="B254" s="249"/>
      <c r="C254" s="249"/>
      <c r="G254" s="356"/>
      <c r="H254" s="356"/>
      <c r="I254" s="356"/>
      <c r="J254" s="356"/>
    </row>
    <row r="255" spans="2:10" s="266" customFormat="1" x14ac:dyDescent="0.2">
      <c r="B255" s="249"/>
      <c r="C255" s="249"/>
      <c r="G255" s="356"/>
      <c r="H255" s="356"/>
      <c r="I255" s="356"/>
      <c r="J255" s="356"/>
    </row>
    <row r="256" spans="2:10" s="266" customFormat="1" x14ac:dyDescent="0.2">
      <c r="B256" s="249"/>
      <c r="C256" s="249"/>
      <c r="G256" s="356"/>
      <c r="H256" s="356"/>
      <c r="I256" s="356"/>
      <c r="J256" s="356"/>
    </row>
    <row r="257" spans="2:10" s="266" customFormat="1" x14ac:dyDescent="0.2">
      <c r="B257" s="249"/>
      <c r="C257" s="249"/>
      <c r="G257" s="356"/>
      <c r="H257" s="356"/>
      <c r="I257" s="356"/>
      <c r="J257" s="356"/>
    </row>
    <row r="258" spans="2:10" s="266" customFormat="1" x14ac:dyDescent="0.2">
      <c r="B258" s="249"/>
      <c r="C258" s="249"/>
      <c r="G258" s="356"/>
      <c r="H258" s="356"/>
      <c r="I258" s="356"/>
      <c r="J258" s="356"/>
    </row>
    <row r="259" spans="2:10" s="266" customFormat="1" x14ac:dyDescent="0.2">
      <c r="B259" s="249"/>
      <c r="C259" s="249"/>
      <c r="G259" s="356"/>
      <c r="H259" s="356"/>
      <c r="I259" s="356"/>
      <c r="J259" s="356"/>
    </row>
    <row r="260" spans="2:10" s="266" customFormat="1" x14ac:dyDescent="0.2">
      <c r="B260" s="249"/>
      <c r="C260" s="249"/>
      <c r="G260" s="356"/>
      <c r="H260" s="356"/>
      <c r="I260" s="356"/>
      <c r="J260" s="356"/>
    </row>
    <row r="261" spans="2:10" s="266" customFormat="1" x14ac:dyDescent="0.2">
      <c r="B261" s="249"/>
      <c r="C261" s="249"/>
      <c r="G261" s="356"/>
      <c r="H261" s="356"/>
      <c r="I261" s="356"/>
      <c r="J261" s="356"/>
    </row>
    <row r="262" spans="2:10" s="266" customFormat="1" x14ac:dyDescent="0.2">
      <c r="B262" s="249"/>
      <c r="C262" s="249"/>
      <c r="G262" s="356"/>
      <c r="H262" s="356"/>
      <c r="I262" s="356"/>
      <c r="J262" s="356"/>
    </row>
    <row r="263" spans="2:10" s="266" customFormat="1" x14ac:dyDescent="0.2">
      <c r="B263" s="249"/>
      <c r="C263" s="249"/>
      <c r="G263" s="356"/>
      <c r="H263" s="356"/>
      <c r="I263" s="356"/>
      <c r="J263" s="356"/>
    </row>
    <row r="264" spans="2:10" s="266" customFormat="1" x14ac:dyDescent="0.2">
      <c r="B264" s="249"/>
      <c r="C264" s="249"/>
      <c r="G264" s="356"/>
      <c r="H264" s="356"/>
      <c r="I264" s="356"/>
      <c r="J264" s="356"/>
    </row>
    <row r="265" spans="2:10" s="266" customFormat="1" x14ac:dyDescent="0.2">
      <c r="B265" s="249"/>
      <c r="C265" s="249"/>
      <c r="G265" s="356"/>
      <c r="H265" s="356"/>
      <c r="I265" s="356"/>
      <c r="J265" s="356"/>
    </row>
    <row r="266" spans="2:10" s="266" customFormat="1" x14ac:dyDescent="0.2">
      <c r="B266" s="249"/>
      <c r="C266" s="249"/>
      <c r="G266" s="356"/>
      <c r="H266" s="356"/>
      <c r="I266" s="356"/>
      <c r="J266" s="356"/>
    </row>
    <row r="267" spans="2:10" s="266" customFormat="1" x14ac:dyDescent="0.2">
      <c r="B267" s="249"/>
      <c r="C267" s="249"/>
      <c r="G267" s="356"/>
      <c r="H267" s="356"/>
      <c r="I267" s="356"/>
      <c r="J267" s="356"/>
    </row>
    <row r="268" spans="2:10" s="266" customFormat="1" x14ac:dyDescent="0.2">
      <c r="B268" s="249"/>
      <c r="C268" s="249"/>
      <c r="G268" s="356"/>
      <c r="H268" s="356"/>
      <c r="I268" s="356"/>
      <c r="J268" s="356"/>
    </row>
    <row r="269" spans="2:10" s="266" customFormat="1" x14ac:dyDescent="0.2">
      <c r="B269" s="249"/>
      <c r="C269" s="249"/>
      <c r="G269" s="356"/>
      <c r="H269" s="356"/>
      <c r="I269" s="356"/>
      <c r="J269" s="356"/>
    </row>
    <row r="270" spans="2:10" s="266" customFormat="1" x14ac:dyDescent="0.2">
      <c r="B270" s="249"/>
      <c r="C270" s="249"/>
      <c r="G270" s="356"/>
      <c r="H270" s="356"/>
      <c r="I270" s="356"/>
      <c r="J270" s="356"/>
    </row>
    <row r="271" spans="2:10" s="266" customFormat="1" x14ac:dyDescent="0.2">
      <c r="B271" s="249"/>
      <c r="C271" s="249"/>
      <c r="G271" s="356"/>
      <c r="H271" s="356"/>
      <c r="I271" s="356"/>
      <c r="J271" s="356"/>
    </row>
    <row r="272" spans="2:10" s="266" customFormat="1" x14ac:dyDescent="0.2">
      <c r="B272" s="249"/>
      <c r="C272" s="249"/>
      <c r="G272" s="356"/>
      <c r="H272" s="356"/>
      <c r="I272" s="356"/>
      <c r="J272" s="356"/>
    </row>
    <row r="273" spans="2:10" s="266" customFormat="1" x14ac:dyDescent="0.2">
      <c r="B273" s="249"/>
      <c r="C273" s="249"/>
      <c r="G273" s="356"/>
      <c r="H273" s="356"/>
      <c r="I273" s="356"/>
      <c r="J273" s="356"/>
    </row>
    <row r="274" spans="2:10" s="266" customFormat="1" x14ac:dyDescent="0.2">
      <c r="B274" s="249"/>
      <c r="C274" s="249"/>
      <c r="G274" s="356"/>
      <c r="H274" s="356"/>
      <c r="I274" s="356"/>
      <c r="J274" s="356"/>
    </row>
    <row r="275" spans="2:10" s="266" customFormat="1" x14ac:dyDescent="0.2">
      <c r="B275" s="249"/>
      <c r="C275" s="249"/>
      <c r="G275" s="356"/>
      <c r="H275" s="356"/>
      <c r="I275" s="356"/>
      <c r="J275" s="356"/>
    </row>
    <row r="276" spans="2:10" s="266" customFormat="1" x14ac:dyDescent="0.2">
      <c r="B276" s="249"/>
      <c r="C276" s="249"/>
      <c r="G276" s="356"/>
      <c r="H276" s="356"/>
      <c r="I276" s="356"/>
      <c r="J276" s="356"/>
    </row>
    <row r="277" spans="2:10" s="266" customFormat="1" x14ac:dyDescent="0.2">
      <c r="B277" s="249"/>
      <c r="C277" s="249"/>
      <c r="G277" s="356"/>
      <c r="H277" s="356"/>
      <c r="I277" s="356"/>
      <c r="J277" s="356"/>
    </row>
    <row r="278" spans="2:10" s="266" customFormat="1" x14ac:dyDescent="0.2">
      <c r="B278" s="249"/>
      <c r="C278" s="249"/>
      <c r="G278" s="356"/>
      <c r="H278" s="356"/>
      <c r="I278" s="356"/>
      <c r="J278" s="356"/>
    </row>
    <row r="279" spans="2:10" s="266" customFormat="1" x14ac:dyDescent="0.2">
      <c r="B279" s="249"/>
      <c r="C279" s="249"/>
      <c r="G279" s="356"/>
      <c r="H279" s="356"/>
      <c r="I279" s="356"/>
      <c r="J279" s="356"/>
    </row>
    <row r="280" spans="2:10" s="266" customFormat="1" x14ac:dyDescent="0.2">
      <c r="B280" s="249"/>
      <c r="C280" s="249"/>
      <c r="G280" s="356"/>
      <c r="H280" s="356"/>
      <c r="I280" s="356"/>
      <c r="J280" s="356"/>
    </row>
    <row r="281" spans="2:10" s="266" customFormat="1" x14ac:dyDescent="0.2">
      <c r="B281" s="249"/>
      <c r="C281" s="249"/>
      <c r="G281" s="356"/>
      <c r="H281" s="356"/>
      <c r="I281" s="356"/>
      <c r="J281" s="356"/>
    </row>
    <row r="282" spans="2:10" s="266" customFormat="1" x14ac:dyDescent="0.2">
      <c r="B282" s="249"/>
      <c r="C282" s="249"/>
      <c r="G282" s="356"/>
      <c r="H282" s="356"/>
      <c r="I282" s="356"/>
      <c r="J282" s="356"/>
    </row>
    <row r="283" spans="2:10" s="266" customFormat="1" x14ac:dyDescent="0.2">
      <c r="B283" s="249"/>
      <c r="C283" s="249"/>
      <c r="G283" s="356"/>
      <c r="H283" s="356"/>
      <c r="I283" s="356"/>
      <c r="J283" s="356"/>
    </row>
    <row r="284" spans="2:10" s="266" customFormat="1" x14ac:dyDescent="0.2">
      <c r="B284" s="249"/>
      <c r="C284" s="249"/>
      <c r="G284" s="356"/>
      <c r="H284" s="356"/>
      <c r="I284" s="356"/>
      <c r="J284" s="356"/>
    </row>
    <row r="285" spans="2:10" s="266" customFormat="1" x14ac:dyDescent="0.2">
      <c r="B285" s="249"/>
      <c r="C285" s="249"/>
      <c r="G285" s="356"/>
      <c r="H285" s="356"/>
      <c r="I285" s="356"/>
      <c r="J285" s="356"/>
    </row>
    <row r="286" spans="2:10" s="266" customFormat="1" x14ac:dyDescent="0.2">
      <c r="B286" s="249"/>
      <c r="C286" s="249"/>
      <c r="G286" s="356"/>
      <c r="H286" s="356"/>
      <c r="I286" s="356"/>
      <c r="J286" s="356"/>
    </row>
    <row r="287" spans="2:10" s="266" customFormat="1" x14ac:dyDescent="0.2">
      <c r="B287" s="249"/>
      <c r="C287" s="249"/>
      <c r="G287" s="356"/>
      <c r="H287" s="356"/>
      <c r="I287" s="356"/>
      <c r="J287" s="356"/>
    </row>
    <row r="288" spans="2:10" s="266" customFormat="1" x14ac:dyDescent="0.2">
      <c r="B288" s="249"/>
      <c r="C288" s="249"/>
      <c r="G288" s="356"/>
      <c r="H288" s="356"/>
      <c r="I288" s="356"/>
      <c r="J288" s="356"/>
    </row>
    <row r="289" spans="2:10" s="266" customFormat="1" x14ac:dyDescent="0.2">
      <c r="B289" s="249"/>
      <c r="C289" s="249"/>
      <c r="G289" s="356"/>
      <c r="H289" s="356"/>
      <c r="I289" s="356"/>
      <c r="J289" s="356"/>
    </row>
    <row r="290" spans="2:10" s="266" customFormat="1" x14ac:dyDescent="0.2">
      <c r="B290" s="249"/>
      <c r="C290" s="249"/>
      <c r="G290" s="356"/>
      <c r="H290" s="356"/>
      <c r="I290" s="356"/>
      <c r="J290" s="356"/>
    </row>
    <row r="291" spans="2:10" s="266" customFormat="1" x14ac:dyDescent="0.2">
      <c r="B291" s="249"/>
      <c r="C291" s="249"/>
      <c r="G291" s="356"/>
      <c r="H291" s="356"/>
      <c r="I291" s="356"/>
      <c r="J291" s="356"/>
    </row>
    <row r="292" spans="2:10" s="266" customFormat="1" x14ac:dyDescent="0.2">
      <c r="B292" s="249"/>
      <c r="C292" s="249"/>
      <c r="G292" s="356"/>
      <c r="H292" s="356"/>
      <c r="I292" s="356"/>
      <c r="J292" s="356"/>
    </row>
    <row r="293" spans="2:10" s="266" customFormat="1" x14ac:dyDescent="0.2">
      <c r="B293" s="249"/>
      <c r="C293" s="249"/>
      <c r="G293" s="356"/>
      <c r="H293" s="356"/>
      <c r="I293" s="356"/>
      <c r="J293" s="356"/>
    </row>
    <row r="294" spans="2:10" s="266" customFormat="1" x14ac:dyDescent="0.2">
      <c r="B294" s="249"/>
      <c r="C294" s="249"/>
      <c r="G294" s="356"/>
      <c r="H294" s="356"/>
      <c r="I294" s="356"/>
      <c r="J294" s="356"/>
    </row>
    <row r="295" spans="2:10" s="266" customFormat="1" x14ac:dyDescent="0.2">
      <c r="B295" s="249"/>
      <c r="C295" s="249"/>
      <c r="G295" s="356"/>
      <c r="H295" s="356"/>
      <c r="I295" s="356"/>
      <c r="J295" s="356"/>
    </row>
    <row r="296" spans="2:10" s="266" customFormat="1" x14ac:dyDescent="0.2">
      <c r="B296" s="249"/>
      <c r="C296" s="249"/>
      <c r="G296" s="356"/>
      <c r="H296" s="356"/>
      <c r="I296" s="356"/>
      <c r="J296" s="356"/>
    </row>
    <row r="297" spans="2:10" s="266" customFormat="1" x14ac:dyDescent="0.2">
      <c r="B297" s="249"/>
      <c r="C297" s="249"/>
      <c r="G297" s="356"/>
      <c r="H297" s="356"/>
      <c r="I297" s="356"/>
      <c r="J297" s="356"/>
    </row>
    <row r="298" spans="2:10" s="266" customFormat="1" x14ac:dyDescent="0.2">
      <c r="B298" s="249"/>
      <c r="C298" s="249"/>
      <c r="G298" s="356"/>
      <c r="H298" s="356"/>
      <c r="I298" s="356"/>
      <c r="J298" s="356"/>
    </row>
    <row r="299" spans="2:10" s="266" customFormat="1" x14ac:dyDescent="0.2">
      <c r="B299" s="249"/>
      <c r="C299" s="249"/>
      <c r="G299" s="356"/>
      <c r="H299" s="356"/>
      <c r="I299" s="356"/>
      <c r="J299" s="356"/>
    </row>
    <row r="300" spans="2:10" s="266" customFormat="1" x14ac:dyDescent="0.2">
      <c r="B300" s="249"/>
      <c r="C300" s="249"/>
      <c r="G300" s="356"/>
      <c r="H300" s="356"/>
      <c r="I300" s="356"/>
      <c r="J300" s="356"/>
    </row>
    <row r="301" spans="2:10" s="266" customFormat="1" x14ac:dyDescent="0.2">
      <c r="B301" s="249"/>
      <c r="C301" s="249"/>
      <c r="G301" s="356"/>
      <c r="H301" s="356"/>
      <c r="I301" s="356"/>
      <c r="J301" s="356"/>
    </row>
    <row r="302" spans="2:10" s="266" customFormat="1" x14ac:dyDescent="0.2">
      <c r="B302" s="249"/>
      <c r="C302" s="249"/>
      <c r="G302" s="356"/>
      <c r="H302" s="356"/>
      <c r="I302" s="356"/>
      <c r="J302" s="356"/>
    </row>
    <row r="303" spans="2:10" s="266" customFormat="1" x14ac:dyDescent="0.2">
      <c r="B303" s="249"/>
      <c r="C303" s="249"/>
      <c r="G303" s="356"/>
      <c r="H303" s="356"/>
      <c r="I303" s="356"/>
      <c r="J303" s="356"/>
    </row>
    <row r="304" spans="2:10" s="266" customFormat="1" x14ac:dyDescent="0.2">
      <c r="B304" s="249"/>
      <c r="C304" s="249"/>
      <c r="G304" s="356"/>
      <c r="H304" s="356"/>
      <c r="I304" s="356"/>
      <c r="J304" s="356"/>
    </row>
    <row r="305" spans="2:10" s="266" customFormat="1" x14ac:dyDescent="0.2">
      <c r="B305" s="249"/>
      <c r="C305" s="249"/>
      <c r="G305" s="356"/>
      <c r="H305" s="356"/>
      <c r="I305" s="356"/>
      <c r="J305" s="356"/>
    </row>
    <row r="306" spans="2:10" s="266" customFormat="1" x14ac:dyDescent="0.2">
      <c r="B306" s="249"/>
      <c r="C306" s="249"/>
      <c r="G306" s="356"/>
      <c r="H306" s="356"/>
      <c r="I306" s="356"/>
      <c r="J306" s="356"/>
    </row>
    <row r="307" spans="2:10" s="266" customFormat="1" x14ac:dyDescent="0.2">
      <c r="B307" s="249"/>
      <c r="C307" s="249"/>
      <c r="G307" s="356"/>
      <c r="H307" s="356"/>
      <c r="I307" s="356"/>
      <c r="J307" s="356"/>
    </row>
    <row r="308" spans="2:10" s="266" customFormat="1" x14ac:dyDescent="0.2">
      <c r="B308" s="249"/>
      <c r="C308" s="249"/>
      <c r="G308" s="356"/>
      <c r="H308" s="356"/>
      <c r="I308" s="356"/>
      <c r="J308" s="356"/>
    </row>
    <row r="309" spans="2:10" s="266" customFormat="1" x14ac:dyDescent="0.2">
      <c r="B309" s="249"/>
      <c r="C309" s="249"/>
      <c r="G309" s="356"/>
      <c r="H309" s="356"/>
      <c r="I309" s="356"/>
      <c r="J309" s="356"/>
    </row>
    <row r="310" spans="2:10" s="266" customFormat="1" x14ac:dyDescent="0.2">
      <c r="B310" s="249"/>
      <c r="C310" s="249"/>
      <c r="G310" s="356"/>
      <c r="H310" s="356"/>
      <c r="I310" s="356"/>
      <c r="J310" s="356"/>
    </row>
    <row r="311" spans="2:10" s="266" customFormat="1" x14ac:dyDescent="0.2">
      <c r="B311" s="249"/>
      <c r="C311" s="249"/>
      <c r="G311" s="356"/>
      <c r="H311" s="356"/>
      <c r="I311" s="356"/>
      <c r="J311" s="356"/>
    </row>
    <row r="312" spans="2:10" s="266" customFormat="1" x14ac:dyDescent="0.2">
      <c r="B312" s="249"/>
      <c r="C312" s="249"/>
      <c r="G312" s="356"/>
      <c r="H312" s="356"/>
      <c r="I312" s="356"/>
      <c r="J312" s="356"/>
    </row>
    <row r="313" spans="2:10" s="266" customFormat="1" x14ac:dyDescent="0.2">
      <c r="B313" s="249"/>
      <c r="C313" s="249"/>
      <c r="G313" s="356"/>
      <c r="H313" s="356"/>
      <c r="I313" s="356"/>
      <c r="J313" s="356"/>
    </row>
    <row r="314" spans="2:10" s="266" customFormat="1" x14ac:dyDescent="0.2">
      <c r="B314" s="249"/>
      <c r="C314" s="249"/>
      <c r="G314" s="356"/>
      <c r="H314" s="356"/>
      <c r="I314" s="356"/>
      <c r="J314" s="356"/>
    </row>
    <row r="315" spans="2:10" s="266" customFormat="1" x14ac:dyDescent="0.2">
      <c r="B315" s="249"/>
      <c r="C315" s="249"/>
      <c r="G315" s="356"/>
      <c r="H315" s="356"/>
      <c r="I315" s="356"/>
      <c r="J315" s="356"/>
    </row>
    <row r="316" spans="2:10" s="266" customFormat="1" x14ac:dyDescent="0.2">
      <c r="B316" s="249"/>
      <c r="C316" s="249"/>
      <c r="G316" s="356"/>
      <c r="H316" s="356"/>
      <c r="I316" s="356"/>
      <c r="J316" s="356"/>
    </row>
    <row r="317" spans="2:10" s="266" customFormat="1" x14ac:dyDescent="0.2">
      <c r="B317" s="249"/>
      <c r="C317" s="249"/>
      <c r="G317" s="356"/>
      <c r="H317" s="356"/>
      <c r="I317" s="356"/>
      <c r="J317" s="356"/>
    </row>
    <row r="318" spans="2:10" s="266" customFormat="1" x14ac:dyDescent="0.2">
      <c r="B318" s="249"/>
      <c r="C318" s="249"/>
      <c r="G318" s="356"/>
      <c r="H318" s="356"/>
      <c r="I318" s="356"/>
      <c r="J318" s="356"/>
    </row>
    <row r="319" spans="2:10" s="266" customFormat="1" x14ac:dyDescent="0.2">
      <c r="B319" s="249"/>
      <c r="C319" s="249"/>
      <c r="G319" s="356"/>
      <c r="H319" s="356"/>
      <c r="I319" s="356"/>
      <c r="J319" s="356"/>
    </row>
    <row r="320" spans="2:10" s="266" customFormat="1" x14ac:dyDescent="0.2">
      <c r="B320" s="249"/>
      <c r="C320" s="249"/>
      <c r="G320" s="356"/>
      <c r="H320" s="356"/>
      <c r="I320" s="356"/>
      <c r="J320" s="356"/>
    </row>
    <row r="321" spans="2:10" s="266" customFormat="1" x14ac:dyDescent="0.2">
      <c r="B321" s="249"/>
      <c r="C321" s="249"/>
      <c r="G321" s="356"/>
      <c r="H321" s="356"/>
      <c r="I321" s="356"/>
      <c r="J321" s="356"/>
    </row>
    <row r="322" spans="2:10" s="266" customFormat="1" x14ac:dyDescent="0.2">
      <c r="B322" s="249"/>
      <c r="C322" s="249"/>
      <c r="G322" s="356"/>
      <c r="H322" s="356"/>
      <c r="I322" s="356"/>
      <c r="J322" s="356"/>
    </row>
    <row r="323" spans="2:10" s="266" customFormat="1" x14ac:dyDescent="0.2">
      <c r="B323" s="249"/>
      <c r="C323" s="249"/>
      <c r="G323" s="356"/>
      <c r="H323" s="356"/>
      <c r="I323" s="356"/>
      <c r="J323" s="356"/>
    </row>
    <row r="324" spans="2:10" s="266" customFormat="1" x14ac:dyDescent="0.2">
      <c r="B324" s="249"/>
      <c r="C324" s="249"/>
      <c r="G324" s="356"/>
      <c r="H324" s="356"/>
      <c r="I324" s="356"/>
      <c r="J324" s="356"/>
    </row>
    <row r="325" spans="2:10" s="266" customFormat="1" x14ac:dyDescent="0.2">
      <c r="B325" s="249"/>
      <c r="C325" s="249"/>
      <c r="G325" s="356"/>
      <c r="H325" s="356"/>
      <c r="I325" s="356"/>
      <c r="J325" s="35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0"/>
  <sheetViews>
    <sheetView workbookViewId="0"/>
  </sheetViews>
  <sheetFormatPr defaultRowHeight="15" x14ac:dyDescent="0.2"/>
  <cols>
    <col min="1" max="1" width="7.85546875" style="779" customWidth="1"/>
    <col min="2" max="2" width="8.42578125" style="9" customWidth="1"/>
    <col min="3" max="3" width="6.7109375" style="9" customWidth="1"/>
    <col min="4" max="4" width="8.140625" style="9" customWidth="1"/>
    <col min="5" max="5" width="32.28515625" style="9" customWidth="1"/>
    <col min="6" max="6" width="12.42578125" customWidth="1"/>
    <col min="7" max="7" width="14" customWidth="1"/>
    <col min="8" max="8" width="12" customWidth="1"/>
    <col min="9" max="9" width="11.7109375" bestFit="1" customWidth="1"/>
    <col min="10" max="10" width="15.42578125" customWidth="1"/>
    <col min="11" max="11" width="11.5703125" customWidth="1"/>
    <col min="12" max="12" width="13.85546875" customWidth="1"/>
    <col min="13" max="13" width="13.5703125" customWidth="1"/>
    <col min="14" max="14" width="17.140625" customWidth="1"/>
    <col min="15" max="15" width="14.140625" customWidth="1"/>
    <col min="16" max="16" width="11.140625" bestFit="1" customWidth="1"/>
    <col min="17" max="17" width="17.42578125" customWidth="1"/>
    <col min="18" max="18" width="16.85546875" customWidth="1"/>
    <col min="19" max="19" width="17.5703125" customWidth="1"/>
    <col min="20" max="20" width="14.7109375" customWidth="1"/>
    <col min="21" max="21" width="18.42578125" customWidth="1"/>
    <col min="22" max="22" width="16.140625" customWidth="1"/>
    <col min="23" max="23" width="16.42578125" customWidth="1"/>
    <col min="24" max="24" width="14.7109375" customWidth="1"/>
    <col min="25" max="25" width="15" customWidth="1"/>
    <col min="26" max="26" width="10" customWidth="1"/>
  </cols>
  <sheetData>
    <row r="1" spans="1:26" ht="13.5" thickBot="1" x14ac:dyDescent="0.25">
      <c r="A1" s="719"/>
      <c r="B1" s="720"/>
      <c r="C1" s="721"/>
      <c r="D1" s="722"/>
      <c r="E1" s="723"/>
    </row>
    <row r="2" spans="1:26" ht="102.75" thickBot="1" x14ac:dyDescent="0.25">
      <c r="A2" s="724"/>
      <c r="B2" s="725"/>
      <c r="C2" s="726"/>
      <c r="D2" s="727"/>
      <c r="E2" s="726"/>
      <c r="F2" s="728" t="s">
        <v>1311</v>
      </c>
      <c r="G2" s="785" t="s">
        <v>1132</v>
      </c>
      <c r="H2" s="729" t="s">
        <v>854</v>
      </c>
      <c r="I2" s="729" t="s">
        <v>855</v>
      </c>
      <c r="J2" s="729" t="s">
        <v>856</v>
      </c>
      <c r="K2" s="729" t="s">
        <v>857</v>
      </c>
      <c r="L2" s="729" t="s">
        <v>1312</v>
      </c>
      <c r="M2" s="785" t="s">
        <v>1316</v>
      </c>
      <c r="N2" s="729" t="s">
        <v>1313</v>
      </c>
      <c r="O2" s="785" t="s">
        <v>1134</v>
      </c>
      <c r="P2" s="729" t="s">
        <v>1314</v>
      </c>
      <c r="Q2" s="785" t="s">
        <v>1317</v>
      </c>
      <c r="R2" s="785" t="s">
        <v>1318</v>
      </c>
      <c r="S2" s="785" t="s">
        <v>1319</v>
      </c>
      <c r="T2" s="785" t="s">
        <v>1320</v>
      </c>
      <c r="U2" s="785" t="s">
        <v>1321</v>
      </c>
      <c r="V2" s="729" t="s">
        <v>863</v>
      </c>
      <c r="W2" s="785" t="s">
        <v>1140</v>
      </c>
      <c r="X2" s="729" t="s">
        <v>1315</v>
      </c>
      <c r="Y2" s="815" t="s">
        <v>1322</v>
      </c>
      <c r="Z2" s="820" t="s">
        <v>1559</v>
      </c>
    </row>
    <row r="3" spans="1:26" ht="12.75" x14ac:dyDescent="0.2">
      <c r="A3" s="731">
        <v>1</v>
      </c>
      <c r="B3" s="732">
        <v>2</v>
      </c>
      <c r="C3" s="732">
        <v>3</v>
      </c>
      <c r="D3" s="733">
        <v>4</v>
      </c>
      <c r="E3" s="732">
        <v>5</v>
      </c>
      <c r="F3" s="732">
        <v>6</v>
      </c>
      <c r="G3" s="732">
        <v>7</v>
      </c>
      <c r="H3" s="732">
        <v>8</v>
      </c>
      <c r="I3" s="732">
        <v>9</v>
      </c>
      <c r="J3" s="732">
        <v>10</v>
      </c>
      <c r="K3" s="732">
        <v>11</v>
      </c>
      <c r="L3" s="732">
        <v>12</v>
      </c>
      <c r="M3" s="732">
        <v>13</v>
      </c>
      <c r="N3" s="732">
        <v>14</v>
      </c>
      <c r="O3" s="732">
        <v>15</v>
      </c>
      <c r="P3" s="732">
        <v>16</v>
      </c>
      <c r="Q3" s="732">
        <v>17</v>
      </c>
      <c r="R3" s="732">
        <v>18</v>
      </c>
      <c r="S3" s="732">
        <v>19</v>
      </c>
      <c r="T3" s="732">
        <v>20</v>
      </c>
      <c r="U3" s="732">
        <v>21</v>
      </c>
      <c r="V3" s="732">
        <v>22</v>
      </c>
      <c r="W3" s="732">
        <v>23</v>
      </c>
      <c r="X3" s="732">
        <v>24</v>
      </c>
      <c r="Y3" s="733">
        <v>25</v>
      </c>
    </row>
    <row r="4" spans="1:26" ht="12.75" x14ac:dyDescent="0.2">
      <c r="A4" s="731"/>
      <c r="B4" s="736"/>
      <c r="C4" s="737"/>
      <c r="D4" s="738"/>
      <c r="E4" s="723"/>
      <c r="F4" s="796"/>
      <c r="G4" s="796"/>
      <c r="H4" s="796"/>
      <c r="I4" s="796"/>
      <c r="J4" s="796"/>
      <c r="K4" s="796"/>
      <c r="L4" s="796"/>
      <c r="M4" s="796"/>
      <c r="N4" s="796"/>
      <c r="O4" s="796"/>
      <c r="P4" s="796"/>
      <c r="Q4" s="796"/>
      <c r="R4" s="796"/>
      <c r="S4" s="796"/>
      <c r="T4" s="796"/>
      <c r="U4" s="796"/>
      <c r="V4" s="796"/>
      <c r="W4" s="796"/>
      <c r="X4" s="796"/>
      <c r="Y4" s="741"/>
    </row>
    <row r="5" spans="1:26" ht="13.5" thickBot="1" x14ac:dyDescent="0.25">
      <c r="A5" s="731"/>
      <c r="B5" s="742" t="s">
        <v>678</v>
      </c>
      <c r="C5" s="742" t="s">
        <v>1215</v>
      </c>
      <c r="D5" s="743" t="s">
        <v>1216</v>
      </c>
      <c r="E5" s="742" t="s">
        <v>677</v>
      </c>
      <c r="F5" s="796"/>
      <c r="G5" s="796"/>
      <c r="H5" s="796"/>
      <c r="I5" s="796"/>
      <c r="J5" s="796"/>
      <c r="K5" s="796"/>
      <c r="L5" s="796"/>
      <c r="M5" s="796"/>
      <c r="N5" s="796"/>
      <c r="O5" s="796"/>
      <c r="P5" s="796"/>
      <c r="Q5" s="796"/>
      <c r="R5" s="796"/>
      <c r="S5" s="796"/>
      <c r="T5" s="796"/>
      <c r="U5" s="796"/>
      <c r="V5" s="796"/>
      <c r="W5" s="796"/>
      <c r="X5" s="796"/>
      <c r="Y5" s="741"/>
    </row>
    <row r="6" spans="1:26" ht="13.5" thickBot="1" x14ac:dyDescent="0.25">
      <c r="A6" s="745"/>
      <c r="B6" s="746"/>
      <c r="C6" s="747"/>
      <c r="D6" s="748"/>
      <c r="E6" s="747"/>
      <c r="F6" s="796"/>
      <c r="G6" s="796"/>
      <c r="H6" s="796"/>
      <c r="I6" s="796"/>
      <c r="J6" s="796"/>
      <c r="K6" s="796"/>
      <c r="L6" s="796"/>
      <c r="M6" s="796"/>
      <c r="N6" s="796"/>
      <c r="O6" s="796"/>
      <c r="P6" s="796"/>
      <c r="Q6" s="796"/>
      <c r="R6" s="796"/>
      <c r="S6" s="796"/>
      <c r="T6" s="796"/>
      <c r="U6" s="796"/>
      <c r="V6" s="796"/>
      <c r="W6" s="796"/>
      <c r="X6" s="796"/>
      <c r="Y6" s="741"/>
    </row>
    <row r="7" spans="1:26" ht="13.5" thickBot="1" x14ac:dyDescent="0.25">
      <c r="A7" s="750"/>
      <c r="B7" s="751"/>
      <c r="C7" s="752"/>
      <c r="D7" s="753"/>
      <c r="E7" s="754"/>
      <c r="F7" s="755">
        <v>3</v>
      </c>
      <c r="G7" s="755">
        <v>4</v>
      </c>
      <c r="H7" s="755">
        <v>5</v>
      </c>
      <c r="I7" s="755">
        <v>6</v>
      </c>
      <c r="J7" s="755">
        <v>7</v>
      </c>
      <c r="K7" s="755">
        <v>8</v>
      </c>
      <c r="L7" s="755">
        <v>9</v>
      </c>
      <c r="M7" s="755">
        <v>10</v>
      </c>
      <c r="N7" s="755">
        <v>11</v>
      </c>
      <c r="O7" s="755">
        <v>12</v>
      </c>
      <c r="P7" s="755">
        <v>13</v>
      </c>
      <c r="Q7" s="755">
        <v>14</v>
      </c>
      <c r="R7" s="755">
        <v>15</v>
      </c>
      <c r="S7" s="755">
        <v>16</v>
      </c>
      <c r="T7" s="755">
        <v>17</v>
      </c>
      <c r="U7" s="755">
        <v>18</v>
      </c>
      <c r="V7" s="755">
        <v>19</v>
      </c>
      <c r="W7" s="755">
        <v>20</v>
      </c>
      <c r="X7" s="755">
        <v>21</v>
      </c>
      <c r="Y7" s="801">
        <v>22</v>
      </c>
    </row>
    <row r="8" spans="1:26" ht="12.75" x14ac:dyDescent="0.2">
      <c r="A8" s="756">
        <v>1</v>
      </c>
      <c r="B8" s="757" t="s">
        <v>680</v>
      </c>
      <c r="C8" s="758" t="s">
        <v>1217</v>
      </c>
      <c r="D8" s="759" t="s">
        <v>1218</v>
      </c>
      <c r="E8" s="760" t="s">
        <v>679</v>
      </c>
      <c r="F8" s="141">
        <v>-816093</v>
      </c>
      <c r="G8" s="141">
        <v>18270087</v>
      </c>
      <c r="H8" s="141">
        <v>0</v>
      </c>
      <c r="I8" s="141">
        <v>-8600</v>
      </c>
      <c r="J8" s="141">
        <v>0</v>
      </c>
      <c r="K8" s="141">
        <v>378100</v>
      </c>
      <c r="L8" s="141">
        <v>18639587</v>
      </c>
      <c r="M8" s="141">
        <v>0</v>
      </c>
      <c r="N8" s="141">
        <v>0</v>
      </c>
      <c r="O8" s="141">
        <v>0</v>
      </c>
      <c r="P8" s="141">
        <v>0</v>
      </c>
      <c r="Q8" s="141">
        <v>-801715</v>
      </c>
      <c r="R8" s="141">
        <v>-9212693</v>
      </c>
      <c r="S8" s="141">
        <v>-1842539</v>
      </c>
      <c r="T8" s="141">
        <v>-7370154</v>
      </c>
      <c r="U8" s="141">
        <v>-84740</v>
      </c>
      <c r="V8" s="141">
        <v>0</v>
      </c>
      <c r="W8" s="141">
        <v>-113831</v>
      </c>
      <c r="X8" s="141">
        <v>-19425672</v>
      </c>
      <c r="Y8" s="857">
        <v>-1602178</v>
      </c>
      <c r="Z8" t="s">
        <v>1574</v>
      </c>
    </row>
    <row r="9" spans="1:26" ht="12.75" x14ac:dyDescent="0.2">
      <c r="A9" s="764">
        <v>2</v>
      </c>
      <c r="B9" s="765" t="s">
        <v>682</v>
      </c>
      <c r="C9" s="766" t="s">
        <v>1217</v>
      </c>
      <c r="D9" s="767" t="s">
        <v>1219</v>
      </c>
      <c r="E9" s="768" t="s">
        <v>681</v>
      </c>
      <c r="F9" s="141">
        <v>-1283159</v>
      </c>
      <c r="G9" s="141">
        <v>28753231</v>
      </c>
      <c r="H9" s="141">
        <v>0</v>
      </c>
      <c r="I9" s="141">
        <v>-65007</v>
      </c>
      <c r="J9" s="141">
        <v>320941</v>
      </c>
      <c r="K9" s="141">
        <v>-1565334</v>
      </c>
      <c r="L9" s="141">
        <v>27443831</v>
      </c>
      <c r="M9" s="141">
        <v>714718</v>
      </c>
      <c r="N9" s="141">
        <v>96758</v>
      </c>
      <c r="O9" s="141">
        <v>1408988</v>
      </c>
      <c r="P9" s="141">
        <v>2220464</v>
      </c>
      <c r="Q9" s="141">
        <v>0</v>
      </c>
      <c r="R9" s="141">
        <v>-13843935</v>
      </c>
      <c r="S9" s="141">
        <v>-2768787</v>
      </c>
      <c r="T9" s="141">
        <v>-11075148</v>
      </c>
      <c r="U9" s="141">
        <v>-661053</v>
      </c>
      <c r="V9" s="141">
        <v>0</v>
      </c>
      <c r="W9" s="141">
        <v>0</v>
      </c>
      <c r="X9" s="141">
        <v>-28348923</v>
      </c>
      <c r="Y9" s="857">
        <v>32213</v>
      </c>
      <c r="Z9" t="s">
        <v>1575</v>
      </c>
    </row>
    <row r="10" spans="1:26" ht="12.75" x14ac:dyDescent="0.2">
      <c r="A10" s="764">
        <v>3</v>
      </c>
      <c r="B10" s="765" t="s">
        <v>684</v>
      </c>
      <c r="C10" s="766" t="s">
        <v>1217</v>
      </c>
      <c r="D10" s="767" t="s">
        <v>1220</v>
      </c>
      <c r="E10" s="768" t="s">
        <v>683</v>
      </c>
      <c r="F10" s="141">
        <v>652685</v>
      </c>
      <c r="G10" s="141">
        <v>31555707</v>
      </c>
      <c r="H10" s="141">
        <v>0</v>
      </c>
      <c r="I10" s="141">
        <v>-172975</v>
      </c>
      <c r="J10" s="141">
        <v>301595</v>
      </c>
      <c r="K10" s="141">
        <v>-2275695</v>
      </c>
      <c r="L10" s="141">
        <v>29408632</v>
      </c>
      <c r="M10" s="141">
        <v>568747</v>
      </c>
      <c r="N10" s="141">
        <v>0</v>
      </c>
      <c r="O10" s="141">
        <v>0</v>
      </c>
      <c r="P10" s="141">
        <v>568747</v>
      </c>
      <c r="Q10" s="141">
        <v>0</v>
      </c>
      <c r="R10" s="141">
        <v>0</v>
      </c>
      <c r="S10" s="141">
        <v>-14810851</v>
      </c>
      <c r="T10" s="141">
        <v>-14810852</v>
      </c>
      <c r="U10" s="141">
        <v>-160281</v>
      </c>
      <c r="V10" s="141">
        <v>0</v>
      </c>
      <c r="W10" s="141">
        <v>-557794</v>
      </c>
      <c r="X10" s="141">
        <v>-30339778</v>
      </c>
      <c r="Y10" s="857">
        <v>290286</v>
      </c>
      <c r="Z10" t="s">
        <v>1576</v>
      </c>
    </row>
    <row r="11" spans="1:26" ht="12.75" x14ac:dyDescent="0.2">
      <c r="A11" s="764">
        <v>4</v>
      </c>
      <c r="B11" s="765" t="s">
        <v>686</v>
      </c>
      <c r="C11" s="766" t="s">
        <v>1217</v>
      </c>
      <c r="D11" s="767" t="s">
        <v>1218</v>
      </c>
      <c r="E11" s="768" t="s">
        <v>685</v>
      </c>
      <c r="F11" s="141">
        <v>659658</v>
      </c>
      <c r="G11" s="141">
        <v>37830000</v>
      </c>
      <c r="H11" s="141">
        <v>0</v>
      </c>
      <c r="I11" s="141">
        <v>-356000</v>
      </c>
      <c r="J11" s="141">
        <v>740000</v>
      </c>
      <c r="K11" s="141">
        <v>-2826000</v>
      </c>
      <c r="L11" s="141">
        <v>35388000</v>
      </c>
      <c r="M11" s="141">
        <v>0</v>
      </c>
      <c r="N11" s="141">
        <v>0</v>
      </c>
      <c r="O11" s="141">
        <v>72326</v>
      </c>
      <c r="P11" s="141">
        <v>72326</v>
      </c>
      <c r="Q11" s="141">
        <v>-205000</v>
      </c>
      <c r="R11" s="141">
        <v>-18379955</v>
      </c>
      <c r="S11" s="141">
        <v>-3675991</v>
      </c>
      <c r="T11" s="141">
        <v>-14703964</v>
      </c>
      <c r="U11" s="141">
        <v>-184923</v>
      </c>
      <c r="V11" s="141">
        <v>0</v>
      </c>
      <c r="W11" s="141">
        <v>0</v>
      </c>
      <c r="X11" s="141">
        <v>-37149833</v>
      </c>
      <c r="Y11" s="857">
        <v>-1029849</v>
      </c>
      <c r="Z11" t="s">
        <v>1577</v>
      </c>
    </row>
    <row r="12" spans="1:26" ht="12.75" x14ac:dyDescent="0.2">
      <c r="A12" s="764">
        <v>5</v>
      </c>
      <c r="B12" s="765" t="s">
        <v>688</v>
      </c>
      <c r="C12" s="766" t="s">
        <v>1217</v>
      </c>
      <c r="D12" s="767" t="s">
        <v>1220</v>
      </c>
      <c r="E12" s="768" t="s">
        <v>687</v>
      </c>
      <c r="F12" s="141">
        <v>-1589384</v>
      </c>
      <c r="G12" s="141">
        <v>37074208</v>
      </c>
      <c r="H12" s="141">
        <v>0</v>
      </c>
      <c r="I12" s="141">
        <v>-269468</v>
      </c>
      <c r="J12" s="141">
        <v>314171</v>
      </c>
      <c r="K12" s="141">
        <v>-1129079</v>
      </c>
      <c r="L12" s="141">
        <v>35989832</v>
      </c>
      <c r="M12" s="141">
        <v>343942</v>
      </c>
      <c r="N12" s="141">
        <v>0</v>
      </c>
      <c r="O12" s="141">
        <v>179898</v>
      </c>
      <c r="P12" s="141">
        <v>523840</v>
      </c>
      <c r="Q12" s="141">
        <v>-74067</v>
      </c>
      <c r="R12" s="141">
        <v>-18769245</v>
      </c>
      <c r="S12" s="141">
        <v>-3753849</v>
      </c>
      <c r="T12" s="141">
        <v>-15015396</v>
      </c>
      <c r="U12" s="141">
        <v>0</v>
      </c>
      <c r="V12" s="141">
        <v>0</v>
      </c>
      <c r="W12" s="141">
        <v>0</v>
      </c>
      <c r="X12" s="141">
        <v>-37612557</v>
      </c>
      <c r="Y12" s="857">
        <v>-2688269</v>
      </c>
      <c r="Z12" t="s">
        <v>1578</v>
      </c>
    </row>
    <row r="13" spans="1:26" ht="12.75" x14ac:dyDescent="0.2">
      <c r="A13" s="764">
        <v>6</v>
      </c>
      <c r="B13" s="765" t="s">
        <v>690</v>
      </c>
      <c r="C13" s="766" t="s">
        <v>1217</v>
      </c>
      <c r="D13" s="767" t="s">
        <v>1218</v>
      </c>
      <c r="E13" s="768" t="s">
        <v>689</v>
      </c>
      <c r="F13" s="141">
        <v>-1800426</v>
      </c>
      <c r="G13" s="141">
        <v>51247184</v>
      </c>
      <c r="H13" s="141">
        <v>-50116</v>
      </c>
      <c r="I13" s="141">
        <v>-456516</v>
      </c>
      <c r="J13" s="141">
        <v>248000</v>
      </c>
      <c r="K13" s="141">
        <v>-285034</v>
      </c>
      <c r="L13" s="141">
        <v>50703518</v>
      </c>
      <c r="M13" s="141">
        <v>155596</v>
      </c>
      <c r="N13" s="141">
        <v>0</v>
      </c>
      <c r="O13" s="141">
        <v>307285</v>
      </c>
      <c r="P13" s="141">
        <v>462881</v>
      </c>
      <c r="Q13" s="141">
        <v>0</v>
      </c>
      <c r="R13" s="141">
        <v>0</v>
      </c>
      <c r="S13" s="141">
        <v>-29298728</v>
      </c>
      <c r="T13" s="141">
        <v>-19532485</v>
      </c>
      <c r="U13" s="141">
        <v>-286007</v>
      </c>
      <c r="V13" s="141">
        <v>0</v>
      </c>
      <c r="W13" s="141">
        <v>0</v>
      </c>
      <c r="X13" s="141">
        <v>-49117220</v>
      </c>
      <c r="Y13" s="857">
        <v>248753</v>
      </c>
      <c r="Z13" t="s">
        <v>1579</v>
      </c>
    </row>
    <row r="14" spans="1:26" ht="12.75" x14ac:dyDescent="0.2">
      <c r="A14" s="764">
        <v>7</v>
      </c>
      <c r="B14" s="765" t="s">
        <v>692</v>
      </c>
      <c r="C14" s="766" t="s">
        <v>1217</v>
      </c>
      <c r="D14" s="767" t="s">
        <v>1218</v>
      </c>
      <c r="E14" s="768" t="s">
        <v>691</v>
      </c>
      <c r="F14" s="141">
        <v>1125661</v>
      </c>
      <c r="G14" s="141">
        <v>54284783</v>
      </c>
      <c r="H14" s="141">
        <v>-139606</v>
      </c>
      <c r="I14" s="141">
        <v>0</v>
      </c>
      <c r="J14" s="141">
        <v>0</v>
      </c>
      <c r="K14" s="141">
        <v>-143365</v>
      </c>
      <c r="L14" s="141">
        <v>54001812</v>
      </c>
      <c r="M14" s="141">
        <v>1927</v>
      </c>
      <c r="N14" s="141">
        <v>0</v>
      </c>
      <c r="O14" s="141">
        <v>0</v>
      </c>
      <c r="P14" s="141">
        <v>1927</v>
      </c>
      <c r="Q14" s="141">
        <v>0</v>
      </c>
      <c r="R14" s="141">
        <v>-26878811</v>
      </c>
      <c r="S14" s="141">
        <v>-5384042</v>
      </c>
      <c r="T14" s="141">
        <v>-21536169</v>
      </c>
      <c r="U14" s="141">
        <v>0</v>
      </c>
      <c r="V14" s="141">
        <v>0</v>
      </c>
      <c r="W14" s="141">
        <v>-2100696</v>
      </c>
      <c r="X14" s="141">
        <v>-55899718</v>
      </c>
      <c r="Y14" s="857">
        <v>-770318</v>
      </c>
      <c r="Z14" t="s">
        <v>1580</v>
      </c>
    </row>
    <row r="15" spans="1:26" ht="12.75" x14ac:dyDescent="0.2">
      <c r="A15" s="764">
        <v>8</v>
      </c>
      <c r="B15" s="765" t="s">
        <v>694</v>
      </c>
      <c r="C15" s="766" t="s">
        <v>1217</v>
      </c>
      <c r="D15" s="767" t="s">
        <v>1221</v>
      </c>
      <c r="E15" s="768" t="s">
        <v>693</v>
      </c>
      <c r="F15" s="141">
        <v>-1544699</v>
      </c>
      <c r="G15" s="141">
        <v>23628539</v>
      </c>
      <c r="H15" s="141">
        <v>0</v>
      </c>
      <c r="I15" s="141">
        <v>-122000</v>
      </c>
      <c r="J15" s="141">
        <v>227950</v>
      </c>
      <c r="K15" s="141">
        <v>-1938807</v>
      </c>
      <c r="L15" s="141">
        <v>21795682</v>
      </c>
      <c r="M15" s="141">
        <v>0</v>
      </c>
      <c r="N15" s="141">
        <v>0</v>
      </c>
      <c r="O15" s="141">
        <v>3140529</v>
      </c>
      <c r="P15" s="141">
        <v>3140529</v>
      </c>
      <c r="Q15" s="141">
        <v>-4885</v>
      </c>
      <c r="R15" s="141">
        <v>0</v>
      </c>
      <c r="S15" s="141">
        <v>-4614400</v>
      </c>
      <c r="T15" s="141">
        <v>-18457602</v>
      </c>
      <c r="U15" s="141">
        <v>-170038</v>
      </c>
      <c r="V15" s="141">
        <v>0</v>
      </c>
      <c r="W15" s="141">
        <v>0</v>
      </c>
      <c r="X15" s="141">
        <v>-23246925</v>
      </c>
      <c r="Y15" s="857">
        <v>144587</v>
      </c>
      <c r="Z15" t="s">
        <v>1581</v>
      </c>
    </row>
    <row r="16" spans="1:26" ht="12.75" x14ac:dyDescent="0.2">
      <c r="A16" s="764">
        <v>9</v>
      </c>
      <c r="B16" s="765" t="s">
        <v>696</v>
      </c>
      <c r="C16" s="766" t="s">
        <v>1222</v>
      </c>
      <c r="D16" s="767" t="s">
        <v>1223</v>
      </c>
      <c r="E16" s="768" t="s">
        <v>695</v>
      </c>
      <c r="F16" s="141">
        <v>-1328681</v>
      </c>
      <c r="G16" s="141">
        <v>60608000</v>
      </c>
      <c r="H16" s="141">
        <v>-150000</v>
      </c>
      <c r="I16" s="141">
        <v>-1500000</v>
      </c>
      <c r="J16" s="141">
        <v>0</v>
      </c>
      <c r="K16" s="141">
        <v>-1500000</v>
      </c>
      <c r="L16" s="141">
        <v>57458000</v>
      </c>
      <c r="M16" s="141">
        <v>622158</v>
      </c>
      <c r="N16" s="141">
        <v>0</v>
      </c>
      <c r="O16" s="141">
        <v>0</v>
      </c>
      <c r="P16" s="141">
        <v>622158</v>
      </c>
      <c r="Q16" s="141">
        <v>0</v>
      </c>
      <c r="R16" s="141">
        <v>0</v>
      </c>
      <c r="S16" s="141">
        <v>-21924681</v>
      </c>
      <c r="T16" s="141">
        <v>-38977211</v>
      </c>
      <c r="U16" s="141">
        <v>-203979</v>
      </c>
      <c r="V16" s="141">
        <v>0</v>
      </c>
      <c r="W16" s="141">
        <v>-1492587</v>
      </c>
      <c r="X16" s="141">
        <v>-62598458</v>
      </c>
      <c r="Y16" s="857">
        <v>-5846981</v>
      </c>
      <c r="Z16" t="s">
        <v>1582</v>
      </c>
    </row>
    <row r="17" spans="1:26" ht="12.75" x14ac:dyDescent="0.2">
      <c r="A17" s="764">
        <v>10</v>
      </c>
      <c r="B17" s="765" t="s">
        <v>698</v>
      </c>
      <c r="C17" s="766" t="s">
        <v>1222</v>
      </c>
      <c r="D17" s="767" t="s">
        <v>1223</v>
      </c>
      <c r="E17" s="768" t="s">
        <v>697</v>
      </c>
      <c r="F17" s="141">
        <v>-8199933</v>
      </c>
      <c r="G17" s="141">
        <v>117339826</v>
      </c>
      <c r="H17" s="141">
        <v>0</v>
      </c>
      <c r="I17" s="141">
        <v>-2398992</v>
      </c>
      <c r="J17" s="141">
        <v>1336917</v>
      </c>
      <c r="K17" s="141">
        <v>-5505439</v>
      </c>
      <c r="L17" s="141">
        <v>110772312</v>
      </c>
      <c r="M17" s="141">
        <v>202823</v>
      </c>
      <c r="N17" s="141">
        <v>0</v>
      </c>
      <c r="O17" s="141">
        <v>5144136</v>
      </c>
      <c r="P17" s="141">
        <v>5346959</v>
      </c>
      <c r="Q17" s="141">
        <v>0</v>
      </c>
      <c r="R17" s="141">
        <v>0</v>
      </c>
      <c r="S17" s="141">
        <v>-41855342</v>
      </c>
      <c r="T17" s="141">
        <v>-74409498</v>
      </c>
      <c r="U17" s="141">
        <v>-418217</v>
      </c>
      <c r="V17" s="141">
        <v>0</v>
      </c>
      <c r="W17" s="141">
        <v>0</v>
      </c>
      <c r="X17" s="141">
        <v>-116683057</v>
      </c>
      <c r="Y17" s="857">
        <v>-8763719</v>
      </c>
      <c r="Z17" t="s">
        <v>1583</v>
      </c>
    </row>
    <row r="18" spans="1:26" ht="12.75" x14ac:dyDescent="0.2">
      <c r="A18" s="764">
        <v>11</v>
      </c>
      <c r="B18" s="765" t="s">
        <v>700</v>
      </c>
      <c r="C18" s="766" t="s">
        <v>1224</v>
      </c>
      <c r="D18" s="767" t="s">
        <v>1225</v>
      </c>
      <c r="E18" s="768" t="s">
        <v>699</v>
      </c>
      <c r="F18" s="141">
        <v>991014</v>
      </c>
      <c r="G18" s="141">
        <v>54224306</v>
      </c>
      <c r="H18" s="141">
        <v>0</v>
      </c>
      <c r="I18" s="141">
        <v>-1897851</v>
      </c>
      <c r="J18" s="141">
        <v>504408</v>
      </c>
      <c r="K18" s="141">
        <v>-3215623</v>
      </c>
      <c r="L18" s="141">
        <v>49615240</v>
      </c>
      <c r="M18" s="141">
        <v>0</v>
      </c>
      <c r="N18" s="141">
        <v>0</v>
      </c>
      <c r="O18" s="141">
        <v>61733</v>
      </c>
      <c r="P18" s="141">
        <v>61733</v>
      </c>
      <c r="Q18" s="141">
        <v>-1819851</v>
      </c>
      <c r="R18" s="141">
        <v>-22497817</v>
      </c>
      <c r="S18" s="141">
        <v>-454980</v>
      </c>
      <c r="T18" s="141">
        <v>-22294001</v>
      </c>
      <c r="U18" s="141">
        <v>-1121241</v>
      </c>
      <c r="V18" s="141">
        <v>-51020</v>
      </c>
      <c r="W18" s="141">
        <v>0</v>
      </c>
      <c r="X18" s="141">
        <v>-48238910</v>
      </c>
      <c r="Y18" s="857">
        <v>2429077</v>
      </c>
      <c r="Z18" t="s">
        <v>1584</v>
      </c>
    </row>
    <row r="19" spans="1:26" ht="12.75" x14ac:dyDescent="0.2">
      <c r="A19" s="764">
        <v>12</v>
      </c>
      <c r="B19" s="765" t="s">
        <v>702</v>
      </c>
      <c r="C19" s="766" t="s">
        <v>1217</v>
      </c>
      <c r="D19" s="767" t="s">
        <v>1219</v>
      </c>
      <c r="E19" s="768" t="s">
        <v>701</v>
      </c>
      <c r="F19" s="141">
        <v>-897165</v>
      </c>
      <c r="G19" s="141">
        <v>24373619</v>
      </c>
      <c r="H19" s="141">
        <v>0</v>
      </c>
      <c r="I19" s="141">
        <v>-91884</v>
      </c>
      <c r="J19" s="141">
        <v>35735</v>
      </c>
      <c r="K19" s="141">
        <v>-177408</v>
      </c>
      <c r="L19" s="141">
        <v>24140062</v>
      </c>
      <c r="M19" s="141">
        <v>269445</v>
      </c>
      <c r="N19" s="141">
        <v>0</v>
      </c>
      <c r="O19" s="141">
        <v>406122</v>
      </c>
      <c r="P19" s="141">
        <v>675567</v>
      </c>
      <c r="Q19" s="141">
        <v>-2626057</v>
      </c>
      <c r="R19" s="141">
        <v>-10359523</v>
      </c>
      <c r="S19" s="141">
        <v>-2071905</v>
      </c>
      <c r="T19" s="141">
        <v>-8287619</v>
      </c>
      <c r="U19" s="141">
        <v>-254709</v>
      </c>
      <c r="V19" s="141">
        <v>0</v>
      </c>
      <c r="W19" s="141">
        <v>0</v>
      </c>
      <c r="X19" s="141">
        <v>-23599813</v>
      </c>
      <c r="Y19" s="857">
        <v>318651</v>
      </c>
      <c r="Z19" t="s">
        <v>1585</v>
      </c>
    </row>
    <row r="20" spans="1:26" ht="12.75" x14ac:dyDescent="0.2">
      <c r="A20" s="764">
        <v>13</v>
      </c>
      <c r="B20" s="765" t="s">
        <v>704</v>
      </c>
      <c r="C20" s="766" t="s">
        <v>1217</v>
      </c>
      <c r="D20" s="767" t="s">
        <v>1221</v>
      </c>
      <c r="E20" s="768" t="s">
        <v>703</v>
      </c>
      <c r="F20" s="141">
        <v>10158047</v>
      </c>
      <c r="G20" s="141">
        <v>83041913</v>
      </c>
      <c r="H20" s="141">
        <v>0</v>
      </c>
      <c r="I20" s="141">
        <v>-492874</v>
      </c>
      <c r="J20" s="141">
        <v>986652</v>
      </c>
      <c r="K20" s="141">
        <v>-3966652</v>
      </c>
      <c r="L20" s="141">
        <v>79569039</v>
      </c>
      <c r="M20" s="141">
        <v>0</v>
      </c>
      <c r="N20" s="141">
        <v>0</v>
      </c>
      <c r="O20" s="141">
        <v>0</v>
      </c>
      <c r="P20" s="141">
        <v>0</v>
      </c>
      <c r="Q20" s="141">
        <v>-444439</v>
      </c>
      <c r="R20" s="141">
        <v>-40015898</v>
      </c>
      <c r="S20" s="141">
        <v>-8003180</v>
      </c>
      <c r="T20" s="141">
        <v>-32012718</v>
      </c>
      <c r="U20" s="141">
        <v>-235800</v>
      </c>
      <c r="V20" s="141">
        <v>0</v>
      </c>
      <c r="W20" s="141">
        <v>-9483865</v>
      </c>
      <c r="X20" s="141">
        <v>-90195900</v>
      </c>
      <c r="Y20" s="857">
        <v>-468814</v>
      </c>
      <c r="Z20" t="s">
        <v>1586</v>
      </c>
    </row>
    <row r="21" spans="1:26" ht="12.75" x14ac:dyDescent="0.2">
      <c r="A21" s="764">
        <v>14</v>
      </c>
      <c r="B21" s="765" t="s">
        <v>706</v>
      </c>
      <c r="C21" s="766" t="s">
        <v>1217</v>
      </c>
      <c r="D21" s="767" t="s">
        <v>1218</v>
      </c>
      <c r="E21" s="768" t="s">
        <v>903</v>
      </c>
      <c r="F21" s="141">
        <v>-243193</v>
      </c>
      <c r="G21" s="141">
        <v>73426848</v>
      </c>
      <c r="H21" s="141">
        <v>0</v>
      </c>
      <c r="I21" s="141">
        <v>-879430</v>
      </c>
      <c r="J21" s="141">
        <v>3000000</v>
      </c>
      <c r="K21" s="141">
        <v>-4850000</v>
      </c>
      <c r="L21" s="141">
        <v>70697418</v>
      </c>
      <c r="M21" s="141">
        <v>0</v>
      </c>
      <c r="N21" s="141">
        <v>0</v>
      </c>
      <c r="O21" s="141">
        <v>986069</v>
      </c>
      <c r="P21" s="141">
        <v>986069</v>
      </c>
      <c r="Q21" s="141">
        <v>-4049686</v>
      </c>
      <c r="R21" s="141">
        <v>-35838386</v>
      </c>
      <c r="S21" s="141">
        <v>-7217677</v>
      </c>
      <c r="T21" s="141">
        <v>-28870709</v>
      </c>
      <c r="U21" s="141">
        <v>-753418</v>
      </c>
      <c r="V21" s="141">
        <v>0</v>
      </c>
      <c r="W21" s="141">
        <v>0</v>
      </c>
      <c r="X21" s="141">
        <v>-76729876</v>
      </c>
      <c r="Y21" s="857">
        <v>-5289582</v>
      </c>
      <c r="Z21" t="s">
        <v>1587</v>
      </c>
    </row>
    <row r="22" spans="1:26" ht="12.75" x14ac:dyDescent="0.2">
      <c r="A22" s="764">
        <v>15</v>
      </c>
      <c r="B22" s="765" t="s">
        <v>708</v>
      </c>
      <c r="C22" s="766" t="s">
        <v>1217</v>
      </c>
      <c r="D22" s="767" t="s">
        <v>1220</v>
      </c>
      <c r="E22" s="768" t="s">
        <v>707</v>
      </c>
      <c r="F22" s="141">
        <v>1548578</v>
      </c>
      <c r="G22" s="141">
        <v>52400000</v>
      </c>
      <c r="H22" s="141">
        <v>0</v>
      </c>
      <c r="I22" s="141">
        <v>-300000</v>
      </c>
      <c r="J22" s="141">
        <v>114261</v>
      </c>
      <c r="K22" s="141">
        <v>-1655030</v>
      </c>
      <c r="L22" s="141">
        <v>50559231</v>
      </c>
      <c r="M22" s="141">
        <v>0</v>
      </c>
      <c r="N22" s="141">
        <v>0</v>
      </c>
      <c r="O22" s="141">
        <v>1763176</v>
      </c>
      <c r="P22" s="141">
        <v>1763176</v>
      </c>
      <c r="Q22" s="141">
        <v>-6593400</v>
      </c>
      <c r="R22" s="141">
        <v>-21017151</v>
      </c>
      <c r="S22" s="141">
        <v>-4203430</v>
      </c>
      <c r="T22" s="141">
        <v>-16813721</v>
      </c>
      <c r="U22" s="141">
        <v>-749000</v>
      </c>
      <c r="V22" s="141">
        <v>-16400</v>
      </c>
      <c r="W22" s="141">
        <v>0</v>
      </c>
      <c r="X22" s="141">
        <v>-49393102</v>
      </c>
      <c r="Y22" s="857">
        <v>4477883</v>
      </c>
      <c r="Z22" t="s">
        <v>1588</v>
      </c>
    </row>
    <row r="23" spans="1:26" ht="12.75" x14ac:dyDescent="0.2">
      <c r="A23" s="764">
        <v>16</v>
      </c>
      <c r="B23" s="765" t="s">
        <v>710</v>
      </c>
      <c r="C23" s="766" t="s">
        <v>529</v>
      </c>
      <c r="D23" s="767" t="s">
        <v>1226</v>
      </c>
      <c r="E23" s="768" t="s">
        <v>904</v>
      </c>
      <c r="F23" s="141">
        <v>-2353048</v>
      </c>
      <c r="G23" s="141">
        <v>69719916</v>
      </c>
      <c r="H23" s="141">
        <v>-393000</v>
      </c>
      <c r="I23" s="141">
        <v>-408000</v>
      </c>
      <c r="J23" s="141">
        <v>406862</v>
      </c>
      <c r="K23" s="141">
        <v>-2956712</v>
      </c>
      <c r="L23" s="141">
        <v>66369066</v>
      </c>
      <c r="M23" s="141">
        <v>0</v>
      </c>
      <c r="N23" s="141">
        <v>0</v>
      </c>
      <c r="O23" s="141">
        <v>2628079</v>
      </c>
      <c r="P23" s="141">
        <v>2628079</v>
      </c>
      <c r="Q23" s="141">
        <v>-303809</v>
      </c>
      <c r="R23" s="141">
        <v>0</v>
      </c>
      <c r="S23" s="141">
        <v>-3949723</v>
      </c>
      <c r="T23" s="141">
        <v>-61878990</v>
      </c>
      <c r="U23" s="141">
        <v>-636398</v>
      </c>
      <c r="V23" s="141">
        <v>-166689</v>
      </c>
      <c r="W23" s="141">
        <v>0</v>
      </c>
      <c r="X23" s="141">
        <v>-66935609</v>
      </c>
      <c r="Y23" s="857">
        <v>-291512</v>
      </c>
      <c r="Z23" t="s">
        <v>1589</v>
      </c>
    </row>
    <row r="24" spans="1:26" ht="12.75" x14ac:dyDescent="0.2">
      <c r="A24" s="764">
        <v>17</v>
      </c>
      <c r="B24" s="765" t="s">
        <v>712</v>
      </c>
      <c r="C24" s="766" t="s">
        <v>529</v>
      </c>
      <c r="D24" s="767" t="s">
        <v>1221</v>
      </c>
      <c r="E24" s="768" t="s">
        <v>711</v>
      </c>
      <c r="F24" s="141">
        <v>-2560436</v>
      </c>
      <c r="G24" s="141">
        <v>67624815</v>
      </c>
      <c r="H24" s="141">
        <v>0</v>
      </c>
      <c r="I24" s="141">
        <v>-550000</v>
      </c>
      <c r="J24" s="141">
        <v>528072</v>
      </c>
      <c r="K24" s="141">
        <v>-2609381</v>
      </c>
      <c r="L24" s="141">
        <v>64993506</v>
      </c>
      <c r="M24" s="141">
        <v>0</v>
      </c>
      <c r="N24" s="141">
        <v>0</v>
      </c>
      <c r="O24" s="141">
        <v>1734978</v>
      </c>
      <c r="P24" s="141">
        <v>1734978</v>
      </c>
      <c r="Q24" s="141">
        <v>-2716217</v>
      </c>
      <c r="R24" s="141">
        <v>-30743869</v>
      </c>
      <c r="S24" s="141">
        <v>-614877</v>
      </c>
      <c r="T24" s="141">
        <v>-30128991</v>
      </c>
      <c r="U24" s="141">
        <v>-887019</v>
      </c>
      <c r="V24" s="141">
        <v>0</v>
      </c>
      <c r="W24" s="141">
        <v>0</v>
      </c>
      <c r="X24" s="141">
        <v>-65090973</v>
      </c>
      <c r="Y24" s="857">
        <v>-922925</v>
      </c>
      <c r="Z24" t="s">
        <v>1590</v>
      </c>
    </row>
    <row r="25" spans="1:26" ht="12.75" x14ac:dyDescent="0.2">
      <c r="A25" s="764">
        <v>18</v>
      </c>
      <c r="B25" s="765" t="s">
        <v>714</v>
      </c>
      <c r="C25" s="766" t="s">
        <v>1222</v>
      </c>
      <c r="D25" s="767" t="s">
        <v>1223</v>
      </c>
      <c r="E25" s="768" t="s">
        <v>713</v>
      </c>
      <c r="F25" s="141">
        <v>-2253413</v>
      </c>
      <c r="G25" s="141">
        <v>75107981</v>
      </c>
      <c r="H25" s="141">
        <v>0</v>
      </c>
      <c r="I25" s="141">
        <v>-751080</v>
      </c>
      <c r="J25" s="141">
        <v>0</v>
      </c>
      <c r="K25" s="141">
        <v>-1812348</v>
      </c>
      <c r="L25" s="141">
        <v>72544553</v>
      </c>
      <c r="M25" s="141">
        <v>0</v>
      </c>
      <c r="N25" s="141">
        <v>0</v>
      </c>
      <c r="O25" s="141">
        <v>6508000</v>
      </c>
      <c r="P25" s="141">
        <v>6508000</v>
      </c>
      <c r="Q25" s="141">
        <v>-221329</v>
      </c>
      <c r="R25" s="141">
        <v>0</v>
      </c>
      <c r="S25" s="141">
        <v>-26038818</v>
      </c>
      <c r="T25" s="141">
        <v>-46291233</v>
      </c>
      <c r="U25" s="141">
        <v>-251511</v>
      </c>
      <c r="V25" s="141">
        <v>0</v>
      </c>
      <c r="W25" s="141">
        <v>0</v>
      </c>
      <c r="X25" s="141">
        <v>-72802891</v>
      </c>
      <c r="Y25" s="857">
        <v>3996249</v>
      </c>
      <c r="Z25" t="s">
        <v>1591</v>
      </c>
    </row>
    <row r="26" spans="1:26" ht="12.75" x14ac:dyDescent="0.2">
      <c r="A26" s="764">
        <v>19</v>
      </c>
      <c r="B26" s="765" t="s">
        <v>716</v>
      </c>
      <c r="C26" s="766" t="s">
        <v>1224</v>
      </c>
      <c r="D26" s="767" t="s">
        <v>1227</v>
      </c>
      <c r="E26" s="768" t="s">
        <v>715</v>
      </c>
      <c r="F26" s="141">
        <v>15737684</v>
      </c>
      <c r="G26" s="141">
        <v>440860922</v>
      </c>
      <c r="H26" s="141">
        <v>0</v>
      </c>
      <c r="I26" s="141">
        <v>-9040853</v>
      </c>
      <c r="J26" s="141">
        <v>13968385</v>
      </c>
      <c r="K26" s="141">
        <v>-5824563</v>
      </c>
      <c r="L26" s="141">
        <v>439963891</v>
      </c>
      <c r="M26" s="141">
        <v>0</v>
      </c>
      <c r="N26" s="141">
        <v>2651105</v>
      </c>
      <c r="O26" s="141">
        <v>0</v>
      </c>
      <c r="P26" s="141">
        <v>2651105</v>
      </c>
      <c r="Q26" s="141">
        <v>-4273000</v>
      </c>
      <c r="R26" s="141">
        <v>0</v>
      </c>
      <c r="S26" s="141">
        <v>-4222867</v>
      </c>
      <c r="T26" s="141">
        <v>-418063805</v>
      </c>
      <c r="U26" s="141">
        <v>-4563778</v>
      </c>
      <c r="V26" s="141">
        <v>0</v>
      </c>
      <c r="W26" s="141">
        <v>-14420847</v>
      </c>
      <c r="X26" s="141">
        <v>-445544297</v>
      </c>
      <c r="Y26" s="857">
        <v>12808383</v>
      </c>
      <c r="Z26" t="s">
        <v>1592</v>
      </c>
    </row>
    <row r="27" spans="1:26" ht="12.75" x14ac:dyDescent="0.2">
      <c r="A27" s="764">
        <v>20</v>
      </c>
      <c r="B27" s="765" t="s">
        <v>718</v>
      </c>
      <c r="C27" s="766" t="s">
        <v>1217</v>
      </c>
      <c r="D27" s="767" t="s">
        <v>1220</v>
      </c>
      <c r="E27" s="768" t="s">
        <v>717</v>
      </c>
      <c r="F27" s="141">
        <v>-893581</v>
      </c>
      <c r="G27" s="141">
        <v>46717128</v>
      </c>
      <c r="H27" s="141">
        <v>0</v>
      </c>
      <c r="I27" s="141">
        <v>-22187</v>
      </c>
      <c r="J27" s="141">
        <v>485635</v>
      </c>
      <c r="K27" s="141">
        <v>-1190000</v>
      </c>
      <c r="L27" s="141">
        <v>45990576</v>
      </c>
      <c r="M27" s="141">
        <v>177261</v>
      </c>
      <c r="N27" s="141">
        <v>0</v>
      </c>
      <c r="O27" s="141">
        <v>1671534</v>
      </c>
      <c r="P27" s="141">
        <v>1848795</v>
      </c>
      <c r="Q27" s="141">
        <v>0</v>
      </c>
      <c r="R27" s="141">
        <v>-23861846</v>
      </c>
      <c r="S27" s="141">
        <v>-4772369</v>
      </c>
      <c r="T27" s="141">
        <v>-19089477</v>
      </c>
      <c r="U27" s="141">
        <v>-103755</v>
      </c>
      <c r="V27" s="141">
        <v>0</v>
      </c>
      <c r="W27" s="141">
        <v>0</v>
      </c>
      <c r="X27" s="141">
        <v>-47827447</v>
      </c>
      <c r="Y27" s="857">
        <v>-881657</v>
      </c>
      <c r="Z27" t="s">
        <v>1593</v>
      </c>
    </row>
    <row r="28" spans="1:26" ht="12.75" x14ac:dyDescent="0.2">
      <c r="A28" s="764">
        <v>21</v>
      </c>
      <c r="B28" s="765" t="s">
        <v>720</v>
      </c>
      <c r="C28" s="766" t="s">
        <v>529</v>
      </c>
      <c r="D28" s="767" t="s">
        <v>1219</v>
      </c>
      <c r="E28" s="768" t="s">
        <v>592</v>
      </c>
      <c r="F28" s="141">
        <v>1569590</v>
      </c>
      <c r="G28" s="141">
        <v>45610469</v>
      </c>
      <c r="H28" s="141">
        <v>0</v>
      </c>
      <c r="I28" s="141">
        <v>-700000</v>
      </c>
      <c r="J28" s="141">
        <v>1000000</v>
      </c>
      <c r="K28" s="141">
        <v>-2000000</v>
      </c>
      <c r="L28" s="141">
        <v>43910469</v>
      </c>
      <c r="M28" s="141">
        <v>0</v>
      </c>
      <c r="N28" s="141">
        <v>0</v>
      </c>
      <c r="O28" s="141">
        <v>0</v>
      </c>
      <c r="P28" s="141">
        <v>0</v>
      </c>
      <c r="Q28" s="141">
        <v>-3000000</v>
      </c>
      <c r="R28" s="141">
        <v>-20080322</v>
      </c>
      <c r="S28" s="141">
        <v>-401606</v>
      </c>
      <c r="T28" s="141">
        <v>-19678716</v>
      </c>
      <c r="U28" s="141">
        <v>-249825</v>
      </c>
      <c r="V28" s="141">
        <v>0</v>
      </c>
      <c r="W28" s="141">
        <v>-450190</v>
      </c>
      <c r="X28" s="141">
        <v>-43860659</v>
      </c>
      <c r="Y28" s="857">
        <v>1619400</v>
      </c>
      <c r="Z28" t="s">
        <v>1594</v>
      </c>
    </row>
    <row r="29" spans="1:26" ht="12.75" x14ac:dyDescent="0.2">
      <c r="A29" s="764">
        <v>22</v>
      </c>
      <c r="B29" s="765" t="s">
        <v>722</v>
      </c>
      <c r="C29" s="766" t="s">
        <v>529</v>
      </c>
      <c r="D29" s="767" t="s">
        <v>1219</v>
      </c>
      <c r="E29" s="768" t="s">
        <v>594</v>
      </c>
      <c r="F29" s="141">
        <v>-4156737</v>
      </c>
      <c r="G29" s="141">
        <v>48000000</v>
      </c>
      <c r="H29" s="141">
        <v>0</v>
      </c>
      <c r="I29" s="141">
        <v>-1600000</v>
      </c>
      <c r="J29" s="141">
        <v>1200000</v>
      </c>
      <c r="K29" s="141">
        <v>-3000000</v>
      </c>
      <c r="L29" s="141">
        <v>44600000</v>
      </c>
      <c r="M29" s="141">
        <v>0</v>
      </c>
      <c r="N29" s="141">
        <v>12096</v>
      </c>
      <c r="O29" s="141">
        <v>0</v>
      </c>
      <c r="P29" s="141">
        <v>12096</v>
      </c>
      <c r="Q29" s="141">
        <v>-2200000</v>
      </c>
      <c r="R29" s="141">
        <v>-19944550</v>
      </c>
      <c r="S29" s="141">
        <v>-402762</v>
      </c>
      <c r="T29" s="141">
        <v>-19735351</v>
      </c>
      <c r="U29" s="141">
        <v>-722249</v>
      </c>
      <c r="V29" s="141">
        <v>0</v>
      </c>
      <c r="W29" s="141">
        <v>-455881</v>
      </c>
      <c r="X29" s="141">
        <v>-43460793</v>
      </c>
      <c r="Y29" s="857">
        <v>-3005434</v>
      </c>
      <c r="Z29" t="s">
        <v>1595</v>
      </c>
    </row>
    <row r="30" spans="1:26" ht="12.75" x14ac:dyDescent="0.2">
      <c r="A30" s="764">
        <v>23</v>
      </c>
      <c r="B30" s="765" t="s">
        <v>724</v>
      </c>
      <c r="C30" s="766" t="s">
        <v>1217</v>
      </c>
      <c r="D30" s="767" t="s">
        <v>1220</v>
      </c>
      <c r="E30" s="768" t="s">
        <v>723</v>
      </c>
      <c r="F30" s="141">
        <v>-3293768</v>
      </c>
      <c r="G30" s="141">
        <v>27571594</v>
      </c>
      <c r="H30" s="141">
        <v>-50998</v>
      </c>
      <c r="I30" s="141">
        <v>-119472</v>
      </c>
      <c r="J30" s="141">
        <v>331600</v>
      </c>
      <c r="K30" s="141">
        <v>137205</v>
      </c>
      <c r="L30" s="141">
        <v>27869929</v>
      </c>
      <c r="M30" s="141">
        <v>15998</v>
      </c>
      <c r="N30" s="141">
        <v>0</v>
      </c>
      <c r="O30" s="141">
        <v>0</v>
      </c>
      <c r="P30" s="141">
        <v>15998</v>
      </c>
      <c r="Q30" s="141">
        <v>0</v>
      </c>
      <c r="R30" s="141">
        <v>0</v>
      </c>
      <c r="S30" s="141">
        <v>-12860352</v>
      </c>
      <c r="T30" s="141">
        <v>-12860352</v>
      </c>
      <c r="U30" s="141">
        <v>-153844</v>
      </c>
      <c r="V30" s="141">
        <v>0</v>
      </c>
      <c r="W30" s="141">
        <v>-354130</v>
      </c>
      <c r="X30" s="141">
        <v>-26228678</v>
      </c>
      <c r="Y30" s="857">
        <v>-1636519</v>
      </c>
      <c r="Z30" t="s">
        <v>1596</v>
      </c>
    </row>
    <row r="31" spans="1:26" ht="12.75" x14ac:dyDescent="0.2">
      <c r="A31" s="764">
        <v>24</v>
      </c>
      <c r="B31" s="765" t="s">
        <v>726</v>
      </c>
      <c r="C31" s="766" t="s">
        <v>1224</v>
      </c>
      <c r="D31" s="767" t="s">
        <v>1219</v>
      </c>
      <c r="E31" s="768" t="s">
        <v>725</v>
      </c>
      <c r="F31" s="141">
        <v>-602150</v>
      </c>
      <c r="G31" s="141">
        <v>87169583</v>
      </c>
      <c r="H31" s="141">
        <v>-2277707</v>
      </c>
      <c r="I31" s="141">
        <v>0</v>
      </c>
      <c r="J31" s="141">
        <v>3755000</v>
      </c>
      <c r="K31" s="141">
        <v>-5148120</v>
      </c>
      <c r="L31" s="141">
        <v>83498756</v>
      </c>
      <c r="M31" s="141">
        <v>1680000</v>
      </c>
      <c r="N31" s="141">
        <v>0</v>
      </c>
      <c r="O31" s="141">
        <v>2054460</v>
      </c>
      <c r="P31" s="141">
        <v>3734460</v>
      </c>
      <c r="Q31" s="141">
        <v>-4963000</v>
      </c>
      <c r="R31" s="141">
        <v>0</v>
      </c>
      <c r="S31" s="141">
        <v>-793695</v>
      </c>
      <c r="T31" s="141">
        <v>-78575759</v>
      </c>
      <c r="U31" s="141">
        <v>0</v>
      </c>
      <c r="V31" s="141">
        <v>0</v>
      </c>
      <c r="W31" s="141">
        <v>0</v>
      </c>
      <c r="X31" s="141">
        <v>-84332454</v>
      </c>
      <c r="Y31" s="857">
        <v>2298612</v>
      </c>
      <c r="Z31" t="s">
        <v>1597</v>
      </c>
    </row>
    <row r="32" spans="1:26" ht="12.75" x14ac:dyDescent="0.2">
      <c r="A32" s="764">
        <v>25</v>
      </c>
      <c r="B32" s="765" t="s">
        <v>728</v>
      </c>
      <c r="C32" s="766" t="s">
        <v>1217</v>
      </c>
      <c r="D32" s="767" t="s">
        <v>1220</v>
      </c>
      <c r="E32" s="768" t="s">
        <v>727</v>
      </c>
      <c r="F32" s="141">
        <v>-1024245</v>
      </c>
      <c r="G32" s="141">
        <v>20318753</v>
      </c>
      <c r="H32" s="141">
        <v>0</v>
      </c>
      <c r="I32" s="141">
        <v>-366518</v>
      </c>
      <c r="J32" s="141">
        <v>0</v>
      </c>
      <c r="K32" s="141">
        <v>2234958</v>
      </c>
      <c r="L32" s="141">
        <v>22187193</v>
      </c>
      <c r="M32" s="141">
        <v>227164</v>
      </c>
      <c r="N32" s="141">
        <v>47000</v>
      </c>
      <c r="O32" s="141">
        <v>986950</v>
      </c>
      <c r="P32" s="141">
        <v>1261114</v>
      </c>
      <c r="Q32" s="141">
        <v>0</v>
      </c>
      <c r="R32" s="141">
        <v>0</v>
      </c>
      <c r="S32" s="141">
        <v>-7809649</v>
      </c>
      <c r="T32" s="141">
        <v>-11714473</v>
      </c>
      <c r="U32" s="141">
        <v>-296672</v>
      </c>
      <c r="V32" s="141">
        <v>0</v>
      </c>
      <c r="W32" s="141">
        <v>0</v>
      </c>
      <c r="X32" s="141">
        <v>-19820794</v>
      </c>
      <c r="Y32" s="857">
        <v>2603268</v>
      </c>
      <c r="Z32" t="s">
        <v>1598</v>
      </c>
    </row>
    <row r="33" spans="1:26" ht="12.75" x14ac:dyDescent="0.2">
      <c r="A33" s="764">
        <v>26</v>
      </c>
      <c r="B33" s="765" t="s">
        <v>1144</v>
      </c>
      <c r="C33" s="766" t="s">
        <v>529</v>
      </c>
      <c r="D33" s="767" t="s">
        <v>1226</v>
      </c>
      <c r="E33" s="768" t="s">
        <v>1167</v>
      </c>
      <c r="F33" s="141">
        <v>-1217747.4100000001</v>
      </c>
      <c r="G33" s="141">
        <v>153498881</v>
      </c>
      <c r="H33" s="141">
        <v>0</v>
      </c>
      <c r="I33" s="141">
        <v>-1376003</v>
      </c>
      <c r="J33" s="141">
        <v>2308457</v>
      </c>
      <c r="K33" s="141">
        <v>-15208163</v>
      </c>
      <c r="L33" s="141">
        <v>139223172</v>
      </c>
      <c r="M33" s="141">
        <v>344387</v>
      </c>
      <c r="N33" s="141">
        <v>0</v>
      </c>
      <c r="O33" s="141">
        <v>4162858</v>
      </c>
      <c r="P33" s="141">
        <v>4507245</v>
      </c>
      <c r="Q33" s="141">
        <v>-2850707</v>
      </c>
      <c r="R33" s="141">
        <v>-69634042</v>
      </c>
      <c r="S33" s="141">
        <v>-3247182</v>
      </c>
      <c r="T33" s="141">
        <v>-66386862</v>
      </c>
      <c r="U33" s="141">
        <v>-393877</v>
      </c>
      <c r="V33" s="141">
        <v>0</v>
      </c>
      <c r="W33" s="141">
        <v>0</v>
      </c>
      <c r="X33" s="141">
        <v>-142512670</v>
      </c>
      <c r="Y33" s="857">
        <v>-0.40999999642372131</v>
      </c>
      <c r="Z33" t="s">
        <v>1599</v>
      </c>
    </row>
    <row r="34" spans="1:26" ht="12.75" x14ac:dyDescent="0.2">
      <c r="A34" s="764">
        <v>27</v>
      </c>
      <c r="B34" s="765" t="s">
        <v>730</v>
      </c>
      <c r="C34" s="766" t="s">
        <v>529</v>
      </c>
      <c r="D34" s="767" t="s">
        <v>1218</v>
      </c>
      <c r="E34" s="768" t="s">
        <v>536</v>
      </c>
      <c r="F34" s="141">
        <v>-4948007</v>
      </c>
      <c r="G34" s="141">
        <v>74565927</v>
      </c>
      <c r="H34" s="141">
        <v>0</v>
      </c>
      <c r="I34" s="141">
        <v>-79342</v>
      </c>
      <c r="J34" s="141">
        <v>724781</v>
      </c>
      <c r="K34" s="141">
        <v>-5036986</v>
      </c>
      <c r="L34" s="141">
        <v>70174380</v>
      </c>
      <c r="M34" s="141">
        <v>231333</v>
      </c>
      <c r="N34" s="141">
        <v>0</v>
      </c>
      <c r="O34" s="141">
        <v>0</v>
      </c>
      <c r="P34" s="141">
        <v>231333</v>
      </c>
      <c r="Q34" s="141">
        <v>0</v>
      </c>
      <c r="R34" s="141">
        <v>0</v>
      </c>
      <c r="S34" s="141">
        <v>-697314</v>
      </c>
      <c r="T34" s="141">
        <v>-69034050</v>
      </c>
      <c r="U34" s="141">
        <v>-141490</v>
      </c>
      <c r="V34" s="141">
        <v>0</v>
      </c>
      <c r="W34" s="141">
        <v>-6214801</v>
      </c>
      <c r="X34" s="141">
        <v>-76087655</v>
      </c>
      <c r="Y34" s="857">
        <v>-10629949</v>
      </c>
      <c r="Z34" t="s">
        <v>1600</v>
      </c>
    </row>
    <row r="35" spans="1:26" ht="12.75" x14ac:dyDescent="0.2">
      <c r="A35" s="764">
        <v>28</v>
      </c>
      <c r="B35" s="765" t="s">
        <v>732</v>
      </c>
      <c r="C35" s="766" t="s">
        <v>1224</v>
      </c>
      <c r="D35" s="767" t="s">
        <v>1225</v>
      </c>
      <c r="E35" s="768" t="s">
        <v>731</v>
      </c>
      <c r="F35" s="141">
        <v>-3735258</v>
      </c>
      <c r="G35" s="141">
        <v>139556780</v>
      </c>
      <c r="H35" s="141">
        <v>0</v>
      </c>
      <c r="I35" s="141">
        <v>-2498244</v>
      </c>
      <c r="J35" s="141">
        <v>2500000</v>
      </c>
      <c r="K35" s="141">
        <v>-8448406</v>
      </c>
      <c r="L35" s="141">
        <v>131110130</v>
      </c>
      <c r="M35" s="141">
        <v>0</v>
      </c>
      <c r="N35" s="141">
        <v>0</v>
      </c>
      <c r="O35" s="141">
        <v>1382975</v>
      </c>
      <c r="P35" s="141">
        <v>1382975</v>
      </c>
      <c r="Q35" s="141">
        <v>0</v>
      </c>
      <c r="R35" s="141">
        <v>0</v>
      </c>
      <c r="S35" s="141">
        <v>-1286575</v>
      </c>
      <c r="T35" s="141">
        <v>-127370939</v>
      </c>
      <c r="U35" s="141">
        <v>-728336</v>
      </c>
      <c r="V35" s="141">
        <v>0</v>
      </c>
      <c r="W35" s="141">
        <v>0</v>
      </c>
      <c r="X35" s="141">
        <v>-129385850</v>
      </c>
      <c r="Y35" s="857">
        <v>-628003</v>
      </c>
      <c r="Z35" t="s">
        <v>1601</v>
      </c>
    </row>
    <row r="36" spans="1:26" ht="12.75" x14ac:dyDescent="0.2">
      <c r="A36" s="764">
        <v>29</v>
      </c>
      <c r="B36" s="765" t="s">
        <v>734</v>
      </c>
      <c r="C36" s="766" t="s">
        <v>1217</v>
      </c>
      <c r="D36" s="767" t="s">
        <v>1221</v>
      </c>
      <c r="E36" s="768" t="s">
        <v>733</v>
      </c>
      <c r="F36" s="141">
        <v>2399610</v>
      </c>
      <c r="G36" s="141">
        <v>42876712</v>
      </c>
      <c r="H36" s="141">
        <v>-276000</v>
      </c>
      <c r="I36" s="141">
        <v>0</v>
      </c>
      <c r="J36" s="141">
        <v>0</v>
      </c>
      <c r="K36" s="141">
        <v>-941708</v>
      </c>
      <c r="L36" s="141">
        <v>41659004</v>
      </c>
      <c r="M36" s="141">
        <v>184911</v>
      </c>
      <c r="N36" s="141">
        <v>2772</v>
      </c>
      <c r="O36" s="141">
        <v>0</v>
      </c>
      <c r="P36" s="141">
        <v>187683</v>
      </c>
      <c r="Q36" s="141">
        <v>0</v>
      </c>
      <c r="R36" s="141">
        <v>-20946064</v>
      </c>
      <c r="S36" s="141">
        <v>-4189213</v>
      </c>
      <c r="T36" s="141">
        <v>-16756852</v>
      </c>
      <c r="U36" s="141">
        <v>-397408</v>
      </c>
      <c r="V36" s="141">
        <v>0</v>
      </c>
      <c r="W36" s="141">
        <v>-1814176</v>
      </c>
      <c r="X36" s="141">
        <v>-44103713</v>
      </c>
      <c r="Y36" s="857">
        <v>142584</v>
      </c>
      <c r="Z36" t="s">
        <v>1602</v>
      </c>
    </row>
    <row r="37" spans="1:26" ht="12.75" x14ac:dyDescent="0.2">
      <c r="A37" s="764">
        <v>30</v>
      </c>
      <c r="B37" s="765" t="s">
        <v>736</v>
      </c>
      <c r="C37" s="766" t="s">
        <v>1217</v>
      </c>
      <c r="D37" s="767" t="s">
        <v>1221</v>
      </c>
      <c r="E37" s="768" t="s">
        <v>735</v>
      </c>
      <c r="F37" s="141">
        <v>728869</v>
      </c>
      <c r="G37" s="141">
        <v>35123102</v>
      </c>
      <c r="H37" s="141">
        <v>0</v>
      </c>
      <c r="I37" s="141">
        <v>-167997</v>
      </c>
      <c r="J37" s="141">
        <v>122599</v>
      </c>
      <c r="K37" s="141">
        <v>-2991057</v>
      </c>
      <c r="L37" s="141">
        <v>32086647</v>
      </c>
      <c r="M37" s="141">
        <v>459356</v>
      </c>
      <c r="N37" s="141">
        <v>0</v>
      </c>
      <c r="O37" s="141">
        <v>0</v>
      </c>
      <c r="P37" s="141">
        <v>459356</v>
      </c>
      <c r="Q37" s="141">
        <v>0</v>
      </c>
      <c r="R37" s="141">
        <v>-16016563</v>
      </c>
      <c r="S37" s="141">
        <v>-3203313</v>
      </c>
      <c r="T37" s="141">
        <v>-12813250</v>
      </c>
      <c r="U37" s="141">
        <v>-2549324</v>
      </c>
      <c r="V37" s="141">
        <v>0</v>
      </c>
      <c r="W37" s="141">
        <v>-989449</v>
      </c>
      <c r="X37" s="141">
        <v>-35571899</v>
      </c>
      <c r="Y37" s="857">
        <v>-2297027</v>
      </c>
      <c r="Z37" t="s">
        <v>1603</v>
      </c>
    </row>
    <row r="38" spans="1:26" ht="12.75" x14ac:dyDescent="0.2">
      <c r="A38" s="764">
        <v>31</v>
      </c>
      <c r="B38" s="765" t="s">
        <v>738</v>
      </c>
      <c r="C38" s="766" t="s">
        <v>1222</v>
      </c>
      <c r="D38" s="767" t="s">
        <v>1223</v>
      </c>
      <c r="E38" s="768" t="s">
        <v>737</v>
      </c>
      <c r="F38" s="141">
        <v>-5695401</v>
      </c>
      <c r="G38" s="141">
        <v>130582101</v>
      </c>
      <c r="H38" s="141">
        <v>0</v>
      </c>
      <c r="I38" s="141">
        <v>2502000</v>
      </c>
      <c r="J38" s="141">
        <v>0</v>
      </c>
      <c r="K38" s="141">
        <v>4011000</v>
      </c>
      <c r="L38" s="141">
        <v>137095101</v>
      </c>
      <c r="M38" s="141">
        <v>1917899</v>
      </c>
      <c r="N38" s="141">
        <v>0</v>
      </c>
      <c r="O38" s="141">
        <v>0</v>
      </c>
      <c r="P38" s="141">
        <v>1917899</v>
      </c>
      <c r="Q38" s="141">
        <v>0</v>
      </c>
      <c r="R38" s="141">
        <v>0</v>
      </c>
      <c r="S38" s="141">
        <v>-47009920</v>
      </c>
      <c r="T38" s="141">
        <v>-83573192</v>
      </c>
      <c r="U38" s="141">
        <v>-418540</v>
      </c>
      <c r="V38" s="141">
        <v>0</v>
      </c>
      <c r="W38" s="141">
        <v>-232306</v>
      </c>
      <c r="X38" s="141">
        <v>-131233958</v>
      </c>
      <c r="Y38" s="857">
        <v>2083641</v>
      </c>
      <c r="Z38" t="s">
        <v>1604</v>
      </c>
    </row>
    <row r="39" spans="1:26" ht="12.75" x14ac:dyDescent="0.2">
      <c r="A39" s="764">
        <v>32</v>
      </c>
      <c r="B39" s="765" t="s">
        <v>740</v>
      </c>
      <c r="C39" s="766" t="s">
        <v>1217</v>
      </c>
      <c r="D39" s="767" t="s">
        <v>1221</v>
      </c>
      <c r="E39" s="768" t="s">
        <v>739</v>
      </c>
      <c r="F39" s="141">
        <v>-908394</v>
      </c>
      <c r="G39" s="141">
        <v>28247534</v>
      </c>
      <c r="H39" s="141">
        <v>-500000</v>
      </c>
      <c r="I39" s="141">
        <v>0</v>
      </c>
      <c r="J39" s="141">
        <v>1422470</v>
      </c>
      <c r="K39" s="141">
        <v>-858485</v>
      </c>
      <c r="L39" s="141">
        <v>28311519</v>
      </c>
      <c r="M39" s="141">
        <v>0</v>
      </c>
      <c r="N39" s="141">
        <v>0</v>
      </c>
      <c r="O39" s="141">
        <v>750000</v>
      </c>
      <c r="P39" s="141">
        <v>750000</v>
      </c>
      <c r="Q39" s="141">
        <v>-342855</v>
      </c>
      <c r="R39" s="141">
        <v>-14323731</v>
      </c>
      <c r="S39" s="141">
        <v>-2864746</v>
      </c>
      <c r="T39" s="141">
        <v>-11458984</v>
      </c>
      <c r="U39" s="141">
        <v>-105453</v>
      </c>
      <c r="V39" s="141">
        <v>0</v>
      </c>
      <c r="W39" s="141">
        <v>0</v>
      </c>
      <c r="X39" s="141">
        <v>-29095769</v>
      </c>
      <c r="Y39" s="857">
        <v>-942644</v>
      </c>
      <c r="Z39" t="s">
        <v>1605</v>
      </c>
    </row>
    <row r="40" spans="1:26" ht="12.75" x14ac:dyDescent="0.2">
      <c r="A40" s="764">
        <v>33</v>
      </c>
      <c r="B40" s="765" t="s">
        <v>742</v>
      </c>
      <c r="C40" s="766" t="s">
        <v>529</v>
      </c>
      <c r="D40" s="767" t="s">
        <v>1218</v>
      </c>
      <c r="E40" s="768" t="s">
        <v>902</v>
      </c>
      <c r="F40" s="141">
        <v>-3770022</v>
      </c>
      <c r="G40" s="141">
        <v>115818449</v>
      </c>
      <c r="H40" s="141">
        <v>0</v>
      </c>
      <c r="I40" s="141">
        <v>-1220464</v>
      </c>
      <c r="J40" s="141">
        <v>797000</v>
      </c>
      <c r="K40" s="141">
        <v>-5980000</v>
      </c>
      <c r="L40" s="141">
        <v>109414985</v>
      </c>
      <c r="M40" s="141">
        <v>4543563</v>
      </c>
      <c r="N40" s="141">
        <v>0</v>
      </c>
      <c r="O40" s="141">
        <v>3448000</v>
      </c>
      <c r="P40" s="141">
        <v>7991563</v>
      </c>
      <c r="Q40" s="141">
        <v>-593528</v>
      </c>
      <c r="R40" s="141">
        <v>-58427013</v>
      </c>
      <c r="S40" s="141">
        <v>-1168540</v>
      </c>
      <c r="T40" s="141">
        <v>-57258472</v>
      </c>
      <c r="U40" s="141">
        <v>-442154</v>
      </c>
      <c r="V40" s="141">
        <v>0</v>
      </c>
      <c r="W40" s="141">
        <v>0</v>
      </c>
      <c r="X40" s="141">
        <v>-117889707</v>
      </c>
      <c r="Y40" s="857">
        <v>-4253181</v>
      </c>
      <c r="Z40" t="s">
        <v>1606</v>
      </c>
    </row>
    <row r="41" spans="1:26" ht="12.75" x14ac:dyDescent="0.2">
      <c r="A41" s="764">
        <v>34</v>
      </c>
      <c r="B41" s="765" t="s">
        <v>744</v>
      </c>
      <c r="C41" s="766" t="s">
        <v>529</v>
      </c>
      <c r="D41" s="767" t="s">
        <v>1226</v>
      </c>
      <c r="E41" s="768" t="s">
        <v>531</v>
      </c>
      <c r="F41" s="141">
        <v>-12422512</v>
      </c>
      <c r="G41" s="141">
        <v>223749000</v>
      </c>
      <c r="H41" s="141">
        <v>0</v>
      </c>
      <c r="I41" s="141">
        <v>-1810000</v>
      </c>
      <c r="J41" s="141">
        <v>0</v>
      </c>
      <c r="K41" s="141">
        <v>-4020000</v>
      </c>
      <c r="L41" s="141">
        <v>217919000</v>
      </c>
      <c r="M41" s="141">
        <v>0</v>
      </c>
      <c r="N41" s="141">
        <v>0</v>
      </c>
      <c r="O41" s="141">
        <v>13976244</v>
      </c>
      <c r="P41" s="141">
        <v>13976244</v>
      </c>
      <c r="Q41" s="141">
        <v>-3533000</v>
      </c>
      <c r="R41" s="141">
        <v>0</v>
      </c>
      <c r="S41" s="141">
        <v>-12600041</v>
      </c>
      <c r="T41" s="141">
        <v>-197400637</v>
      </c>
      <c r="U41" s="141">
        <v>-4858742</v>
      </c>
      <c r="V41" s="141">
        <v>-3843</v>
      </c>
      <c r="W41" s="141">
        <v>0</v>
      </c>
      <c r="X41" s="141">
        <v>-218396263</v>
      </c>
      <c r="Y41" s="857">
        <v>1076469</v>
      </c>
      <c r="Z41" t="s">
        <v>1607</v>
      </c>
    </row>
    <row r="42" spans="1:26" ht="12.75" x14ac:dyDescent="0.2">
      <c r="A42" s="764">
        <v>35</v>
      </c>
      <c r="B42" s="765" t="s">
        <v>746</v>
      </c>
      <c r="C42" s="766" t="s">
        <v>1217</v>
      </c>
      <c r="D42" s="767" t="s">
        <v>1221</v>
      </c>
      <c r="E42" s="768" t="s">
        <v>745</v>
      </c>
      <c r="F42" s="141">
        <v>-2104970</v>
      </c>
      <c r="G42" s="141">
        <v>31600000</v>
      </c>
      <c r="H42" s="141">
        <v>0</v>
      </c>
      <c r="I42" s="141">
        <v>-20000</v>
      </c>
      <c r="J42" s="141">
        <v>100000</v>
      </c>
      <c r="K42" s="141">
        <v>-400000</v>
      </c>
      <c r="L42" s="141">
        <v>31280000</v>
      </c>
      <c r="M42" s="141">
        <v>0</v>
      </c>
      <c r="N42" s="141">
        <v>0</v>
      </c>
      <c r="O42" s="141">
        <v>236602</v>
      </c>
      <c r="P42" s="141">
        <v>236602</v>
      </c>
      <c r="Q42" s="141">
        <v>-600000</v>
      </c>
      <c r="R42" s="141">
        <v>-14893417</v>
      </c>
      <c r="S42" s="141">
        <v>-11914734</v>
      </c>
      <c r="T42" s="141">
        <v>-2978684</v>
      </c>
      <c r="U42" s="141">
        <v>-272624</v>
      </c>
      <c r="V42" s="141">
        <v>-10000</v>
      </c>
      <c r="W42" s="141">
        <v>0</v>
      </c>
      <c r="X42" s="141">
        <v>-30669459</v>
      </c>
      <c r="Y42" s="857">
        <v>-1257827</v>
      </c>
      <c r="Z42" t="s">
        <v>1608</v>
      </c>
    </row>
    <row r="43" spans="1:26" ht="12.75" x14ac:dyDescent="0.2">
      <c r="A43" s="764">
        <v>36</v>
      </c>
      <c r="B43" s="765" t="s">
        <v>748</v>
      </c>
      <c r="C43" s="766" t="s">
        <v>1222</v>
      </c>
      <c r="D43" s="767" t="s">
        <v>1223</v>
      </c>
      <c r="E43" s="768" t="s">
        <v>747</v>
      </c>
      <c r="F43" s="141">
        <v>-2663310.0999999996</v>
      </c>
      <c r="G43" s="141">
        <v>93096206</v>
      </c>
      <c r="H43" s="141">
        <v>0</v>
      </c>
      <c r="I43" s="141">
        <v>-384705</v>
      </c>
      <c r="J43" s="141">
        <v>822014</v>
      </c>
      <c r="K43" s="141">
        <v>-2840889</v>
      </c>
      <c r="L43" s="141">
        <v>90692626</v>
      </c>
      <c r="M43" s="141">
        <v>3633769</v>
      </c>
      <c r="N43" s="141">
        <v>0</v>
      </c>
      <c r="O43" s="141">
        <v>968944</v>
      </c>
      <c r="P43" s="141">
        <v>4602713</v>
      </c>
      <c r="Q43" s="141">
        <v>0</v>
      </c>
      <c r="R43" s="141">
        <v>0</v>
      </c>
      <c r="S43" s="141">
        <v>-34115823</v>
      </c>
      <c r="T43" s="141">
        <v>-60650351</v>
      </c>
      <c r="U43" s="141">
        <v>-333958</v>
      </c>
      <c r="V43" s="141">
        <v>0</v>
      </c>
      <c r="W43" s="141">
        <v>0</v>
      </c>
      <c r="X43" s="141">
        <v>-95100132</v>
      </c>
      <c r="Y43" s="857">
        <v>-2468103.099999994</v>
      </c>
      <c r="Z43" t="s">
        <v>1609</v>
      </c>
    </row>
    <row r="44" spans="1:26" ht="12.75" x14ac:dyDescent="0.2">
      <c r="A44" s="764">
        <v>37</v>
      </c>
      <c r="B44" s="765" t="s">
        <v>750</v>
      </c>
      <c r="C44" s="766" t="s">
        <v>1217</v>
      </c>
      <c r="D44" s="767" t="s">
        <v>1227</v>
      </c>
      <c r="E44" s="768" t="s">
        <v>749</v>
      </c>
      <c r="F44" s="141">
        <v>-295986</v>
      </c>
      <c r="G44" s="141">
        <v>24963260</v>
      </c>
      <c r="H44" s="141">
        <v>0</v>
      </c>
      <c r="I44" s="141">
        <v>-249633</v>
      </c>
      <c r="J44" s="141">
        <v>1147245</v>
      </c>
      <c r="K44" s="141">
        <v>-2445330</v>
      </c>
      <c r="L44" s="141">
        <v>23415542</v>
      </c>
      <c r="M44" s="141">
        <v>0</v>
      </c>
      <c r="N44" s="141">
        <v>0</v>
      </c>
      <c r="O44" s="141">
        <v>0</v>
      </c>
      <c r="P44" s="141">
        <v>0</v>
      </c>
      <c r="Q44" s="141">
        <v>-597081</v>
      </c>
      <c r="R44" s="141">
        <v>-12341000</v>
      </c>
      <c r="S44" s="141">
        <v>-2468200</v>
      </c>
      <c r="T44" s="141">
        <v>-9872800</v>
      </c>
      <c r="U44" s="141">
        <v>-120902</v>
      </c>
      <c r="V44" s="141">
        <v>0</v>
      </c>
      <c r="W44" s="141">
        <v>-3481834</v>
      </c>
      <c r="X44" s="141">
        <v>-28881817</v>
      </c>
      <c r="Y44" s="857">
        <v>-5762261</v>
      </c>
      <c r="Z44" t="s">
        <v>1610</v>
      </c>
    </row>
    <row r="45" spans="1:26" ht="12.75" x14ac:dyDescent="0.2">
      <c r="A45" s="764">
        <v>38</v>
      </c>
      <c r="B45" s="765" t="s">
        <v>752</v>
      </c>
      <c r="C45" s="766" t="s">
        <v>1217</v>
      </c>
      <c r="D45" s="767" t="s">
        <v>1221</v>
      </c>
      <c r="E45" s="768" t="s">
        <v>751</v>
      </c>
      <c r="F45" s="141">
        <v>-590417.70000000298</v>
      </c>
      <c r="G45" s="141">
        <v>39879629</v>
      </c>
      <c r="H45" s="141">
        <v>0</v>
      </c>
      <c r="I45" s="141">
        <v>0</v>
      </c>
      <c r="J45" s="141">
        <v>0</v>
      </c>
      <c r="K45" s="141">
        <v>-636563</v>
      </c>
      <c r="L45" s="141">
        <v>39243066</v>
      </c>
      <c r="M45" s="141">
        <v>0</v>
      </c>
      <c r="N45" s="141">
        <v>0</v>
      </c>
      <c r="O45" s="141">
        <v>2242842</v>
      </c>
      <c r="P45" s="141">
        <v>2242842</v>
      </c>
      <c r="Q45" s="141">
        <v>-1101513</v>
      </c>
      <c r="R45" s="141">
        <v>-19403873</v>
      </c>
      <c r="S45" s="141">
        <v>-3880775</v>
      </c>
      <c r="T45" s="141">
        <v>-15635451</v>
      </c>
      <c r="U45" s="141">
        <v>0</v>
      </c>
      <c r="V45" s="141">
        <v>-2319984</v>
      </c>
      <c r="W45" s="141">
        <v>0</v>
      </c>
      <c r="X45" s="141">
        <v>-42341596</v>
      </c>
      <c r="Y45" s="857">
        <v>-1446105.700000003</v>
      </c>
      <c r="Z45" t="s">
        <v>1611</v>
      </c>
    </row>
    <row r="46" spans="1:26" ht="12.75" x14ac:dyDescent="0.2">
      <c r="A46" s="764">
        <v>39</v>
      </c>
      <c r="B46" s="765" t="s">
        <v>754</v>
      </c>
      <c r="C46" s="766" t="s">
        <v>1217</v>
      </c>
      <c r="D46" s="767" t="s">
        <v>1220</v>
      </c>
      <c r="E46" s="768" t="s">
        <v>753</v>
      </c>
      <c r="F46" s="141">
        <v>-1291453.6799999997</v>
      </c>
      <c r="G46" s="141">
        <v>26037264</v>
      </c>
      <c r="H46" s="141">
        <v>0</v>
      </c>
      <c r="I46" s="141">
        <v>-262400</v>
      </c>
      <c r="J46" s="141">
        <v>842000</v>
      </c>
      <c r="K46" s="141">
        <v>-317215</v>
      </c>
      <c r="L46" s="141">
        <v>26299649</v>
      </c>
      <c r="M46" s="141">
        <v>774537</v>
      </c>
      <c r="N46" s="141">
        <v>0</v>
      </c>
      <c r="O46" s="141">
        <v>1801859</v>
      </c>
      <c r="P46" s="141">
        <v>2576396</v>
      </c>
      <c r="Q46" s="141">
        <v>-65452</v>
      </c>
      <c r="R46" s="141">
        <v>-13887359</v>
      </c>
      <c r="S46" s="141">
        <v>-2799472</v>
      </c>
      <c r="T46" s="141">
        <v>-11197888</v>
      </c>
      <c r="U46" s="141">
        <v>-213272</v>
      </c>
      <c r="V46" s="141">
        <v>0</v>
      </c>
      <c r="W46" s="141">
        <v>0</v>
      </c>
      <c r="X46" s="141">
        <v>-28163443</v>
      </c>
      <c r="Y46" s="857">
        <v>-578851.6799999997</v>
      </c>
      <c r="Z46" t="s">
        <v>1612</v>
      </c>
    </row>
    <row r="47" spans="1:26" ht="12.75" x14ac:dyDescent="0.2">
      <c r="A47" s="764">
        <v>40</v>
      </c>
      <c r="B47" s="765" t="s">
        <v>756</v>
      </c>
      <c r="C47" s="766" t="s">
        <v>1217</v>
      </c>
      <c r="D47" s="767" t="s">
        <v>1219</v>
      </c>
      <c r="E47" s="768" t="s">
        <v>755</v>
      </c>
      <c r="F47" s="141">
        <v>1016702</v>
      </c>
      <c r="G47" s="141">
        <v>29689897</v>
      </c>
      <c r="H47" s="141">
        <v>-374799</v>
      </c>
      <c r="I47" s="141">
        <v>0</v>
      </c>
      <c r="J47" s="141">
        <v>245363</v>
      </c>
      <c r="K47" s="141">
        <v>-792150</v>
      </c>
      <c r="L47" s="141">
        <v>28768311</v>
      </c>
      <c r="M47" s="141">
        <v>0</v>
      </c>
      <c r="N47" s="141">
        <v>0</v>
      </c>
      <c r="O47" s="141">
        <v>0</v>
      </c>
      <c r="P47" s="141">
        <v>0</v>
      </c>
      <c r="Q47" s="141">
        <v>-759926</v>
      </c>
      <c r="R47" s="141">
        <v>-13674179</v>
      </c>
      <c r="S47" s="141">
        <v>-2734836</v>
      </c>
      <c r="T47" s="141">
        <v>-10939343</v>
      </c>
      <c r="U47" s="141">
        <v>-383303</v>
      </c>
      <c r="V47" s="141">
        <v>0</v>
      </c>
      <c r="W47" s="141">
        <v>-1293426</v>
      </c>
      <c r="X47" s="141">
        <v>-29785013</v>
      </c>
      <c r="Y47" s="857">
        <v>0</v>
      </c>
      <c r="Z47" t="s">
        <v>1613</v>
      </c>
    </row>
    <row r="48" spans="1:26" ht="12.75" x14ac:dyDescent="0.2">
      <c r="A48" s="764">
        <v>41</v>
      </c>
      <c r="B48" s="765" t="s">
        <v>758</v>
      </c>
      <c r="C48" s="766" t="s">
        <v>1224</v>
      </c>
      <c r="D48" s="767" t="s">
        <v>1219</v>
      </c>
      <c r="E48" s="768" t="s">
        <v>757</v>
      </c>
      <c r="F48" s="141">
        <v>-5084277</v>
      </c>
      <c r="G48" s="141">
        <v>52330377</v>
      </c>
      <c r="H48" s="141">
        <v>0</v>
      </c>
      <c r="I48" s="141">
        <v>-500000</v>
      </c>
      <c r="J48" s="141">
        <v>0</v>
      </c>
      <c r="K48" s="141">
        <v>-2616519</v>
      </c>
      <c r="L48" s="141">
        <v>49213858</v>
      </c>
      <c r="M48" s="141">
        <v>0</v>
      </c>
      <c r="N48" s="141">
        <v>0</v>
      </c>
      <c r="O48" s="141">
        <v>1980292</v>
      </c>
      <c r="P48" s="141">
        <v>1980292</v>
      </c>
      <c r="Q48" s="141">
        <v>-885101</v>
      </c>
      <c r="R48" s="141">
        <v>0</v>
      </c>
      <c r="S48" s="141">
        <v>-469543</v>
      </c>
      <c r="T48" s="141">
        <v>-46484711</v>
      </c>
      <c r="U48" s="141">
        <v>-239552</v>
      </c>
      <c r="V48" s="141">
        <v>0</v>
      </c>
      <c r="W48" s="141">
        <v>0</v>
      </c>
      <c r="X48" s="141">
        <v>-48078907</v>
      </c>
      <c r="Y48" s="857">
        <v>-1969034</v>
      </c>
      <c r="Z48" t="s">
        <v>1614</v>
      </c>
    </row>
    <row r="49" spans="1:26" ht="12.75" x14ac:dyDescent="0.2">
      <c r="A49" s="764">
        <v>42</v>
      </c>
      <c r="B49" s="765" t="s">
        <v>760</v>
      </c>
      <c r="C49" s="766" t="s">
        <v>1224</v>
      </c>
      <c r="D49" s="767" t="s">
        <v>1225</v>
      </c>
      <c r="E49" s="768" t="s">
        <v>759</v>
      </c>
      <c r="F49" s="141">
        <v>1935020</v>
      </c>
      <c r="G49" s="141">
        <v>58259003</v>
      </c>
      <c r="H49" s="141">
        <v>0</v>
      </c>
      <c r="I49" s="141">
        <v>-1031140</v>
      </c>
      <c r="J49" s="141">
        <v>0</v>
      </c>
      <c r="K49" s="141">
        <v>-3134953</v>
      </c>
      <c r="L49" s="141">
        <v>54092910</v>
      </c>
      <c r="M49" s="141">
        <v>0</v>
      </c>
      <c r="N49" s="141">
        <v>0</v>
      </c>
      <c r="O49" s="141">
        <v>1211775</v>
      </c>
      <c r="P49" s="141">
        <v>1211775</v>
      </c>
      <c r="Q49" s="141">
        <v>-169785</v>
      </c>
      <c r="R49" s="141">
        <v>0</v>
      </c>
      <c r="S49" s="141">
        <v>-540524</v>
      </c>
      <c r="T49" s="141">
        <v>-53511923</v>
      </c>
      <c r="U49" s="141">
        <v>-559362</v>
      </c>
      <c r="V49" s="141">
        <v>-258981</v>
      </c>
      <c r="W49" s="141">
        <v>0</v>
      </c>
      <c r="X49" s="141">
        <v>-55040575</v>
      </c>
      <c r="Y49" s="857">
        <v>2199130</v>
      </c>
      <c r="Z49" t="s">
        <v>1615</v>
      </c>
    </row>
    <row r="50" spans="1:26" ht="12.75" x14ac:dyDescent="0.2">
      <c r="A50" s="764">
        <v>43</v>
      </c>
      <c r="B50" s="765" t="s">
        <v>762</v>
      </c>
      <c r="C50" s="766" t="s">
        <v>1217</v>
      </c>
      <c r="D50" s="767" t="s">
        <v>1221</v>
      </c>
      <c r="E50" s="768" t="s">
        <v>761</v>
      </c>
      <c r="F50" s="141">
        <v>722953</v>
      </c>
      <c r="G50" s="141">
        <v>110224590</v>
      </c>
      <c r="H50" s="141">
        <v>0</v>
      </c>
      <c r="I50" s="141">
        <v>-570000</v>
      </c>
      <c r="J50" s="141">
        <v>1842093</v>
      </c>
      <c r="K50" s="141">
        <v>-6936724</v>
      </c>
      <c r="L50" s="141">
        <v>104559959</v>
      </c>
      <c r="M50" s="141">
        <v>0</v>
      </c>
      <c r="N50" s="141">
        <v>0</v>
      </c>
      <c r="O50" s="141">
        <v>1065429</v>
      </c>
      <c r="P50" s="141">
        <v>1065429</v>
      </c>
      <c r="Q50" s="141">
        <v>-19785</v>
      </c>
      <c r="R50" s="141">
        <v>-53512122</v>
      </c>
      <c r="S50" s="141">
        <v>-10702424</v>
      </c>
      <c r="T50" s="141">
        <v>-42809697</v>
      </c>
      <c r="U50" s="141">
        <v>-234320</v>
      </c>
      <c r="V50" s="141">
        <v>0</v>
      </c>
      <c r="W50" s="141">
        <v>0</v>
      </c>
      <c r="X50" s="141">
        <v>-107278348</v>
      </c>
      <c r="Y50" s="857">
        <v>-930007</v>
      </c>
      <c r="Z50" t="s">
        <v>1616</v>
      </c>
    </row>
    <row r="51" spans="1:26" ht="12.75" x14ac:dyDescent="0.2">
      <c r="A51" s="764">
        <v>44</v>
      </c>
      <c r="B51" s="765" t="s">
        <v>764</v>
      </c>
      <c r="C51" s="766" t="s">
        <v>1228</v>
      </c>
      <c r="D51" s="767" t="s">
        <v>1223</v>
      </c>
      <c r="E51" s="768" t="s">
        <v>763</v>
      </c>
      <c r="F51" s="141">
        <v>-40831875</v>
      </c>
      <c r="G51" s="141">
        <v>625819524</v>
      </c>
      <c r="H51" s="141">
        <v>0</v>
      </c>
      <c r="I51" s="141">
        <v>-3000000</v>
      </c>
      <c r="J51" s="141">
        <v>35586675</v>
      </c>
      <c r="K51" s="141">
        <v>-36851192</v>
      </c>
      <c r="L51" s="141">
        <v>621555007</v>
      </c>
      <c r="M51" s="141">
        <v>17929018</v>
      </c>
      <c r="N51" s="141">
        <v>0</v>
      </c>
      <c r="O51" s="141">
        <v>33374865</v>
      </c>
      <c r="P51" s="141">
        <v>51303883</v>
      </c>
      <c r="Q51" s="141">
        <v>-997325</v>
      </c>
      <c r="R51" s="141">
        <v>0</v>
      </c>
      <c r="S51" s="141">
        <v>-231120000</v>
      </c>
      <c r="T51" s="141">
        <v>-410880000</v>
      </c>
      <c r="U51" s="141">
        <v>-1262515</v>
      </c>
      <c r="V51" s="141">
        <v>0</v>
      </c>
      <c r="W51" s="141">
        <v>0</v>
      </c>
      <c r="X51" s="141">
        <v>-644259840</v>
      </c>
      <c r="Y51" s="857">
        <v>-12232825</v>
      </c>
      <c r="Z51" t="s">
        <v>1617</v>
      </c>
    </row>
    <row r="52" spans="1:26" ht="12.75" x14ac:dyDescent="0.2">
      <c r="A52" s="764">
        <v>45</v>
      </c>
      <c r="B52" s="765" t="s">
        <v>766</v>
      </c>
      <c r="C52" s="766" t="s">
        <v>1217</v>
      </c>
      <c r="D52" s="767" t="s">
        <v>1227</v>
      </c>
      <c r="E52" s="768" t="s">
        <v>765</v>
      </c>
      <c r="F52" s="141">
        <v>654507</v>
      </c>
      <c r="G52" s="141">
        <v>33273784</v>
      </c>
      <c r="H52" s="141">
        <v>0</v>
      </c>
      <c r="I52" s="141">
        <v>-250000</v>
      </c>
      <c r="J52" s="141">
        <v>263768</v>
      </c>
      <c r="K52" s="141">
        <v>-1769487</v>
      </c>
      <c r="L52" s="141">
        <v>31518065</v>
      </c>
      <c r="M52" s="141">
        <v>0</v>
      </c>
      <c r="N52" s="141">
        <v>0</v>
      </c>
      <c r="O52" s="141">
        <v>297724</v>
      </c>
      <c r="P52" s="141">
        <v>297724</v>
      </c>
      <c r="Q52" s="141">
        <v>-376528</v>
      </c>
      <c r="R52" s="141">
        <v>-15798509</v>
      </c>
      <c r="S52" s="141">
        <v>-3159702</v>
      </c>
      <c r="T52" s="141">
        <v>-12638808</v>
      </c>
      <c r="U52" s="141">
        <v>0</v>
      </c>
      <c r="V52" s="141">
        <v>-132868</v>
      </c>
      <c r="W52" s="141">
        <v>0</v>
      </c>
      <c r="X52" s="141">
        <v>-32106415</v>
      </c>
      <c r="Y52" s="857">
        <v>363881</v>
      </c>
      <c r="Z52" t="s">
        <v>1618</v>
      </c>
    </row>
    <row r="53" spans="1:26" ht="12.75" x14ac:dyDescent="0.2">
      <c r="A53" s="764">
        <v>46</v>
      </c>
      <c r="B53" s="765" t="s">
        <v>768</v>
      </c>
      <c r="C53" s="766" t="s">
        <v>1217</v>
      </c>
      <c r="D53" s="767" t="s">
        <v>1218</v>
      </c>
      <c r="E53" s="768" t="s">
        <v>767</v>
      </c>
      <c r="F53" s="141">
        <v>1021231</v>
      </c>
      <c r="G53" s="141">
        <v>54649584</v>
      </c>
      <c r="H53" s="141">
        <v>0</v>
      </c>
      <c r="I53" s="141">
        <v>-100000</v>
      </c>
      <c r="J53" s="141">
        <v>1680000</v>
      </c>
      <c r="K53" s="141">
        <v>-2030978</v>
      </c>
      <c r="L53" s="141">
        <v>54198606</v>
      </c>
      <c r="M53" s="141">
        <v>0</v>
      </c>
      <c r="N53" s="141">
        <v>0</v>
      </c>
      <c r="O53" s="141">
        <v>76354</v>
      </c>
      <c r="P53" s="141">
        <v>76354</v>
      </c>
      <c r="Q53" s="141">
        <v>-2159157</v>
      </c>
      <c r="R53" s="141">
        <v>0</v>
      </c>
      <c r="S53" s="141">
        <v>-29974262</v>
      </c>
      <c r="T53" s="141">
        <v>-19982841</v>
      </c>
      <c r="U53" s="141">
        <v>-228946</v>
      </c>
      <c r="V53" s="141">
        <v>0</v>
      </c>
      <c r="W53" s="141">
        <v>0</v>
      </c>
      <c r="X53" s="141">
        <v>-52345206</v>
      </c>
      <c r="Y53" s="857">
        <v>2950985</v>
      </c>
      <c r="Z53" t="s">
        <v>1619</v>
      </c>
    </row>
    <row r="54" spans="1:26" ht="12.75" x14ac:dyDescent="0.2">
      <c r="A54" s="764">
        <v>47</v>
      </c>
      <c r="B54" s="765" t="s">
        <v>770</v>
      </c>
      <c r="C54" s="766" t="s">
        <v>1217</v>
      </c>
      <c r="D54" s="767" t="s">
        <v>1219</v>
      </c>
      <c r="E54" s="768" t="s">
        <v>769</v>
      </c>
      <c r="F54" s="141">
        <v>-1251729</v>
      </c>
      <c r="G54" s="141">
        <v>44485113</v>
      </c>
      <c r="H54" s="141">
        <v>-27790</v>
      </c>
      <c r="I54" s="141">
        <v>-290816</v>
      </c>
      <c r="J54" s="141">
        <v>272611</v>
      </c>
      <c r="K54" s="141">
        <v>-1829688</v>
      </c>
      <c r="L54" s="141">
        <v>42609430</v>
      </c>
      <c r="M54" s="141">
        <v>0</v>
      </c>
      <c r="N54" s="141">
        <v>0</v>
      </c>
      <c r="O54" s="141">
        <v>2088787</v>
      </c>
      <c r="P54" s="141">
        <v>2088787</v>
      </c>
      <c r="Q54" s="141">
        <v>-1735370</v>
      </c>
      <c r="R54" s="141">
        <v>-20377551</v>
      </c>
      <c r="S54" s="141">
        <v>-4076422</v>
      </c>
      <c r="T54" s="141">
        <v>-16305689</v>
      </c>
      <c r="U54" s="141">
        <v>-448024</v>
      </c>
      <c r="V54" s="141">
        <v>-53137</v>
      </c>
      <c r="W54" s="141">
        <v>0</v>
      </c>
      <c r="X54" s="141">
        <v>-42996193</v>
      </c>
      <c r="Y54" s="857">
        <v>450295</v>
      </c>
      <c r="Z54" t="s">
        <v>1620</v>
      </c>
    </row>
    <row r="55" spans="1:26" ht="12.75" x14ac:dyDescent="0.2">
      <c r="A55" s="764">
        <v>48</v>
      </c>
      <c r="B55" s="765" t="s">
        <v>772</v>
      </c>
      <c r="C55" s="766" t="s">
        <v>1217</v>
      </c>
      <c r="D55" s="767" t="s">
        <v>1221</v>
      </c>
      <c r="E55" s="768" t="s">
        <v>771</v>
      </c>
      <c r="F55" s="141">
        <v>-321871</v>
      </c>
      <c r="G55" s="141">
        <v>14620476</v>
      </c>
      <c r="H55" s="141">
        <v>-99503</v>
      </c>
      <c r="I55" s="141">
        <v>-46702</v>
      </c>
      <c r="J55" s="141">
        <v>39339</v>
      </c>
      <c r="K55" s="141">
        <v>-806339</v>
      </c>
      <c r="L55" s="141">
        <v>13707271</v>
      </c>
      <c r="M55" s="141">
        <v>0</v>
      </c>
      <c r="N55" s="141">
        <v>0</v>
      </c>
      <c r="O55" s="141">
        <v>275752</v>
      </c>
      <c r="P55" s="141">
        <v>275752</v>
      </c>
      <c r="Q55" s="141">
        <v>-60531</v>
      </c>
      <c r="R55" s="141">
        <v>-6975115</v>
      </c>
      <c r="S55" s="141">
        <v>-1395023</v>
      </c>
      <c r="T55" s="141">
        <v>-5580092</v>
      </c>
      <c r="U55" s="141">
        <v>-78327</v>
      </c>
      <c r="V55" s="141">
        <v>0</v>
      </c>
      <c r="W55" s="141">
        <v>0</v>
      </c>
      <c r="X55" s="141">
        <v>-14089088</v>
      </c>
      <c r="Y55" s="857">
        <v>-427936</v>
      </c>
      <c r="Z55" t="s">
        <v>1621</v>
      </c>
    </row>
    <row r="56" spans="1:26" ht="12.75" x14ac:dyDescent="0.2">
      <c r="A56" s="764">
        <v>49</v>
      </c>
      <c r="B56" s="765" t="s">
        <v>774</v>
      </c>
      <c r="C56" s="766" t="s">
        <v>529</v>
      </c>
      <c r="D56" s="767" t="s">
        <v>1221</v>
      </c>
      <c r="E56" s="768" t="s">
        <v>773</v>
      </c>
      <c r="F56" s="141">
        <v>-1414579</v>
      </c>
      <c r="G56" s="141">
        <v>86973000</v>
      </c>
      <c r="H56" s="141">
        <v>-297000</v>
      </c>
      <c r="I56" s="141">
        <v>-947000</v>
      </c>
      <c r="J56" s="141">
        <v>0</v>
      </c>
      <c r="K56" s="141">
        <v>0</v>
      </c>
      <c r="L56" s="141">
        <v>85729000</v>
      </c>
      <c r="M56" s="141">
        <v>0</v>
      </c>
      <c r="N56" s="141">
        <v>0</v>
      </c>
      <c r="O56" s="141">
        <v>1927000</v>
      </c>
      <c r="P56" s="141">
        <v>1927000</v>
      </c>
      <c r="Q56" s="141">
        <v>-598000</v>
      </c>
      <c r="R56" s="141">
        <v>-43079000</v>
      </c>
      <c r="S56" s="141">
        <v>-862000</v>
      </c>
      <c r="T56" s="141">
        <v>-42217000</v>
      </c>
      <c r="U56" s="141">
        <v>-666000</v>
      </c>
      <c r="V56" s="141">
        <v>0</v>
      </c>
      <c r="W56" s="141">
        <v>0</v>
      </c>
      <c r="X56" s="141">
        <v>-87422000</v>
      </c>
      <c r="Y56" s="857">
        <v>-1180579</v>
      </c>
      <c r="Z56" t="s">
        <v>1622</v>
      </c>
    </row>
    <row r="57" spans="1:26" ht="12.75" x14ac:dyDescent="0.2">
      <c r="A57" s="764">
        <v>50</v>
      </c>
      <c r="B57" s="765" t="s">
        <v>776</v>
      </c>
      <c r="C57" s="766" t="s">
        <v>1217</v>
      </c>
      <c r="D57" s="767" t="s">
        <v>1220</v>
      </c>
      <c r="E57" s="768" t="s">
        <v>775</v>
      </c>
      <c r="F57" s="141">
        <v>-1636537</v>
      </c>
      <c r="G57" s="141">
        <v>47568518</v>
      </c>
      <c r="H57" s="141">
        <v>0</v>
      </c>
      <c r="I57" s="141">
        <v>266520</v>
      </c>
      <c r="J57" s="141">
        <v>204813</v>
      </c>
      <c r="K57" s="141">
        <v>-3269690</v>
      </c>
      <c r="L57" s="141">
        <v>44770161</v>
      </c>
      <c r="M57" s="141">
        <v>905898</v>
      </c>
      <c r="N57" s="141">
        <v>0</v>
      </c>
      <c r="O57" s="141">
        <v>776481</v>
      </c>
      <c r="P57" s="141">
        <v>1682379</v>
      </c>
      <c r="Q57" s="141">
        <v>0</v>
      </c>
      <c r="R57" s="141">
        <v>-22942905</v>
      </c>
      <c r="S57" s="141">
        <v>-4588581</v>
      </c>
      <c r="T57" s="141">
        <v>-18354324</v>
      </c>
      <c r="U57" s="141">
        <v>-572128</v>
      </c>
      <c r="V57" s="141">
        <v>0</v>
      </c>
      <c r="W57" s="141">
        <v>0</v>
      </c>
      <c r="X57" s="141">
        <v>-46457938</v>
      </c>
      <c r="Y57" s="857">
        <v>-1641935</v>
      </c>
      <c r="Z57" t="s">
        <v>1623</v>
      </c>
    </row>
    <row r="58" spans="1:26" ht="12.75" x14ac:dyDescent="0.2">
      <c r="A58" s="764">
        <v>51</v>
      </c>
      <c r="B58" s="765" t="s">
        <v>778</v>
      </c>
      <c r="C58" s="766" t="s">
        <v>1217</v>
      </c>
      <c r="D58" s="767" t="s">
        <v>1221</v>
      </c>
      <c r="E58" s="768" t="s">
        <v>777</v>
      </c>
      <c r="F58" s="141">
        <v>723182</v>
      </c>
      <c r="G58" s="141">
        <v>81589344</v>
      </c>
      <c r="H58" s="141">
        <v>-332282</v>
      </c>
      <c r="I58" s="141">
        <v>-478922</v>
      </c>
      <c r="J58" s="141">
        <v>1781514</v>
      </c>
      <c r="K58" s="141">
        <v>-2004692</v>
      </c>
      <c r="L58" s="141">
        <v>80554962</v>
      </c>
      <c r="M58" s="141">
        <v>0</v>
      </c>
      <c r="N58" s="141">
        <v>0</v>
      </c>
      <c r="O58" s="141">
        <v>823267</v>
      </c>
      <c r="P58" s="141">
        <v>823267</v>
      </c>
      <c r="Q58" s="141">
        <v>-1875854</v>
      </c>
      <c r="R58" s="141">
        <v>-38995452</v>
      </c>
      <c r="S58" s="141">
        <v>-7799090</v>
      </c>
      <c r="T58" s="141">
        <v>-31196362</v>
      </c>
      <c r="U58" s="141">
        <v>-217641</v>
      </c>
      <c r="V58" s="141">
        <v>0</v>
      </c>
      <c r="W58" s="141">
        <v>0</v>
      </c>
      <c r="X58" s="141">
        <v>-80084399</v>
      </c>
      <c r="Y58" s="857">
        <v>2017012</v>
      </c>
      <c r="Z58" t="s">
        <v>1624</v>
      </c>
    </row>
    <row r="59" spans="1:26" ht="12.75" x14ac:dyDescent="0.2">
      <c r="A59" s="764">
        <v>52</v>
      </c>
      <c r="B59" s="765" t="s">
        <v>780</v>
      </c>
      <c r="C59" s="766" t="s">
        <v>1217</v>
      </c>
      <c r="D59" s="767" t="s">
        <v>1226</v>
      </c>
      <c r="E59" s="768" t="s">
        <v>779</v>
      </c>
      <c r="F59" s="141">
        <v>-1681484</v>
      </c>
      <c r="G59" s="141">
        <v>55301258</v>
      </c>
      <c r="H59" s="141">
        <v>0</v>
      </c>
      <c r="I59" s="141">
        <v>-300000</v>
      </c>
      <c r="J59" s="141">
        <v>1646000</v>
      </c>
      <c r="K59" s="141">
        <v>-1220000</v>
      </c>
      <c r="L59" s="141">
        <v>55427258</v>
      </c>
      <c r="M59" s="141">
        <v>0</v>
      </c>
      <c r="N59" s="141">
        <v>0</v>
      </c>
      <c r="O59" s="141">
        <v>1864275</v>
      </c>
      <c r="P59" s="141">
        <v>1864275</v>
      </c>
      <c r="Q59" s="141">
        <v>-1256818</v>
      </c>
      <c r="R59" s="141">
        <v>0</v>
      </c>
      <c r="S59" s="141">
        <v>-27178479</v>
      </c>
      <c r="T59" s="141">
        <v>-27178479</v>
      </c>
      <c r="U59" s="141">
        <v>-170056</v>
      </c>
      <c r="V59" s="141">
        <v>0</v>
      </c>
      <c r="W59" s="141">
        <v>0</v>
      </c>
      <c r="X59" s="141">
        <v>-55783832</v>
      </c>
      <c r="Y59" s="857">
        <v>-173783</v>
      </c>
      <c r="Z59" t="s">
        <v>1625</v>
      </c>
    </row>
    <row r="60" spans="1:26" ht="12.75" x14ac:dyDescent="0.2">
      <c r="A60" s="764">
        <v>53</v>
      </c>
      <c r="B60" s="765" t="s">
        <v>782</v>
      </c>
      <c r="C60" s="766" t="s">
        <v>1217</v>
      </c>
      <c r="D60" s="767" t="s">
        <v>1218</v>
      </c>
      <c r="E60" s="768" t="s">
        <v>781</v>
      </c>
      <c r="F60" s="141">
        <v>2000181</v>
      </c>
      <c r="G60" s="141">
        <v>92548145</v>
      </c>
      <c r="H60" s="141">
        <v>-100000</v>
      </c>
      <c r="I60" s="141">
        <v>-77777</v>
      </c>
      <c r="J60" s="141">
        <v>2040669</v>
      </c>
      <c r="K60" s="141">
        <v>-4951408</v>
      </c>
      <c r="L60" s="141">
        <v>89459629</v>
      </c>
      <c r="M60" s="141">
        <v>4271763</v>
      </c>
      <c r="N60" s="141">
        <v>0</v>
      </c>
      <c r="O60" s="141">
        <v>0</v>
      </c>
      <c r="P60" s="141">
        <v>4271763</v>
      </c>
      <c r="Q60" s="141">
        <v>0</v>
      </c>
      <c r="R60" s="141">
        <v>-46285719</v>
      </c>
      <c r="S60" s="141">
        <v>-9257144</v>
      </c>
      <c r="T60" s="141">
        <v>-37028575</v>
      </c>
      <c r="U60" s="141">
        <v>-716567</v>
      </c>
      <c r="V60" s="141">
        <v>-10148</v>
      </c>
      <c r="W60" s="141">
        <v>-558264</v>
      </c>
      <c r="X60" s="141">
        <v>-93856417</v>
      </c>
      <c r="Y60" s="857">
        <v>1875156</v>
      </c>
      <c r="Z60" t="s">
        <v>1626</v>
      </c>
    </row>
    <row r="61" spans="1:26" ht="12.75" x14ac:dyDescent="0.2">
      <c r="A61" s="764">
        <v>54</v>
      </c>
      <c r="B61" s="765" t="s">
        <v>784</v>
      </c>
      <c r="C61" s="766" t="s">
        <v>529</v>
      </c>
      <c r="D61" s="767" t="s">
        <v>1219</v>
      </c>
      <c r="E61" s="768" t="s">
        <v>783</v>
      </c>
      <c r="F61" s="141">
        <v>1607957</v>
      </c>
      <c r="G61" s="141">
        <v>138599324</v>
      </c>
      <c r="H61" s="141">
        <v>0</v>
      </c>
      <c r="I61" s="141">
        <v>-1418344</v>
      </c>
      <c r="J61" s="141">
        <v>8302145</v>
      </c>
      <c r="K61" s="141">
        <v>-11049067</v>
      </c>
      <c r="L61" s="141">
        <v>134434058</v>
      </c>
      <c r="M61" s="141">
        <v>0</v>
      </c>
      <c r="N61" s="141">
        <v>0</v>
      </c>
      <c r="O61" s="141">
        <v>0</v>
      </c>
      <c r="P61" s="141">
        <v>0</v>
      </c>
      <c r="Q61" s="141">
        <v>-883328</v>
      </c>
      <c r="R61" s="141">
        <v>-67881797</v>
      </c>
      <c r="S61" s="141">
        <v>-1357636</v>
      </c>
      <c r="T61" s="141">
        <v>-66524162</v>
      </c>
      <c r="U61" s="141">
        <v>-662098</v>
      </c>
      <c r="V61" s="141">
        <v>0</v>
      </c>
      <c r="W61" s="141">
        <v>-623827</v>
      </c>
      <c r="X61" s="141">
        <v>-137932848</v>
      </c>
      <c r="Y61" s="857">
        <v>-1890833</v>
      </c>
      <c r="Z61" t="s">
        <v>1627</v>
      </c>
    </row>
    <row r="62" spans="1:26" ht="12.75" x14ac:dyDescent="0.2">
      <c r="A62" s="764">
        <v>55</v>
      </c>
      <c r="B62" s="765" t="s">
        <v>785</v>
      </c>
      <c r="C62" s="766" t="s">
        <v>529</v>
      </c>
      <c r="D62" s="767" t="s">
        <v>1219</v>
      </c>
      <c r="E62" s="768" t="s">
        <v>551</v>
      </c>
      <c r="F62" s="141">
        <v>1597794</v>
      </c>
      <c r="G62" s="141">
        <v>153656000</v>
      </c>
      <c r="H62" s="141">
        <v>0</v>
      </c>
      <c r="I62" s="141">
        <v>-2000000</v>
      </c>
      <c r="J62" s="141">
        <v>9500000</v>
      </c>
      <c r="K62" s="141">
        <v>-15500000</v>
      </c>
      <c r="L62" s="141">
        <v>145656000</v>
      </c>
      <c r="M62" s="141">
        <v>0</v>
      </c>
      <c r="N62" s="141">
        <v>0</v>
      </c>
      <c r="O62" s="141">
        <v>0</v>
      </c>
      <c r="P62" s="141">
        <v>0</v>
      </c>
      <c r="Q62" s="141">
        <v>-8000000</v>
      </c>
      <c r="R62" s="141">
        <v>-69558403</v>
      </c>
      <c r="S62" s="141">
        <v>-1395004</v>
      </c>
      <c r="T62" s="141">
        <v>-68355177</v>
      </c>
      <c r="U62" s="141">
        <v>-1043194</v>
      </c>
      <c r="V62" s="141">
        <v>-232000</v>
      </c>
      <c r="W62" s="141">
        <v>0</v>
      </c>
      <c r="X62" s="141">
        <v>-148583778</v>
      </c>
      <c r="Y62" s="857">
        <v>-1329984</v>
      </c>
      <c r="Z62" t="s">
        <v>1628</v>
      </c>
    </row>
    <row r="63" spans="1:26" ht="12.75" x14ac:dyDescent="0.2">
      <c r="A63" s="764">
        <v>56</v>
      </c>
      <c r="B63" s="765" t="s">
        <v>787</v>
      </c>
      <c r="C63" s="766" t="s">
        <v>1217</v>
      </c>
      <c r="D63" s="767" t="s">
        <v>1220</v>
      </c>
      <c r="E63" s="768" t="s">
        <v>786</v>
      </c>
      <c r="F63" s="141">
        <v>-3900277</v>
      </c>
      <c r="G63" s="141">
        <v>39747462</v>
      </c>
      <c r="H63" s="141">
        <v>0</v>
      </c>
      <c r="I63" s="141">
        <v>-1369</v>
      </c>
      <c r="J63" s="141">
        <v>758128</v>
      </c>
      <c r="K63" s="141">
        <v>-2102210</v>
      </c>
      <c r="L63" s="141">
        <v>38402011</v>
      </c>
      <c r="M63" s="141">
        <v>0</v>
      </c>
      <c r="N63" s="141">
        <v>0</v>
      </c>
      <c r="O63" s="141">
        <v>720089</v>
      </c>
      <c r="P63" s="141">
        <v>720089</v>
      </c>
      <c r="Q63" s="141">
        <v>-151219</v>
      </c>
      <c r="R63" s="141">
        <v>0</v>
      </c>
      <c r="S63" s="141">
        <v>-18114224</v>
      </c>
      <c r="T63" s="141">
        <v>-18114224</v>
      </c>
      <c r="U63" s="141">
        <v>-1429478</v>
      </c>
      <c r="V63" s="141">
        <v>0</v>
      </c>
      <c r="W63" s="141">
        <v>0</v>
      </c>
      <c r="X63" s="141">
        <v>-37809145</v>
      </c>
      <c r="Y63" s="857">
        <v>-2587322</v>
      </c>
      <c r="Z63" t="s">
        <v>1629</v>
      </c>
    </row>
    <row r="64" spans="1:26" ht="12.75" x14ac:dyDescent="0.2">
      <c r="A64" s="764">
        <v>57</v>
      </c>
      <c r="B64" s="765" t="s">
        <v>789</v>
      </c>
      <c r="C64" s="766" t="s">
        <v>1217</v>
      </c>
      <c r="D64" s="767" t="s">
        <v>1218</v>
      </c>
      <c r="E64" s="768" t="s">
        <v>788</v>
      </c>
      <c r="F64" s="141">
        <v>-1744182</v>
      </c>
      <c r="G64" s="141">
        <v>49532450</v>
      </c>
      <c r="H64" s="141">
        <v>0</v>
      </c>
      <c r="I64" s="141">
        <v>-350000</v>
      </c>
      <c r="J64" s="141">
        <v>0</v>
      </c>
      <c r="K64" s="141">
        <v>-2300000</v>
      </c>
      <c r="L64" s="141">
        <v>46882450</v>
      </c>
      <c r="M64" s="141">
        <v>911050</v>
      </c>
      <c r="N64" s="141">
        <v>0</v>
      </c>
      <c r="O64" s="141">
        <v>2264417</v>
      </c>
      <c r="P64" s="141">
        <v>3175467</v>
      </c>
      <c r="Q64" s="141">
        <v>0</v>
      </c>
      <c r="R64" s="141">
        <v>-23964137</v>
      </c>
      <c r="S64" s="141">
        <v>-4792827</v>
      </c>
      <c r="T64" s="141">
        <v>-19171310</v>
      </c>
      <c r="U64" s="141">
        <v>-325829</v>
      </c>
      <c r="V64" s="141">
        <v>0</v>
      </c>
      <c r="W64" s="141">
        <v>0</v>
      </c>
      <c r="X64" s="141">
        <v>-48254103</v>
      </c>
      <c r="Y64" s="857">
        <v>59632</v>
      </c>
      <c r="Z64" t="s">
        <v>1630</v>
      </c>
    </row>
    <row r="65" spans="1:26" ht="12.75" x14ac:dyDescent="0.2">
      <c r="A65" s="764">
        <v>58</v>
      </c>
      <c r="B65" s="765" t="s">
        <v>791</v>
      </c>
      <c r="C65" s="766" t="s">
        <v>1217</v>
      </c>
      <c r="D65" s="767" t="s">
        <v>1218</v>
      </c>
      <c r="E65" s="768" t="s">
        <v>790</v>
      </c>
      <c r="F65" s="141">
        <v>-2619091</v>
      </c>
      <c r="G65" s="141">
        <v>21082658</v>
      </c>
      <c r="H65" s="141">
        <v>0</v>
      </c>
      <c r="I65" s="141">
        <v>41576</v>
      </c>
      <c r="J65" s="141">
        <v>134947</v>
      </c>
      <c r="K65" s="141">
        <v>342182</v>
      </c>
      <c r="L65" s="141">
        <v>21601363</v>
      </c>
      <c r="M65" s="141">
        <v>598371</v>
      </c>
      <c r="N65" s="141">
        <v>0</v>
      </c>
      <c r="O65" s="141">
        <v>737588</v>
      </c>
      <c r="P65" s="141">
        <v>1335959</v>
      </c>
      <c r="Q65" s="141">
        <v>0</v>
      </c>
      <c r="R65" s="141">
        <v>-10694909</v>
      </c>
      <c r="S65" s="141">
        <v>-2138982</v>
      </c>
      <c r="T65" s="141">
        <v>-8555927</v>
      </c>
      <c r="U65" s="141">
        <v>-110239</v>
      </c>
      <c r="V65" s="141">
        <v>0</v>
      </c>
      <c r="W65" s="141">
        <v>0</v>
      </c>
      <c r="X65" s="141">
        <v>-21500057</v>
      </c>
      <c r="Y65" s="857">
        <v>-1181826</v>
      </c>
      <c r="Z65" t="s">
        <v>1631</v>
      </c>
    </row>
    <row r="66" spans="1:26" ht="12.75" x14ac:dyDescent="0.2">
      <c r="A66" s="764">
        <v>59</v>
      </c>
      <c r="B66" s="765" t="s">
        <v>793</v>
      </c>
      <c r="C66" s="766" t="s">
        <v>1217</v>
      </c>
      <c r="D66" s="767" t="s">
        <v>1219</v>
      </c>
      <c r="E66" s="768" t="s">
        <v>792</v>
      </c>
      <c r="F66" s="141">
        <v>-1414596</v>
      </c>
      <c r="G66" s="141">
        <v>26622207</v>
      </c>
      <c r="H66" s="141">
        <v>0</v>
      </c>
      <c r="I66" s="141">
        <v>-266000</v>
      </c>
      <c r="J66" s="141">
        <v>0</v>
      </c>
      <c r="K66" s="141">
        <v>-1251000</v>
      </c>
      <c r="L66" s="141">
        <v>25105207</v>
      </c>
      <c r="M66" s="141">
        <v>0</v>
      </c>
      <c r="N66" s="141">
        <v>0</v>
      </c>
      <c r="O66" s="141">
        <v>1414594</v>
      </c>
      <c r="P66" s="141">
        <v>1414594</v>
      </c>
      <c r="Q66" s="141">
        <v>-994064</v>
      </c>
      <c r="R66" s="141">
        <v>-12282884</v>
      </c>
      <c r="S66" s="141">
        <v>-2456577</v>
      </c>
      <c r="T66" s="141">
        <v>-9826308</v>
      </c>
      <c r="U66" s="141">
        <v>-130263</v>
      </c>
      <c r="V66" s="141">
        <v>0</v>
      </c>
      <c r="W66" s="141">
        <v>0</v>
      </c>
      <c r="X66" s="141">
        <v>-25690096</v>
      </c>
      <c r="Y66" s="857">
        <v>-584891</v>
      </c>
      <c r="Z66" t="s">
        <v>1632</v>
      </c>
    </row>
    <row r="67" spans="1:26" ht="12.75" x14ac:dyDescent="0.2">
      <c r="A67" s="764">
        <v>60</v>
      </c>
      <c r="B67" s="765" t="s">
        <v>0</v>
      </c>
      <c r="C67" s="766" t="s">
        <v>1228</v>
      </c>
      <c r="D67" s="767" t="s">
        <v>1223</v>
      </c>
      <c r="E67" s="768" t="s">
        <v>794</v>
      </c>
      <c r="F67" s="141">
        <v>18913875</v>
      </c>
      <c r="G67" s="141">
        <v>1109999900</v>
      </c>
      <c r="H67" s="141">
        <v>0</v>
      </c>
      <c r="I67" s="141">
        <v>-405327</v>
      </c>
      <c r="J67" s="141">
        <v>79111168</v>
      </c>
      <c r="K67" s="141">
        <v>-8145869</v>
      </c>
      <c r="L67" s="141">
        <v>1180559872</v>
      </c>
      <c r="M67" s="141">
        <v>13019642</v>
      </c>
      <c r="N67" s="141">
        <v>0</v>
      </c>
      <c r="O67" s="141">
        <v>0</v>
      </c>
      <c r="P67" s="141">
        <v>13019642</v>
      </c>
      <c r="Q67" s="141">
        <v>-503692</v>
      </c>
      <c r="R67" s="141">
        <v>0</v>
      </c>
      <c r="S67" s="141">
        <v>-409242740</v>
      </c>
      <c r="T67" s="141">
        <v>-727542649</v>
      </c>
      <c r="U67" s="141">
        <v>-13587843</v>
      </c>
      <c r="V67" s="141">
        <v>0</v>
      </c>
      <c r="W67" s="141">
        <v>-20908176</v>
      </c>
      <c r="X67" s="141">
        <v>-1171785100</v>
      </c>
      <c r="Y67" s="857">
        <v>40708289</v>
      </c>
      <c r="Z67" t="s">
        <v>1633</v>
      </c>
    </row>
    <row r="68" spans="1:26" ht="12.75" x14ac:dyDescent="0.2">
      <c r="A68" s="764">
        <v>61</v>
      </c>
      <c r="B68" s="765" t="s">
        <v>2</v>
      </c>
      <c r="C68" s="766" t="s">
        <v>1217</v>
      </c>
      <c r="D68" s="767" t="s">
        <v>1221</v>
      </c>
      <c r="E68" s="768" t="s">
        <v>1</v>
      </c>
      <c r="F68" s="141">
        <v>2263925</v>
      </c>
      <c r="G68" s="141">
        <v>64390664</v>
      </c>
      <c r="H68" s="141">
        <v>0</v>
      </c>
      <c r="I68" s="141">
        <v>-684926</v>
      </c>
      <c r="J68" s="141">
        <v>0</v>
      </c>
      <c r="K68" s="141">
        <v>-1603000</v>
      </c>
      <c r="L68" s="141">
        <v>62102738</v>
      </c>
      <c r="M68" s="141">
        <v>1732923</v>
      </c>
      <c r="N68" s="141">
        <v>0</v>
      </c>
      <c r="O68" s="141">
        <v>0</v>
      </c>
      <c r="P68" s="141">
        <v>1732923</v>
      </c>
      <c r="Q68" s="141">
        <v>-1275193</v>
      </c>
      <c r="R68" s="141">
        <v>-30944438</v>
      </c>
      <c r="S68" s="141">
        <v>-6188888</v>
      </c>
      <c r="T68" s="141">
        <v>-24755551</v>
      </c>
      <c r="U68" s="141">
        <v>0</v>
      </c>
      <c r="V68" s="141">
        <v>0</v>
      </c>
      <c r="W68" s="141">
        <v>-1494222</v>
      </c>
      <c r="X68" s="141">
        <v>-64658292</v>
      </c>
      <c r="Y68" s="857">
        <v>1441294</v>
      </c>
      <c r="Z68" t="s">
        <v>1634</v>
      </c>
    </row>
    <row r="69" spans="1:26" ht="12.75" x14ac:dyDescent="0.2">
      <c r="A69" s="764">
        <v>62</v>
      </c>
      <c r="B69" s="765" t="s">
        <v>4</v>
      </c>
      <c r="C69" s="766" t="s">
        <v>1217</v>
      </c>
      <c r="D69" s="767" t="s">
        <v>1219</v>
      </c>
      <c r="E69" s="768" t="s">
        <v>3</v>
      </c>
      <c r="F69" s="141">
        <v>-1534194</v>
      </c>
      <c r="G69" s="141">
        <v>42277478</v>
      </c>
      <c r="H69" s="141">
        <v>0</v>
      </c>
      <c r="I69" s="141">
        <v>-62257</v>
      </c>
      <c r="J69" s="141">
        <v>459446</v>
      </c>
      <c r="K69" s="141">
        <v>1840964</v>
      </c>
      <c r="L69" s="141">
        <v>44515631</v>
      </c>
      <c r="M69" s="141">
        <v>0</v>
      </c>
      <c r="N69" s="141">
        <v>5598</v>
      </c>
      <c r="O69" s="141">
        <v>0</v>
      </c>
      <c r="P69" s="141">
        <v>5598</v>
      </c>
      <c r="Q69" s="141">
        <v>-5344494</v>
      </c>
      <c r="R69" s="141">
        <v>-17483769</v>
      </c>
      <c r="S69" s="141">
        <v>-3496754</v>
      </c>
      <c r="T69" s="141">
        <v>-13987015</v>
      </c>
      <c r="U69" s="141">
        <v>-143329</v>
      </c>
      <c r="V69" s="141">
        <v>0</v>
      </c>
      <c r="W69" s="141">
        <v>-2968134</v>
      </c>
      <c r="X69" s="141">
        <v>-43423495</v>
      </c>
      <c r="Y69" s="857">
        <v>-436460</v>
      </c>
      <c r="Z69" t="s">
        <v>1635</v>
      </c>
    </row>
    <row r="70" spans="1:26" ht="12.75" x14ac:dyDescent="0.2">
      <c r="A70" s="764">
        <v>63</v>
      </c>
      <c r="B70" s="765" t="s">
        <v>6</v>
      </c>
      <c r="C70" s="766" t="s">
        <v>1217</v>
      </c>
      <c r="D70" s="767" t="s">
        <v>1220</v>
      </c>
      <c r="E70" s="768" t="s">
        <v>5</v>
      </c>
      <c r="F70" s="141">
        <v>-4893666</v>
      </c>
      <c r="G70" s="141">
        <v>36460287</v>
      </c>
      <c r="H70" s="141">
        <v>-100000</v>
      </c>
      <c r="I70" s="141">
        <v>-227736</v>
      </c>
      <c r="J70" s="141">
        <v>800000</v>
      </c>
      <c r="K70" s="141">
        <v>-1017567</v>
      </c>
      <c r="L70" s="141">
        <v>35914984</v>
      </c>
      <c r="M70" s="141">
        <v>0</v>
      </c>
      <c r="N70" s="141">
        <v>0</v>
      </c>
      <c r="O70" s="141">
        <v>5717622</v>
      </c>
      <c r="P70" s="141">
        <v>5717622</v>
      </c>
      <c r="Q70" s="141">
        <v>-626477</v>
      </c>
      <c r="R70" s="141">
        <v>-16665419</v>
      </c>
      <c r="S70" s="141">
        <v>-3333084</v>
      </c>
      <c r="T70" s="141">
        <v>-13332335</v>
      </c>
      <c r="U70" s="141">
        <v>-88066</v>
      </c>
      <c r="V70" s="141">
        <v>0</v>
      </c>
      <c r="W70" s="141">
        <v>0</v>
      </c>
      <c r="X70" s="141">
        <v>-34045381</v>
      </c>
      <c r="Y70" s="857">
        <v>2693559</v>
      </c>
      <c r="Z70" t="s">
        <v>1636</v>
      </c>
    </row>
    <row r="71" spans="1:26" ht="12.75" x14ac:dyDescent="0.2">
      <c r="A71" s="764">
        <v>64</v>
      </c>
      <c r="B71" s="765" t="s">
        <v>8</v>
      </c>
      <c r="C71" s="766" t="s">
        <v>529</v>
      </c>
      <c r="D71" s="767" t="s">
        <v>1226</v>
      </c>
      <c r="E71" s="768" t="s">
        <v>7</v>
      </c>
      <c r="F71" s="141">
        <v>5675173</v>
      </c>
      <c r="G71" s="141">
        <v>164218304</v>
      </c>
      <c r="H71" s="141">
        <v>-331114</v>
      </c>
      <c r="I71" s="141">
        <v>-880399</v>
      </c>
      <c r="J71" s="141">
        <v>0</v>
      </c>
      <c r="K71" s="141">
        <v>-5090000</v>
      </c>
      <c r="L71" s="141">
        <v>157916791</v>
      </c>
      <c r="M71" s="141">
        <v>89489</v>
      </c>
      <c r="N71" s="141">
        <v>0</v>
      </c>
      <c r="O71" s="141">
        <v>0</v>
      </c>
      <c r="P71" s="141">
        <v>89489</v>
      </c>
      <c r="Q71" s="141">
        <v>0</v>
      </c>
      <c r="R71" s="141">
        <v>0</v>
      </c>
      <c r="S71" s="141">
        <v>0</v>
      </c>
      <c r="T71" s="141">
        <v>-149867566</v>
      </c>
      <c r="U71" s="141">
        <v>-2986959</v>
      </c>
      <c r="V71" s="141">
        <v>0</v>
      </c>
      <c r="W71" s="141">
        <v>-5449844</v>
      </c>
      <c r="X71" s="141">
        <v>-158304369</v>
      </c>
      <c r="Y71" s="857">
        <v>5377084</v>
      </c>
      <c r="Z71" t="s">
        <v>1637</v>
      </c>
    </row>
    <row r="72" spans="1:26" ht="12.75" x14ac:dyDescent="0.2">
      <c r="A72" s="764">
        <v>65</v>
      </c>
      <c r="B72" s="765" t="s">
        <v>10</v>
      </c>
      <c r="C72" s="766" t="s">
        <v>1217</v>
      </c>
      <c r="D72" s="767" t="s">
        <v>1226</v>
      </c>
      <c r="E72" s="768" t="s">
        <v>9</v>
      </c>
      <c r="F72" s="141">
        <v>-3702166</v>
      </c>
      <c r="G72" s="141">
        <v>33859115</v>
      </c>
      <c r="H72" s="141">
        <v>0</v>
      </c>
      <c r="I72" s="141">
        <v>-100000</v>
      </c>
      <c r="J72" s="141">
        <v>178354</v>
      </c>
      <c r="K72" s="141">
        <v>-684169</v>
      </c>
      <c r="L72" s="141">
        <v>33253300</v>
      </c>
      <c r="M72" s="141">
        <v>851807</v>
      </c>
      <c r="N72" s="141">
        <v>0</v>
      </c>
      <c r="O72" s="141">
        <v>2103922</v>
      </c>
      <c r="P72" s="141">
        <v>2955729</v>
      </c>
      <c r="Q72" s="141">
        <v>0</v>
      </c>
      <c r="R72" s="141">
        <v>0</v>
      </c>
      <c r="S72" s="141">
        <v>-16414202</v>
      </c>
      <c r="T72" s="141">
        <v>-16414202</v>
      </c>
      <c r="U72" s="141">
        <v>-179327</v>
      </c>
      <c r="V72" s="141">
        <v>-77789</v>
      </c>
      <c r="W72" s="141">
        <v>0</v>
      </c>
      <c r="X72" s="141">
        <v>-33085520</v>
      </c>
      <c r="Y72" s="857">
        <v>-578657</v>
      </c>
      <c r="Z72" t="s">
        <v>1638</v>
      </c>
    </row>
    <row r="73" spans="1:26" ht="12.75" x14ac:dyDescent="0.2">
      <c r="A73" s="764">
        <v>66</v>
      </c>
      <c r="B73" s="765" t="s">
        <v>12</v>
      </c>
      <c r="C73" s="766" t="s">
        <v>1224</v>
      </c>
      <c r="D73" s="767" t="s">
        <v>1227</v>
      </c>
      <c r="E73" s="768" t="s">
        <v>11</v>
      </c>
      <c r="F73" s="141">
        <v>-252465</v>
      </c>
      <c r="G73" s="141">
        <v>121200626</v>
      </c>
      <c r="H73" s="141">
        <v>0</v>
      </c>
      <c r="I73" s="141">
        <v>-1212006</v>
      </c>
      <c r="J73" s="141">
        <v>0</v>
      </c>
      <c r="K73" s="141">
        <v>-718854</v>
      </c>
      <c r="L73" s="141">
        <v>119269766</v>
      </c>
      <c r="M73" s="141">
        <v>1634864</v>
      </c>
      <c r="N73" s="141">
        <v>0</v>
      </c>
      <c r="O73" s="141">
        <v>268809</v>
      </c>
      <c r="P73" s="141">
        <v>1903673</v>
      </c>
      <c r="Q73" s="141">
        <v>-4846983</v>
      </c>
      <c r="R73" s="141">
        <v>0</v>
      </c>
      <c r="S73" s="141">
        <v>-1177696</v>
      </c>
      <c r="T73" s="141">
        <v>-116591933</v>
      </c>
      <c r="U73" s="141">
        <v>-375121</v>
      </c>
      <c r="V73" s="141">
        <v>0</v>
      </c>
      <c r="W73" s="141">
        <v>0</v>
      </c>
      <c r="X73" s="141">
        <v>-122991733</v>
      </c>
      <c r="Y73" s="857">
        <v>-2070759</v>
      </c>
      <c r="Z73" t="s">
        <v>1639</v>
      </c>
    </row>
    <row r="74" spans="1:26" ht="12.75" x14ac:dyDescent="0.2">
      <c r="A74" s="764">
        <v>67</v>
      </c>
      <c r="B74" s="765" t="s">
        <v>14</v>
      </c>
      <c r="C74" s="766" t="s">
        <v>1217</v>
      </c>
      <c r="D74" s="767" t="s">
        <v>1225</v>
      </c>
      <c r="E74" s="768" t="s">
        <v>13</v>
      </c>
      <c r="F74" s="141">
        <v>-303973</v>
      </c>
      <c r="G74" s="141">
        <v>18397724</v>
      </c>
      <c r="H74" s="141">
        <v>-100000</v>
      </c>
      <c r="I74" s="141">
        <v>-10000</v>
      </c>
      <c r="J74" s="141">
        <v>113228</v>
      </c>
      <c r="K74" s="141">
        <v>-185000</v>
      </c>
      <c r="L74" s="141">
        <v>18215952</v>
      </c>
      <c r="M74" s="141">
        <v>421140</v>
      </c>
      <c r="N74" s="141">
        <v>0</v>
      </c>
      <c r="O74" s="141">
        <v>50044</v>
      </c>
      <c r="P74" s="141">
        <v>471184</v>
      </c>
      <c r="Q74" s="141">
        <v>0</v>
      </c>
      <c r="R74" s="141">
        <v>-9261924</v>
      </c>
      <c r="S74" s="141">
        <v>-1852386</v>
      </c>
      <c r="T74" s="141">
        <v>-7409540</v>
      </c>
      <c r="U74" s="141">
        <v>-116449</v>
      </c>
      <c r="V74" s="141">
        <v>0</v>
      </c>
      <c r="W74" s="141">
        <v>0</v>
      </c>
      <c r="X74" s="141">
        <v>-18640299</v>
      </c>
      <c r="Y74" s="857">
        <v>-257136</v>
      </c>
      <c r="Z74" t="s">
        <v>1640</v>
      </c>
    </row>
    <row r="75" spans="1:26" ht="12.75" x14ac:dyDescent="0.2">
      <c r="A75" s="764">
        <v>68</v>
      </c>
      <c r="B75" s="765" t="s">
        <v>16</v>
      </c>
      <c r="C75" s="766" t="s">
        <v>1217</v>
      </c>
      <c r="D75" s="767" t="s">
        <v>1218</v>
      </c>
      <c r="E75" s="768" t="s">
        <v>15</v>
      </c>
      <c r="F75" s="141">
        <v>874633</v>
      </c>
      <c r="G75" s="141">
        <v>127007554</v>
      </c>
      <c r="H75" s="141">
        <v>0</v>
      </c>
      <c r="I75" s="141">
        <v>-864685</v>
      </c>
      <c r="J75" s="141">
        <v>193177</v>
      </c>
      <c r="K75" s="141">
        <v>-4065580</v>
      </c>
      <c r="L75" s="141">
        <v>122270466</v>
      </c>
      <c r="M75" s="141">
        <v>0</v>
      </c>
      <c r="N75" s="141">
        <v>0</v>
      </c>
      <c r="O75" s="141">
        <v>0</v>
      </c>
      <c r="P75" s="141">
        <v>0</v>
      </c>
      <c r="Q75" s="141">
        <v>-2361349</v>
      </c>
      <c r="R75" s="141">
        <v>-59978391</v>
      </c>
      <c r="S75" s="141">
        <v>-11995678</v>
      </c>
      <c r="T75" s="141">
        <v>-47982713</v>
      </c>
      <c r="U75" s="141">
        <v>-206745</v>
      </c>
      <c r="V75" s="141">
        <v>0</v>
      </c>
      <c r="W75" s="141">
        <v>-415371</v>
      </c>
      <c r="X75" s="141">
        <v>-122940247</v>
      </c>
      <c r="Y75" s="857">
        <v>204852</v>
      </c>
      <c r="Z75" t="s">
        <v>1641</v>
      </c>
    </row>
    <row r="76" spans="1:26" ht="12.75" x14ac:dyDescent="0.2">
      <c r="A76" s="764">
        <v>69</v>
      </c>
      <c r="B76" s="765" t="s">
        <v>18</v>
      </c>
      <c r="C76" s="766" t="s">
        <v>1222</v>
      </c>
      <c r="D76" s="767" t="s">
        <v>1223</v>
      </c>
      <c r="E76" s="768" t="s">
        <v>17</v>
      </c>
      <c r="F76" s="141">
        <v>5804820</v>
      </c>
      <c r="G76" s="141">
        <v>123351118</v>
      </c>
      <c r="H76" s="141">
        <v>-5237839</v>
      </c>
      <c r="I76" s="141">
        <v>2688766</v>
      </c>
      <c r="J76" s="141">
        <v>3500000</v>
      </c>
      <c r="K76" s="141">
        <v>2000000</v>
      </c>
      <c r="L76" s="141">
        <v>126302045</v>
      </c>
      <c r="M76" s="141">
        <v>5756149</v>
      </c>
      <c r="N76" s="141">
        <v>0</v>
      </c>
      <c r="O76" s="141">
        <v>0</v>
      </c>
      <c r="P76" s="141">
        <v>5756149</v>
      </c>
      <c r="Q76" s="141">
        <v>0</v>
      </c>
      <c r="R76" s="141">
        <v>0</v>
      </c>
      <c r="S76" s="141">
        <v>-43889135</v>
      </c>
      <c r="T76" s="141">
        <v>-78025129</v>
      </c>
      <c r="U76" s="141">
        <v>-2793727</v>
      </c>
      <c r="V76" s="141">
        <v>0</v>
      </c>
      <c r="W76" s="141">
        <v>-13088848</v>
      </c>
      <c r="X76" s="141">
        <v>-137796839</v>
      </c>
      <c r="Y76" s="857">
        <v>66175</v>
      </c>
      <c r="Z76" t="s">
        <v>1642</v>
      </c>
    </row>
    <row r="77" spans="1:26" ht="12.75" x14ac:dyDescent="0.2">
      <c r="A77" s="764">
        <v>70</v>
      </c>
      <c r="B77" s="765" t="s">
        <v>20</v>
      </c>
      <c r="C77" s="766" t="s">
        <v>1217</v>
      </c>
      <c r="D77" s="767" t="s">
        <v>1221</v>
      </c>
      <c r="E77" s="768" t="s">
        <v>19</v>
      </c>
      <c r="F77" s="141">
        <v>580391</v>
      </c>
      <c r="G77" s="141">
        <v>66419630</v>
      </c>
      <c r="H77" s="141">
        <v>0</v>
      </c>
      <c r="I77" s="141">
        <v>71436</v>
      </c>
      <c r="J77" s="141">
        <v>851114</v>
      </c>
      <c r="K77" s="141">
        <v>-882005</v>
      </c>
      <c r="L77" s="141">
        <v>66460175</v>
      </c>
      <c r="M77" s="141">
        <v>0</v>
      </c>
      <c r="N77" s="141">
        <v>0</v>
      </c>
      <c r="O77" s="141">
        <v>0</v>
      </c>
      <c r="P77" s="141">
        <v>0</v>
      </c>
      <c r="Q77" s="141">
        <v>-218480</v>
      </c>
      <c r="R77" s="141">
        <v>-31854562</v>
      </c>
      <c r="S77" s="141">
        <v>-6370912</v>
      </c>
      <c r="T77" s="141">
        <v>-25483649</v>
      </c>
      <c r="U77" s="141">
        <v>-271890</v>
      </c>
      <c r="V77" s="141">
        <v>0</v>
      </c>
      <c r="W77" s="141">
        <v>-4527749</v>
      </c>
      <c r="X77" s="141">
        <v>-68727242</v>
      </c>
      <c r="Y77" s="857">
        <v>-1686676</v>
      </c>
      <c r="Z77" t="s">
        <v>1643</v>
      </c>
    </row>
    <row r="78" spans="1:26" ht="12.75" x14ac:dyDescent="0.2">
      <c r="A78" s="764">
        <v>71</v>
      </c>
      <c r="B78" s="765" t="s">
        <v>22</v>
      </c>
      <c r="C78" s="766" t="s">
        <v>529</v>
      </c>
      <c r="D78" s="767" t="s">
        <v>1229</v>
      </c>
      <c r="E78" s="768" t="s">
        <v>568</v>
      </c>
      <c r="F78" s="141">
        <v>-892247</v>
      </c>
      <c r="G78" s="141">
        <v>34444746</v>
      </c>
      <c r="H78" s="141">
        <v>0</v>
      </c>
      <c r="I78" s="141">
        <v>-400000</v>
      </c>
      <c r="J78" s="141">
        <v>0</v>
      </c>
      <c r="K78" s="141">
        <v>260854</v>
      </c>
      <c r="L78" s="141">
        <v>34305600</v>
      </c>
      <c r="M78" s="141">
        <v>0</v>
      </c>
      <c r="N78" s="141">
        <v>0</v>
      </c>
      <c r="O78" s="141">
        <v>1674540</v>
      </c>
      <c r="P78" s="141">
        <v>1674540</v>
      </c>
      <c r="Q78" s="141">
        <v>-2201868</v>
      </c>
      <c r="R78" s="141">
        <v>-16118427</v>
      </c>
      <c r="S78" s="141">
        <v>-322369</v>
      </c>
      <c r="T78" s="141">
        <v>-15796058</v>
      </c>
      <c r="U78" s="141">
        <v>-144093</v>
      </c>
      <c r="V78" s="141">
        <v>-212651</v>
      </c>
      <c r="W78" s="141">
        <v>0</v>
      </c>
      <c r="X78" s="141">
        <v>-34795466</v>
      </c>
      <c r="Y78" s="857">
        <v>292427</v>
      </c>
      <c r="Z78" t="s">
        <v>1644</v>
      </c>
    </row>
    <row r="79" spans="1:26" ht="12.75" x14ac:dyDescent="0.2">
      <c r="A79" s="764">
        <v>72</v>
      </c>
      <c r="B79" s="765" t="s">
        <v>24</v>
      </c>
      <c r="C79" s="766" t="s">
        <v>1217</v>
      </c>
      <c r="D79" s="767" t="s">
        <v>1218</v>
      </c>
      <c r="E79" s="768" t="s">
        <v>23</v>
      </c>
      <c r="F79" s="141">
        <v>472538</v>
      </c>
      <c r="G79" s="141">
        <v>92836994</v>
      </c>
      <c r="H79" s="141">
        <v>0</v>
      </c>
      <c r="I79" s="141">
        <v>-400000</v>
      </c>
      <c r="J79" s="141">
        <v>1000000</v>
      </c>
      <c r="K79" s="141">
        <v>-5723456</v>
      </c>
      <c r="L79" s="141">
        <v>87713538</v>
      </c>
      <c r="M79" s="141">
        <v>756304</v>
      </c>
      <c r="N79" s="141">
        <v>0</v>
      </c>
      <c r="O79" s="141">
        <v>0</v>
      </c>
      <c r="P79" s="141">
        <v>756304</v>
      </c>
      <c r="Q79" s="141">
        <v>-4933849</v>
      </c>
      <c r="R79" s="141">
        <v>0</v>
      </c>
      <c r="S79" s="141">
        <v>-49927107</v>
      </c>
      <c r="T79" s="141">
        <v>-33284738</v>
      </c>
      <c r="U79" s="141">
        <v>0</v>
      </c>
      <c r="V79" s="141">
        <v>0</v>
      </c>
      <c r="W79" s="141">
        <v>-371108</v>
      </c>
      <c r="X79" s="141">
        <v>-88516802</v>
      </c>
      <c r="Y79" s="857">
        <v>425578</v>
      </c>
      <c r="Z79" t="s">
        <v>1645</v>
      </c>
    </row>
    <row r="80" spans="1:26" ht="12.75" x14ac:dyDescent="0.2">
      <c r="A80" s="764">
        <v>73</v>
      </c>
      <c r="B80" s="765" t="s">
        <v>26</v>
      </c>
      <c r="C80" s="766" t="s">
        <v>1217</v>
      </c>
      <c r="D80" s="767" t="s">
        <v>1220</v>
      </c>
      <c r="E80" s="768" t="s">
        <v>25</v>
      </c>
      <c r="F80" s="141">
        <v>-104863</v>
      </c>
      <c r="G80" s="141">
        <v>47899658</v>
      </c>
      <c r="H80" s="141">
        <v>0</v>
      </c>
      <c r="I80" s="141">
        <v>-23433</v>
      </c>
      <c r="J80" s="141">
        <v>0</v>
      </c>
      <c r="K80" s="141">
        <v>-1783898</v>
      </c>
      <c r="L80" s="141">
        <v>46092327</v>
      </c>
      <c r="M80" s="141">
        <v>0</v>
      </c>
      <c r="N80" s="141">
        <v>145005</v>
      </c>
      <c r="O80" s="141">
        <v>0</v>
      </c>
      <c r="P80" s="141">
        <v>145005</v>
      </c>
      <c r="Q80" s="141">
        <v>-326116</v>
      </c>
      <c r="R80" s="141">
        <v>-22727453</v>
      </c>
      <c r="S80" s="141">
        <v>-4545491</v>
      </c>
      <c r="T80" s="141">
        <v>-18181963</v>
      </c>
      <c r="U80" s="141">
        <v>-925247</v>
      </c>
      <c r="V80" s="141">
        <v>0</v>
      </c>
      <c r="W80" s="141">
        <v>-407540</v>
      </c>
      <c r="X80" s="141">
        <v>-47113810</v>
      </c>
      <c r="Y80" s="857">
        <v>-981341</v>
      </c>
      <c r="Z80" t="s">
        <v>1646</v>
      </c>
    </row>
    <row r="81" spans="1:26" ht="12.75" x14ac:dyDescent="0.2">
      <c r="A81" s="764">
        <v>74</v>
      </c>
      <c r="B81" s="765" t="s">
        <v>28</v>
      </c>
      <c r="C81" s="766" t="s">
        <v>529</v>
      </c>
      <c r="D81" s="767" t="s">
        <v>1220</v>
      </c>
      <c r="E81" s="768" t="s">
        <v>558</v>
      </c>
      <c r="F81" s="141">
        <v>-3403815</v>
      </c>
      <c r="G81" s="141">
        <v>92040380</v>
      </c>
      <c r="H81" s="141">
        <v>0</v>
      </c>
      <c r="I81" s="141">
        <v>-1135015</v>
      </c>
      <c r="J81" s="141">
        <v>210911</v>
      </c>
      <c r="K81" s="141">
        <v>-3567347</v>
      </c>
      <c r="L81" s="141">
        <v>87548929</v>
      </c>
      <c r="M81" s="141">
        <v>2413469</v>
      </c>
      <c r="N81" s="141">
        <v>0</v>
      </c>
      <c r="O81" s="141">
        <v>3893063</v>
      </c>
      <c r="P81" s="141">
        <v>6306532</v>
      </c>
      <c r="Q81" s="141">
        <v>-899418</v>
      </c>
      <c r="R81" s="141">
        <v>0</v>
      </c>
      <c r="S81" s="141">
        <v>-944464</v>
      </c>
      <c r="T81" s="141">
        <v>-93501936</v>
      </c>
      <c r="U81" s="141">
        <v>-1169026</v>
      </c>
      <c r="V81" s="141">
        <v>0</v>
      </c>
      <c r="W81" s="141">
        <v>0</v>
      </c>
      <c r="X81" s="141">
        <v>-96514844</v>
      </c>
      <c r="Y81" s="857">
        <v>-6063198</v>
      </c>
      <c r="Z81" t="s">
        <v>1647</v>
      </c>
    </row>
    <row r="82" spans="1:26" ht="12.75" x14ac:dyDescent="0.2">
      <c r="A82" s="764">
        <v>75</v>
      </c>
      <c r="B82" s="765" t="s">
        <v>30</v>
      </c>
      <c r="C82" s="766" t="s">
        <v>1217</v>
      </c>
      <c r="D82" s="767" t="s">
        <v>1220</v>
      </c>
      <c r="E82" s="768" t="s">
        <v>29</v>
      </c>
      <c r="F82" s="141">
        <v>-1965293</v>
      </c>
      <c r="G82" s="141">
        <v>18871055</v>
      </c>
      <c r="H82" s="141">
        <v>0</v>
      </c>
      <c r="I82" s="141">
        <v>-188711</v>
      </c>
      <c r="J82" s="141">
        <v>18511</v>
      </c>
      <c r="K82" s="141">
        <v>-299276</v>
      </c>
      <c r="L82" s="141">
        <v>18401579</v>
      </c>
      <c r="M82" s="141">
        <v>1713777</v>
      </c>
      <c r="N82" s="141">
        <v>0</v>
      </c>
      <c r="O82" s="141">
        <v>1827844</v>
      </c>
      <c r="P82" s="141">
        <v>3541621</v>
      </c>
      <c r="Q82" s="141">
        <v>-139787</v>
      </c>
      <c r="R82" s="141">
        <v>0</v>
      </c>
      <c r="S82" s="141">
        <v>-9567970</v>
      </c>
      <c r="T82" s="141">
        <v>-9567970</v>
      </c>
      <c r="U82" s="141">
        <v>-311507</v>
      </c>
      <c r="V82" s="141">
        <v>0</v>
      </c>
      <c r="W82" s="141">
        <v>0</v>
      </c>
      <c r="X82" s="141">
        <v>-19587234</v>
      </c>
      <c r="Y82" s="857">
        <v>390673</v>
      </c>
      <c r="Z82" t="s">
        <v>1648</v>
      </c>
    </row>
    <row r="83" spans="1:26" ht="12.75" x14ac:dyDescent="0.2">
      <c r="A83" s="764">
        <v>76</v>
      </c>
      <c r="B83" s="765" t="s">
        <v>32</v>
      </c>
      <c r="C83" s="766" t="s">
        <v>1224</v>
      </c>
      <c r="D83" s="767" t="s">
        <v>1225</v>
      </c>
      <c r="E83" s="768" t="s">
        <v>31</v>
      </c>
      <c r="F83" s="141">
        <v>-1482033</v>
      </c>
      <c r="G83" s="141">
        <v>99130825</v>
      </c>
      <c r="H83" s="141">
        <v>-443899</v>
      </c>
      <c r="I83" s="141">
        <v>-1018456</v>
      </c>
      <c r="J83" s="141">
        <v>1164614</v>
      </c>
      <c r="K83" s="141">
        <v>-3198586</v>
      </c>
      <c r="L83" s="141">
        <v>95634498</v>
      </c>
      <c r="M83" s="141">
        <v>0</v>
      </c>
      <c r="N83" s="141">
        <v>0</v>
      </c>
      <c r="O83" s="141">
        <v>618663</v>
      </c>
      <c r="P83" s="141">
        <v>618663</v>
      </c>
      <c r="Q83" s="141">
        <v>-1436224</v>
      </c>
      <c r="R83" s="141">
        <v>-47452955</v>
      </c>
      <c r="S83" s="141">
        <v>-949059</v>
      </c>
      <c r="T83" s="141">
        <v>-46503895</v>
      </c>
      <c r="U83" s="141">
        <v>-582764</v>
      </c>
      <c r="V83" s="141">
        <v>0</v>
      </c>
      <c r="W83" s="141">
        <v>0</v>
      </c>
      <c r="X83" s="141">
        <v>-96924897</v>
      </c>
      <c r="Y83" s="857">
        <v>-2153769</v>
      </c>
      <c r="Z83" t="s">
        <v>1649</v>
      </c>
    </row>
    <row r="84" spans="1:26" ht="12.75" x14ac:dyDescent="0.2">
      <c r="A84" s="764">
        <v>77</v>
      </c>
      <c r="B84" s="765" t="s">
        <v>1146</v>
      </c>
      <c r="C84" s="766" t="s">
        <v>529</v>
      </c>
      <c r="D84" s="767" t="s">
        <v>1226</v>
      </c>
      <c r="E84" s="768" t="s">
        <v>1145</v>
      </c>
      <c r="F84" s="141">
        <v>-4958754.7300000004</v>
      </c>
      <c r="G84" s="141">
        <v>102153989</v>
      </c>
      <c r="H84" s="141">
        <v>0</v>
      </c>
      <c r="I84" s="141">
        <v>-1353830</v>
      </c>
      <c r="J84" s="141">
        <v>1862273</v>
      </c>
      <c r="K84" s="141">
        <v>-5321708</v>
      </c>
      <c r="L84" s="141">
        <v>97340724</v>
      </c>
      <c r="M84" s="141">
        <v>1907480</v>
      </c>
      <c r="N84" s="141">
        <v>37533</v>
      </c>
      <c r="O84" s="141">
        <v>994344</v>
      </c>
      <c r="P84" s="141">
        <v>2939357</v>
      </c>
      <c r="Q84" s="141">
        <v>0</v>
      </c>
      <c r="R84" s="141">
        <v>-46952799</v>
      </c>
      <c r="S84" s="141">
        <v>-9386550</v>
      </c>
      <c r="T84" s="141">
        <v>-37546239</v>
      </c>
      <c r="U84" s="141">
        <v>-1383178</v>
      </c>
      <c r="V84" s="141">
        <v>0</v>
      </c>
      <c r="W84" s="141">
        <v>0</v>
      </c>
      <c r="X84" s="141">
        <v>-95268766</v>
      </c>
      <c r="Y84" s="857">
        <v>52560.269999995828</v>
      </c>
      <c r="Z84" t="s">
        <v>1650</v>
      </c>
    </row>
    <row r="85" spans="1:26" ht="12.75" x14ac:dyDescent="0.2">
      <c r="A85" s="764">
        <v>78</v>
      </c>
      <c r="B85" s="765" t="s">
        <v>43</v>
      </c>
      <c r="C85" s="766" t="s">
        <v>1217</v>
      </c>
      <c r="D85" s="767" t="s">
        <v>1218</v>
      </c>
      <c r="E85" s="768" t="s">
        <v>42</v>
      </c>
      <c r="F85" s="141">
        <v>-1933428</v>
      </c>
      <c r="G85" s="141">
        <v>42409888</v>
      </c>
      <c r="H85" s="141">
        <v>0</v>
      </c>
      <c r="I85" s="141">
        <v>-400000</v>
      </c>
      <c r="J85" s="141">
        <v>77560</v>
      </c>
      <c r="K85" s="141">
        <v>-1435560</v>
      </c>
      <c r="L85" s="141">
        <v>40651888</v>
      </c>
      <c r="M85" s="141">
        <v>0</v>
      </c>
      <c r="N85" s="141">
        <v>1268000</v>
      </c>
      <c r="O85" s="141">
        <v>1513500</v>
      </c>
      <c r="P85" s="141">
        <v>2781500</v>
      </c>
      <c r="Q85" s="141">
        <v>-569559</v>
      </c>
      <c r="R85" s="141">
        <v>-20053000</v>
      </c>
      <c r="S85" s="141">
        <v>-4010600</v>
      </c>
      <c r="T85" s="141">
        <v>-16042400</v>
      </c>
      <c r="U85" s="141">
        <v>-452401</v>
      </c>
      <c r="V85" s="141">
        <v>-1268000</v>
      </c>
      <c r="W85" s="141">
        <v>0</v>
      </c>
      <c r="X85" s="141">
        <v>-42395960</v>
      </c>
      <c r="Y85" s="857">
        <v>-896000</v>
      </c>
      <c r="Z85" t="s">
        <v>1651</v>
      </c>
    </row>
    <row r="86" spans="1:26" ht="12.75" x14ac:dyDescent="0.2">
      <c r="A86" s="764">
        <v>79</v>
      </c>
      <c r="B86" s="765" t="s">
        <v>45</v>
      </c>
      <c r="C86" s="766" t="s">
        <v>1224</v>
      </c>
      <c r="D86" s="767" t="s">
        <v>1227</v>
      </c>
      <c r="E86" s="768" t="s">
        <v>44</v>
      </c>
      <c r="F86" s="141">
        <v>-1568410</v>
      </c>
      <c r="G86" s="141">
        <v>90043000</v>
      </c>
      <c r="H86" s="141">
        <v>0</v>
      </c>
      <c r="I86" s="141">
        <v>-1300000</v>
      </c>
      <c r="J86" s="141">
        <v>0</v>
      </c>
      <c r="K86" s="141">
        <v>-700000</v>
      </c>
      <c r="L86" s="141">
        <v>88043000</v>
      </c>
      <c r="M86" s="141">
        <v>0</v>
      </c>
      <c r="N86" s="141">
        <v>0</v>
      </c>
      <c r="O86" s="141">
        <v>0</v>
      </c>
      <c r="P86" s="141">
        <v>0</v>
      </c>
      <c r="Q86" s="141">
        <v>-2019000</v>
      </c>
      <c r="R86" s="141">
        <v>0</v>
      </c>
      <c r="S86" s="141">
        <v>-866728</v>
      </c>
      <c r="T86" s="141">
        <v>-85806077</v>
      </c>
      <c r="U86" s="141">
        <v>-420256</v>
      </c>
      <c r="V86" s="141">
        <v>0</v>
      </c>
      <c r="W86" s="141">
        <v>-94909</v>
      </c>
      <c r="X86" s="141">
        <v>-89206970</v>
      </c>
      <c r="Y86" s="857">
        <v>-2732380</v>
      </c>
      <c r="Z86" t="s">
        <v>1652</v>
      </c>
    </row>
    <row r="87" spans="1:26" ht="12.75" x14ac:dyDescent="0.2">
      <c r="A87" s="764">
        <v>80</v>
      </c>
      <c r="B87" s="765" t="s">
        <v>47</v>
      </c>
      <c r="C87" s="766" t="s">
        <v>529</v>
      </c>
      <c r="D87" s="767" t="s">
        <v>1229</v>
      </c>
      <c r="E87" s="768" t="s">
        <v>46</v>
      </c>
      <c r="F87" s="141">
        <v>4152085</v>
      </c>
      <c r="G87" s="141">
        <v>117748735</v>
      </c>
      <c r="H87" s="141">
        <v>0</v>
      </c>
      <c r="I87" s="141">
        <v>-1177825</v>
      </c>
      <c r="J87" s="141">
        <v>0</v>
      </c>
      <c r="K87" s="141">
        <v>-5011813</v>
      </c>
      <c r="L87" s="141">
        <v>111559097</v>
      </c>
      <c r="M87" s="141">
        <v>0</v>
      </c>
      <c r="N87" s="141">
        <v>0</v>
      </c>
      <c r="O87" s="141">
        <v>0</v>
      </c>
      <c r="P87" s="141">
        <v>0</v>
      </c>
      <c r="Q87" s="141">
        <v>-1983144</v>
      </c>
      <c r="R87" s="141">
        <v>-52840280</v>
      </c>
      <c r="S87" s="141">
        <v>-1056806</v>
      </c>
      <c r="T87" s="141">
        <v>-51783475</v>
      </c>
      <c r="U87" s="141">
        <v>-699372</v>
      </c>
      <c r="V87" s="141">
        <v>0</v>
      </c>
      <c r="W87" s="141">
        <v>-5875900</v>
      </c>
      <c r="X87" s="141">
        <v>-114238977</v>
      </c>
      <c r="Y87" s="857">
        <v>1472205</v>
      </c>
      <c r="Z87" t="s">
        <v>1653</v>
      </c>
    </row>
    <row r="88" spans="1:26" ht="12.75" x14ac:dyDescent="0.2">
      <c r="A88" s="764">
        <v>81</v>
      </c>
      <c r="B88" s="765" t="s">
        <v>49</v>
      </c>
      <c r="C88" s="766" t="s">
        <v>1222</v>
      </c>
      <c r="D88" s="767" t="s">
        <v>1223</v>
      </c>
      <c r="E88" s="768" t="s">
        <v>48</v>
      </c>
      <c r="F88" s="141">
        <v>6100532</v>
      </c>
      <c r="G88" s="141">
        <v>153852517</v>
      </c>
      <c r="H88" s="141">
        <v>0</v>
      </c>
      <c r="I88" s="141">
        <v>-1316633</v>
      </c>
      <c r="J88" s="141">
        <v>4901516</v>
      </c>
      <c r="K88" s="141">
        <v>-8212143</v>
      </c>
      <c r="L88" s="141">
        <v>149225257</v>
      </c>
      <c r="M88" s="141">
        <v>2924395</v>
      </c>
      <c r="N88" s="141">
        <v>0</v>
      </c>
      <c r="O88" s="141">
        <v>0</v>
      </c>
      <c r="P88" s="141">
        <v>2924395</v>
      </c>
      <c r="Q88" s="141">
        <v>0</v>
      </c>
      <c r="R88" s="141">
        <v>0</v>
      </c>
      <c r="S88" s="141">
        <v>-54095732</v>
      </c>
      <c r="T88" s="141">
        <v>-96170191</v>
      </c>
      <c r="U88" s="141">
        <v>-498579</v>
      </c>
      <c r="V88" s="141">
        <v>0</v>
      </c>
      <c r="W88" s="141">
        <v>-4051269</v>
      </c>
      <c r="X88" s="141">
        <v>-154815771</v>
      </c>
      <c r="Y88" s="857">
        <v>3434413</v>
      </c>
      <c r="Z88" t="s">
        <v>1654</v>
      </c>
    </row>
    <row r="89" spans="1:26" ht="12.75" x14ac:dyDescent="0.2">
      <c r="A89" s="764">
        <v>82</v>
      </c>
      <c r="B89" s="765" t="s">
        <v>51</v>
      </c>
      <c r="C89" s="766" t="s">
        <v>1217</v>
      </c>
      <c r="D89" s="767" t="s">
        <v>1221</v>
      </c>
      <c r="E89" s="768" t="s">
        <v>50</v>
      </c>
      <c r="F89" s="141">
        <v>817004</v>
      </c>
      <c r="G89" s="141">
        <v>21518572</v>
      </c>
      <c r="H89" s="141">
        <v>0</v>
      </c>
      <c r="I89" s="141">
        <v>-105606</v>
      </c>
      <c r="J89" s="141">
        <v>635928</v>
      </c>
      <c r="K89" s="141">
        <v>-1676333</v>
      </c>
      <c r="L89" s="141">
        <v>20372561</v>
      </c>
      <c r="M89" s="141">
        <v>1136445</v>
      </c>
      <c r="N89" s="141">
        <v>0</v>
      </c>
      <c r="O89" s="141">
        <v>0</v>
      </c>
      <c r="P89" s="141">
        <v>1136445</v>
      </c>
      <c r="Q89" s="141">
        <v>0</v>
      </c>
      <c r="R89" s="141">
        <v>-10221812</v>
      </c>
      <c r="S89" s="141">
        <v>-2044362</v>
      </c>
      <c r="T89" s="141">
        <v>-8177449</v>
      </c>
      <c r="U89" s="141">
        <v>-935548</v>
      </c>
      <c r="V89" s="141">
        <v>0</v>
      </c>
      <c r="W89" s="141">
        <v>-329912</v>
      </c>
      <c r="X89" s="141">
        <v>-21709083</v>
      </c>
      <c r="Y89" s="857">
        <v>616927</v>
      </c>
      <c r="Z89" t="s">
        <v>1655</v>
      </c>
    </row>
    <row r="90" spans="1:26" ht="12.75" x14ac:dyDescent="0.2">
      <c r="A90" s="764">
        <v>83</v>
      </c>
      <c r="B90" s="765" t="s">
        <v>53</v>
      </c>
      <c r="C90" s="766" t="s">
        <v>1217</v>
      </c>
      <c r="D90" s="767" t="s">
        <v>1226</v>
      </c>
      <c r="E90" s="768" t="s">
        <v>52</v>
      </c>
      <c r="F90" s="141">
        <v>-1716672</v>
      </c>
      <c r="G90" s="141">
        <v>37115042</v>
      </c>
      <c r="H90" s="141">
        <v>-100000</v>
      </c>
      <c r="I90" s="141">
        <v>0</v>
      </c>
      <c r="J90" s="141">
        <v>388238</v>
      </c>
      <c r="K90" s="141">
        <v>-408682</v>
      </c>
      <c r="L90" s="141">
        <v>36994598</v>
      </c>
      <c r="M90" s="141">
        <v>1010502</v>
      </c>
      <c r="N90" s="141">
        <v>0</v>
      </c>
      <c r="O90" s="141">
        <v>2366297</v>
      </c>
      <c r="P90" s="141">
        <v>3376799</v>
      </c>
      <c r="Q90" s="141">
        <v>-607781</v>
      </c>
      <c r="R90" s="141">
        <v>0</v>
      </c>
      <c r="S90" s="141">
        <v>-20636291</v>
      </c>
      <c r="T90" s="141">
        <v>-13757528</v>
      </c>
      <c r="U90" s="141">
        <v>-685618</v>
      </c>
      <c r="V90" s="141">
        <v>-178406</v>
      </c>
      <c r="W90" s="141">
        <v>0</v>
      </c>
      <c r="X90" s="141">
        <v>-35865624</v>
      </c>
      <c r="Y90" s="857">
        <v>2789101</v>
      </c>
      <c r="Z90" t="s">
        <v>1656</v>
      </c>
    </row>
    <row r="91" spans="1:26" ht="12.75" x14ac:dyDescent="0.2">
      <c r="A91" s="764">
        <v>84</v>
      </c>
      <c r="B91" s="765" t="s">
        <v>55</v>
      </c>
      <c r="C91" s="766" t="s">
        <v>1217</v>
      </c>
      <c r="D91" s="767" t="s">
        <v>1218</v>
      </c>
      <c r="E91" s="768" t="s">
        <v>54</v>
      </c>
      <c r="F91" s="141">
        <v>-4249734.8000000007</v>
      </c>
      <c r="G91" s="141">
        <v>31814986</v>
      </c>
      <c r="H91" s="141">
        <v>-204638</v>
      </c>
      <c r="I91" s="141">
        <v>-179986</v>
      </c>
      <c r="J91" s="141">
        <v>0</v>
      </c>
      <c r="K91" s="141">
        <v>1110298</v>
      </c>
      <c r="L91" s="141">
        <v>32540660</v>
      </c>
      <c r="M91" s="141">
        <v>968167</v>
      </c>
      <c r="N91" s="141">
        <v>0</v>
      </c>
      <c r="O91" s="141">
        <v>1864659</v>
      </c>
      <c r="P91" s="141">
        <v>2832826</v>
      </c>
      <c r="Q91" s="141">
        <v>0</v>
      </c>
      <c r="R91" s="141">
        <v>-16841154</v>
      </c>
      <c r="S91" s="141">
        <v>-3368231</v>
      </c>
      <c r="T91" s="141">
        <v>-13627829</v>
      </c>
      <c r="U91" s="141">
        <v>-47253</v>
      </c>
      <c r="V91" s="141">
        <v>0</v>
      </c>
      <c r="W91" s="141">
        <v>0</v>
      </c>
      <c r="X91" s="141">
        <v>-33884467</v>
      </c>
      <c r="Y91" s="857">
        <v>-2760715.8000000007</v>
      </c>
      <c r="Z91" t="s">
        <v>1657</v>
      </c>
    </row>
    <row r="92" spans="1:26" ht="12.75" x14ac:dyDescent="0.2">
      <c r="A92" s="764">
        <v>85</v>
      </c>
      <c r="B92" s="765" t="s">
        <v>57</v>
      </c>
      <c r="C92" s="766" t="s">
        <v>1217</v>
      </c>
      <c r="D92" s="767" t="s">
        <v>1221</v>
      </c>
      <c r="E92" s="768" t="s">
        <v>56</v>
      </c>
      <c r="F92" s="141">
        <v>857034</v>
      </c>
      <c r="G92" s="141">
        <v>43650000</v>
      </c>
      <c r="H92" s="141">
        <v>0</v>
      </c>
      <c r="I92" s="141">
        <v>-250000</v>
      </c>
      <c r="J92" s="141">
        <v>598060</v>
      </c>
      <c r="K92" s="141">
        <v>-1430712</v>
      </c>
      <c r="L92" s="141">
        <v>42567348</v>
      </c>
      <c r="M92" s="141">
        <v>400732</v>
      </c>
      <c r="N92" s="141">
        <v>0</v>
      </c>
      <c r="O92" s="141">
        <v>0</v>
      </c>
      <c r="P92" s="141">
        <v>400732</v>
      </c>
      <c r="Q92" s="141">
        <v>0</v>
      </c>
      <c r="R92" s="141">
        <v>-21388504</v>
      </c>
      <c r="S92" s="141">
        <v>-4277701</v>
      </c>
      <c r="T92" s="141">
        <v>-17110804</v>
      </c>
      <c r="U92" s="141">
        <v>-197610</v>
      </c>
      <c r="V92" s="141">
        <v>0</v>
      </c>
      <c r="W92" s="141">
        <v>-679205</v>
      </c>
      <c r="X92" s="141">
        <v>-43653824</v>
      </c>
      <c r="Y92" s="857">
        <v>171290</v>
      </c>
      <c r="Z92" t="s">
        <v>1658</v>
      </c>
    </row>
    <row r="93" spans="1:26" ht="12.75" x14ac:dyDescent="0.2">
      <c r="A93" s="764">
        <v>86</v>
      </c>
      <c r="B93" s="765" t="s">
        <v>59</v>
      </c>
      <c r="C93" s="766" t="s">
        <v>1217</v>
      </c>
      <c r="D93" s="767" t="s">
        <v>1220</v>
      </c>
      <c r="E93" s="768" t="s">
        <v>58</v>
      </c>
      <c r="F93" s="141">
        <v>-2068710</v>
      </c>
      <c r="G93" s="141">
        <v>35633633</v>
      </c>
      <c r="H93" s="141">
        <v>0</v>
      </c>
      <c r="I93" s="141">
        <v>-317313</v>
      </c>
      <c r="J93" s="141">
        <v>350494</v>
      </c>
      <c r="K93" s="141">
        <v>972000</v>
      </c>
      <c r="L93" s="141">
        <v>36638814</v>
      </c>
      <c r="M93" s="141">
        <v>1105873</v>
      </c>
      <c r="N93" s="141">
        <v>0</v>
      </c>
      <c r="O93" s="141">
        <v>2283357</v>
      </c>
      <c r="P93" s="141">
        <v>3389230</v>
      </c>
      <c r="Q93" s="141">
        <v>0</v>
      </c>
      <c r="R93" s="141">
        <v>0</v>
      </c>
      <c r="S93" s="141">
        <v>-13942487</v>
      </c>
      <c r="T93" s="141">
        <v>-20913730</v>
      </c>
      <c r="U93" s="141">
        <v>-1021063</v>
      </c>
      <c r="V93" s="141">
        <v>0</v>
      </c>
      <c r="W93" s="141">
        <v>0</v>
      </c>
      <c r="X93" s="141">
        <v>-35877280</v>
      </c>
      <c r="Y93" s="857">
        <v>2082054</v>
      </c>
      <c r="Z93" t="s">
        <v>1659</v>
      </c>
    </row>
    <row r="94" spans="1:26" ht="12.75" x14ac:dyDescent="0.2">
      <c r="A94" s="764">
        <v>87</v>
      </c>
      <c r="B94" s="765" t="s">
        <v>61</v>
      </c>
      <c r="C94" s="766" t="s">
        <v>1217</v>
      </c>
      <c r="D94" s="767" t="s">
        <v>1220</v>
      </c>
      <c r="E94" s="768" t="s">
        <v>60</v>
      </c>
      <c r="F94" s="141">
        <v>2024522</v>
      </c>
      <c r="G94" s="141">
        <v>32980256</v>
      </c>
      <c r="H94" s="141">
        <v>-40000</v>
      </c>
      <c r="I94" s="141">
        <v>-59539</v>
      </c>
      <c r="J94" s="141">
        <v>230000</v>
      </c>
      <c r="K94" s="141">
        <v>-323178</v>
      </c>
      <c r="L94" s="141">
        <v>32787539</v>
      </c>
      <c r="M94" s="141">
        <v>0</v>
      </c>
      <c r="N94" s="141">
        <v>0</v>
      </c>
      <c r="O94" s="141">
        <v>0</v>
      </c>
      <c r="P94" s="141">
        <v>0</v>
      </c>
      <c r="Q94" s="141">
        <v>-280652</v>
      </c>
      <c r="R94" s="141">
        <v>-16124677</v>
      </c>
      <c r="S94" s="141">
        <v>-3224935</v>
      </c>
      <c r="T94" s="141">
        <v>-12899742</v>
      </c>
      <c r="U94" s="141">
        <v>-546837</v>
      </c>
      <c r="V94" s="141">
        <v>0</v>
      </c>
      <c r="W94" s="141">
        <v>-2426264</v>
      </c>
      <c r="X94" s="141">
        <v>-35503107</v>
      </c>
      <c r="Y94" s="857">
        <v>-691046</v>
      </c>
      <c r="Z94" t="s">
        <v>1660</v>
      </c>
    </row>
    <row r="95" spans="1:26" ht="12.75" x14ac:dyDescent="0.2">
      <c r="A95" s="764">
        <v>88</v>
      </c>
      <c r="B95" s="765" t="s">
        <v>63</v>
      </c>
      <c r="C95" s="766" t="s">
        <v>529</v>
      </c>
      <c r="D95" s="767" t="s">
        <v>1225</v>
      </c>
      <c r="E95" s="768" t="s">
        <v>585</v>
      </c>
      <c r="F95" s="141">
        <v>-3100751</v>
      </c>
      <c r="G95" s="141">
        <v>110083289</v>
      </c>
      <c r="H95" s="141">
        <v>0</v>
      </c>
      <c r="I95" s="141">
        <v>-600000</v>
      </c>
      <c r="J95" s="141">
        <v>860411</v>
      </c>
      <c r="K95" s="141">
        <v>-3116815</v>
      </c>
      <c r="L95" s="141">
        <v>107226885</v>
      </c>
      <c r="M95" s="141">
        <v>2194367</v>
      </c>
      <c r="N95" s="141">
        <v>0</v>
      </c>
      <c r="O95" s="141">
        <v>1795846</v>
      </c>
      <c r="P95" s="141">
        <v>3990213</v>
      </c>
      <c r="Q95" s="141">
        <v>-9762052</v>
      </c>
      <c r="R95" s="141">
        <v>-47592422</v>
      </c>
      <c r="S95" s="141">
        <v>-953223</v>
      </c>
      <c r="T95" s="141">
        <v>-46707904</v>
      </c>
      <c r="U95" s="141">
        <v>-5264395</v>
      </c>
      <c r="V95" s="141">
        <v>-25988</v>
      </c>
      <c r="W95" s="141">
        <v>0</v>
      </c>
      <c r="X95" s="141">
        <v>-110305984</v>
      </c>
      <c r="Y95" s="857">
        <v>-2189637</v>
      </c>
      <c r="Z95" t="s">
        <v>1661</v>
      </c>
    </row>
    <row r="96" spans="1:26" ht="12.75" x14ac:dyDescent="0.2">
      <c r="A96" s="764">
        <v>89</v>
      </c>
      <c r="B96" s="765" t="s">
        <v>68</v>
      </c>
      <c r="C96" s="766" t="s">
        <v>1217</v>
      </c>
      <c r="D96" s="767" t="s">
        <v>1227</v>
      </c>
      <c r="E96" s="768" t="s">
        <v>67</v>
      </c>
      <c r="F96" s="141">
        <v>4183930</v>
      </c>
      <c r="G96" s="141">
        <v>56308256</v>
      </c>
      <c r="H96" s="141">
        <v>0</v>
      </c>
      <c r="I96" s="141">
        <v>-560000</v>
      </c>
      <c r="J96" s="141">
        <v>0</v>
      </c>
      <c r="K96" s="141">
        <v>-3087228</v>
      </c>
      <c r="L96" s="141">
        <v>52661028</v>
      </c>
      <c r="M96" s="141">
        <v>0</v>
      </c>
      <c r="N96" s="141">
        <v>0</v>
      </c>
      <c r="O96" s="141">
        <v>0</v>
      </c>
      <c r="P96" s="141">
        <v>0</v>
      </c>
      <c r="Q96" s="141">
        <v>-319227</v>
      </c>
      <c r="R96" s="141">
        <v>-26083565</v>
      </c>
      <c r="S96" s="141">
        <v>-5216713</v>
      </c>
      <c r="T96" s="141">
        <v>-20866852</v>
      </c>
      <c r="U96" s="141">
        <v>-174671</v>
      </c>
      <c r="V96" s="141">
        <v>0</v>
      </c>
      <c r="W96" s="141">
        <v>-2216013</v>
      </c>
      <c r="X96" s="141">
        <v>-54877041</v>
      </c>
      <c r="Y96" s="857">
        <v>1967917</v>
      </c>
      <c r="Z96" t="s">
        <v>1662</v>
      </c>
    </row>
    <row r="97" spans="1:26" ht="12.75" x14ac:dyDescent="0.2">
      <c r="A97" s="764">
        <v>90</v>
      </c>
      <c r="B97" s="765" t="s">
        <v>1148</v>
      </c>
      <c r="C97" s="766" t="s">
        <v>1217</v>
      </c>
      <c r="D97" s="767" t="s">
        <v>1221</v>
      </c>
      <c r="E97" s="768" t="s">
        <v>1147</v>
      </c>
      <c r="F97" s="141">
        <v>-1993099</v>
      </c>
      <c r="G97" s="141">
        <v>98614080</v>
      </c>
      <c r="H97" s="141">
        <v>0</v>
      </c>
      <c r="I97" s="141">
        <v>-805206</v>
      </c>
      <c r="J97" s="141">
        <v>1267449</v>
      </c>
      <c r="K97" s="141">
        <v>-3618931</v>
      </c>
      <c r="L97" s="141">
        <v>95457392</v>
      </c>
      <c r="M97" s="141">
        <v>3280759</v>
      </c>
      <c r="N97" s="141">
        <v>0</v>
      </c>
      <c r="O97" s="141">
        <v>1200974</v>
      </c>
      <c r="P97" s="141">
        <v>4481733</v>
      </c>
      <c r="Q97" s="141">
        <v>-8728377</v>
      </c>
      <c r="R97" s="141">
        <v>0</v>
      </c>
      <c r="S97" s="141">
        <v>-17567321</v>
      </c>
      <c r="T97" s="141">
        <v>-70269285</v>
      </c>
      <c r="U97" s="141">
        <v>-1051949</v>
      </c>
      <c r="V97" s="141">
        <v>-205359</v>
      </c>
      <c r="W97" s="141">
        <v>0</v>
      </c>
      <c r="X97" s="141">
        <v>-97822291</v>
      </c>
      <c r="Y97" s="857">
        <v>123735</v>
      </c>
      <c r="Z97" t="s">
        <v>1663</v>
      </c>
    </row>
    <row r="98" spans="1:26" ht="12.75" x14ac:dyDescent="0.2">
      <c r="A98" s="764">
        <v>91</v>
      </c>
      <c r="B98" s="765" t="s">
        <v>70</v>
      </c>
      <c r="C98" s="766" t="s">
        <v>1217</v>
      </c>
      <c r="D98" s="767" t="s">
        <v>1218</v>
      </c>
      <c r="E98" s="768" t="s">
        <v>69</v>
      </c>
      <c r="F98" s="141">
        <v>-3521783</v>
      </c>
      <c r="G98" s="141">
        <v>35032479</v>
      </c>
      <c r="H98" s="141">
        <v>0</v>
      </c>
      <c r="I98" s="141">
        <v>249905</v>
      </c>
      <c r="J98" s="141">
        <v>15078</v>
      </c>
      <c r="K98" s="141">
        <v>-172159</v>
      </c>
      <c r="L98" s="141">
        <v>35125303</v>
      </c>
      <c r="M98" s="141">
        <v>42627</v>
      </c>
      <c r="N98" s="141">
        <v>0</v>
      </c>
      <c r="O98" s="141">
        <v>2969351</v>
      </c>
      <c r="P98" s="141">
        <v>3011978</v>
      </c>
      <c r="Q98" s="141">
        <v>0</v>
      </c>
      <c r="R98" s="141">
        <v>-18156847</v>
      </c>
      <c r="S98" s="141">
        <v>-3631370</v>
      </c>
      <c r="T98" s="141">
        <v>-14525478</v>
      </c>
      <c r="U98" s="141">
        <v>0</v>
      </c>
      <c r="V98" s="141">
        <v>-128715</v>
      </c>
      <c r="W98" s="141">
        <v>0</v>
      </c>
      <c r="X98" s="141">
        <v>-36442410</v>
      </c>
      <c r="Y98" s="857">
        <v>-1826912</v>
      </c>
      <c r="Z98" t="s">
        <v>1664</v>
      </c>
    </row>
    <row r="99" spans="1:26" ht="12.75" x14ac:dyDescent="0.2">
      <c r="A99" s="764">
        <v>92</v>
      </c>
      <c r="B99" s="765" t="s">
        <v>72</v>
      </c>
      <c r="C99" s="766" t="s">
        <v>1217</v>
      </c>
      <c r="D99" s="767" t="s">
        <v>1218</v>
      </c>
      <c r="E99" s="768" t="s">
        <v>71</v>
      </c>
      <c r="F99" s="141">
        <v>2636376</v>
      </c>
      <c r="G99" s="141">
        <v>60057143</v>
      </c>
      <c r="H99" s="141">
        <v>-223166</v>
      </c>
      <c r="I99" s="141">
        <v>132000</v>
      </c>
      <c r="J99" s="141">
        <v>1100000</v>
      </c>
      <c r="K99" s="141">
        <v>-2200000</v>
      </c>
      <c r="L99" s="141">
        <v>58865977</v>
      </c>
      <c r="M99" s="141">
        <v>530959</v>
      </c>
      <c r="N99" s="141">
        <v>0</v>
      </c>
      <c r="O99" s="141">
        <v>0</v>
      </c>
      <c r="P99" s="141">
        <v>530959</v>
      </c>
      <c r="Q99" s="141">
        <v>-1653618</v>
      </c>
      <c r="R99" s="141">
        <v>-29469473</v>
      </c>
      <c r="S99" s="141">
        <v>-5893894</v>
      </c>
      <c r="T99" s="141">
        <v>-23575578</v>
      </c>
      <c r="U99" s="141">
        <v>-146707</v>
      </c>
      <c r="V99" s="141">
        <v>0</v>
      </c>
      <c r="W99" s="141">
        <v>-1644971</v>
      </c>
      <c r="X99" s="141">
        <v>-62384241</v>
      </c>
      <c r="Y99" s="857">
        <v>-350929</v>
      </c>
      <c r="Z99" t="s">
        <v>1665</v>
      </c>
    </row>
    <row r="100" spans="1:26" ht="12.75" x14ac:dyDescent="0.2">
      <c r="A100" s="764">
        <v>93</v>
      </c>
      <c r="B100" s="765" t="s">
        <v>74</v>
      </c>
      <c r="C100" s="766" t="s">
        <v>1217</v>
      </c>
      <c r="D100" s="767" t="s">
        <v>1219</v>
      </c>
      <c r="E100" s="768" t="s">
        <v>73</v>
      </c>
      <c r="F100" s="141">
        <v>-846843</v>
      </c>
      <c r="G100" s="141">
        <v>20976133</v>
      </c>
      <c r="H100" s="141">
        <v>-314642</v>
      </c>
      <c r="I100" s="141">
        <v>0</v>
      </c>
      <c r="J100" s="141">
        <v>17052</v>
      </c>
      <c r="K100" s="141">
        <v>-441741</v>
      </c>
      <c r="L100" s="141">
        <v>20236802</v>
      </c>
      <c r="M100" s="141">
        <v>467969</v>
      </c>
      <c r="N100" s="141">
        <v>0</v>
      </c>
      <c r="O100" s="141">
        <v>1227088</v>
      </c>
      <c r="P100" s="141">
        <v>1695057</v>
      </c>
      <c r="Q100" s="141">
        <v>0</v>
      </c>
      <c r="R100" s="141">
        <v>-10764660</v>
      </c>
      <c r="S100" s="141">
        <v>-2152932</v>
      </c>
      <c r="T100" s="141">
        <v>-8611728</v>
      </c>
      <c r="U100" s="141">
        <v>0</v>
      </c>
      <c r="V100" s="141">
        <v>-126168</v>
      </c>
      <c r="W100" s="141">
        <v>0</v>
      </c>
      <c r="X100" s="141">
        <v>-21655488</v>
      </c>
      <c r="Y100" s="857">
        <v>-570472</v>
      </c>
      <c r="Z100" t="s">
        <v>1666</v>
      </c>
    </row>
    <row r="101" spans="1:26" ht="12.75" x14ac:dyDescent="0.2">
      <c r="A101" s="764">
        <v>94</v>
      </c>
      <c r="B101" s="765" t="s">
        <v>76</v>
      </c>
      <c r="C101" s="766" t="s">
        <v>1217</v>
      </c>
      <c r="D101" s="767" t="s">
        <v>1218</v>
      </c>
      <c r="E101" s="768" t="s">
        <v>75</v>
      </c>
      <c r="F101" s="141">
        <v>-1977329</v>
      </c>
      <c r="G101" s="141">
        <v>63944361</v>
      </c>
      <c r="H101" s="141">
        <v>0</v>
      </c>
      <c r="I101" s="141">
        <v>-240000</v>
      </c>
      <c r="J101" s="141">
        <v>329101</v>
      </c>
      <c r="K101" s="141">
        <v>-1716409</v>
      </c>
      <c r="L101" s="141">
        <v>62317053</v>
      </c>
      <c r="M101" s="141">
        <v>2393222</v>
      </c>
      <c r="N101" s="141">
        <v>0</v>
      </c>
      <c r="O101" s="141">
        <v>1227389</v>
      </c>
      <c r="P101" s="141">
        <v>3620611</v>
      </c>
      <c r="Q101" s="141">
        <v>0</v>
      </c>
      <c r="R101" s="141">
        <v>0</v>
      </c>
      <c r="S101" s="141">
        <v>-44752807</v>
      </c>
      <c r="T101" s="141">
        <v>-19179774</v>
      </c>
      <c r="U101" s="141">
        <v>-201635</v>
      </c>
      <c r="V101" s="141">
        <v>0</v>
      </c>
      <c r="W101" s="141">
        <v>0</v>
      </c>
      <c r="X101" s="141">
        <v>-64134216</v>
      </c>
      <c r="Y101" s="857">
        <v>-173881</v>
      </c>
      <c r="Z101" t="s">
        <v>1667</v>
      </c>
    </row>
    <row r="102" spans="1:26" ht="12.75" x14ac:dyDescent="0.2">
      <c r="A102" s="764">
        <v>95</v>
      </c>
      <c r="B102" s="765" t="s">
        <v>78</v>
      </c>
      <c r="C102" s="766" t="s">
        <v>1222</v>
      </c>
      <c r="D102" s="767" t="s">
        <v>1223</v>
      </c>
      <c r="E102" s="768" t="s">
        <v>77</v>
      </c>
      <c r="F102" s="141">
        <v>-5300839</v>
      </c>
      <c r="G102" s="141">
        <v>115379624</v>
      </c>
      <c r="H102" s="141">
        <v>0</v>
      </c>
      <c r="I102" s="141">
        <v>-1153796</v>
      </c>
      <c r="J102" s="141">
        <v>2249332</v>
      </c>
      <c r="K102" s="141">
        <v>-2420704</v>
      </c>
      <c r="L102" s="141">
        <v>114054456</v>
      </c>
      <c r="M102" s="141">
        <v>0</v>
      </c>
      <c r="N102" s="141">
        <v>0</v>
      </c>
      <c r="O102" s="141">
        <v>0</v>
      </c>
      <c r="P102" s="141">
        <v>0</v>
      </c>
      <c r="Q102" s="141">
        <v>0</v>
      </c>
      <c r="R102" s="141">
        <v>0</v>
      </c>
      <c r="S102" s="141">
        <v>-40624645</v>
      </c>
      <c r="T102" s="141">
        <v>-72221592</v>
      </c>
      <c r="U102" s="141">
        <v>-336786</v>
      </c>
      <c r="V102" s="141">
        <v>0</v>
      </c>
      <c r="W102" s="141">
        <v>-458809</v>
      </c>
      <c r="X102" s="141">
        <v>-113641832</v>
      </c>
      <c r="Y102" s="857">
        <v>-4888215</v>
      </c>
      <c r="Z102" t="s">
        <v>1668</v>
      </c>
    </row>
    <row r="103" spans="1:26" ht="12.75" x14ac:dyDescent="0.2">
      <c r="A103" s="764">
        <v>96</v>
      </c>
      <c r="B103" s="765" t="s">
        <v>80</v>
      </c>
      <c r="C103" s="766" t="s">
        <v>1217</v>
      </c>
      <c r="D103" s="767" t="s">
        <v>1221</v>
      </c>
      <c r="E103" s="768" t="s">
        <v>79</v>
      </c>
      <c r="F103" s="141">
        <v>1028422</v>
      </c>
      <c r="G103" s="141">
        <v>35000000</v>
      </c>
      <c r="H103" s="141">
        <v>0</v>
      </c>
      <c r="I103" s="141">
        <v>-350000</v>
      </c>
      <c r="J103" s="141">
        <v>0</v>
      </c>
      <c r="K103" s="141">
        <v>-2250000</v>
      </c>
      <c r="L103" s="141">
        <v>32400000</v>
      </c>
      <c r="M103" s="141">
        <v>500000</v>
      </c>
      <c r="N103" s="141">
        <v>0</v>
      </c>
      <c r="O103" s="141">
        <v>1356004</v>
      </c>
      <c r="P103" s="141">
        <v>1856004</v>
      </c>
      <c r="Q103" s="141">
        <v>0</v>
      </c>
      <c r="R103" s="141">
        <v>-17184269</v>
      </c>
      <c r="S103" s="141">
        <v>-3436853</v>
      </c>
      <c r="T103" s="141">
        <v>-13747415</v>
      </c>
      <c r="U103" s="141">
        <v>-172565</v>
      </c>
      <c r="V103" s="141">
        <v>0</v>
      </c>
      <c r="W103" s="141">
        <v>0</v>
      </c>
      <c r="X103" s="141">
        <v>-34541102</v>
      </c>
      <c r="Y103" s="857">
        <v>743324</v>
      </c>
      <c r="Z103" t="s">
        <v>1669</v>
      </c>
    </row>
    <row r="104" spans="1:26" ht="12.75" x14ac:dyDescent="0.2">
      <c r="A104" s="764">
        <v>97</v>
      </c>
      <c r="B104" s="765" t="s">
        <v>82</v>
      </c>
      <c r="C104" s="766" t="s">
        <v>1217</v>
      </c>
      <c r="D104" s="767" t="s">
        <v>1218</v>
      </c>
      <c r="E104" s="768" t="s">
        <v>900</v>
      </c>
      <c r="F104" s="141">
        <v>-4987201</v>
      </c>
      <c r="G104" s="141">
        <v>24958430</v>
      </c>
      <c r="H104" s="141">
        <v>0</v>
      </c>
      <c r="I104" s="141">
        <v>-411140</v>
      </c>
      <c r="J104" s="141">
        <v>0</v>
      </c>
      <c r="K104" s="141">
        <v>503768</v>
      </c>
      <c r="L104" s="141">
        <v>25051058</v>
      </c>
      <c r="M104" s="141">
        <v>0</v>
      </c>
      <c r="N104" s="141">
        <v>0</v>
      </c>
      <c r="O104" s="141">
        <v>450216</v>
      </c>
      <c r="P104" s="141">
        <v>450216</v>
      </c>
      <c r="Q104" s="141">
        <v>-6310</v>
      </c>
      <c r="R104" s="141">
        <v>0</v>
      </c>
      <c r="S104" s="141">
        <v>-17445527</v>
      </c>
      <c r="T104" s="141">
        <v>-7476655</v>
      </c>
      <c r="U104" s="141">
        <v>-85059</v>
      </c>
      <c r="V104" s="141">
        <v>0</v>
      </c>
      <c r="W104" s="141">
        <v>0</v>
      </c>
      <c r="X104" s="141">
        <v>-25013551</v>
      </c>
      <c r="Y104" s="857">
        <v>-4499478</v>
      </c>
      <c r="Z104" t="s">
        <v>1670</v>
      </c>
    </row>
    <row r="105" spans="1:26" ht="12.75" x14ac:dyDescent="0.2">
      <c r="A105" s="764">
        <v>98</v>
      </c>
      <c r="B105" s="765" t="s">
        <v>84</v>
      </c>
      <c r="C105" s="766" t="s">
        <v>1217</v>
      </c>
      <c r="D105" s="767" t="s">
        <v>1220</v>
      </c>
      <c r="E105" s="768" t="s">
        <v>83</v>
      </c>
      <c r="F105" s="141">
        <v>-3355758</v>
      </c>
      <c r="G105" s="141">
        <v>25920000</v>
      </c>
      <c r="H105" s="141">
        <v>0</v>
      </c>
      <c r="I105" s="141">
        <v>-120000</v>
      </c>
      <c r="J105" s="141">
        <v>150000</v>
      </c>
      <c r="K105" s="141">
        <v>-242000</v>
      </c>
      <c r="L105" s="141">
        <v>25708000</v>
      </c>
      <c r="M105" s="141">
        <v>53000</v>
      </c>
      <c r="N105" s="141">
        <v>0</v>
      </c>
      <c r="O105" s="141">
        <v>3028868</v>
      </c>
      <c r="P105" s="141">
        <v>3081868</v>
      </c>
      <c r="Q105" s="141">
        <v>0</v>
      </c>
      <c r="R105" s="141">
        <v>0</v>
      </c>
      <c r="S105" s="141">
        <v>-12652288</v>
      </c>
      <c r="T105" s="141">
        <v>-12652288</v>
      </c>
      <c r="U105" s="141">
        <v>-134049</v>
      </c>
      <c r="V105" s="141">
        <v>0</v>
      </c>
      <c r="W105" s="141">
        <v>0</v>
      </c>
      <c r="X105" s="141">
        <v>-25438625</v>
      </c>
      <c r="Y105" s="857">
        <v>-4515</v>
      </c>
      <c r="Z105" t="s">
        <v>1671</v>
      </c>
    </row>
    <row r="106" spans="1:26" ht="12.75" x14ac:dyDescent="0.2">
      <c r="A106" s="764">
        <v>99</v>
      </c>
      <c r="B106" s="765" t="s">
        <v>86</v>
      </c>
      <c r="C106" s="766" t="s">
        <v>1217</v>
      </c>
      <c r="D106" s="767" t="s">
        <v>1226</v>
      </c>
      <c r="E106" s="768" t="s">
        <v>85</v>
      </c>
      <c r="F106" s="141">
        <v>-4207117</v>
      </c>
      <c r="G106" s="141">
        <v>81855382</v>
      </c>
      <c r="H106" s="141">
        <v>0</v>
      </c>
      <c r="I106" s="141">
        <v>-200000</v>
      </c>
      <c r="J106" s="141">
        <v>0</v>
      </c>
      <c r="K106" s="141">
        <v>-3000000</v>
      </c>
      <c r="L106" s="141">
        <v>78655382</v>
      </c>
      <c r="M106" s="141">
        <v>0</v>
      </c>
      <c r="N106" s="141">
        <v>0</v>
      </c>
      <c r="O106" s="141">
        <v>1975484</v>
      </c>
      <c r="P106" s="141">
        <v>1975484</v>
      </c>
      <c r="Q106" s="141">
        <v>-2426907</v>
      </c>
      <c r="R106" s="141">
        <v>0</v>
      </c>
      <c r="S106" s="141">
        <v>-44978400</v>
      </c>
      <c r="T106" s="141">
        <v>-30201903</v>
      </c>
      <c r="U106" s="141">
        <v>0</v>
      </c>
      <c r="V106" s="141">
        <v>0</v>
      </c>
      <c r="W106" s="141">
        <v>0</v>
      </c>
      <c r="X106" s="141">
        <v>-77607210</v>
      </c>
      <c r="Y106" s="857">
        <v>-1183461</v>
      </c>
      <c r="Z106" t="s">
        <v>1672</v>
      </c>
    </row>
    <row r="107" spans="1:26" ht="12.75" x14ac:dyDescent="0.2">
      <c r="A107" s="764">
        <v>100</v>
      </c>
      <c r="B107" s="765" t="s">
        <v>88</v>
      </c>
      <c r="C107" s="766" t="s">
        <v>1217</v>
      </c>
      <c r="D107" s="767" t="s">
        <v>1218</v>
      </c>
      <c r="E107" s="768" t="s">
        <v>87</v>
      </c>
      <c r="F107" s="141">
        <v>3359866</v>
      </c>
      <c r="G107" s="141">
        <v>42632628</v>
      </c>
      <c r="H107" s="141">
        <v>-41743</v>
      </c>
      <c r="I107" s="141">
        <v>158801</v>
      </c>
      <c r="J107" s="141">
        <v>62622</v>
      </c>
      <c r="K107" s="141">
        <v>-156058</v>
      </c>
      <c r="L107" s="141">
        <v>42656250</v>
      </c>
      <c r="M107" s="141">
        <v>677832</v>
      </c>
      <c r="N107" s="141">
        <v>0</v>
      </c>
      <c r="O107" s="141">
        <v>0</v>
      </c>
      <c r="P107" s="141">
        <v>677832</v>
      </c>
      <c r="Q107" s="141">
        <v>-46449</v>
      </c>
      <c r="R107" s="141">
        <v>-17732866</v>
      </c>
      <c r="S107" s="141">
        <v>-3717859</v>
      </c>
      <c r="T107" s="141">
        <v>-14871434</v>
      </c>
      <c r="U107" s="141">
        <v>0</v>
      </c>
      <c r="V107" s="141">
        <v>0</v>
      </c>
      <c r="W107" s="141">
        <v>-4098874</v>
      </c>
      <c r="X107" s="141">
        <v>-40467482</v>
      </c>
      <c r="Y107" s="857">
        <v>6226466</v>
      </c>
      <c r="Z107" t="s">
        <v>1673</v>
      </c>
    </row>
    <row r="108" spans="1:26" ht="12.75" x14ac:dyDescent="0.2">
      <c r="A108" s="764">
        <v>101</v>
      </c>
      <c r="B108" s="765" t="s">
        <v>90</v>
      </c>
      <c r="C108" s="766" t="s">
        <v>1217</v>
      </c>
      <c r="D108" s="767" t="s">
        <v>1221</v>
      </c>
      <c r="E108" s="768" t="s">
        <v>89</v>
      </c>
      <c r="F108" s="141">
        <v>663754</v>
      </c>
      <c r="G108" s="141">
        <v>24674173</v>
      </c>
      <c r="H108" s="141">
        <v>0</v>
      </c>
      <c r="I108" s="141">
        <v>-200000</v>
      </c>
      <c r="J108" s="141">
        <v>800000</v>
      </c>
      <c r="K108" s="141">
        <v>-2051529</v>
      </c>
      <c r="L108" s="141">
        <v>23222644</v>
      </c>
      <c r="M108" s="141">
        <v>161675</v>
      </c>
      <c r="N108" s="141">
        <v>0</v>
      </c>
      <c r="O108" s="141">
        <v>421706</v>
      </c>
      <c r="P108" s="141">
        <v>583381</v>
      </c>
      <c r="Q108" s="141">
        <v>0</v>
      </c>
      <c r="R108" s="141">
        <v>-12576040</v>
      </c>
      <c r="S108" s="141">
        <v>-2515208</v>
      </c>
      <c r="T108" s="141">
        <v>-10060832</v>
      </c>
      <c r="U108" s="141">
        <v>-425169</v>
      </c>
      <c r="V108" s="141">
        <v>0</v>
      </c>
      <c r="W108" s="141">
        <v>0</v>
      </c>
      <c r="X108" s="141">
        <v>-25577249</v>
      </c>
      <c r="Y108" s="857">
        <v>-1107470</v>
      </c>
      <c r="Z108" t="s">
        <v>1674</v>
      </c>
    </row>
    <row r="109" spans="1:26" ht="12.75" x14ac:dyDescent="0.2">
      <c r="A109" s="764">
        <v>102</v>
      </c>
      <c r="B109" s="765" t="s">
        <v>345</v>
      </c>
      <c r="C109" s="766" t="s">
        <v>1217</v>
      </c>
      <c r="D109" s="767" t="s">
        <v>1221</v>
      </c>
      <c r="E109" s="768" t="s">
        <v>1142</v>
      </c>
      <c r="F109" s="141">
        <v>-2243316</v>
      </c>
      <c r="G109" s="141">
        <v>29245941</v>
      </c>
      <c r="H109" s="141">
        <v>-137243</v>
      </c>
      <c r="I109" s="141">
        <v>-67952</v>
      </c>
      <c r="J109" s="141">
        <v>102048</v>
      </c>
      <c r="K109" s="141">
        <v>100440</v>
      </c>
      <c r="L109" s="141">
        <v>29243234</v>
      </c>
      <c r="M109" s="141">
        <v>0</v>
      </c>
      <c r="N109" s="141">
        <v>0</v>
      </c>
      <c r="O109" s="141">
        <v>0</v>
      </c>
      <c r="P109" s="141">
        <v>0</v>
      </c>
      <c r="Q109" s="141">
        <v>-443710</v>
      </c>
      <c r="R109" s="141">
        <v>0</v>
      </c>
      <c r="S109" s="141">
        <v>-16649295</v>
      </c>
      <c r="T109" s="141">
        <v>-11099530</v>
      </c>
      <c r="U109" s="141">
        <v>-146744</v>
      </c>
      <c r="V109" s="141">
        <v>0</v>
      </c>
      <c r="W109" s="141">
        <v>-397080</v>
      </c>
      <c r="X109" s="141">
        <v>-28736359</v>
      </c>
      <c r="Y109" s="857">
        <v>-1736441</v>
      </c>
      <c r="Z109" t="s">
        <v>1675</v>
      </c>
    </row>
    <row r="110" spans="1:26" ht="12.75" x14ac:dyDescent="0.2">
      <c r="A110" s="764">
        <v>103</v>
      </c>
      <c r="B110" s="765" t="s">
        <v>92</v>
      </c>
      <c r="C110" s="766" t="s">
        <v>1217</v>
      </c>
      <c r="D110" s="767" t="s">
        <v>1226</v>
      </c>
      <c r="E110" s="768" t="s">
        <v>91</v>
      </c>
      <c r="F110" s="141">
        <v>-426897</v>
      </c>
      <c r="G110" s="141">
        <v>12459379</v>
      </c>
      <c r="H110" s="141">
        <v>0</v>
      </c>
      <c r="I110" s="141">
        <v>-32300</v>
      </c>
      <c r="J110" s="141">
        <v>33800</v>
      </c>
      <c r="K110" s="141">
        <v>-182780</v>
      </c>
      <c r="L110" s="141">
        <v>12278099</v>
      </c>
      <c r="M110" s="141">
        <v>770868</v>
      </c>
      <c r="N110" s="141">
        <v>0</v>
      </c>
      <c r="O110" s="141">
        <v>137231</v>
      </c>
      <c r="P110" s="141">
        <v>908099</v>
      </c>
      <c r="Q110" s="141">
        <v>-239995</v>
      </c>
      <c r="R110" s="141">
        <v>0</v>
      </c>
      <c r="S110" s="141">
        <v>-6382840</v>
      </c>
      <c r="T110" s="141">
        <v>-6382840</v>
      </c>
      <c r="U110" s="141">
        <v>-183371</v>
      </c>
      <c r="V110" s="141">
        <v>-45498</v>
      </c>
      <c r="W110" s="141">
        <v>0</v>
      </c>
      <c r="X110" s="141">
        <v>-13234544</v>
      </c>
      <c r="Y110" s="857">
        <v>-475243</v>
      </c>
      <c r="Z110" t="s">
        <v>1676</v>
      </c>
    </row>
    <row r="111" spans="1:26" ht="12.75" x14ac:dyDescent="0.2">
      <c r="A111" s="764">
        <v>104</v>
      </c>
      <c r="B111" s="765" t="s">
        <v>94</v>
      </c>
      <c r="C111" s="766" t="s">
        <v>1217</v>
      </c>
      <c r="D111" s="767" t="s">
        <v>1219</v>
      </c>
      <c r="E111" s="768" t="s">
        <v>93</v>
      </c>
      <c r="F111" s="141">
        <v>530764</v>
      </c>
      <c r="G111" s="141">
        <v>26215726</v>
      </c>
      <c r="H111" s="141">
        <v>-340691</v>
      </c>
      <c r="I111" s="141">
        <v>-159309</v>
      </c>
      <c r="J111" s="141">
        <v>0</v>
      </c>
      <c r="K111" s="141">
        <v>-982100</v>
      </c>
      <c r="L111" s="141">
        <v>24733626</v>
      </c>
      <c r="M111" s="141">
        <v>0</v>
      </c>
      <c r="N111" s="141">
        <v>0</v>
      </c>
      <c r="O111" s="141">
        <v>0</v>
      </c>
      <c r="P111" s="141">
        <v>0</v>
      </c>
      <c r="Q111" s="141">
        <v>0</v>
      </c>
      <c r="R111" s="141">
        <v>-12391568</v>
      </c>
      <c r="S111" s="141">
        <v>-2498272</v>
      </c>
      <c r="T111" s="141">
        <v>-9993086</v>
      </c>
      <c r="U111" s="141">
        <v>-302554</v>
      </c>
      <c r="V111" s="141">
        <v>0</v>
      </c>
      <c r="W111" s="141">
        <v>-800629</v>
      </c>
      <c r="X111" s="141">
        <v>-25986109</v>
      </c>
      <c r="Y111" s="857">
        <v>-721719</v>
      </c>
      <c r="Z111" t="s">
        <v>1677</v>
      </c>
    </row>
    <row r="112" spans="1:26" ht="12.75" x14ac:dyDescent="0.2">
      <c r="A112" s="764">
        <v>105</v>
      </c>
      <c r="B112" s="765" t="s">
        <v>96</v>
      </c>
      <c r="C112" s="766" t="s">
        <v>1224</v>
      </c>
      <c r="D112" s="767" t="s">
        <v>1229</v>
      </c>
      <c r="E112" s="768" t="s">
        <v>95</v>
      </c>
      <c r="F112" s="141">
        <v>-9637531</v>
      </c>
      <c r="G112" s="141">
        <v>91878679</v>
      </c>
      <c r="H112" s="141">
        <v>0</v>
      </c>
      <c r="I112" s="141">
        <v>-800000</v>
      </c>
      <c r="J112" s="141">
        <v>2880000</v>
      </c>
      <c r="K112" s="141">
        <v>-2880000</v>
      </c>
      <c r="L112" s="141">
        <v>91078679</v>
      </c>
      <c r="M112" s="141">
        <v>0</v>
      </c>
      <c r="N112" s="141">
        <v>0</v>
      </c>
      <c r="O112" s="141">
        <v>9279971</v>
      </c>
      <c r="P112" s="141">
        <v>9279971</v>
      </c>
      <c r="Q112" s="141">
        <v>-2199935</v>
      </c>
      <c r="R112" s="141">
        <v>-44334786</v>
      </c>
      <c r="S112" s="141">
        <v>-886696</v>
      </c>
      <c r="T112" s="141">
        <v>-43448091</v>
      </c>
      <c r="U112" s="141">
        <v>-941577</v>
      </c>
      <c r="V112" s="141">
        <v>0</v>
      </c>
      <c r="W112" s="141">
        <v>0</v>
      </c>
      <c r="X112" s="141">
        <v>-91811085</v>
      </c>
      <c r="Y112" s="857">
        <v>-1089966</v>
      </c>
      <c r="Z112" t="s">
        <v>1678</v>
      </c>
    </row>
    <row r="113" spans="1:26" ht="12.75" x14ac:dyDescent="0.2">
      <c r="A113" s="764">
        <v>106</v>
      </c>
      <c r="B113" s="765" t="s">
        <v>98</v>
      </c>
      <c r="C113" s="766" t="s">
        <v>1217</v>
      </c>
      <c r="D113" s="767" t="s">
        <v>1220</v>
      </c>
      <c r="E113" s="768" t="s">
        <v>97</v>
      </c>
      <c r="F113" s="141">
        <v>-1042856.6700000018</v>
      </c>
      <c r="G113" s="141">
        <v>22805065</v>
      </c>
      <c r="H113" s="141">
        <v>0</v>
      </c>
      <c r="I113" s="141">
        <v>-3554</v>
      </c>
      <c r="J113" s="141">
        <v>373069</v>
      </c>
      <c r="K113" s="141">
        <v>-779278</v>
      </c>
      <c r="L113" s="141">
        <v>22395302</v>
      </c>
      <c r="M113" s="141">
        <v>790990</v>
      </c>
      <c r="N113" s="141">
        <v>0</v>
      </c>
      <c r="O113" s="141">
        <v>707692</v>
      </c>
      <c r="P113" s="141">
        <v>1498682</v>
      </c>
      <c r="Q113" s="141">
        <v>-239624</v>
      </c>
      <c r="R113" s="141">
        <v>-11520604</v>
      </c>
      <c r="S113" s="141">
        <v>-2304121</v>
      </c>
      <c r="T113" s="141">
        <v>-9216484</v>
      </c>
      <c r="U113" s="141">
        <v>-286971</v>
      </c>
      <c r="V113" s="141">
        <v>0</v>
      </c>
      <c r="W113" s="141">
        <v>0</v>
      </c>
      <c r="X113" s="141">
        <v>-23567804</v>
      </c>
      <c r="Y113" s="857">
        <v>-716676.67000000179</v>
      </c>
      <c r="Z113" t="s">
        <v>1679</v>
      </c>
    </row>
    <row r="114" spans="1:26" ht="12.75" x14ac:dyDescent="0.2">
      <c r="A114" s="764">
        <v>107</v>
      </c>
      <c r="B114" s="765" t="s">
        <v>100</v>
      </c>
      <c r="C114" s="766" t="s">
        <v>1217</v>
      </c>
      <c r="D114" s="767" t="s">
        <v>1226</v>
      </c>
      <c r="E114" s="768" t="s">
        <v>99</v>
      </c>
      <c r="F114" s="141">
        <v>-2252861</v>
      </c>
      <c r="G114" s="141">
        <v>54095105</v>
      </c>
      <c r="H114" s="141">
        <v>0</v>
      </c>
      <c r="I114" s="141">
        <v>204105</v>
      </c>
      <c r="J114" s="141">
        <v>682804</v>
      </c>
      <c r="K114" s="141">
        <v>-277495</v>
      </c>
      <c r="L114" s="141">
        <v>54704519</v>
      </c>
      <c r="M114" s="141">
        <v>436658</v>
      </c>
      <c r="N114" s="141">
        <v>0</v>
      </c>
      <c r="O114" s="141">
        <v>2254104</v>
      </c>
      <c r="P114" s="141">
        <v>2690762</v>
      </c>
      <c r="Q114" s="141">
        <v>-2062974</v>
      </c>
      <c r="R114" s="141">
        <v>0</v>
      </c>
      <c r="S114" s="141">
        <v>-26583139</v>
      </c>
      <c r="T114" s="141">
        <v>-26583139</v>
      </c>
      <c r="U114" s="141">
        <v>-172566</v>
      </c>
      <c r="V114" s="141">
        <v>0</v>
      </c>
      <c r="W114" s="141">
        <v>0</v>
      </c>
      <c r="X114" s="141">
        <v>-55401818</v>
      </c>
      <c r="Y114" s="857">
        <v>-259398</v>
      </c>
      <c r="Z114" t="s">
        <v>1680</v>
      </c>
    </row>
    <row r="115" spans="1:26" ht="12.75" x14ac:dyDescent="0.2">
      <c r="A115" s="764">
        <v>108</v>
      </c>
      <c r="B115" s="765" t="s">
        <v>102</v>
      </c>
      <c r="C115" s="766" t="s">
        <v>1217</v>
      </c>
      <c r="D115" s="767" t="s">
        <v>1218</v>
      </c>
      <c r="E115" s="768" t="s">
        <v>101</v>
      </c>
      <c r="F115" s="141">
        <v>1029415</v>
      </c>
      <c r="G115" s="141">
        <v>16401522</v>
      </c>
      <c r="H115" s="141">
        <v>0</v>
      </c>
      <c r="I115" s="141">
        <v>-164000</v>
      </c>
      <c r="J115" s="141">
        <v>0</v>
      </c>
      <c r="K115" s="141">
        <v>-1548641</v>
      </c>
      <c r="L115" s="141">
        <v>14688881</v>
      </c>
      <c r="M115" s="141">
        <v>0</v>
      </c>
      <c r="N115" s="141">
        <v>0</v>
      </c>
      <c r="O115" s="141">
        <v>0</v>
      </c>
      <c r="P115" s="141">
        <v>0</v>
      </c>
      <c r="Q115" s="141">
        <v>-150076</v>
      </c>
      <c r="R115" s="141">
        <v>-7637978</v>
      </c>
      <c r="S115" s="141">
        <v>-1527596</v>
      </c>
      <c r="T115" s="141">
        <v>-6110382</v>
      </c>
      <c r="U115" s="141">
        <v>-78594</v>
      </c>
      <c r="V115" s="141">
        <v>0</v>
      </c>
      <c r="W115" s="141">
        <v>-359460</v>
      </c>
      <c r="X115" s="141">
        <v>-15864086</v>
      </c>
      <c r="Y115" s="857">
        <v>-145790</v>
      </c>
      <c r="Z115" t="s">
        <v>1681</v>
      </c>
    </row>
    <row r="116" spans="1:26" ht="12.75" x14ac:dyDescent="0.2">
      <c r="A116" s="764">
        <v>109</v>
      </c>
      <c r="B116" s="765" t="s">
        <v>104</v>
      </c>
      <c r="C116" s="766" t="s">
        <v>1217</v>
      </c>
      <c r="D116" s="767" t="s">
        <v>1218</v>
      </c>
      <c r="E116" s="768" t="s">
        <v>103</v>
      </c>
      <c r="F116" s="141">
        <v>-180000</v>
      </c>
      <c r="G116" s="141">
        <v>24897396</v>
      </c>
      <c r="H116" s="141">
        <v>0</v>
      </c>
      <c r="I116" s="141">
        <v>75800</v>
      </c>
      <c r="J116" s="141">
        <v>30000</v>
      </c>
      <c r="K116" s="141">
        <v>-500000</v>
      </c>
      <c r="L116" s="141">
        <v>24503196</v>
      </c>
      <c r="M116" s="141">
        <v>74258</v>
      </c>
      <c r="N116" s="141">
        <v>0</v>
      </c>
      <c r="O116" s="141">
        <v>0</v>
      </c>
      <c r="P116" s="141">
        <v>74258</v>
      </c>
      <c r="Q116" s="141">
        <v>-263151</v>
      </c>
      <c r="R116" s="141">
        <v>0</v>
      </c>
      <c r="S116" s="141">
        <v>-14672571</v>
      </c>
      <c r="T116" s="141">
        <v>-9781714</v>
      </c>
      <c r="U116" s="141">
        <v>0</v>
      </c>
      <c r="V116" s="141">
        <v>-94668</v>
      </c>
      <c r="W116" s="141">
        <v>0</v>
      </c>
      <c r="X116" s="141">
        <v>-24812104</v>
      </c>
      <c r="Y116" s="857">
        <v>-414650</v>
      </c>
      <c r="Z116" t="s">
        <v>1682</v>
      </c>
    </row>
    <row r="117" spans="1:26" ht="12.75" x14ac:dyDescent="0.2">
      <c r="A117" s="764">
        <v>110</v>
      </c>
      <c r="B117" s="765" t="s">
        <v>106</v>
      </c>
      <c r="C117" s="766" t="s">
        <v>1217</v>
      </c>
      <c r="D117" s="767" t="s">
        <v>1221</v>
      </c>
      <c r="E117" s="768" t="s">
        <v>105</v>
      </c>
      <c r="F117" s="141">
        <v>-1604920</v>
      </c>
      <c r="G117" s="141">
        <v>31643122</v>
      </c>
      <c r="H117" s="141">
        <v>0</v>
      </c>
      <c r="I117" s="141">
        <v>-310874</v>
      </c>
      <c r="J117" s="141">
        <v>0</v>
      </c>
      <c r="K117" s="141">
        <v>-1267200</v>
      </c>
      <c r="L117" s="141">
        <v>30065048</v>
      </c>
      <c r="M117" s="141">
        <v>0</v>
      </c>
      <c r="N117" s="141">
        <v>0</v>
      </c>
      <c r="O117" s="141">
        <v>0</v>
      </c>
      <c r="P117" s="141">
        <v>0</v>
      </c>
      <c r="Q117" s="141">
        <v>-1028274</v>
      </c>
      <c r="R117" s="141">
        <v>-13873941</v>
      </c>
      <c r="S117" s="141">
        <v>-2841603</v>
      </c>
      <c r="T117" s="141">
        <v>-11366411</v>
      </c>
      <c r="U117" s="141">
        <v>-334073</v>
      </c>
      <c r="V117" s="141">
        <v>-447588</v>
      </c>
      <c r="W117" s="141">
        <v>-1099976</v>
      </c>
      <c r="X117" s="141">
        <v>-30991866</v>
      </c>
      <c r="Y117" s="857">
        <v>-2531738</v>
      </c>
      <c r="Z117" t="s">
        <v>1683</v>
      </c>
    </row>
    <row r="118" spans="1:26" ht="12.75" x14ac:dyDescent="0.2">
      <c r="A118" s="764">
        <v>111</v>
      </c>
      <c r="B118" s="765" t="s">
        <v>108</v>
      </c>
      <c r="C118" s="766" t="s">
        <v>1228</v>
      </c>
      <c r="D118" s="767" t="s">
        <v>1223</v>
      </c>
      <c r="E118" s="768" t="s">
        <v>107</v>
      </c>
      <c r="F118" s="141">
        <v>15738854</v>
      </c>
      <c r="G118" s="141">
        <v>90321233</v>
      </c>
      <c r="H118" s="141">
        <v>0</v>
      </c>
      <c r="I118" s="141">
        <v>-2800000</v>
      </c>
      <c r="J118" s="141">
        <v>0</v>
      </c>
      <c r="K118" s="141">
        <v>-626957</v>
      </c>
      <c r="L118" s="141">
        <v>86894276</v>
      </c>
      <c r="M118" s="141">
        <v>2736581</v>
      </c>
      <c r="N118" s="141">
        <v>0</v>
      </c>
      <c r="O118" s="141">
        <v>0</v>
      </c>
      <c r="P118" s="141">
        <v>2736581</v>
      </c>
      <c r="Q118" s="141">
        <v>0</v>
      </c>
      <c r="R118" s="141">
        <v>0</v>
      </c>
      <c r="S118" s="141">
        <v>-28625835</v>
      </c>
      <c r="T118" s="141">
        <v>-50890372</v>
      </c>
      <c r="U118" s="141">
        <v>-291335</v>
      </c>
      <c r="V118" s="141">
        <v>0</v>
      </c>
      <c r="W118" s="141">
        <v>-13796640</v>
      </c>
      <c r="X118" s="141">
        <v>-93604182</v>
      </c>
      <c r="Y118" s="857">
        <v>11765529</v>
      </c>
      <c r="Z118" t="s">
        <v>1684</v>
      </c>
    </row>
    <row r="119" spans="1:26" ht="12.75" x14ac:dyDescent="0.2">
      <c r="A119" s="764">
        <v>112</v>
      </c>
      <c r="B119" s="765" t="s">
        <v>110</v>
      </c>
      <c r="C119" s="766" t="s">
        <v>1217</v>
      </c>
      <c r="D119" s="767" t="s">
        <v>1218</v>
      </c>
      <c r="E119" s="768" t="s">
        <v>109</v>
      </c>
      <c r="F119" s="141">
        <v>-12103743</v>
      </c>
      <c r="G119" s="141">
        <v>90893906</v>
      </c>
      <c r="H119" s="141">
        <v>0</v>
      </c>
      <c r="I119" s="141">
        <v>-150000</v>
      </c>
      <c r="J119" s="141">
        <v>3578144</v>
      </c>
      <c r="K119" s="141">
        <v>3027132</v>
      </c>
      <c r="L119" s="141">
        <v>97349182</v>
      </c>
      <c r="M119" s="141">
        <v>1063161</v>
      </c>
      <c r="N119" s="141">
        <v>0</v>
      </c>
      <c r="O119" s="141">
        <v>132394</v>
      </c>
      <c r="P119" s="141">
        <v>1195555</v>
      </c>
      <c r="Q119" s="141">
        <v>0</v>
      </c>
      <c r="R119" s="141">
        <v>0</v>
      </c>
      <c r="S119" s="141">
        <v>-61037703</v>
      </c>
      <c r="T119" s="141">
        <v>-26159016</v>
      </c>
      <c r="U119" s="141">
        <v>-231056</v>
      </c>
      <c r="V119" s="141">
        <v>0</v>
      </c>
      <c r="W119" s="141">
        <v>0</v>
      </c>
      <c r="X119" s="141">
        <v>-87427775</v>
      </c>
      <c r="Y119" s="857">
        <v>-986781</v>
      </c>
      <c r="Z119" t="s">
        <v>1685</v>
      </c>
    </row>
    <row r="120" spans="1:26" ht="12.75" x14ac:dyDescent="0.2">
      <c r="A120" s="764">
        <v>113</v>
      </c>
      <c r="B120" s="765" t="s">
        <v>112</v>
      </c>
      <c r="C120" s="766" t="s">
        <v>1228</v>
      </c>
      <c r="D120" s="767" t="s">
        <v>1223</v>
      </c>
      <c r="E120" s="768" t="s">
        <v>111</v>
      </c>
      <c r="F120" s="141">
        <v>2515138.9399999976</v>
      </c>
      <c r="G120" s="141">
        <v>140887185</v>
      </c>
      <c r="H120" s="141">
        <v>0</v>
      </c>
      <c r="I120" s="141">
        <v>-5000000</v>
      </c>
      <c r="J120" s="141">
        <v>0</v>
      </c>
      <c r="K120" s="141">
        <v>-8200000</v>
      </c>
      <c r="L120" s="141">
        <v>127687185</v>
      </c>
      <c r="M120" s="141">
        <v>17225169</v>
      </c>
      <c r="N120" s="141">
        <v>546851</v>
      </c>
      <c r="O120" s="141">
        <v>0</v>
      </c>
      <c r="P120" s="141">
        <v>17772020</v>
      </c>
      <c r="Q120" s="141">
        <v>0</v>
      </c>
      <c r="R120" s="141">
        <v>0</v>
      </c>
      <c r="S120" s="141">
        <v>-44611574</v>
      </c>
      <c r="T120" s="141">
        <v>-79309466</v>
      </c>
      <c r="U120" s="141">
        <v>-546851</v>
      </c>
      <c r="V120" s="141">
        <v>0</v>
      </c>
      <c r="W120" s="141">
        <v>-12169342</v>
      </c>
      <c r="X120" s="141">
        <v>-136637233</v>
      </c>
      <c r="Y120" s="857">
        <v>11337110.939999998</v>
      </c>
      <c r="Z120" t="s">
        <v>1686</v>
      </c>
    </row>
    <row r="121" spans="1:26" ht="12.75" x14ac:dyDescent="0.2">
      <c r="A121" s="764">
        <v>114</v>
      </c>
      <c r="B121" s="765" t="s">
        <v>114</v>
      </c>
      <c r="C121" s="766" t="s">
        <v>529</v>
      </c>
      <c r="D121" s="767" t="s">
        <v>1219</v>
      </c>
      <c r="E121" s="768" t="s">
        <v>548</v>
      </c>
      <c r="F121" s="141">
        <v>6549897</v>
      </c>
      <c r="G121" s="141">
        <v>57022770</v>
      </c>
      <c r="H121" s="141">
        <v>0</v>
      </c>
      <c r="I121" s="141">
        <v>-750000</v>
      </c>
      <c r="J121" s="141">
        <v>0</v>
      </c>
      <c r="K121" s="141">
        <v>-1035522</v>
      </c>
      <c r="L121" s="141">
        <v>55237248</v>
      </c>
      <c r="M121" s="141">
        <v>525216</v>
      </c>
      <c r="N121" s="141">
        <v>0</v>
      </c>
      <c r="O121" s="141">
        <v>0</v>
      </c>
      <c r="P121" s="141">
        <v>525216</v>
      </c>
      <c r="Q121" s="141">
        <v>-3589867</v>
      </c>
      <c r="R121" s="141">
        <v>0</v>
      </c>
      <c r="S121" s="141">
        <v>-499558</v>
      </c>
      <c r="T121" s="141">
        <v>-49456198</v>
      </c>
      <c r="U121" s="141">
        <v>-156251</v>
      </c>
      <c r="V121" s="141">
        <v>0</v>
      </c>
      <c r="W121" s="141">
        <v>-7210950</v>
      </c>
      <c r="X121" s="141">
        <v>-60912824</v>
      </c>
      <c r="Y121" s="857">
        <v>1399537</v>
      </c>
      <c r="Z121" t="s">
        <v>1687</v>
      </c>
    </row>
    <row r="122" spans="1:26" ht="12.75" x14ac:dyDescent="0.2">
      <c r="A122" s="764">
        <v>115</v>
      </c>
      <c r="B122" s="765" t="s">
        <v>116</v>
      </c>
      <c r="C122" s="766" t="s">
        <v>1217</v>
      </c>
      <c r="D122" s="767" t="s">
        <v>1225</v>
      </c>
      <c r="E122" s="768" t="s">
        <v>115</v>
      </c>
      <c r="F122" s="141">
        <v>-753055</v>
      </c>
      <c r="G122" s="141">
        <v>29025534</v>
      </c>
      <c r="H122" s="141">
        <v>-101564</v>
      </c>
      <c r="I122" s="141">
        <v>-28688</v>
      </c>
      <c r="J122" s="141">
        <v>518071</v>
      </c>
      <c r="K122" s="141">
        <v>-1625001</v>
      </c>
      <c r="L122" s="141">
        <v>27788352</v>
      </c>
      <c r="M122" s="141">
        <v>842865</v>
      </c>
      <c r="N122" s="141">
        <v>0</v>
      </c>
      <c r="O122" s="141">
        <v>0</v>
      </c>
      <c r="P122" s="141">
        <v>842865</v>
      </c>
      <c r="Q122" s="141">
        <v>-522793</v>
      </c>
      <c r="R122" s="141">
        <v>-14000436</v>
      </c>
      <c r="S122" s="141">
        <v>-2800087</v>
      </c>
      <c r="T122" s="141">
        <v>-11200349</v>
      </c>
      <c r="U122" s="141">
        <v>-200714</v>
      </c>
      <c r="V122" s="141">
        <v>0</v>
      </c>
      <c r="W122" s="141">
        <v>-190546</v>
      </c>
      <c r="X122" s="141">
        <v>-28914925</v>
      </c>
      <c r="Y122" s="857">
        <v>-1036763</v>
      </c>
      <c r="Z122" t="s">
        <v>1688</v>
      </c>
    </row>
    <row r="123" spans="1:26" ht="12.75" x14ac:dyDescent="0.2">
      <c r="A123" s="764">
        <v>116</v>
      </c>
      <c r="B123" s="765" t="s">
        <v>118</v>
      </c>
      <c r="C123" s="766" t="s">
        <v>1228</v>
      </c>
      <c r="D123" s="767" t="s">
        <v>1223</v>
      </c>
      <c r="E123" s="768" t="s">
        <v>117</v>
      </c>
      <c r="F123" s="141">
        <v>-17516536</v>
      </c>
      <c r="G123" s="141">
        <v>241682935</v>
      </c>
      <c r="H123" s="141">
        <v>0</v>
      </c>
      <c r="I123" s="141">
        <v>-6040073</v>
      </c>
      <c r="J123" s="141">
        <v>9699704</v>
      </c>
      <c r="K123" s="141">
        <v>-15811645</v>
      </c>
      <c r="L123" s="141">
        <v>229530921</v>
      </c>
      <c r="M123" s="141">
        <v>0</v>
      </c>
      <c r="N123" s="141">
        <v>0</v>
      </c>
      <c r="O123" s="141">
        <v>42656917</v>
      </c>
      <c r="P123" s="141">
        <v>42656917</v>
      </c>
      <c r="Q123" s="141">
        <v>0</v>
      </c>
      <c r="R123" s="141">
        <v>0</v>
      </c>
      <c r="S123" s="141">
        <v>-83794226</v>
      </c>
      <c r="T123" s="141">
        <v>-148967512</v>
      </c>
      <c r="U123" s="141">
        <v>-582048</v>
      </c>
      <c r="V123" s="141">
        <v>0</v>
      </c>
      <c r="W123" s="141">
        <v>0</v>
      </c>
      <c r="X123" s="141">
        <v>-233343786</v>
      </c>
      <c r="Y123" s="857">
        <v>21327516</v>
      </c>
      <c r="Z123" t="s">
        <v>1689</v>
      </c>
    </row>
    <row r="124" spans="1:26" ht="12.75" x14ac:dyDescent="0.2">
      <c r="A124" s="764">
        <v>117</v>
      </c>
      <c r="B124" s="765" t="s">
        <v>120</v>
      </c>
      <c r="C124" s="766" t="s">
        <v>1217</v>
      </c>
      <c r="D124" s="767" t="s">
        <v>1220</v>
      </c>
      <c r="E124" s="768" t="s">
        <v>119</v>
      </c>
      <c r="F124" s="141">
        <v>-155680</v>
      </c>
      <c r="G124" s="141">
        <v>43845577</v>
      </c>
      <c r="H124" s="141">
        <v>-47138</v>
      </c>
      <c r="I124" s="141">
        <v>32508</v>
      </c>
      <c r="J124" s="141">
        <v>320901</v>
      </c>
      <c r="K124" s="141">
        <v>158669</v>
      </c>
      <c r="L124" s="141">
        <v>44310517</v>
      </c>
      <c r="M124" s="141">
        <v>1199067</v>
      </c>
      <c r="N124" s="141">
        <v>2493184</v>
      </c>
      <c r="O124" s="141">
        <v>0</v>
      </c>
      <c r="P124" s="141">
        <v>3692251</v>
      </c>
      <c r="Q124" s="141">
        <v>0</v>
      </c>
      <c r="R124" s="141">
        <v>-20135597</v>
      </c>
      <c r="S124" s="141">
        <v>-16108477</v>
      </c>
      <c r="T124" s="141">
        <v>-3624407</v>
      </c>
      <c r="U124" s="141">
        <v>-402712</v>
      </c>
      <c r="V124" s="141">
        <v>0</v>
      </c>
      <c r="W124" s="141">
        <v>-5377500</v>
      </c>
      <c r="X124" s="141">
        <v>-45648693</v>
      </c>
      <c r="Y124" s="857">
        <v>2198395</v>
      </c>
      <c r="Z124" t="s">
        <v>1690</v>
      </c>
    </row>
    <row r="125" spans="1:26" ht="12.75" x14ac:dyDescent="0.2">
      <c r="A125" s="764">
        <v>118</v>
      </c>
      <c r="B125" s="765" t="s">
        <v>122</v>
      </c>
      <c r="C125" s="766" t="s">
        <v>1222</v>
      </c>
      <c r="D125" s="767" t="s">
        <v>1223</v>
      </c>
      <c r="E125" s="768" t="s">
        <v>121</v>
      </c>
      <c r="F125" s="141">
        <v>-2233737.0700000003</v>
      </c>
      <c r="G125" s="141">
        <v>71246193</v>
      </c>
      <c r="H125" s="141">
        <v>0</v>
      </c>
      <c r="I125" s="141">
        <v>-1349966</v>
      </c>
      <c r="J125" s="141">
        <v>852406</v>
      </c>
      <c r="K125" s="141">
        <v>-4053673</v>
      </c>
      <c r="L125" s="141">
        <v>66694960</v>
      </c>
      <c r="M125" s="141">
        <v>4273831</v>
      </c>
      <c r="N125" s="141">
        <v>0</v>
      </c>
      <c r="O125" s="141">
        <v>1374152</v>
      </c>
      <c r="P125" s="141">
        <v>5647983</v>
      </c>
      <c r="Q125" s="141">
        <v>0</v>
      </c>
      <c r="R125" s="141">
        <v>0</v>
      </c>
      <c r="S125" s="141">
        <v>-26198938</v>
      </c>
      <c r="T125" s="141">
        <v>-46575889</v>
      </c>
      <c r="U125" s="141">
        <v>-308003</v>
      </c>
      <c r="V125" s="141">
        <v>0</v>
      </c>
      <c r="W125" s="141">
        <v>0</v>
      </c>
      <c r="X125" s="141">
        <v>-73082830</v>
      </c>
      <c r="Y125" s="857">
        <v>-2973624.0699999928</v>
      </c>
      <c r="Z125" t="s">
        <v>1691</v>
      </c>
    </row>
    <row r="126" spans="1:26" ht="12.75" x14ac:dyDescent="0.2">
      <c r="A126" s="764">
        <v>119</v>
      </c>
      <c r="B126" s="765" t="s">
        <v>124</v>
      </c>
      <c r="C126" s="766" t="s">
        <v>1217</v>
      </c>
      <c r="D126" s="767" t="s">
        <v>1221</v>
      </c>
      <c r="E126" s="768" t="s">
        <v>123</v>
      </c>
      <c r="F126" s="141">
        <v>-310033</v>
      </c>
      <c r="G126" s="141">
        <v>47634239</v>
      </c>
      <c r="H126" s="141">
        <v>0</v>
      </c>
      <c r="I126" s="141">
        <v>-85550</v>
      </c>
      <c r="J126" s="141">
        <v>2487927</v>
      </c>
      <c r="K126" s="141">
        <v>1109215</v>
      </c>
      <c r="L126" s="141">
        <v>51145831</v>
      </c>
      <c r="M126" s="141">
        <v>0</v>
      </c>
      <c r="N126" s="141">
        <v>0</v>
      </c>
      <c r="O126" s="141">
        <v>0</v>
      </c>
      <c r="P126" s="141">
        <v>0</v>
      </c>
      <c r="Q126" s="141">
        <v>-564958</v>
      </c>
      <c r="R126" s="141">
        <v>-23461146</v>
      </c>
      <c r="S126" s="141">
        <v>-4692229</v>
      </c>
      <c r="T126" s="141">
        <v>-18768916</v>
      </c>
      <c r="U126" s="141">
        <v>-1014293</v>
      </c>
      <c r="V126" s="141">
        <v>-122214</v>
      </c>
      <c r="W126" s="141">
        <v>-253950</v>
      </c>
      <c r="X126" s="141">
        <v>-48877706</v>
      </c>
      <c r="Y126" s="857">
        <v>1958092</v>
      </c>
      <c r="Z126" t="s">
        <v>1692</v>
      </c>
    </row>
    <row r="127" spans="1:26" ht="12.75" x14ac:dyDescent="0.2">
      <c r="A127" s="764">
        <v>120</v>
      </c>
      <c r="B127" s="765" t="s">
        <v>126</v>
      </c>
      <c r="C127" s="766" t="s">
        <v>1217</v>
      </c>
      <c r="D127" s="767" t="s">
        <v>1225</v>
      </c>
      <c r="E127" s="768" t="s">
        <v>125</v>
      </c>
      <c r="F127" s="141">
        <v>-2662290</v>
      </c>
      <c r="G127" s="141">
        <v>64506786</v>
      </c>
      <c r="H127" s="141">
        <v>0</v>
      </c>
      <c r="I127" s="141">
        <v>-600000</v>
      </c>
      <c r="J127" s="141">
        <v>1800000</v>
      </c>
      <c r="K127" s="141">
        <v>-3906621</v>
      </c>
      <c r="L127" s="141">
        <v>61800165</v>
      </c>
      <c r="M127" s="141">
        <v>1232503</v>
      </c>
      <c r="N127" s="141">
        <v>0</v>
      </c>
      <c r="O127" s="141">
        <v>1958713</v>
      </c>
      <c r="P127" s="141">
        <v>3191216</v>
      </c>
      <c r="Q127" s="141">
        <v>-953398</v>
      </c>
      <c r="R127" s="141">
        <v>0</v>
      </c>
      <c r="S127" s="141">
        <v>-6160519</v>
      </c>
      <c r="T127" s="141">
        <v>-55444674</v>
      </c>
      <c r="U127" s="141">
        <v>-524501</v>
      </c>
      <c r="V127" s="141">
        <v>0</v>
      </c>
      <c r="W127" s="141">
        <v>0</v>
      </c>
      <c r="X127" s="141">
        <v>-63083092</v>
      </c>
      <c r="Y127" s="857">
        <v>-754001</v>
      </c>
      <c r="Z127" t="s">
        <v>1693</v>
      </c>
    </row>
    <row r="128" spans="1:26" ht="12.75" x14ac:dyDescent="0.2">
      <c r="A128" s="764">
        <v>121</v>
      </c>
      <c r="B128" s="765" t="s">
        <v>128</v>
      </c>
      <c r="C128" s="766" t="s">
        <v>1222</v>
      </c>
      <c r="D128" s="767" t="s">
        <v>1223</v>
      </c>
      <c r="E128" s="768" t="s">
        <v>127</v>
      </c>
      <c r="F128" s="141">
        <v>9534059</v>
      </c>
      <c r="G128" s="141">
        <v>54568920</v>
      </c>
      <c r="H128" s="141">
        <v>-244486</v>
      </c>
      <c r="I128" s="141">
        <v>-577911</v>
      </c>
      <c r="J128" s="141">
        <v>0</v>
      </c>
      <c r="K128" s="141">
        <v>-1195000</v>
      </c>
      <c r="L128" s="141">
        <v>52551523</v>
      </c>
      <c r="M128" s="141">
        <v>1343015</v>
      </c>
      <c r="N128" s="141">
        <v>0</v>
      </c>
      <c r="O128" s="141">
        <v>0</v>
      </c>
      <c r="P128" s="141">
        <v>1343015</v>
      </c>
      <c r="Q128" s="141">
        <v>-1343015</v>
      </c>
      <c r="R128" s="141">
        <v>0</v>
      </c>
      <c r="S128" s="141">
        <v>-19371700</v>
      </c>
      <c r="T128" s="141">
        <v>-34438578</v>
      </c>
      <c r="U128" s="141">
        <v>0</v>
      </c>
      <c r="V128" s="141">
        <v>0</v>
      </c>
      <c r="W128" s="141">
        <v>-9445816</v>
      </c>
      <c r="X128" s="141">
        <v>-64599109</v>
      </c>
      <c r="Y128" s="857">
        <v>-1170512</v>
      </c>
      <c r="Z128" t="s">
        <v>1694</v>
      </c>
    </row>
    <row r="129" spans="1:26" ht="12.75" x14ac:dyDescent="0.2">
      <c r="A129" s="764">
        <v>122</v>
      </c>
      <c r="B129" s="765" t="s">
        <v>130</v>
      </c>
      <c r="C129" s="766" t="s">
        <v>1217</v>
      </c>
      <c r="D129" s="767" t="s">
        <v>1218</v>
      </c>
      <c r="E129" s="768" t="s">
        <v>129</v>
      </c>
      <c r="F129" s="141">
        <v>-1840221</v>
      </c>
      <c r="G129" s="141">
        <v>30202729</v>
      </c>
      <c r="H129" s="141">
        <v>0</v>
      </c>
      <c r="I129" s="141">
        <v>89601</v>
      </c>
      <c r="J129" s="141">
        <v>254925</v>
      </c>
      <c r="K129" s="141">
        <v>86100</v>
      </c>
      <c r="L129" s="141">
        <v>30633355</v>
      </c>
      <c r="M129" s="141">
        <v>244252</v>
      </c>
      <c r="N129" s="141">
        <v>0</v>
      </c>
      <c r="O129" s="141">
        <v>2064451</v>
      </c>
      <c r="P129" s="141">
        <v>2308703</v>
      </c>
      <c r="Q129" s="141">
        <v>0</v>
      </c>
      <c r="R129" s="141">
        <v>-15366748</v>
      </c>
      <c r="S129" s="141">
        <v>-3073350</v>
      </c>
      <c r="T129" s="141">
        <v>-12293399</v>
      </c>
      <c r="U129" s="141">
        <v>-99862</v>
      </c>
      <c r="V129" s="141">
        <v>0</v>
      </c>
      <c r="W129" s="141">
        <v>0</v>
      </c>
      <c r="X129" s="141">
        <v>-30833359</v>
      </c>
      <c r="Y129" s="857">
        <v>268478</v>
      </c>
      <c r="Z129" t="s">
        <v>1695</v>
      </c>
    </row>
    <row r="130" spans="1:26" ht="12.75" x14ac:dyDescent="0.2">
      <c r="A130" s="764">
        <v>123</v>
      </c>
      <c r="B130" s="765" t="s">
        <v>132</v>
      </c>
      <c r="C130" s="766" t="s">
        <v>529</v>
      </c>
      <c r="D130" s="767" t="s">
        <v>1229</v>
      </c>
      <c r="E130" s="768" t="s">
        <v>552</v>
      </c>
      <c r="F130" s="141">
        <v>-1990641</v>
      </c>
      <c r="G130" s="141">
        <v>32536332</v>
      </c>
      <c r="H130" s="141">
        <v>0</v>
      </c>
      <c r="I130" s="141">
        <v>-310996</v>
      </c>
      <c r="J130" s="141">
        <v>1639096</v>
      </c>
      <c r="K130" s="141">
        <v>-250000</v>
      </c>
      <c r="L130" s="141">
        <v>33614432</v>
      </c>
      <c r="M130" s="141">
        <v>0</v>
      </c>
      <c r="N130" s="141">
        <v>0</v>
      </c>
      <c r="O130" s="141">
        <v>0</v>
      </c>
      <c r="P130" s="141">
        <v>0</v>
      </c>
      <c r="Q130" s="141">
        <v>-1401565</v>
      </c>
      <c r="R130" s="141">
        <v>-15181511</v>
      </c>
      <c r="S130" s="141">
        <v>-303630</v>
      </c>
      <c r="T130" s="141">
        <v>-14877880</v>
      </c>
      <c r="U130" s="141">
        <v>-114740</v>
      </c>
      <c r="V130" s="141">
        <v>0</v>
      </c>
      <c r="W130" s="141">
        <v>-281840</v>
      </c>
      <c r="X130" s="141">
        <v>-32161166</v>
      </c>
      <c r="Y130" s="857">
        <v>-537375</v>
      </c>
      <c r="Z130" t="s">
        <v>1696</v>
      </c>
    </row>
    <row r="131" spans="1:26" ht="12.75" x14ac:dyDescent="0.2">
      <c r="A131" s="764">
        <v>124</v>
      </c>
      <c r="B131" s="765" t="s">
        <v>134</v>
      </c>
      <c r="C131" s="766" t="s">
        <v>1217</v>
      </c>
      <c r="D131" s="767" t="s">
        <v>1218</v>
      </c>
      <c r="E131" s="768" t="s">
        <v>133</v>
      </c>
      <c r="F131" s="141">
        <v>-417793</v>
      </c>
      <c r="G131" s="141">
        <v>21489163</v>
      </c>
      <c r="H131" s="141">
        <v>0</v>
      </c>
      <c r="I131" s="141">
        <v>-319285</v>
      </c>
      <c r="J131" s="141">
        <v>319750</v>
      </c>
      <c r="K131" s="141">
        <v>0</v>
      </c>
      <c r="L131" s="141">
        <v>21489628</v>
      </c>
      <c r="M131" s="141">
        <v>0</v>
      </c>
      <c r="N131" s="141">
        <v>0</v>
      </c>
      <c r="O131" s="141">
        <v>158490</v>
      </c>
      <c r="P131" s="141">
        <v>158490</v>
      </c>
      <c r="Q131" s="141">
        <v>-23750</v>
      </c>
      <c r="R131" s="141">
        <v>-10466231</v>
      </c>
      <c r="S131" s="141">
        <v>-2093246</v>
      </c>
      <c r="T131" s="141">
        <v>-8372984</v>
      </c>
      <c r="U131" s="141">
        <v>-203656</v>
      </c>
      <c r="V131" s="141">
        <v>0</v>
      </c>
      <c r="W131" s="141">
        <v>0</v>
      </c>
      <c r="X131" s="141">
        <v>-21159867</v>
      </c>
      <c r="Y131" s="857">
        <v>70458</v>
      </c>
      <c r="Z131" t="s">
        <v>1697</v>
      </c>
    </row>
    <row r="132" spans="1:26" ht="12.75" x14ac:dyDescent="0.2">
      <c r="A132" s="764">
        <v>125</v>
      </c>
      <c r="B132" s="765" t="s">
        <v>136</v>
      </c>
      <c r="C132" s="766" t="s">
        <v>1217</v>
      </c>
      <c r="D132" s="767" t="s">
        <v>1218</v>
      </c>
      <c r="E132" s="768" t="s">
        <v>135</v>
      </c>
      <c r="F132" s="141">
        <v>-2286116</v>
      </c>
      <c r="G132" s="141">
        <v>36086333</v>
      </c>
      <c r="H132" s="141">
        <v>-189676</v>
      </c>
      <c r="I132" s="141">
        <v>32672</v>
      </c>
      <c r="J132" s="141">
        <v>0</v>
      </c>
      <c r="K132" s="141">
        <v>-249172</v>
      </c>
      <c r="L132" s="141">
        <v>35680157</v>
      </c>
      <c r="M132" s="141">
        <v>0</v>
      </c>
      <c r="N132" s="141">
        <v>0</v>
      </c>
      <c r="O132" s="141">
        <v>2071343</v>
      </c>
      <c r="P132" s="141">
        <v>2071343</v>
      </c>
      <c r="Q132" s="141">
        <v>-909591</v>
      </c>
      <c r="R132" s="141">
        <v>-17466376</v>
      </c>
      <c r="S132" s="141">
        <v>-3493276</v>
      </c>
      <c r="T132" s="141">
        <v>-13973101</v>
      </c>
      <c r="U132" s="141">
        <v>-137914</v>
      </c>
      <c r="V132" s="141">
        <v>0</v>
      </c>
      <c r="W132" s="141">
        <v>0</v>
      </c>
      <c r="X132" s="141">
        <v>-35980258</v>
      </c>
      <c r="Y132" s="857">
        <v>-514874</v>
      </c>
      <c r="Z132" t="s">
        <v>1698</v>
      </c>
    </row>
    <row r="133" spans="1:26" ht="12.75" x14ac:dyDescent="0.2">
      <c r="A133" s="764">
        <v>126</v>
      </c>
      <c r="B133" s="765" t="s">
        <v>138</v>
      </c>
      <c r="C133" s="766" t="s">
        <v>1222</v>
      </c>
      <c r="D133" s="767" t="s">
        <v>1223</v>
      </c>
      <c r="E133" s="768" t="s">
        <v>137</v>
      </c>
      <c r="F133" s="141">
        <v>-1372655.2600000054</v>
      </c>
      <c r="G133" s="141">
        <v>82603462</v>
      </c>
      <c r="H133" s="141">
        <v>0</v>
      </c>
      <c r="I133" s="141">
        <v>-960348</v>
      </c>
      <c r="J133" s="141">
        <v>2506125</v>
      </c>
      <c r="K133" s="141">
        <v>-6185386</v>
      </c>
      <c r="L133" s="141">
        <v>77963853</v>
      </c>
      <c r="M133" s="141">
        <v>3342000</v>
      </c>
      <c r="N133" s="141">
        <v>0</v>
      </c>
      <c r="O133" s="141">
        <v>2124337</v>
      </c>
      <c r="P133" s="141">
        <v>5466337</v>
      </c>
      <c r="Q133" s="141">
        <v>-1639000</v>
      </c>
      <c r="R133" s="141">
        <v>0</v>
      </c>
      <c r="S133" s="141">
        <v>-29038083</v>
      </c>
      <c r="T133" s="141">
        <v>-51623259</v>
      </c>
      <c r="U133" s="141">
        <v>-272140</v>
      </c>
      <c r="V133" s="141">
        <v>0</v>
      </c>
      <c r="W133" s="141">
        <v>0</v>
      </c>
      <c r="X133" s="141">
        <v>-82572482</v>
      </c>
      <c r="Y133" s="857">
        <v>-514947.26000000536</v>
      </c>
      <c r="Z133" t="s">
        <v>1699</v>
      </c>
    </row>
    <row r="134" spans="1:26" ht="12.75" x14ac:dyDescent="0.2">
      <c r="A134" s="764">
        <v>127</v>
      </c>
      <c r="B134" s="765" t="s">
        <v>140</v>
      </c>
      <c r="C134" s="766" t="s">
        <v>529</v>
      </c>
      <c r="D134" s="767" t="s">
        <v>1227</v>
      </c>
      <c r="E134" s="768" t="s">
        <v>581</v>
      </c>
      <c r="F134" s="141">
        <v>169296</v>
      </c>
      <c r="G134" s="141">
        <v>48463000</v>
      </c>
      <c r="H134" s="141">
        <v>-100000</v>
      </c>
      <c r="I134" s="141">
        <v>-300000</v>
      </c>
      <c r="J134" s="141">
        <v>0</v>
      </c>
      <c r="K134" s="141">
        <v>-4150000</v>
      </c>
      <c r="L134" s="141">
        <v>43913000</v>
      </c>
      <c r="M134" s="141">
        <v>0</v>
      </c>
      <c r="N134" s="141">
        <v>0</v>
      </c>
      <c r="O134" s="141">
        <v>800765</v>
      </c>
      <c r="P134" s="141">
        <v>800765</v>
      </c>
      <c r="Q134" s="141">
        <v>0</v>
      </c>
      <c r="R134" s="141">
        <v>-23032789</v>
      </c>
      <c r="S134" s="141">
        <v>-460656</v>
      </c>
      <c r="T134" s="141">
        <v>-22572133</v>
      </c>
      <c r="U134" s="141">
        <v>-694000</v>
      </c>
      <c r="V134" s="141">
        <v>0</v>
      </c>
      <c r="W134" s="141">
        <v>0</v>
      </c>
      <c r="X134" s="141">
        <v>-46759578</v>
      </c>
      <c r="Y134" s="857">
        <v>-1876517</v>
      </c>
      <c r="Z134" t="s">
        <v>1700</v>
      </c>
    </row>
    <row r="135" spans="1:26" ht="12.75" x14ac:dyDescent="0.2">
      <c r="A135" s="764">
        <v>128</v>
      </c>
      <c r="B135" s="765" t="s">
        <v>142</v>
      </c>
      <c r="C135" s="766" t="s">
        <v>1217</v>
      </c>
      <c r="D135" s="767" t="s">
        <v>1221</v>
      </c>
      <c r="E135" s="768" t="s">
        <v>141</v>
      </c>
      <c r="F135" s="141">
        <v>750306</v>
      </c>
      <c r="G135" s="141">
        <v>48347745</v>
      </c>
      <c r="H135" s="141">
        <v>0</v>
      </c>
      <c r="I135" s="141">
        <v>-100000</v>
      </c>
      <c r="J135" s="141">
        <v>98898</v>
      </c>
      <c r="K135" s="141">
        <v>-3233396</v>
      </c>
      <c r="L135" s="141">
        <v>45113247</v>
      </c>
      <c r="M135" s="141">
        <v>0</v>
      </c>
      <c r="N135" s="141">
        <v>0</v>
      </c>
      <c r="O135" s="141">
        <v>0</v>
      </c>
      <c r="P135" s="141">
        <v>0</v>
      </c>
      <c r="Q135" s="141">
        <v>-153570</v>
      </c>
      <c r="R135" s="141">
        <v>-22589266</v>
      </c>
      <c r="S135" s="141">
        <v>-4517853</v>
      </c>
      <c r="T135" s="141">
        <v>-18071413</v>
      </c>
      <c r="U135" s="141">
        <v>-151694</v>
      </c>
      <c r="V135" s="141">
        <v>0</v>
      </c>
      <c r="W135" s="141">
        <v>-1604830</v>
      </c>
      <c r="X135" s="141">
        <v>-47088626</v>
      </c>
      <c r="Y135" s="857">
        <v>-1225073</v>
      </c>
      <c r="Z135" t="s">
        <v>1701</v>
      </c>
    </row>
    <row r="136" spans="1:26" ht="12.75" x14ac:dyDescent="0.2">
      <c r="A136" s="764">
        <v>129</v>
      </c>
      <c r="B136" s="765" t="s">
        <v>144</v>
      </c>
      <c r="C136" s="766" t="s">
        <v>1217</v>
      </c>
      <c r="D136" s="767" t="s">
        <v>1220</v>
      </c>
      <c r="E136" s="768" t="s">
        <v>143</v>
      </c>
      <c r="F136" s="141">
        <v>-2179391</v>
      </c>
      <c r="G136" s="141">
        <v>26410001</v>
      </c>
      <c r="H136" s="141">
        <v>-76643</v>
      </c>
      <c r="I136" s="141">
        <v>0</v>
      </c>
      <c r="J136" s="141">
        <v>0</v>
      </c>
      <c r="K136" s="141">
        <v>-1598602</v>
      </c>
      <c r="L136" s="141">
        <v>24734756</v>
      </c>
      <c r="M136" s="141">
        <v>1188131</v>
      </c>
      <c r="N136" s="141">
        <v>0</v>
      </c>
      <c r="O136" s="141">
        <v>2668595</v>
      </c>
      <c r="P136" s="141">
        <v>3856726</v>
      </c>
      <c r="Q136" s="141">
        <v>0</v>
      </c>
      <c r="R136" s="141">
        <v>0</v>
      </c>
      <c r="S136" s="141">
        <v>-13008892</v>
      </c>
      <c r="T136" s="141">
        <v>-13008892</v>
      </c>
      <c r="U136" s="141">
        <v>-136210</v>
      </c>
      <c r="V136" s="141">
        <v>0</v>
      </c>
      <c r="W136" s="141">
        <v>0</v>
      </c>
      <c r="X136" s="141">
        <v>-26153994</v>
      </c>
      <c r="Y136" s="857">
        <v>258097</v>
      </c>
      <c r="Z136" t="s">
        <v>1702</v>
      </c>
    </row>
    <row r="137" spans="1:26" ht="12.75" x14ac:dyDescent="0.2">
      <c r="A137" s="764">
        <v>130</v>
      </c>
      <c r="B137" s="765" t="s">
        <v>146</v>
      </c>
      <c r="C137" s="766" t="s">
        <v>1222</v>
      </c>
      <c r="D137" s="767" t="s">
        <v>1223</v>
      </c>
      <c r="E137" s="768" t="s">
        <v>145</v>
      </c>
      <c r="F137" s="141">
        <v>-5294633</v>
      </c>
      <c r="G137" s="141">
        <v>389891000</v>
      </c>
      <c r="H137" s="141">
        <v>-986000</v>
      </c>
      <c r="I137" s="141">
        <v>-1193000</v>
      </c>
      <c r="J137" s="141">
        <v>0</v>
      </c>
      <c r="K137" s="141">
        <v>328000</v>
      </c>
      <c r="L137" s="141">
        <v>388040000</v>
      </c>
      <c r="M137" s="141">
        <v>1953000</v>
      </c>
      <c r="N137" s="141">
        <v>0</v>
      </c>
      <c r="O137" s="141">
        <v>2391000</v>
      </c>
      <c r="P137" s="141">
        <v>4344000</v>
      </c>
      <c r="Q137" s="141">
        <v>-20693000</v>
      </c>
      <c r="R137" s="141">
        <v>-182620000</v>
      </c>
      <c r="S137" s="141">
        <v>-73048000</v>
      </c>
      <c r="T137" s="141">
        <v>-109572000</v>
      </c>
      <c r="U137" s="141">
        <v>-574000</v>
      </c>
      <c r="V137" s="141">
        <v>0</v>
      </c>
      <c r="W137" s="141">
        <v>0</v>
      </c>
      <c r="X137" s="141">
        <v>-386507000</v>
      </c>
      <c r="Y137" s="857">
        <v>582367</v>
      </c>
      <c r="Z137" t="s">
        <v>1703</v>
      </c>
    </row>
    <row r="138" spans="1:26" ht="12.75" x14ac:dyDescent="0.2">
      <c r="A138" s="764">
        <v>131</v>
      </c>
      <c r="B138" s="765" t="s">
        <v>148</v>
      </c>
      <c r="C138" s="766" t="s">
        <v>1217</v>
      </c>
      <c r="D138" s="767" t="s">
        <v>1220</v>
      </c>
      <c r="E138" s="768" t="s">
        <v>147</v>
      </c>
      <c r="F138" s="141">
        <v>-375496</v>
      </c>
      <c r="G138" s="141">
        <v>32570616</v>
      </c>
      <c r="H138" s="141">
        <v>-144910</v>
      </c>
      <c r="I138" s="141">
        <v>5575</v>
      </c>
      <c r="J138" s="141">
        <v>531323</v>
      </c>
      <c r="K138" s="141">
        <v>-957912</v>
      </c>
      <c r="L138" s="141">
        <v>32004692</v>
      </c>
      <c r="M138" s="141">
        <v>495006</v>
      </c>
      <c r="N138" s="141">
        <v>4315</v>
      </c>
      <c r="O138" s="141">
        <v>751340</v>
      </c>
      <c r="P138" s="141">
        <v>1250661</v>
      </c>
      <c r="Q138" s="141">
        <v>-495006</v>
      </c>
      <c r="R138" s="141">
        <v>-16320207</v>
      </c>
      <c r="S138" s="141">
        <v>-3264041</v>
      </c>
      <c r="T138" s="141">
        <v>-13056165</v>
      </c>
      <c r="U138" s="141">
        <v>-386765</v>
      </c>
      <c r="V138" s="141">
        <v>0</v>
      </c>
      <c r="W138" s="141">
        <v>0</v>
      </c>
      <c r="X138" s="141">
        <v>-33522184</v>
      </c>
      <c r="Y138" s="857">
        <v>-642327</v>
      </c>
      <c r="Z138" t="s">
        <v>1704</v>
      </c>
    </row>
    <row r="139" spans="1:26" ht="12.75" x14ac:dyDescent="0.2">
      <c r="A139" s="764">
        <v>132</v>
      </c>
      <c r="B139" s="765" t="s">
        <v>150</v>
      </c>
      <c r="C139" s="766" t="s">
        <v>1217</v>
      </c>
      <c r="D139" s="767" t="s">
        <v>1218</v>
      </c>
      <c r="E139" s="768" t="s">
        <v>149</v>
      </c>
      <c r="F139" s="141">
        <v>-2040862</v>
      </c>
      <c r="G139" s="141">
        <v>44076836</v>
      </c>
      <c r="H139" s="141">
        <v>0</v>
      </c>
      <c r="I139" s="141">
        <v>-349265</v>
      </c>
      <c r="J139" s="141">
        <v>0</v>
      </c>
      <c r="K139" s="141">
        <v>-33079</v>
      </c>
      <c r="L139" s="141">
        <v>43694492</v>
      </c>
      <c r="M139" s="141">
        <v>844800</v>
      </c>
      <c r="N139" s="141">
        <v>0</v>
      </c>
      <c r="O139" s="141">
        <v>323092</v>
      </c>
      <c r="P139" s="141">
        <v>1167892</v>
      </c>
      <c r="Q139" s="141">
        <v>0</v>
      </c>
      <c r="R139" s="141">
        <v>-21337728</v>
      </c>
      <c r="S139" s="141">
        <v>-4267546</v>
      </c>
      <c r="T139" s="141">
        <v>-17070182</v>
      </c>
      <c r="U139" s="141">
        <v>-180268</v>
      </c>
      <c r="V139" s="141">
        <v>0</v>
      </c>
      <c r="W139" s="141">
        <v>0</v>
      </c>
      <c r="X139" s="141">
        <v>-42855724</v>
      </c>
      <c r="Y139" s="857">
        <v>-34202</v>
      </c>
      <c r="Z139" t="s">
        <v>1705</v>
      </c>
    </row>
    <row r="140" spans="1:26" ht="12.75" x14ac:dyDescent="0.2">
      <c r="A140" s="764">
        <v>133</v>
      </c>
      <c r="B140" s="765" t="s">
        <v>152</v>
      </c>
      <c r="C140" s="766" t="s">
        <v>1222</v>
      </c>
      <c r="D140" s="767" t="s">
        <v>1223</v>
      </c>
      <c r="E140" s="768" t="s">
        <v>151</v>
      </c>
      <c r="F140" s="141">
        <v>12758299</v>
      </c>
      <c r="G140" s="141">
        <v>188724599.74000001</v>
      </c>
      <c r="H140" s="141">
        <v>0</v>
      </c>
      <c r="I140" s="141">
        <v>-585506</v>
      </c>
      <c r="J140" s="141">
        <v>10000000</v>
      </c>
      <c r="K140" s="141">
        <v>-4000000</v>
      </c>
      <c r="L140" s="141">
        <v>194139093.74000001</v>
      </c>
      <c r="M140" s="141">
        <v>4768013</v>
      </c>
      <c r="N140" s="141">
        <v>0</v>
      </c>
      <c r="O140" s="141">
        <v>0</v>
      </c>
      <c r="P140" s="141">
        <v>4768013</v>
      </c>
      <c r="Q140" s="141">
        <v>0</v>
      </c>
      <c r="R140" s="141">
        <v>0</v>
      </c>
      <c r="S140" s="141">
        <v>-77756852</v>
      </c>
      <c r="T140" s="141">
        <v>-138234404</v>
      </c>
      <c r="U140" s="141">
        <v>-418053</v>
      </c>
      <c r="V140" s="141">
        <v>0</v>
      </c>
      <c r="W140" s="141">
        <v>-15394600</v>
      </c>
      <c r="X140" s="141">
        <v>-231803909</v>
      </c>
      <c r="Y140" s="857">
        <v>-20138503.25999999</v>
      </c>
      <c r="Z140" t="s">
        <v>1706</v>
      </c>
    </row>
    <row r="141" spans="1:26" ht="12.75" x14ac:dyDescent="0.2">
      <c r="A141" s="764">
        <v>134</v>
      </c>
      <c r="B141" s="765" t="s">
        <v>154</v>
      </c>
      <c r="C141" s="766" t="s">
        <v>1217</v>
      </c>
      <c r="D141" s="767" t="s">
        <v>1221</v>
      </c>
      <c r="E141" s="768" t="s">
        <v>153</v>
      </c>
      <c r="F141" s="141">
        <v>678174</v>
      </c>
      <c r="G141" s="141">
        <v>62596992</v>
      </c>
      <c r="H141" s="141">
        <v>0</v>
      </c>
      <c r="I141" s="141">
        <v>-150000</v>
      </c>
      <c r="J141" s="141">
        <v>0</v>
      </c>
      <c r="K141" s="141">
        <v>-888343</v>
      </c>
      <c r="L141" s="141">
        <v>61558649</v>
      </c>
      <c r="M141" s="141">
        <v>0</v>
      </c>
      <c r="N141" s="141">
        <v>0</v>
      </c>
      <c r="O141" s="141">
        <v>0</v>
      </c>
      <c r="P141" s="141">
        <v>0</v>
      </c>
      <c r="Q141" s="141">
        <v>0</v>
      </c>
      <c r="R141" s="141">
        <v>-23958510</v>
      </c>
      <c r="S141" s="141">
        <v>-5775979</v>
      </c>
      <c r="T141" s="141">
        <v>-25343026</v>
      </c>
      <c r="U141" s="141">
        <v>-1659818</v>
      </c>
      <c r="V141" s="141">
        <v>0</v>
      </c>
      <c r="W141" s="141">
        <v>-3911521</v>
      </c>
      <c r="X141" s="141">
        <v>-60648854</v>
      </c>
      <c r="Y141" s="857">
        <v>1587969</v>
      </c>
      <c r="Z141" t="s">
        <v>1707</v>
      </c>
    </row>
    <row r="142" spans="1:26" ht="12.75" x14ac:dyDescent="0.2">
      <c r="A142" s="764">
        <v>135</v>
      </c>
      <c r="B142" s="765" t="s">
        <v>156</v>
      </c>
      <c r="C142" s="766" t="s">
        <v>1217</v>
      </c>
      <c r="D142" s="767" t="s">
        <v>1219</v>
      </c>
      <c r="E142" s="768" t="s">
        <v>155</v>
      </c>
      <c r="F142" s="141">
        <v>180196</v>
      </c>
      <c r="G142" s="141">
        <v>19611015</v>
      </c>
      <c r="H142" s="141">
        <v>0</v>
      </c>
      <c r="I142" s="141">
        <v>-854469</v>
      </c>
      <c r="J142" s="141">
        <v>934447</v>
      </c>
      <c r="K142" s="141">
        <v>-1196090</v>
      </c>
      <c r="L142" s="141">
        <v>18494903</v>
      </c>
      <c r="M142" s="141">
        <v>361084</v>
      </c>
      <c r="N142" s="141">
        <v>0</v>
      </c>
      <c r="O142" s="141">
        <v>0</v>
      </c>
      <c r="P142" s="141">
        <v>361084</v>
      </c>
      <c r="Q142" s="141">
        <v>-957117</v>
      </c>
      <c r="R142" s="141">
        <v>-8221370</v>
      </c>
      <c r="S142" s="141">
        <v>-1644273</v>
      </c>
      <c r="T142" s="141">
        <v>-6577096</v>
      </c>
      <c r="U142" s="141">
        <v>-124871</v>
      </c>
      <c r="V142" s="141">
        <v>0</v>
      </c>
      <c r="W142" s="141">
        <v>-1055960</v>
      </c>
      <c r="X142" s="141">
        <v>-18580687</v>
      </c>
      <c r="Y142" s="857">
        <v>455496</v>
      </c>
      <c r="Z142" t="s">
        <v>1708</v>
      </c>
    </row>
    <row r="143" spans="1:26" ht="12.75" x14ac:dyDescent="0.2">
      <c r="A143" s="764">
        <v>136</v>
      </c>
      <c r="B143" s="765" t="s">
        <v>158</v>
      </c>
      <c r="C143" s="766" t="s">
        <v>1217</v>
      </c>
      <c r="D143" s="767" t="s">
        <v>1221</v>
      </c>
      <c r="E143" s="768" t="s">
        <v>157</v>
      </c>
      <c r="F143" s="141">
        <v>-2810356</v>
      </c>
      <c r="G143" s="141">
        <v>56491924</v>
      </c>
      <c r="H143" s="141">
        <v>0</v>
      </c>
      <c r="I143" s="141">
        <v>102421</v>
      </c>
      <c r="J143" s="141">
        <v>381273</v>
      </c>
      <c r="K143" s="141">
        <v>-1260913</v>
      </c>
      <c r="L143" s="141">
        <v>55714705</v>
      </c>
      <c r="M143" s="141">
        <v>0</v>
      </c>
      <c r="N143" s="141">
        <v>0</v>
      </c>
      <c r="O143" s="141">
        <v>857014</v>
      </c>
      <c r="P143" s="141">
        <v>857014</v>
      </c>
      <c r="Q143" s="141">
        <v>-1218912</v>
      </c>
      <c r="R143" s="141">
        <v>0</v>
      </c>
      <c r="S143" s="141">
        <v>-10852563</v>
      </c>
      <c r="T143" s="141">
        <v>-43410251</v>
      </c>
      <c r="U143" s="141">
        <v>-186210</v>
      </c>
      <c r="V143" s="141">
        <v>0</v>
      </c>
      <c r="W143" s="141">
        <v>0</v>
      </c>
      <c r="X143" s="141">
        <v>-55667936</v>
      </c>
      <c r="Y143" s="857">
        <v>-1906573</v>
      </c>
      <c r="Z143" t="s">
        <v>1709</v>
      </c>
    </row>
    <row r="144" spans="1:26" ht="12.75" x14ac:dyDescent="0.2">
      <c r="A144" s="764">
        <v>137</v>
      </c>
      <c r="B144" s="765" t="s">
        <v>160</v>
      </c>
      <c r="C144" s="766" t="s">
        <v>529</v>
      </c>
      <c r="D144" s="767" t="s">
        <v>1218</v>
      </c>
      <c r="E144" s="768" t="s">
        <v>898</v>
      </c>
      <c r="F144" s="141">
        <v>-1268624</v>
      </c>
      <c r="G144" s="141">
        <v>38595712</v>
      </c>
      <c r="H144" s="141">
        <v>0</v>
      </c>
      <c r="I144" s="141">
        <v>-278600</v>
      </c>
      <c r="J144" s="141">
        <v>636536</v>
      </c>
      <c r="K144" s="141">
        <v>-1670202</v>
      </c>
      <c r="L144" s="141">
        <v>37283446</v>
      </c>
      <c r="M144" s="141">
        <v>1611446</v>
      </c>
      <c r="N144" s="141">
        <v>0</v>
      </c>
      <c r="O144" s="141">
        <v>530000</v>
      </c>
      <c r="P144" s="141">
        <v>2141446</v>
      </c>
      <c r="Q144" s="141">
        <v>0</v>
      </c>
      <c r="R144" s="141">
        <v>0</v>
      </c>
      <c r="S144" s="141">
        <v>0</v>
      </c>
      <c r="T144" s="141">
        <v>-38484258</v>
      </c>
      <c r="U144" s="141">
        <v>-531153</v>
      </c>
      <c r="V144" s="141">
        <v>-10169</v>
      </c>
      <c r="W144" s="141">
        <v>0</v>
      </c>
      <c r="X144" s="141">
        <v>-39025580</v>
      </c>
      <c r="Y144" s="857">
        <v>-869312</v>
      </c>
      <c r="Z144" t="s">
        <v>1710</v>
      </c>
    </row>
    <row r="145" spans="1:26" ht="12.75" x14ac:dyDescent="0.2">
      <c r="A145" s="764">
        <v>138</v>
      </c>
      <c r="B145" s="765" t="s">
        <v>162</v>
      </c>
      <c r="C145" s="766" t="s">
        <v>529</v>
      </c>
      <c r="D145" s="767" t="s">
        <v>1226</v>
      </c>
      <c r="E145" s="768" t="s">
        <v>899</v>
      </c>
      <c r="F145" s="141">
        <v>-339987</v>
      </c>
      <c r="G145" s="141">
        <v>1588256</v>
      </c>
      <c r="H145" s="141">
        <v>0</v>
      </c>
      <c r="I145" s="141">
        <v>-16000</v>
      </c>
      <c r="J145" s="141">
        <v>0</v>
      </c>
      <c r="K145" s="141">
        <v>-74000</v>
      </c>
      <c r="L145" s="141">
        <v>1498256</v>
      </c>
      <c r="M145" s="141">
        <v>10000</v>
      </c>
      <c r="N145" s="141">
        <v>0</v>
      </c>
      <c r="O145" s="141">
        <v>340000</v>
      </c>
      <c r="P145" s="141">
        <v>350000</v>
      </c>
      <c r="Q145" s="141">
        <v>0</v>
      </c>
      <c r="R145" s="141">
        <v>-742100</v>
      </c>
      <c r="S145" s="141">
        <v>0</v>
      </c>
      <c r="T145" s="141">
        <v>-742100</v>
      </c>
      <c r="U145" s="141">
        <v>-24069</v>
      </c>
      <c r="V145" s="141">
        <v>0</v>
      </c>
      <c r="W145" s="141">
        <v>0</v>
      </c>
      <c r="X145" s="141">
        <v>-1508269</v>
      </c>
      <c r="Y145" s="857">
        <v>0</v>
      </c>
      <c r="Z145" t="s">
        <v>1711</v>
      </c>
    </row>
    <row r="146" spans="1:26" ht="12.75" x14ac:dyDescent="0.2">
      <c r="A146" s="764">
        <v>139</v>
      </c>
      <c r="B146" s="765" t="s">
        <v>164</v>
      </c>
      <c r="C146" s="766" t="s">
        <v>1228</v>
      </c>
      <c r="D146" s="767" t="s">
        <v>1223</v>
      </c>
      <c r="E146" s="768" t="s">
        <v>163</v>
      </c>
      <c r="F146" s="141">
        <v>16066110</v>
      </c>
      <c r="G146" s="141">
        <v>273946789</v>
      </c>
      <c r="H146" s="141">
        <v>-4753232</v>
      </c>
      <c r="I146" s="141">
        <v>44000</v>
      </c>
      <c r="J146" s="141">
        <v>9887967</v>
      </c>
      <c r="K146" s="141">
        <v>-9888000</v>
      </c>
      <c r="L146" s="141">
        <v>269237524</v>
      </c>
      <c r="M146" s="141">
        <v>16909740</v>
      </c>
      <c r="N146" s="141">
        <v>0</v>
      </c>
      <c r="O146" s="141">
        <v>0</v>
      </c>
      <c r="P146" s="141">
        <v>16909740</v>
      </c>
      <c r="Q146" s="141">
        <v>0</v>
      </c>
      <c r="R146" s="141">
        <v>0</v>
      </c>
      <c r="S146" s="141">
        <v>-101754631</v>
      </c>
      <c r="T146" s="141">
        <v>-180897123</v>
      </c>
      <c r="U146" s="141">
        <v>-781726</v>
      </c>
      <c r="V146" s="141">
        <v>0</v>
      </c>
      <c r="W146" s="141">
        <v>-12832932</v>
      </c>
      <c r="X146" s="141">
        <v>-296266412</v>
      </c>
      <c r="Y146" s="857">
        <v>5946962</v>
      </c>
      <c r="Z146" t="s">
        <v>1712</v>
      </c>
    </row>
    <row r="147" spans="1:26" ht="12.75" x14ac:dyDescent="0.2">
      <c r="A147" s="764">
        <v>140</v>
      </c>
      <c r="B147" s="765" t="s">
        <v>166</v>
      </c>
      <c r="C147" s="766" t="s">
        <v>1228</v>
      </c>
      <c r="D147" s="767" t="s">
        <v>1223</v>
      </c>
      <c r="E147" s="768" t="s">
        <v>165</v>
      </c>
      <c r="F147" s="141">
        <v>2311374</v>
      </c>
      <c r="G147" s="141">
        <v>347271603</v>
      </c>
      <c r="H147" s="141">
        <v>-600000</v>
      </c>
      <c r="I147" s="141">
        <v>-3393722</v>
      </c>
      <c r="J147" s="141">
        <v>13641787</v>
      </c>
      <c r="K147" s="141">
        <v>-24917545</v>
      </c>
      <c r="L147" s="141">
        <v>332002123</v>
      </c>
      <c r="M147" s="141">
        <v>6831722</v>
      </c>
      <c r="N147" s="141">
        <v>0</v>
      </c>
      <c r="O147" s="141">
        <v>0</v>
      </c>
      <c r="P147" s="141">
        <v>6831722</v>
      </c>
      <c r="Q147" s="141">
        <v>0</v>
      </c>
      <c r="R147" s="141">
        <v>0</v>
      </c>
      <c r="S147" s="141">
        <v>-119203610</v>
      </c>
      <c r="T147" s="141">
        <v>-211917528</v>
      </c>
      <c r="U147" s="141">
        <v>-654901</v>
      </c>
      <c r="V147" s="141">
        <v>-7871</v>
      </c>
      <c r="W147" s="141">
        <v>-5959601</v>
      </c>
      <c r="X147" s="141">
        <v>-337743511</v>
      </c>
      <c r="Y147" s="857">
        <v>3401708</v>
      </c>
      <c r="Z147" t="s">
        <v>1713</v>
      </c>
    </row>
    <row r="148" spans="1:26" ht="12.75" x14ac:dyDescent="0.2">
      <c r="A148" s="764">
        <v>141</v>
      </c>
      <c r="B148" s="765" t="s">
        <v>168</v>
      </c>
      <c r="C148" s="766" t="s">
        <v>1217</v>
      </c>
      <c r="D148" s="767" t="s">
        <v>1220</v>
      </c>
      <c r="E148" s="768" t="s">
        <v>1898</v>
      </c>
      <c r="F148" s="141">
        <v>-1960904</v>
      </c>
      <c r="G148" s="141">
        <v>33095846</v>
      </c>
      <c r="H148" s="141">
        <v>0</v>
      </c>
      <c r="I148" s="141">
        <v>-243542</v>
      </c>
      <c r="J148" s="141">
        <v>443631</v>
      </c>
      <c r="K148" s="141">
        <v>211325</v>
      </c>
      <c r="L148" s="141">
        <v>33507260</v>
      </c>
      <c r="M148" s="141">
        <v>0</v>
      </c>
      <c r="N148" s="141">
        <v>1000</v>
      </c>
      <c r="O148" s="141">
        <v>1771827</v>
      </c>
      <c r="P148" s="141">
        <v>1772827</v>
      </c>
      <c r="Q148" s="141">
        <v>-225810</v>
      </c>
      <c r="R148" s="141">
        <v>-15638835</v>
      </c>
      <c r="S148" s="141">
        <v>-3127767</v>
      </c>
      <c r="T148" s="141">
        <v>-12511068</v>
      </c>
      <c r="U148" s="141">
        <v>-461312</v>
      </c>
      <c r="V148" s="141">
        <v>0</v>
      </c>
      <c r="W148" s="141">
        <v>0</v>
      </c>
      <c r="X148" s="141">
        <v>-31964792</v>
      </c>
      <c r="Y148" s="857">
        <v>1354391</v>
      </c>
      <c r="Z148" t="s">
        <v>1714</v>
      </c>
    </row>
    <row r="149" spans="1:26" ht="12.75" x14ac:dyDescent="0.2">
      <c r="A149" s="764">
        <v>142</v>
      </c>
      <c r="B149" s="765" t="s">
        <v>170</v>
      </c>
      <c r="C149" s="766" t="s">
        <v>1217</v>
      </c>
      <c r="D149" s="767" t="s">
        <v>1221</v>
      </c>
      <c r="E149" s="768" t="s">
        <v>901</v>
      </c>
      <c r="F149" s="141">
        <v>1011066</v>
      </c>
      <c r="G149" s="141">
        <v>47094180</v>
      </c>
      <c r="H149" s="141">
        <v>0</v>
      </c>
      <c r="I149" s="141">
        <v>-127350</v>
      </c>
      <c r="J149" s="141">
        <v>0</v>
      </c>
      <c r="K149" s="141">
        <v>-185257</v>
      </c>
      <c r="L149" s="141">
        <v>46781573</v>
      </c>
      <c r="M149" s="141">
        <v>1475920</v>
      </c>
      <c r="N149" s="141">
        <v>0</v>
      </c>
      <c r="O149" s="141">
        <v>0</v>
      </c>
      <c r="P149" s="141">
        <v>1475920</v>
      </c>
      <c r="Q149" s="141">
        <v>-1588875</v>
      </c>
      <c r="R149" s="141">
        <v>-21453578</v>
      </c>
      <c r="S149" s="141">
        <v>-4308082</v>
      </c>
      <c r="T149" s="141">
        <v>-17232328</v>
      </c>
      <c r="U149" s="141">
        <v>-2448214</v>
      </c>
      <c r="V149" s="141">
        <v>-1014393</v>
      </c>
      <c r="W149" s="141">
        <v>-1568318</v>
      </c>
      <c r="X149" s="141">
        <v>-49613788</v>
      </c>
      <c r="Y149" s="857">
        <v>-345229</v>
      </c>
      <c r="Z149" t="s">
        <v>1715</v>
      </c>
    </row>
    <row r="150" spans="1:26" ht="12.75" x14ac:dyDescent="0.2">
      <c r="A150" s="764">
        <v>143</v>
      </c>
      <c r="B150" s="765" t="s">
        <v>172</v>
      </c>
      <c r="C150" s="766" t="s">
        <v>529</v>
      </c>
      <c r="D150" s="767" t="s">
        <v>1225</v>
      </c>
      <c r="E150" s="768" t="s">
        <v>897</v>
      </c>
      <c r="F150" s="141">
        <v>-3672170</v>
      </c>
      <c r="G150" s="141">
        <v>89793885</v>
      </c>
      <c r="H150" s="141">
        <v>0</v>
      </c>
      <c r="I150" s="141">
        <v>-1320000</v>
      </c>
      <c r="J150" s="141">
        <v>2000000</v>
      </c>
      <c r="K150" s="141">
        <v>-5320000</v>
      </c>
      <c r="L150" s="141">
        <v>85153885</v>
      </c>
      <c r="M150" s="141">
        <v>2872433</v>
      </c>
      <c r="N150" s="141">
        <v>0</v>
      </c>
      <c r="O150" s="141">
        <v>1717648</v>
      </c>
      <c r="P150" s="141">
        <v>4590081</v>
      </c>
      <c r="Q150" s="141">
        <v>0</v>
      </c>
      <c r="R150" s="141">
        <v>-42743901</v>
      </c>
      <c r="S150" s="141">
        <v>-857722</v>
      </c>
      <c r="T150" s="141">
        <v>-42028366</v>
      </c>
      <c r="U150" s="141">
        <v>-4634314</v>
      </c>
      <c r="V150" s="141">
        <v>0</v>
      </c>
      <c r="W150" s="141">
        <v>0</v>
      </c>
      <c r="X150" s="141">
        <v>-90264303</v>
      </c>
      <c r="Y150" s="857">
        <v>-4192507</v>
      </c>
      <c r="Z150" t="s">
        <v>1716</v>
      </c>
    </row>
    <row r="151" spans="1:26" ht="12.75" x14ac:dyDescent="0.2">
      <c r="A151" s="764">
        <v>144</v>
      </c>
      <c r="B151" s="765" t="s">
        <v>174</v>
      </c>
      <c r="C151" s="766" t="s">
        <v>1222</v>
      </c>
      <c r="D151" s="767" t="s">
        <v>1223</v>
      </c>
      <c r="E151" s="768" t="s">
        <v>173</v>
      </c>
      <c r="F151" s="141">
        <v>7563309</v>
      </c>
      <c r="G151" s="141">
        <v>88734000</v>
      </c>
      <c r="H151" s="141">
        <v>-50000</v>
      </c>
      <c r="I151" s="141">
        <v>-1571145</v>
      </c>
      <c r="J151" s="141">
        <v>1804662</v>
      </c>
      <c r="K151" s="141">
        <v>-2789737</v>
      </c>
      <c r="L151" s="141">
        <v>86127780</v>
      </c>
      <c r="M151" s="141">
        <v>0</v>
      </c>
      <c r="N151" s="141">
        <v>0</v>
      </c>
      <c r="O151" s="141">
        <v>0</v>
      </c>
      <c r="P151" s="141">
        <v>0</v>
      </c>
      <c r="Q151" s="141">
        <v>-287000</v>
      </c>
      <c r="R151" s="141">
        <v>0</v>
      </c>
      <c r="S151" s="141">
        <v>-31067402</v>
      </c>
      <c r="T151" s="141">
        <v>-55230936</v>
      </c>
      <c r="U151" s="141">
        <v>0</v>
      </c>
      <c r="V151" s="141">
        <v>-242000</v>
      </c>
      <c r="W151" s="141">
        <v>-2624000</v>
      </c>
      <c r="X151" s="141">
        <v>-89451338</v>
      </c>
      <c r="Y151" s="857">
        <v>4239751</v>
      </c>
      <c r="Z151" t="s">
        <v>1717</v>
      </c>
    </row>
    <row r="152" spans="1:26" ht="12.75" x14ac:dyDescent="0.2">
      <c r="A152" s="764">
        <v>145</v>
      </c>
      <c r="B152" s="765" t="s">
        <v>176</v>
      </c>
      <c r="C152" s="766" t="s">
        <v>1224</v>
      </c>
      <c r="D152" s="767" t="s">
        <v>1225</v>
      </c>
      <c r="E152" s="768" t="s">
        <v>175</v>
      </c>
      <c r="F152" s="141">
        <v>9442.8781110048294</v>
      </c>
      <c r="G152" s="141">
        <v>105501847</v>
      </c>
      <c r="H152" s="141">
        <v>-1300000</v>
      </c>
      <c r="I152" s="141">
        <v>-1200000</v>
      </c>
      <c r="J152" s="141">
        <v>1573936</v>
      </c>
      <c r="K152" s="141">
        <v>4500000</v>
      </c>
      <c r="L152" s="141">
        <v>109075783</v>
      </c>
      <c r="M152" s="141">
        <v>0</v>
      </c>
      <c r="N152" s="141">
        <v>598520</v>
      </c>
      <c r="O152" s="141">
        <v>1868</v>
      </c>
      <c r="P152" s="141">
        <v>600388</v>
      </c>
      <c r="Q152" s="141">
        <v>-1433501</v>
      </c>
      <c r="R152" s="141">
        <v>0</v>
      </c>
      <c r="S152" s="141">
        <v>-1006546</v>
      </c>
      <c r="T152" s="141">
        <v>-99648047</v>
      </c>
      <c r="U152" s="141">
        <v>-598520</v>
      </c>
      <c r="V152" s="141">
        <v>0</v>
      </c>
      <c r="W152" s="141">
        <v>0</v>
      </c>
      <c r="X152" s="141">
        <v>-102686614</v>
      </c>
      <c r="Y152" s="857">
        <v>6998999.8781110048</v>
      </c>
      <c r="Z152" t="s">
        <v>1718</v>
      </c>
    </row>
    <row r="153" spans="1:26" ht="12.75" x14ac:dyDescent="0.2">
      <c r="A153" s="764">
        <v>146</v>
      </c>
      <c r="B153" s="765" t="s">
        <v>178</v>
      </c>
      <c r="C153" s="766" t="s">
        <v>1224</v>
      </c>
      <c r="D153" s="767" t="s">
        <v>1219</v>
      </c>
      <c r="E153" s="768" t="s">
        <v>177</v>
      </c>
      <c r="F153" s="141">
        <v>7702032</v>
      </c>
      <c r="G153" s="141">
        <v>43947026</v>
      </c>
      <c r="H153" s="141">
        <v>0</v>
      </c>
      <c r="I153" s="141">
        <v>0</v>
      </c>
      <c r="J153" s="141">
        <v>2360514</v>
      </c>
      <c r="K153" s="141">
        <v>-1286204</v>
      </c>
      <c r="L153" s="141">
        <v>45021336</v>
      </c>
      <c r="M153" s="141">
        <v>583010</v>
      </c>
      <c r="N153" s="141">
        <v>2644</v>
      </c>
      <c r="O153" s="141">
        <v>0</v>
      </c>
      <c r="P153" s="141">
        <v>585654</v>
      </c>
      <c r="Q153" s="141">
        <v>0</v>
      </c>
      <c r="R153" s="141">
        <v>0</v>
      </c>
      <c r="S153" s="141">
        <v>-446727</v>
      </c>
      <c r="T153" s="141">
        <v>-44226000</v>
      </c>
      <c r="U153" s="141">
        <v>-141368</v>
      </c>
      <c r="V153" s="141">
        <v>0</v>
      </c>
      <c r="W153" s="141">
        <v>-7704676</v>
      </c>
      <c r="X153" s="141">
        <v>-52518771</v>
      </c>
      <c r="Y153" s="857">
        <v>790251</v>
      </c>
      <c r="Z153" t="s">
        <v>1719</v>
      </c>
    </row>
    <row r="154" spans="1:26" ht="12.75" x14ac:dyDescent="0.2">
      <c r="A154" s="764">
        <v>147</v>
      </c>
      <c r="B154" s="765" t="s">
        <v>180</v>
      </c>
      <c r="C154" s="766" t="s">
        <v>1228</v>
      </c>
      <c r="D154" s="767" t="s">
        <v>1223</v>
      </c>
      <c r="E154" s="768" t="s">
        <v>179</v>
      </c>
      <c r="F154" s="141">
        <v>35269841</v>
      </c>
      <c r="G154" s="141">
        <v>162807603</v>
      </c>
      <c r="H154" s="141">
        <v>0</v>
      </c>
      <c r="I154" s="141">
        <v>-800000</v>
      </c>
      <c r="J154" s="141">
        <v>0</v>
      </c>
      <c r="K154" s="141">
        <v>-251314</v>
      </c>
      <c r="L154" s="141">
        <v>161756289</v>
      </c>
      <c r="M154" s="141">
        <v>11791883</v>
      </c>
      <c r="N154" s="141">
        <v>0</v>
      </c>
      <c r="O154" s="141">
        <v>0</v>
      </c>
      <c r="P154" s="141">
        <v>11791883</v>
      </c>
      <c r="Q154" s="141">
        <v>0</v>
      </c>
      <c r="R154" s="141">
        <v>0</v>
      </c>
      <c r="S154" s="141">
        <v>-58762571</v>
      </c>
      <c r="T154" s="141">
        <v>-104466794</v>
      </c>
      <c r="U154" s="141">
        <v>-1597291</v>
      </c>
      <c r="V154" s="141">
        <v>0</v>
      </c>
      <c r="W154" s="141">
        <v>-29422068</v>
      </c>
      <c r="X154" s="141">
        <v>-194248724</v>
      </c>
      <c r="Y154" s="857">
        <v>14569289</v>
      </c>
      <c r="Z154" t="s">
        <v>1720</v>
      </c>
    </row>
    <row r="155" spans="1:26" ht="12.75" x14ac:dyDescent="0.2">
      <c r="A155" s="764">
        <v>148</v>
      </c>
      <c r="B155" s="765" t="s">
        <v>182</v>
      </c>
      <c r="C155" s="766" t="s">
        <v>1217</v>
      </c>
      <c r="D155" s="767" t="s">
        <v>1219</v>
      </c>
      <c r="E155" s="768" t="s">
        <v>181</v>
      </c>
      <c r="F155" s="141">
        <v>9329543</v>
      </c>
      <c r="G155" s="141">
        <v>65990399</v>
      </c>
      <c r="H155" s="141">
        <v>-300000</v>
      </c>
      <c r="I155" s="141">
        <v>0</v>
      </c>
      <c r="J155" s="141">
        <v>0</v>
      </c>
      <c r="K155" s="141">
        <v>-4253101</v>
      </c>
      <c r="L155" s="141">
        <v>61437298</v>
      </c>
      <c r="M155" s="141">
        <v>0</v>
      </c>
      <c r="N155" s="141">
        <v>0</v>
      </c>
      <c r="O155" s="141">
        <v>0</v>
      </c>
      <c r="P155" s="141">
        <v>0</v>
      </c>
      <c r="Q155" s="141">
        <v>-92241</v>
      </c>
      <c r="R155" s="141">
        <v>-30682029</v>
      </c>
      <c r="S155" s="141">
        <v>-6136406</v>
      </c>
      <c r="T155" s="141">
        <v>-25473333</v>
      </c>
      <c r="U155" s="141">
        <v>0</v>
      </c>
      <c r="V155" s="141">
        <v>-214675</v>
      </c>
      <c r="W155" s="141">
        <v>-7429076</v>
      </c>
      <c r="X155" s="141">
        <v>-70027760</v>
      </c>
      <c r="Y155" s="857">
        <v>739081</v>
      </c>
      <c r="Z155" t="s">
        <v>1721</v>
      </c>
    </row>
    <row r="156" spans="1:26" ht="12.75" x14ac:dyDescent="0.2">
      <c r="A156" s="764">
        <v>149</v>
      </c>
      <c r="B156" s="765" t="s">
        <v>184</v>
      </c>
      <c r="C156" s="766" t="s">
        <v>1224</v>
      </c>
      <c r="D156" s="767" t="s">
        <v>1225</v>
      </c>
      <c r="E156" s="768" t="s">
        <v>183</v>
      </c>
      <c r="F156" s="141">
        <v>-32735000</v>
      </c>
      <c r="G156" s="141">
        <v>385355397</v>
      </c>
      <c r="H156" s="141">
        <v>0</v>
      </c>
      <c r="I156" s="141">
        <v>-3650435</v>
      </c>
      <c r="J156" s="141">
        <v>4537472</v>
      </c>
      <c r="K156" s="141">
        <v>-9192002</v>
      </c>
      <c r="L156" s="141">
        <v>377050432</v>
      </c>
      <c r="M156" s="141">
        <v>0</v>
      </c>
      <c r="N156" s="141">
        <v>125339</v>
      </c>
      <c r="O156" s="141">
        <v>27214359</v>
      </c>
      <c r="P156" s="141">
        <v>27339698</v>
      </c>
      <c r="Q156" s="141">
        <v>-9387392</v>
      </c>
      <c r="R156" s="141">
        <v>0</v>
      </c>
      <c r="S156" s="141">
        <v>-3630087</v>
      </c>
      <c r="T156" s="141">
        <v>-359378600</v>
      </c>
      <c r="U156" s="141">
        <v>-2660076</v>
      </c>
      <c r="V156" s="141">
        <v>0</v>
      </c>
      <c r="W156" s="141">
        <v>0</v>
      </c>
      <c r="X156" s="141">
        <v>-375056155</v>
      </c>
      <c r="Y156" s="857">
        <v>-3401025</v>
      </c>
      <c r="Z156" t="s">
        <v>1722</v>
      </c>
    </row>
    <row r="157" spans="1:26" ht="12.75" x14ac:dyDescent="0.2">
      <c r="A157" s="764">
        <v>150</v>
      </c>
      <c r="B157" s="765" t="s">
        <v>186</v>
      </c>
      <c r="C157" s="766" t="s">
        <v>529</v>
      </c>
      <c r="D157" s="767" t="s">
        <v>1220</v>
      </c>
      <c r="E157" s="768" t="s">
        <v>596</v>
      </c>
      <c r="F157" s="141">
        <v>-5813554</v>
      </c>
      <c r="G157" s="141">
        <v>111315572</v>
      </c>
      <c r="H157" s="141">
        <v>0</v>
      </c>
      <c r="I157" s="141">
        <v>-1558028</v>
      </c>
      <c r="J157" s="141">
        <v>2500000</v>
      </c>
      <c r="K157" s="141">
        <v>-9398174</v>
      </c>
      <c r="L157" s="141">
        <v>102859370</v>
      </c>
      <c r="M157" s="141">
        <v>6539811</v>
      </c>
      <c r="N157" s="141">
        <v>0</v>
      </c>
      <c r="O157" s="141">
        <v>2831851</v>
      </c>
      <c r="P157" s="141">
        <v>9371662</v>
      </c>
      <c r="Q157" s="141">
        <v>-1401061</v>
      </c>
      <c r="R157" s="141">
        <v>-55943075</v>
      </c>
      <c r="S157" s="141">
        <v>-1118862</v>
      </c>
      <c r="T157" s="141">
        <v>-54824214</v>
      </c>
      <c r="U157" s="141">
        <v>-488823</v>
      </c>
      <c r="V157" s="141">
        <v>0</v>
      </c>
      <c r="W157" s="141">
        <v>0</v>
      </c>
      <c r="X157" s="141">
        <v>-113776035</v>
      </c>
      <c r="Y157" s="857">
        <v>-7358557</v>
      </c>
      <c r="Z157" t="s">
        <v>1723</v>
      </c>
    </row>
    <row r="158" spans="1:26" ht="12.75" x14ac:dyDescent="0.2">
      <c r="A158" s="764">
        <v>151</v>
      </c>
      <c r="B158" s="765" t="s">
        <v>188</v>
      </c>
      <c r="C158" s="766" t="s">
        <v>1217</v>
      </c>
      <c r="D158" s="767" t="s">
        <v>1218</v>
      </c>
      <c r="E158" s="768" t="s">
        <v>187</v>
      </c>
      <c r="F158" s="141">
        <v>-1948653</v>
      </c>
      <c r="G158" s="141">
        <v>25447597</v>
      </c>
      <c r="H158" s="141">
        <v>0</v>
      </c>
      <c r="I158" s="141">
        <v>-229053</v>
      </c>
      <c r="J158" s="141">
        <v>120496</v>
      </c>
      <c r="K158" s="141">
        <v>142945</v>
      </c>
      <c r="L158" s="141">
        <v>25481985</v>
      </c>
      <c r="M158" s="141">
        <v>527034</v>
      </c>
      <c r="N158" s="141">
        <v>0</v>
      </c>
      <c r="O158" s="141">
        <v>780000</v>
      </c>
      <c r="P158" s="141">
        <v>1307034</v>
      </c>
      <c r="Q158" s="141">
        <v>0</v>
      </c>
      <c r="R158" s="141">
        <v>0</v>
      </c>
      <c r="S158" s="141">
        <v>-14528219</v>
      </c>
      <c r="T158" s="141">
        <v>-9685479</v>
      </c>
      <c r="U158" s="141">
        <v>-100811</v>
      </c>
      <c r="V158" s="141">
        <v>-301154</v>
      </c>
      <c r="W158" s="141">
        <v>0</v>
      </c>
      <c r="X158" s="141">
        <v>-24615663</v>
      </c>
      <c r="Y158" s="857">
        <v>224703</v>
      </c>
      <c r="Z158" t="s">
        <v>1724</v>
      </c>
    </row>
    <row r="159" spans="1:26" ht="12.75" x14ac:dyDescent="0.2">
      <c r="A159" s="764">
        <v>152</v>
      </c>
      <c r="B159" s="765" t="s">
        <v>190</v>
      </c>
      <c r="C159" s="766" t="s">
        <v>1228</v>
      </c>
      <c r="D159" s="767" t="s">
        <v>1223</v>
      </c>
      <c r="E159" s="768" t="s">
        <v>189</v>
      </c>
      <c r="F159" s="141">
        <v>-7211839</v>
      </c>
      <c r="G159" s="141">
        <v>62268677</v>
      </c>
      <c r="H159" s="141">
        <v>0</v>
      </c>
      <c r="I159" s="141">
        <v>0</v>
      </c>
      <c r="J159" s="141">
        <v>0</v>
      </c>
      <c r="K159" s="141">
        <v>0</v>
      </c>
      <c r="L159" s="141">
        <v>62268677</v>
      </c>
      <c r="M159" s="141">
        <v>7207172</v>
      </c>
      <c r="N159" s="141">
        <v>0</v>
      </c>
      <c r="O159" s="141">
        <v>6933786</v>
      </c>
      <c r="P159" s="141">
        <v>14140958</v>
      </c>
      <c r="Q159" s="141">
        <v>0</v>
      </c>
      <c r="R159" s="141">
        <v>0</v>
      </c>
      <c r="S159" s="141">
        <v>-24311959</v>
      </c>
      <c r="T159" s="141">
        <v>-43221261</v>
      </c>
      <c r="U159" s="141">
        <v>-305024</v>
      </c>
      <c r="V159" s="141">
        <v>0</v>
      </c>
      <c r="W159" s="141">
        <v>0</v>
      </c>
      <c r="X159" s="141">
        <v>-67838244</v>
      </c>
      <c r="Y159" s="857">
        <v>1359552</v>
      </c>
      <c r="Z159" t="s">
        <v>1725</v>
      </c>
    </row>
    <row r="160" spans="1:26" ht="12.75" x14ac:dyDescent="0.2">
      <c r="A160" s="764">
        <v>153</v>
      </c>
      <c r="B160" s="765" t="s">
        <v>192</v>
      </c>
      <c r="C160" s="766" t="s">
        <v>1217</v>
      </c>
      <c r="D160" s="767" t="s">
        <v>1227</v>
      </c>
      <c r="E160" s="768" t="s">
        <v>191</v>
      </c>
      <c r="F160" s="141">
        <v>1416826</v>
      </c>
      <c r="G160" s="141">
        <v>37205298</v>
      </c>
      <c r="H160" s="141">
        <v>0</v>
      </c>
      <c r="I160" s="141">
        <v>-35000</v>
      </c>
      <c r="J160" s="141">
        <v>0</v>
      </c>
      <c r="K160" s="141">
        <v>400000</v>
      </c>
      <c r="L160" s="141">
        <v>37570298</v>
      </c>
      <c r="M160" s="141">
        <v>900000</v>
      </c>
      <c r="N160" s="141">
        <v>0</v>
      </c>
      <c r="O160" s="141">
        <v>0</v>
      </c>
      <c r="P160" s="141">
        <v>900000</v>
      </c>
      <c r="Q160" s="141">
        <v>-1400000</v>
      </c>
      <c r="R160" s="141">
        <v>-18176500</v>
      </c>
      <c r="S160" s="141">
        <v>-3635300</v>
      </c>
      <c r="T160" s="141">
        <v>-14541200</v>
      </c>
      <c r="U160" s="141">
        <v>0</v>
      </c>
      <c r="V160" s="141">
        <v>-124000</v>
      </c>
      <c r="W160" s="141">
        <v>-1478124</v>
      </c>
      <c r="X160" s="141">
        <v>-39355124</v>
      </c>
      <c r="Y160" s="857">
        <v>532000</v>
      </c>
      <c r="Z160" t="s">
        <v>1726</v>
      </c>
    </row>
    <row r="161" spans="1:26" ht="12.75" x14ac:dyDescent="0.2">
      <c r="A161" s="764">
        <v>154</v>
      </c>
      <c r="B161" s="765" t="s">
        <v>194</v>
      </c>
      <c r="C161" s="766" t="s">
        <v>1217</v>
      </c>
      <c r="D161" s="767" t="s">
        <v>1220</v>
      </c>
      <c r="E161" s="768" t="s">
        <v>193</v>
      </c>
      <c r="F161" s="141">
        <v>741967</v>
      </c>
      <c r="G161" s="141">
        <v>45236092</v>
      </c>
      <c r="H161" s="141">
        <v>0</v>
      </c>
      <c r="I161" s="141">
        <v>-250000</v>
      </c>
      <c r="J161" s="141">
        <v>4102113</v>
      </c>
      <c r="K161" s="141">
        <v>-2651567</v>
      </c>
      <c r="L161" s="141">
        <v>46436638</v>
      </c>
      <c r="M161" s="141">
        <v>0</v>
      </c>
      <c r="N161" s="141">
        <v>0</v>
      </c>
      <c r="O161" s="141">
        <v>0</v>
      </c>
      <c r="P161" s="141">
        <v>0</v>
      </c>
      <c r="Q161" s="141">
        <v>-102746</v>
      </c>
      <c r="R161" s="141">
        <v>0</v>
      </c>
      <c r="S161" s="141">
        <v>-17354678</v>
      </c>
      <c r="T161" s="141">
        <v>-26032017</v>
      </c>
      <c r="U161" s="141">
        <v>-144939</v>
      </c>
      <c r="V161" s="141">
        <v>0</v>
      </c>
      <c r="W161" s="141">
        <v>-1080489</v>
      </c>
      <c r="X161" s="141">
        <v>-44714869</v>
      </c>
      <c r="Y161" s="857">
        <v>2463736</v>
      </c>
      <c r="Z161" t="s">
        <v>1727</v>
      </c>
    </row>
    <row r="162" spans="1:26" ht="12.75" x14ac:dyDescent="0.2">
      <c r="A162" s="764">
        <v>155</v>
      </c>
      <c r="B162" s="765" t="s">
        <v>196</v>
      </c>
      <c r="C162" s="766" t="s">
        <v>1224</v>
      </c>
      <c r="D162" s="767" t="s">
        <v>1219</v>
      </c>
      <c r="E162" s="768" t="s">
        <v>195</v>
      </c>
      <c r="F162" s="141">
        <v>-6420071</v>
      </c>
      <c r="G162" s="141">
        <v>214705573</v>
      </c>
      <c r="H162" s="141">
        <v>0</v>
      </c>
      <c r="I162" s="141">
        <v>-6311190</v>
      </c>
      <c r="J162" s="141">
        <v>2072686</v>
      </c>
      <c r="K162" s="141">
        <v>-15276912</v>
      </c>
      <c r="L162" s="141">
        <v>195190157</v>
      </c>
      <c r="M162" s="141">
        <v>0</v>
      </c>
      <c r="N162" s="141">
        <v>0</v>
      </c>
      <c r="O162" s="141">
        <v>7025599</v>
      </c>
      <c r="P162" s="141">
        <v>7025599</v>
      </c>
      <c r="Q162" s="141">
        <v>-3218411</v>
      </c>
      <c r="R162" s="141">
        <v>0</v>
      </c>
      <c r="S162" s="141">
        <v>-1878638</v>
      </c>
      <c r="T162" s="141">
        <v>-185985162</v>
      </c>
      <c r="U162" s="141">
        <v>0</v>
      </c>
      <c r="V162" s="141">
        <v>-1027080</v>
      </c>
      <c r="W162" s="141">
        <v>0</v>
      </c>
      <c r="X162" s="141">
        <v>-192109291</v>
      </c>
      <c r="Y162" s="857">
        <v>3686394</v>
      </c>
      <c r="Z162" t="s">
        <v>1728</v>
      </c>
    </row>
    <row r="163" spans="1:26" ht="12.75" x14ac:dyDescent="0.2">
      <c r="A163" s="764">
        <v>156</v>
      </c>
      <c r="B163" s="765" t="s">
        <v>198</v>
      </c>
      <c r="C163" s="766" t="s">
        <v>529</v>
      </c>
      <c r="D163" s="767" t="s">
        <v>1221</v>
      </c>
      <c r="E163" s="768" t="s">
        <v>534</v>
      </c>
      <c r="F163" s="141">
        <v>988526</v>
      </c>
      <c r="G163" s="141">
        <v>67326896</v>
      </c>
      <c r="H163" s="141">
        <v>-219903</v>
      </c>
      <c r="I163" s="141">
        <v>-2225065</v>
      </c>
      <c r="J163" s="141">
        <v>0</v>
      </c>
      <c r="K163" s="141">
        <v>-3972235</v>
      </c>
      <c r="L163" s="141">
        <v>60909693</v>
      </c>
      <c r="M163" s="141">
        <v>0</v>
      </c>
      <c r="N163" s="141">
        <v>0</v>
      </c>
      <c r="O163" s="141">
        <v>1193500</v>
      </c>
      <c r="P163" s="141">
        <v>1193500</v>
      </c>
      <c r="Q163" s="141">
        <v>-337969</v>
      </c>
      <c r="R163" s="141">
        <v>-33018435</v>
      </c>
      <c r="S163" s="141">
        <v>-660369</v>
      </c>
      <c r="T163" s="141">
        <v>-32358067</v>
      </c>
      <c r="U163" s="141">
        <v>-243357</v>
      </c>
      <c r="V163" s="141">
        <v>0</v>
      </c>
      <c r="W163" s="141">
        <v>0</v>
      </c>
      <c r="X163" s="141">
        <v>-66618197</v>
      </c>
      <c r="Y163" s="857">
        <v>-3526478</v>
      </c>
      <c r="Z163" t="s">
        <v>1729</v>
      </c>
    </row>
    <row r="164" spans="1:26" ht="12.75" x14ac:dyDescent="0.2">
      <c r="A164" s="764">
        <v>157</v>
      </c>
      <c r="B164" s="765" t="s">
        <v>200</v>
      </c>
      <c r="C164" s="766" t="s">
        <v>1217</v>
      </c>
      <c r="D164" s="767" t="s">
        <v>1218</v>
      </c>
      <c r="E164" s="768" t="s">
        <v>199</v>
      </c>
      <c r="F164" s="141">
        <v>-6640896</v>
      </c>
      <c r="G164" s="141">
        <v>60150209</v>
      </c>
      <c r="H164" s="141">
        <v>0</v>
      </c>
      <c r="I164" s="141">
        <v>26127</v>
      </c>
      <c r="J164" s="141">
        <v>478073</v>
      </c>
      <c r="K164" s="141">
        <v>1336320</v>
      </c>
      <c r="L164" s="141">
        <v>61990729</v>
      </c>
      <c r="M164" s="141">
        <v>0</v>
      </c>
      <c r="N164" s="141">
        <v>0</v>
      </c>
      <c r="O164" s="141">
        <v>1617094</v>
      </c>
      <c r="P164" s="141">
        <v>1617094</v>
      </c>
      <c r="Q164" s="141">
        <v>-1477526</v>
      </c>
      <c r="R164" s="141">
        <v>0</v>
      </c>
      <c r="S164" s="141">
        <v>-33973160</v>
      </c>
      <c r="T164" s="141">
        <v>-22648774</v>
      </c>
      <c r="U164" s="141">
        <v>-105534</v>
      </c>
      <c r="V164" s="141">
        <v>0</v>
      </c>
      <c r="W164" s="141">
        <v>0</v>
      </c>
      <c r="X164" s="141">
        <v>-58204994</v>
      </c>
      <c r="Y164" s="857">
        <v>-1238067</v>
      </c>
      <c r="Z164" t="s">
        <v>1730</v>
      </c>
    </row>
    <row r="165" spans="1:26" ht="12.75" x14ac:dyDescent="0.2">
      <c r="A165" s="764">
        <v>158</v>
      </c>
      <c r="B165" s="765" t="s">
        <v>202</v>
      </c>
      <c r="C165" s="766" t="s">
        <v>1217</v>
      </c>
      <c r="D165" s="767" t="s">
        <v>1221</v>
      </c>
      <c r="E165" s="768" t="s">
        <v>201</v>
      </c>
      <c r="F165" s="141">
        <v>-83696</v>
      </c>
      <c r="G165" s="141">
        <v>14536130</v>
      </c>
      <c r="H165" s="141">
        <v>0</v>
      </c>
      <c r="I165" s="141">
        <v>67277</v>
      </c>
      <c r="J165" s="141">
        <v>0</v>
      </c>
      <c r="K165" s="141">
        <v>-458990</v>
      </c>
      <c r="L165" s="141">
        <v>14144417</v>
      </c>
      <c r="M165" s="141">
        <v>264902</v>
      </c>
      <c r="N165" s="141">
        <v>0</v>
      </c>
      <c r="O165" s="141">
        <v>0</v>
      </c>
      <c r="P165" s="141">
        <v>264902</v>
      </c>
      <c r="Q165" s="141">
        <v>0</v>
      </c>
      <c r="R165" s="141">
        <v>-6635298</v>
      </c>
      <c r="S165" s="141">
        <v>-6635298</v>
      </c>
      <c r="T165" s="141">
        <v>-523089</v>
      </c>
      <c r="U165" s="141">
        <v>0</v>
      </c>
      <c r="V165" s="141">
        <v>0</v>
      </c>
      <c r="W165" s="141">
        <v>-177315</v>
      </c>
      <c r="X165" s="141">
        <v>-13971000</v>
      </c>
      <c r="Y165" s="857">
        <v>354623</v>
      </c>
      <c r="Z165" t="s">
        <v>1731</v>
      </c>
    </row>
    <row r="166" spans="1:26" ht="12.75" x14ac:dyDescent="0.2">
      <c r="A166" s="764">
        <v>159</v>
      </c>
      <c r="B166" s="765" t="s">
        <v>204</v>
      </c>
      <c r="C166" s="766" t="s">
        <v>1217</v>
      </c>
      <c r="D166" s="767" t="s">
        <v>1227</v>
      </c>
      <c r="E166" s="768" t="s">
        <v>203</v>
      </c>
      <c r="F166" s="141">
        <v>2404127</v>
      </c>
      <c r="G166" s="141">
        <v>15662644</v>
      </c>
      <c r="H166" s="141">
        <v>0</v>
      </c>
      <c r="I166" s="141">
        <v>-156626</v>
      </c>
      <c r="J166" s="141">
        <v>0</v>
      </c>
      <c r="K166" s="141">
        <v>-1174698</v>
      </c>
      <c r="L166" s="141">
        <v>14331320</v>
      </c>
      <c r="M166" s="141">
        <v>266223</v>
      </c>
      <c r="N166" s="141">
        <v>0</v>
      </c>
      <c r="O166" s="141">
        <v>219982</v>
      </c>
      <c r="P166" s="141">
        <v>486205</v>
      </c>
      <c r="Q166" s="141">
        <v>0</v>
      </c>
      <c r="R166" s="141">
        <v>-7482152</v>
      </c>
      <c r="S166" s="141">
        <v>-1496430</v>
      </c>
      <c r="T166" s="141">
        <v>-5985722</v>
      </c>
      <c r="U166" s="141">
        <v>-5695</v>
      </c>
      <c r="V166" s="141">
        <v>0</v>
      </c>
      <c r="W166" s="141">
        <v>0</v>
      </c>
      <c r="X166" s="141">
        <v>-14969999</v>
      </c>
      <c r="Y166" s="857">
        <v>2251653</v>
      </c>
      <c r="Z166" t="s">
        <v>1732</v>
      </c>
    </row>
    <row r="167" spans="1:26" ht="12.75" x14ac:dyDescent="0.2">
      <c r="A167" s="764">
        <v>160</v>
      </c>
      <c r="B167" s="765" t="s">
        <v>206</v>
      </c>
      <c r="C167" s="766" t="s">
        <v>1224</v>
      </c>
      <c r="D167" s="767" t="s">
        <v>1219</v>
      </c>
      <c r="E167" s="768" t="s">
        <v>205</v>
      </c>
      <c r="F167" s="141">
        <v>21284741</v>
      </c>
      <c r="G167" s="141">
        <v>375488083</v>
      </c>
      <c r="H167" s="141">
        <v>-11264642</v>
      </c>
      <c r="I167" s="141">
        <v>-1130659</v>
      </c>
      <c r="J167" s="141">
        <v>21782335</v>
      </c>
      <c r="K167" s="141">
        <v>-44104349</v>
      </c>
      <c r="L167" s="141">
        <v>340770768</v>
      </c>
      <c r="M167" s="141">
        <v>1418517</v>
      </c>
      <c r="N167" s="141">
        <v>7457</v>
      </c>
      <c r="O167" s="141">
        <v>0</v>
      </c>
      <c r="P167" s="141">
        <v>1425974</v>
      </c>
      <c r="Q167" s="141">
        <v>-1418517</v>
      </c>
      <c r="R167" s="141">
        <v>0</v>
      </c>
      <c r="S167" s="141">
        <v>-3248211</v>
      </c>
      <c r="T167" s="141">
        <v>-321572894</v>
      </c>
      <c r="U167" s="141">
        <v>-750000</v>
      </c>
      <c r="V167" s="141">
        <v>0</v>
      </c>
      <c r="W167" s="141">
        <v>-23087171</v>
      </c>
      <c r="X167" s="141">
        <v>-350076793</v>
      </c>
      <c r="Y167" s="857">
        <v>13404690</v>
      </c>
      <c r="Z167" t="s">
        <v>1733</v>
      </c>
    </row>
    <row r="168" spans="1:26" ht="12.75" x14ac:dyDescent="0.2">
      <c r="A168" s="764">
        <v>161</v>
      </c>
      <c r="B168" s="765" t="s">
        <v>208</v>
      </c>
      <c r="C168" s="766" t="s">
        <v>1217</v>
      </c>
      <c r="D168" s="767" t="s">
        <v>1220</v>
      </c>
      <c r="E168" s="768" t="s">
        <v>207</v>
      </c>
      <c r="F168" s="141">
        <v>-2164444</v>
      </c>
      <c r="G168" s="141">
        <v>29410296</v>
      </c>
      <c r="H168" s="141">
        <v>0</v>
      </c>
      <c r="I168" s="141">
        <v>-670500</v>
      </c>
      <c r="J168" s="141">
        <v>273000</v>
      </c>
      <c r="K168" s="141">
        <v>-3632508</v>
      </c>
      <c r="L168" s="141">
        <v>25380288</v>
      </c>
      <c r="M168" s="141">
        <v>35786</v>
      </c>
      <c r="N168" s="141">
        <v>0</v>
      </c>
      <c r="O168" s="141">
        <v>2160015</v>
      </c>
      <c r="P168" s="141">
        <v>2195801</v>
      </c>
      <c r="Q168" s="141">
        <v>0</v>
      </c>
      <c r="R168" s="141">
        <v>-13800275</v>
      </c>
      <c r="S168" s="141">
        <v>-2760056</v>
      </c>
      <c r="T168" s="141">
        <v>-11040221</v>
      </c>
      <c r="U168" s="141">
        <v>-198337</v>
      </c>
      <c r="V168" s="141">
        <v>-5482</v>
      </c>
      <c r="W168" s="141">
        <v>0</v>
      </c>
      <c r="X168" s="141">
        <v>-27804371</v>
      </c>
      <c r="Y168" s="857">
        <v>-2392726</v>
      </c>
      <c r="Z168" t="s">
        <v>1734</v>
      </c>
    </row>
    <row r="169" spans="1:26" ht="12.75" x14ac:dyDescent="0.2">
      <c r="A169" s="764">
        <v>162</v>
      </c>
      <c r="B169" s="765" t="s">
        <v>210</v>
      </c>
      <c r="C169" s="766" t="s">
        <v>529</v>
      </c>
      <c r="D169" s="767" t="s">
        <v>1218</v>
      </c>
      <c r="E169" s="768" t="s">
        <v>589</v>
      </c>
      <c r="F169" s="141">
        <v>-8080847</v>
      </c>
      <c r="G169" s="141">
        <v>89441865</v>
      </c>
      <c r="H169" s="141">
        <v>0</v>
      </c>
      <c r="I169" s="141">
        <v>-1200000</v>
      </c>
      <c r="J169" s="141">
        <v>6066196</v>
      </c>
      <c r="K169" s="141">
        <v>-1590039</v>
      </c>
      <c r="L169" s="141">
        <v>92718022</v>
      </c>
      <c r="M169" s="141">
        <v>0</v>
      </c>
      <c r="N169" s="141">
        <v>0</v>
      </c>
      <c r="O169" s="141">
        <v>2228227</v>
      </c>
      <c r="P169" s="141">
        <v>2228227</v>
      </c>
      <c r="Q169" s="141">
        <v>-3150009</v>
      </c>
      <c r="R169" s="141">
        <v>0</v>
      </c>
      <c r="S169" s="141">
        <v>-865883</v>
      </c>
      <c r="T169" s="141">
        <v>-85722437</v>
      </c>
      <c r="U169" s="141">
        <v>0</v>
      </c>
      <c r="V169" s="141">
        <v>0</v>
      </c>
      <c r="W169" s="141">
        <v>0</v>
      </c>
      <c r="X169" s="141">
        <v>-89738329</v>
      </c>
      <c r="Y169" s="857">
        <v>-2872927</v>
      </c>
      <c r="Z169" t="s">
        <v>1735</v>
      </c>
    </row>
    <row r="170" spans="1:26" ht="12.75" x14ac:dyDescent="0.2">
      <c r="A170" s="764">
        <v>163</v>
      </c>
      <c r="B170" s="765" t="s">
        <v>212</v>
      </c>
      <c r="C170" s="766" t="s">
        <v>1217</v>
      </c>
      <c r="D170" s="767" t="s">
        <v>1220</v>
      </c>
      <c r="E170" s="768" t="s">
        <v>211</v>
      </c>
      <c r="F170" s="141">
        <v>-85405.599999999627</v>
      </c>
      <c r="G170" s="141">
        <v>14390610</v>
      </c>
      <c r="H170" s="141">
        <v>0</v>
      </c>
      <c r="I170" s="141">
        <v>-102444</v>
      </c>
      <c r="J170" s="141">
        <v>350000</v>
      </c>
      <c r="K170" s="141">
        <v>-280117</v>
      </c>
      <c r="L170" s="141">
        <v>14358049</v>
      </c>
      <c r="M170" s="141">
        <v>455000</v>
      </c>
      <c r="N170" s="141">
        <v>7000</v>
      </c>
      <c r="O170" s="141">
        <v>0</v>
      </c>
      <c r="P170" s="141">
        <v>462000</v>
      </c>
      <c r="Q170" s="141">
        <v>0</v>
      </c>
      <c r="R170" s="141">
        <v>-7145529</v>
      </c>
      <c r="S170" s="141">
        <v>-1429106</v>
      </c>
      <c r="T170" s="141">
        <v>-5716424</v>
      </c>
      <c r="U170" s="141">
        <v>-207355</v>
      </c>
      <c r="V170" s="141">
        <v>0</v>
      </c>
      <c r="W170" s="141">
        <v>-353940</v>
      </c>
      <c r="X170" s="141">
        <v>-14852354</v>
      </c>
      <c r="Y170" s="857">
        <v>-117710.59999999963</v>
      </c>
      <c r="Z170" t="s">
        <v>1736</v>
      </c>
    </row>
    <row r="171" spans="1:26" ht="12.75" x14ac:dyDescent="0.2">
      <c r="A171" s="764">
        <v>164</v>
      </c>
      <c r="B171" s="765" t="s">
        <v>214</v>
      </c>
      <c r="C171" s="766" t="s">
        <v>1217</v>
      </c>
      <c r="D171" s="767" t="s">
        <v>1226</v>
      </c>
      <c r="E171" s="768" t="s">
        <v>213</v>
      </c>
      <c r="F171" s="141">
        <v>2010840</v>
      </c>
      <c r="G171" s="141">
        <v>35440574</v>
      </c>
      <c r="H171" s="141">
        <v>0</v>
      </c>
      <c r="I171" s="141">
        <v>-235008</v>
      </c>
      <c r="J171" s="141">
        <v>371985</v>
      </c>
      <c r="K171" s="141">
        <v>-880125</v>
      </c>
      <c r="L171" s="141">
        <v>34697426</v>
      </c>
      <c r="M171" s="141">
        <v>709625</v>
      </c>
      <c r="N171" s="141">
        <v>0</v>
      </c>
      <c r="O171" s="141">
        <v>0</v>
      </c>
      <c r="P171" s="141">
        <v>709625</v>
      </c>
      <c r="Q171" s="141">
        <v>0</v>
      </c>
      <c r="R171" s="141">
        <v>-18407443</v>
      </c>
      <c r="S171" s="141">
        <v>-3681489</v>
      </c>
      <c r="T171" s="141">
        <v>-14725954</v>
      </c>
      <c r="U171" s="141">
        <v>-288983</v>
      </c>
      <c r="V171" s="141">
        <v>0</v>
      </c>
      <c r="W171" s="141">
        <v>-2579920</v>
      </c>
      <c r="X171" s="141">
        <v>-39683789</v>
      </c>
      <c r="Y171" s="857">
        <v>-2265898</v>
      </c>
      <c r="Z171" t="s">
        <v>1737</v>
      </c>
    </row>
    <row r="172" spans="1:26" ht="12.75" x14ac:dyDescent="0.2">
      <c r="A172" s="764">
        <v>165</v>
      </c>
      <c r="B172" s="765" t="s">
        <v>216</v>
      </c>
      <c r="C172" s="766" t="s">
        <v>1222</v>
      </c>
      <c r="D172" s="767" t="s">
        <v>1223</v>
      </c>
      <c r="E172" s="768" t="s">
        <v>215</v>
      </c>
      <c r="F172" s="141">
        <v>-3046920</v>
      </c>
      <c r="G172" s="141">
        <v>91126522</v>
      </c>
      <c r="H172" s="141">
        <v>0</v>
      </c>
      <c r="I172" s="141">
        <v>30367</v>
      </c>
      <c r="J172" s="141">
        <v>1785295</v>
      </c>
      <c r="K172" s="141">
        <v>-9418529</v>
      </c>
      <c r="L172" s="141">
        <v>83523655</v>
      </c>
      <c r="M172" s="141">
        <v>0</v>
      </c>
      <c r="N172" s="141">
        <v>0</v>
      </c>
      <c r="O172" s="141">
        <v>4077381</v>
      </c>
      <c r="P172" s="141">
        <v>4077381</v>
      </c>
      <c r="Q172" s="141">
        <v>-839188</v>
      </c>
      <c r="R172" s="141">
        <v>0</v>
      </c>
      <c r="S172" s="141">
        <v>-31673040</v>
      </c>
      <c r="T172" s="141">
        <v>-56307628</v>
      </c>
      <c r="U172" s="141">
        <v>-265211</v>
      </c>
      <c r="V172" s="141">
        <v>0</v>
      </c>
      <c r="W172" s="141">
        <v>0</v>
      </c>
      <c r="X172" s="141">
        <v>-89085067</v>
      </c>
      <c r="Y172" s="857">
        <v>-4530951</v>
      </c>
      <c r="Z172" t="s">
        <v>1738</v>
      </c>
    </row>
    <row r="173" spans="1:26" ht="12.75" x14ac:dyDescent="0.2">
      <c r="A173" s="764">
        <v>166</v>
      </c>
      <c r="B173" s="765" t="s">
        <v>218</v>
      </c>
      <c r="C173" s="766" t="s">
        <v>1217</v>
      </c>
      <c r="D173" s="767" t="s">
        <v>1226</v>
      </c>
      <c r="E173" s="768" t="s">
        <v>217</v>
      </c>
      <c r="F173" s="141">
        <v>-771892</v>
      </c>
      <c r="G173" s="141">
        <v>15571903</v>
      </c>
      <c r="H173" s="141">
        <v>0</v>
      </c>
      <c r="I173" s="141">
        <v>-90000</v>
      </c>
      <c r="J173" s="141">
        <v>78000</v>
      </c>
      <c r="K173" s="141">
        <v>-961996</v>
      </c>
      <c r="L173" s="141">
        <v>14597907</v>
      </c>
      <c r="M173" s="141">
        <v>269421</v>
      </c>
      <c r="N173" s="141">
        <v>0</v>
      </c>
      <c r="O173" s="141">
        <v>63159</v>
      </c>
      <c r="P173" s="141">
        <v>332580</v>
      </c>
      <c r="Q173" s="141">
        <v>-556413</v>
      </c>
      <c r="R173" s="141">
        <v>0</v>
      </c>
      <c r="S173" s="141">
        <v>-9162081</v>
      </c>
      <c r="T173" s="141">
        <v>-6108054</v>
      </c>
      <c r="U173" s="141">
        <v>-251233</v>
      </c>
      <c r="V173" s="141">
        <v>-28080</v>
      </c>
      <c r="W173" s="141">
        <v>0</v>
      </c>
      <c r="X173" s="141">
        <v>-16105861</v>
      </c>
      <c r="Y173" s="857">
        <v>-1947266</v>
      </c>
      <c r="Z173" t="s">
        <v>1739</v>
      </c>
    </row>
    <row r="174" spans="1:26" ht="12.75" x14ac:dyDescent="0.2">
      <c r="A174" s="764">
        <v>167</v>
      </c>
      <c r="B174" s="765" t="s">
        <v>220</v>
      </c>
      <c r="C174" s="766" t="s">
        <v>1217</v>
      </c>
      <c r="D174" s="767" t="s">
        <v>1221</v>
      </c>
      <c r="E174" s="768" t="s">
        <v>219</v>
      </c>
      <c r="F174" s="141">
        <v>-2780068</v>
      </c>
      <c r="G174" s="141">
        <v>22799571</v>
      </c>
      <c r="H174" s="141">
        <v>0</v>
      </c>
      <c r="I174" s="141">
        <v>-174000</v>
      </c>
      <c r="J174" s="141">
        <v>595051</v>
      </c>
      <c r="K174" s="141">
        <v>-1507089</v>
      </c>
      <c r="L174" s="141">
        <v>21713533</v>
      </c>
      <c r="M174" s="141">
        <v>345351</v>
      </c>
      <c r="N174" s="141">
        <v>0</v>
      </c>
      <c r="O174" s="141">
        <v>2392345</v>
      </c>
      <c r="P174" s="141">
        <v>2737696</v>
      </c>
      <c r="Q174" s="141">
        <v>0</v>
      </c>
      <c r="R174" s="141">
        <v>0</v>
      </c>
      <c r="S174" s="141">
        <v>-4507335</v>
      </c>
      <c r="T174" s="141">
        <v>-18029340</v>
      </c>
      <c r="U174" s="141">
        <v>-495644</v>
      </c>
      <c r="V174" s="141">
        <v>0</v>
      </c>
      <c r="W174" s="141">
        <v>0</v>
      </c>
      <c r="X174" s="141">
        <v>-23032319</v>
      </c>
      <c r="Y174" s="857">
        <v>-1361158</v>
      </c>
      <c r="Z174" t="s">
        <v>1740</v>
      </c>
    </row>
    <row r="175" spans="1:26" ht="12.75" x14ac:dyDescent="0.2">
      <c r="A175" s="764">
        <v>168</v>
      </c>
      <c r="B175" s="765" t="s">
        <v>222</v>
      </c>
      <c r="C175" s="766" t="s">
        <v>1217</v>
      </c>
      <c r="D175" s="767" t="s">
        <v>1218</v>
      </c>
      <c r="E175" s="768" t="s">
        <v>221</v>
      </c>
      <c r="F175" s="141">
        <v>1329123</v>
      </c>
      <c r="G175" s="141">
        <v>46537208</v>
      </c>
      <c r="H175" s="141">
        <v>0</v>
      </c>
      <c r="I175" s="141">
        <v>-305545</v>
      </c>
      <c r="J175" s="141">
        <v>1550277</v>
      </c>
      <c r="K175" s="141">
        <v>-1551980</v>
      </c>
      <c r="L175" s="141">
        <v>46229960</v>
      </c>
      <c r="M175" s="141">
        <v>778978</v>
      </c>
      <c r="N175" s="141">
        <v>0</v>
      </c>
      <c r="O175" s="141">
        <v>0</v>
      </c>
      <c r="P175" s="141">
        <v>778978</v>
      </c>
      <c r="Q175" s="141">
        <v>0</v>
      </c>
      <c r="R175" s="141">
        <v>-22656317</v>
      </c>
      <c r="S175" s="141">
        <v>-4531263</v>
      </c>
      <c r="T175" s="141">
        <v>-18125054</v>
      </c>
      <c r="U175" s="141">
        <v>-172762</v>
      </c>
      <c r="V175" s="141">
        <v>0</v>
      </c>
      <c r="W175" s="141">
        <v>-1737095</v>
      </c>
      <c r="X175" s="141">
        <v>-47222491</v>
      </c>
      <c r="Y175" s="857">
        <v>1115570</v>
      </c>
      <c r="Z175" t="s">
        <v>1741</v>
      </c>
    </row>
    <row r="176" spans="1:26" ht="12.75" x14ac:dyDescent="0.2">
      <c r="A176" s="764">
        <v>169</v>
      </c>
      <c r="B176" s="765" t="s">
        <v>224</v>
      </c>
      <c r="C176" s="766" t="s">
        <v>529</v>
      </c>
      <c r="D176" s="767" t="s">
        <v>1229</v>
      </c>
      <c r="E176" s="768" t="s">
        <v>554</v>
      </c>
      <c r="F176" s="141">
        <v>-2934506</v>
      </c>
      <c r="G176" s="141">
        <v>37892086</v>
      </c>
      <c r="H176" s="141">
        <v>0</v>
      </c>
      <c r="I176" s="141">
        <v>-1098884</v>
      </c>
      <c r="J176" s="141">
        <v>587000</v>
      </c>
      <c r="K176" s="141">
        <v>-1966840</v>
      </c>
      <c r="L176" s="141">
        <v>35413362</v>
      </c>
      <c r="M176" s="141">
        <v>3897773</v>
      </c>
      <c r="N176" s="141">
        <v>0</v>
      </c>
      <c r="O176" s="141">
        <v>2560744</v>
      </c>
      <c r="P176" s="141">
        <v>6458517</v>
      </c>
      <c r="Q176" s="141">
        <v>-3897773</v>
      </c>
      <c r="R176" s="141">
        <v>-17672431</v>
      </c>
      <c r="S176" s="141">
        <v>-353449</v>
      </c>
      <c r="T176" s="141">
        <v>-17318983</v>
      </c>
      <c r="U176" s="141">
        <v>-172723</v>
      </c>
      <c r="V176" s="141">
        <v>-12541</v>
      </c>
      <c r="W176" s="141">
        <v>0</v>
      </c>
      <c r="X176" s="141">
        <v>-39427900</v>
      </c>
      <c r="Y176" s="857">
        <v>-490527</v>
      </c>
      <c r="Z176" t="s">
        <v>1742</v>
      </c>
    </row>
    <row r="177" spans="1:26" ht="12.75" x14ac:dyDescent="0.2">
      <c r="A177" s="764">
        <v>170</v>
      </c>
      <c r="B177" s="765" t="s">
        <v>226</v>
      </c>
      <c r="C177" s="766" t="s">
        <v>529</v>
      </c>
      <c r="D177" s="767" t="s">
        <v>1218</v>
      </c>
      <c r="E177" s="768" t="s">
        <v>542</v>
      </c>
      <c r="F177" s="141">
        <v>-3757763</v>
      </c>
      <c r="G177" s="141">
        <v>179603520</v>
      </c>
      <c r="H177" s="141">
        <v>0</v>
      </c>
      <c r="I177" s="141">
        <v>-1796000</v>
      </c>
      <c r="J177" s="141">
        <v>5000000</v>
      </c>
      <c r="K177" s="141">
        <v>-24000000</v>
      </c>
      <c r="L177" s="141">
        <v>158807520</v>
      </c>
      <c r="M177" s="141">
        <v>0</v>
      </c>
      <c r="N177" s="141">
        <v>0</v>
      </c>
      <c r="O177" s="141">
        <v>268000</v>
      </c>
      <c r="P177" s="141">
        <v>268000</v>
      </c>
      <c r="Q177" s="141">
        <v>-924000</v>
      </c>
      <c r="R177" s="141">
        <v>-76638165</v>
      </c>
      <c r="S177" s="141">
        <v>-1532763</v>
      </c>
      <c r="T177" s="141">
        <v>-75105401</v>
      </c>
      <c r="U177" s="141">
        <v>-639338</v>
      </c>
      <c r="V177" s="141">
        <v>0</v>
      </c>
      <c r="W177" s="141">
        <v>0</v>
      </c>
      <c r="X177" s="141">
        <v>-154839667</v>
      </c>
      <c r="Y177" s="857">
        <v>478090</v>
      </c>
      <c r="Z177" t="s">
        <v>1743</v>
      </c>
    </row>
    <row r="178" spans="1:26" ht="12.75" x14ac:dyDescent="0.2">
      <c r="A178" s="764">
        <v>171</v>
      </c>
      <c r="B178" s="765" t="s">
        <v>228</v>
      </c>
      <c r="C178" s="766" t="s">
        <v>1217</v>
      </c>
      <c r="D178" s="767" t="s">
        <v>1218</v>
      </c>
      <c r="E178" s="768" t="s">
        <v>227</v>
      </c>
      <c r="F178" s="141">
        <v>-6500948</v>
      </c>
      <c r="G178" s="141">
        <v>42460206</v>
      </c>
      <c r="H178" s="141">
        <v>-200000</v>
      </c>
      <c r="I178" s="141">
        <v>-180000</v>
      </c>
      <c r="J178" s="141">
        <v>1885000</v>
      </c>
      <c r="K178" s="141">
        <v>-957000</v>
      </c>
      <c r="L178" s="141">
        <v>43008206</v>
      </c>
      <c r="M178" s="141">
        <v>965405</v>
      </c>
      <c r="N178" s="141">
        <v>0</v>
      </c>
      <c r="O178" s="141">
        <v>3562326</v>
      </c>
      <c r="P178" s="141">
        <v>4527731</v>
      </c>
      <c r="Q178" s="141">
        <v>0</v>
      </c>
      <c r="R178" s="141">
        <v>0</v>
      </c>
      <c r="S178" s="141">
        <v>-30932694</v>
      </c>
      <c r="T178" s="141">
        <v>-13256869</v>
      </c>
      <c r="U178" s="141">
        <v>-153825</v>
      </c>
      <c r="V178" s="141">
        <v>0</v>
      </c>
      <c r="W178" s="141">
        <v>0</v>
      </c>
      <c r="X178" s="141">
        <v>-44343388</v>
      </c>
      <c r="Y178" s="857">
        <v>-3308399</v>
      </c>
      <c r="Z178" t="s">
        <v>1744</v>
      </c>
    </row>
    <row r="179" spans="1:26" ht="12.75" x14ac:dyDescent="0.2">
      <c r="A179" s="764">
        <v>172</v>
      </c>
      <c r="B179" s="765" t="s">
        <v>230</v>
      </c>
      <c r="C179" s="766" t="s">
        <v>1217</v>
      </c>
      <c r="D179" s="767" t="s">
        <v>1218</v>
      </c>
      <c r="E179" s="768" t="s">
        <v>229</v>
      </c>
      <c r="F179" s="141">
        <v>1797517</v>
      </c>
      <c r="G179" s="141">
        <v>67385920</v>
      </c>
      <c r="H179" s="141">
        <v>0</v>
      </c>
      <c r="I179" s="141">
        <v>-304000</v>
      </c>
      <c r="J179" s="141">
        <v>1917000</v>
      </c>
      <c r="K179" s="141">
        <v>-3542000</v>
      </c>
      <c r="L179" s="141">
        <v>65456920</v>
      </c>
      <c r="M179" s="141">
        <v>1564291</v>
      </c>
      <c r="N179" s="141">
        <v>0</v>
      </c>
      <c r="O179" s="141">
        <v>0</v>
      </c>
      <c r="P179" s="141">
        <v>1564291</v>
      </c>
      <c r="Q179" s="141">
        <v>-720318</v>
      </c>
      <c r="R179" s="141">
        <v>-32862010</v>
      </c>
      <c r="S179" s="141">
        <v>-6572402</v>
      </c>
      <c r="T179" s="141">
        <v>-26289608</v>
      </c>
      <c r="U179" s="141">
        <v>-288078</v>
      </c>
      <c r="V179" s="141">
        <v>0</v>
      </c>
      <c r="W179" s="141">
        <v>-1671042</v>
      </c>
      <c r="X179" s="141">
        <v>-68403458</v>
      </c>
      <c r="Y179" s="857">
        <v>415270</v>
      </c>
      <c r="Z179" t="s">
        <v>1745</v>
      </c>
    </row>
    <row r="180" spans="1:26" ht="12.75" x14ac:dyDescent="0.2">
      <c r="A180" s="764">
        <v>173</v>
      </c>
      <c r="B180" s="765" t="s">
        <v>232</v>
      </c>
      <c r="C180" s="766" t="s">
        <v>1217</v>
      </c>
      <c r="D180" s="767" t="s">
        <v>1220</v>
      </c>
      <c r="E180" s="768" t="s">
        <v>231</v>
      </c>
      <c r="F180" s="141">
        <v>-755712</v>
      </c>
      <c r="G180" s="141">
        <v>42511698</v>
      </c>
      <c r="H180" s="141">
        <v>0</v>
      </c>
      <c r="I180" s="141">
        <v>-250000</v>
      </c>
      <c r="J180" s="141">
        <v>849548</v>
      </c>
      <c r="K180" s="141">
        <v>-1998050</v>
      </c>
      <c r="L180" s="141">
        <v>41113196</v>
      </c>
      <c r="M180" s="141">
        <v>1540546</v>
      </c>
      <c r="N180" s="141">
        <v>251329</v>
      </c>
      <c r="O180" s="141">
        <v>0</v>
      </c>
      <c r="P180" s="141">
        <v>1791875</v>
      </c>
      <c r="Q180" s="141">
        <v>-224725</v>
      </c>
      <c r="R180" s="141">
        <v>-19515617</v>
      </c>
      <c r="S180" s="141">
        <v>-3903123</v>
      </c>
      <c r="T180" s="141">
        <v>-15612494</v>
      </c>
      <c r="U180" s="141">
        <v>-932915</v>
      </c>
      <c r="V180" s="141">
        <v>0</v>
      </c>
      <c r="W180" s="141">
        <v>-84516</v>
      </c>
      <c r="X180" s="141">
        <v>-40273390</v>
      </c>
      <c r="Y180" s="857">
        <v>1875969</v>
      </c>
      <c r="Z180" t="s">
        <v>1746</v>
      </c>
    </row>
    <row r="181" spans="1:26" ht="12.75" x14ac:dyDescent="0.2">
      <c r="A181" s="764">
        <v>174</v>
      </c>
      <c r="B181" s="765" t="s">
        <v>233</v>
      </c>
      <c r="C181" s="766" t="s">
        <v>1224</v>
      </c>
      <c r="D181" s="767" t="s">
        <v>1229</v>
      </c>
      <c r="E181" s="768" t="s">
        <v>867</v>
      </c>
      <c r="F181" s="141">
        <v>-4210076</v>
      </c>
      <c r="G181" s="141">
        <v>149018784</v>
      </c>
      <c r="H181" s="141">
        <v>0</v>
      </c>
      <c r="I181" s="141">
        <v>-2217720</v>
      </c>
      <c r="J181" s="141">
        <v>4551476</v>
      </c>
      <c r="K181" s="141">
        <v>-6640860</v>
      </c>
      <c r="L181" s="141">
        <v>144711680</v>
      </c>
      <c r="M181" s="141">
        <v>0</v>
      </c>
      <c r="N181" s="141">
        <v>0</v>
      </c>
      <c r="O181" s="141">
        <v>4436311</v>
      </c>
      <c r="P181" s="141">
        <v>4436311</v>
      </c>
      <c r="Q181" s="141">
        <v>-7331980</v>
      </c>
      <c r="R181" s="141">
        <v>-69401478</v>
      </c>
      <c r="S181" s="141">
        <v>-1388030</v>
      </c>
      <c r="T181" s="141">
        <v>-68013449</v>
      </c>
      <c r="U181" s="141">
        <v>-1703664</v>
      </c>
      <c r="V181" s="141">
        <v>0</v>
      </c>
      <c r="W181" s="141">
        <v>0</v>
      </c>
      <c r="X181" s="141">
        <v>-147838601</v>
      </c>
      <c r="Y181" s="857">
        <v>-2900686</v>
      </c>
      <c r="Z181" t="s">
        <v>1747</v>
      </c>
    </row>
    <row r="182" spans="1:26" ht="12.75" x14ac:dyDescent="0.2">
      <c r="A182" s="764">
        <v>175</v>
      </c>
      <c r="B182" s="765" t="s">
        <v>235</v>
      </c>
      <c r="C182" s="766" t="s">
        <v>1217</v>
      </c>
      <c r="D182" s="767" t="s">
        <v>1227</v>
      </c>
      <c r="E182" s="768" t="s">
        <v>234</v>
      </c>
      <c r="F182" s="141">
        <v>-1983128</v>
      </c>
      <c r="G182" s="141">
        <v>32950094</v>
      </c>
      <c r="H182" s="141">
        <v>-394469</v>
      </c>
      <c r="I182" s="141">
        <v>0</v>
      </c>
      <c r="J182" s="141">
        <v>3936252</v>
      </c>
      <c r="K182" s="141">
        <v>-4055996</v>
      </c>
      <c r="L182" s="141">
        <v>32435881</v>
      </c>
      <c r="M182" s="141">
        <v>1136</v>
      </c>
      <c r="N182" s="141">
        <v>0</v>
      </c>
      <c r="O182" s="141">
        <v>62687</v>
      </c>
      <c r="P182" s="141">
        <v>63823</v>
      </c>
      <c r="Q182" s="141">
        <v>0</v>
      </c>
      <c r="R182" s="141">
        <v>-15616572</v>
      </c>
      <c r="S182" s="141">
        <v>-3123314</v>
      </c>
      <c r="T182" s="141">
        <v>-12493258</v>
      </c>
      <c r="U182" s="141">
        <v>0</v>
      </c>
      <c r="V182" s="141">
        <v>0</v>
      </c>
      <c r="W182" s="141">
        <v>0</v>
      </c>
      <c r="X182" s="141">
        <v>-31233144</v>
      </c>
      <c r="Y182" s="857">
        <v>-716568</v>
      </c>
      <c r="Z182" t="s">
        <v>1748</v>
      </c>
    </row>
    <row r="183" spans="1:26" ht="12.75" x14ac:dyDescent="0.2">
      <c r="A183" s="764">
        <v>176</v>
      </c>
      <c r="B183" s="765" t="s">
        <v>237</v>
      </c>
      <c r="C183" s="766" t="s">
        <v>1222</v>
      </c>
      <c r="D183" s="767" t="s">
        <v>1223</v>
      </c>
      <c r="E183" s="768" t="s">
        <v>236</v>
      </c>
      <c r="F183" s="141">
        <v>2516737</v>
      </c>
      <c r="G183" s="141">
        <v>151773746</v>
      </c>
      <c r="H183" s="141">
        <v>0</v>
      </c>
      <c r="I183" s="141">
        <v>-797343</v>
      </c>
      <c r="J183" s="141">
        <v>0</v>
      </c>
      <c r="K183" s="141">
        <v>-12366733</v>
      </c>
      <c r="L183" s="141">
        <v>138609670</v>
      </c>
      <c r="M183" s="141">
        <v>2073136</v>
      </c>
      <c r="N183" s="141">
        <v>0</v>
      </c>
      <c r="O183" s="141">
        <v>5028755</v>
      </c>
      <c r="P183" s="141">
        <v>7101891</v>
      </c>
      <c r="Q183" s="141">
        <v>0</v>
      </c>
      <c r="R183" s="141">
        <v>0</v>
      </c>
      <c r="S183" s="141">
        <v>-53720244</v>
      </c>
      <c r="T183" s="141">
        <v>-95502655</v>
      </c>
      <c r="U183" s="141">
        <v>-1773178</v>
      </c>
      <c r="V183" s="141">
        <v>0</v>
      </c>
      <c r="W183" s="141">
        <v>0</v>
      </c>
      <c r="X183" s="141">
        <v>-150996077</v>
      </c>
      <c r="Y183" s="857">
        <v>-2767779</v>
      </c>
      <c r="Z183" t="s">
        <v>1749</v>
      </c>
    </row>
    <row r="184" spans="1:26" ht="12.75" x14ac:dyDescent="0.2">
      <c r="A184" s="764">
        <v>177</v>
      </c>
      <c r="B184" s="765" t="s">
        <v>239</v>
      </c>
      <c r="C184" s="766" t="s">
        <v>1217</v>
      </c>
      <c r="D184" s="767" t="s">
        <v>1226</v>
      </c>
      <c r="E184" s="768" t="s">
        <v>238</v>
      </c>
      <c r="F184" s="141">
        <v>-1486100</v>
      </c>
      <c r="G184" s="141">
        <v>32769793</v>
      </c>
      <c r="H184" s="141">
        <v>0</v>
      </c>
      <c r="I184" s="141">
        <v>-443479</v>
      </c>
      <c r="J184" s="141">
        <v>155015</v>
      </c>
      <c r="K184" s="141">
        <v>-359730</v>
      </c>
      <c r="L184" s="141">
        <v>32121599</v>
      </c>
      <c r="M184" s="141">
        <v>0</v>
      </c>
      <c r="N184" s="141">
        <v>18360</v>
      </c>
      <c r="O184" s="141">
        <v>1057263</v>
      </c>
      <c r="P184" s="141">
        <v>1075623</v>
      </c>
      <c r="Q184" s="141">
        <v>-529608</v>
      </c>
      <c r="R184" s="141">
        <v>0</v>
      </c>
      <c r="S184" s="141">
        <v>-18796297</v>
      </c>
      <c r="T184" s="141">
        <v>-12530864</v>
      </c>
      <c r="U184" s="141">
        <v>-565853</v>
      </c>
      <c r="V184" s="141">
        <v>0</v>
      </c>
      <c r="W184" s="141">
        <v>0</v>
      </c>
      <c r="X184" s="141">
        <v>-32422622</v>
      </c>
      <c r="Y184" s="857">
        <v>-711500</v>
      </c>
      <c r="Z184" t="s">
        <v>1750</v>
      </c>
    </row>
    <row r="185" spans="1:26" ht="12.75" x14ac:dyDescent="0.2">
      <c r="A185" s="764">
        <v>178</v>
      </c>
      <c r="B185" s="765" t="s">
        <v>241</v>
      </c>
      <c r="C185" s="766" t="s">
        <v>1217</v>
      </c>
      <c r="D185" s="767" t="s">
        <v>1220</v>
      </c>
      <c r="E185" s="768" t="s">
        <v>240</v>
      </c>
      <c r="F185" s="141">
        <v>-1984613</v>
      </c>
      <c r="G185" s="141">
        <v>16174088</v>
      </c>
      <c r="H185" s="141">
        <v>0</v>
      </c>
      <c r="I185" s="141">
        <v>0</v>
      </c>
      <c r="J185" s="141">
        <v>1154111</v>
      </c>
      <c r="K185" s="141">
        <v>-898576</v>
      </c>
      <c r="L185" s="141">
        <v>16429623</v>
      </c>
      <c r="M185" s="141">
        <v>0</v>
      </c>
      <c r="N185" s="141">
        <v>0</v>
      </c>
      <c r="O185" s="141">
        <v>1216992</v>
      </c>
      <c r="P185" s="141">
        <v>1216992</v>
      </c>
      <c r="Q185" s="141">
        <v>0</v>
      </c>
      <c r="R185" s="141">
        <v>0</v>
      </c>
      <c r="S185" s="141">
        <v>-8654314</v>
      </c>
      <c r="T185" s="141">
        <v>-8654314</v>
      </c>
      <c r="U185" s="141">
        <v>-101044</v>
      </c>
      <c r="V185" s="141">
        <v>0</v>
      </c>
      <c r="W185" s="141">
        <v>0</v>
      </c>
      <c r="X185" s="141">
        <v>-17409672</v>
      </c>
      <c r="Y185" s="857">
        <v>-1747670</v>
      </c>
      <c r="Z185" t="s">
        <v>1751</v>
      </c>
    </row>
    <row r="186" spans="1:26" ht="12.75" x14ac:dyDescent="0.2">
      <c r="A186" s="764">
        <v>179</v>
      </c>
      <c r="B186" s="765" t="s">
        <v>243</v>
      </c>
      <c r="C186" s="766" t="s">
        <v>529</v>
      </c>
      <c r="D186" s="767" t="s">
        <v>1225</v>
      </c>
      <c r="E186" s="768" t="s">
        <v>587</v>
      </c>
      <c r="F186" s="141">
        <v>4175389</v>
      </c>
      <c r="G186" s="141">
        <v>59786065</v>
      </c>
      <c r="H186" s="141">
        <v>0</v>
      </c>
      <c r="I186" s="141">
        <v>0</v>
      </c>
      <c r="J186" s="141">
        <v>2932209</v>
      </c>
      <c r="K186" s="141">
        <v>-3928556</v>
      </c>
      <c r="L186" s="141">
        <v>58789718</v>
      </c>
      <c r="M186" s="141">
        <v>0</v>
      </c>
      <c r="N186" s="141">
        <v>0</v>
      </c>
      <c r="O186" s="141">
        <v>0</v>
      </c>
      <c r="P186" s="141">
        <v>0</v>
      </c>
      <c r="Q186" s="141">
        <v>-2450027</v>
      </c>
      <c r="R186" s="141">
        <v>-28927312</v>
      </c>
      <c r="S186" s="141">
        <v>-581266</v>
      </c>
      <c r="T186" s="141">
        <v>-28482021</v>
      </c>
      <c r="U186" s="141">
        <v>-401399</v>
      </c>
      <c r="V186" s="141">
        <v>0</v>
      </c>
      <c r="W186" s="141">
        <v>-4740117</v>
      </c>
      <c r="X186" s="141">
        <v>-65582142</v>
      </c>
      <c r="Y186" s="857">
        <v>-2617035</v>
      </c>
      <c r="Z186" t="s">
        <v>1752</v>
      </c>
    </row>
    <row r="187" spans="1:26" ht="12.75" x14ac:dyDescent="0.2">
      <c r="A187" s="764">
        <v>180</v>
      </c>
      <c r="B187" s="765" t="s">
        <v>245</v>
      </c>
      <c r="C187" s="766" t="s">
        <v>1217</v>
      </c>
      <c r="D187" s="767" t="s">
        <v>1221</v>
      </c>
      <c r="E187" s="768" t="s">
        <v>244</v>
      </c>
      <c r="F187" s="141">
        <v>-1560855</v>
      </c>
      <c r="G187" s="141">
        <v>37991743</v>
      </c>
      <c r="H187" s="141">
        <v>-197394</v>
      </c>
      <c r="I187" s="141">
        <v>-206851</v>
      </c>
      <c r="J187" s="141">
        <v>1062250</v>
      </c>
      <c r="K187" s="141">
        <v>-872249</v>
      </c>
      <c r="L187" s="141">
        <v>37777499</v>
      </c>
      <c r="M187" s="141">
        <v>998947</v>
      </c>
      <c r="N187" s="141">
        <v>0</v>
      </c>
      <c r="O187" s="141">
        <v>1641335</v>
      </c>
      <c r="P187" s="141">
        <v>2640282</v>
      </c>
      <c r="Q187" s="141">
        <v>-555056</v>
      </c>
      <c r="R187" s="141">
        <v>-19117477</v>
      </c>
      <c r="S187" s="141">
        <v>-3823495</v>
      </c>
      <c r="T187" s="141">
        <v>-15293982</v>
      </c>
      <c r="U187" s="141">
        <v>-211063</v>
      </c>
      <c r="V187" s="141">
        <v>0</v>
      </c>
      <c r="W187" s="141">
        <v>0</v>
      </c>
      <c r="X187" s="141">
        <v>-39001073</v>
      </c>
      <c r="Y187" s="857">
        <v>-144147</v>
      </c>
      <c r="Z187" t="s">
        <v>1753</v>
      </c>
    </row>
    <row r="188" spans="1:26" ht="12.75" x14ac:dyDescent="0.2">
      <c r="A188" s="764">
        <v>181</v>
      </c>
      <c r="B188" s="765" t="s">
        <v>247</v>
      </c>
      <c r="C188" s="766" t="s">
        <v>1217</v>
      </c>
      <c r="D188" s="767" t="s">
        <v>1220</v>
      </c>
      <c r="E188" s="768" t="s">
        <v>246</v>
      </c>
      <c r="F188" s="141">
        <v>-643529</v>
      </c>
      <c r="G188" s="141">
        <v>27550551</v>
      </c>
      <c r="H188" s="141">
        <v>0</v>
      </c>
      <c r="I188" s="141">
        <v>-150000</v>
      </c>
      <c r="J188" s="141">
        <v>14157</v>
      </c>
      <c r="K188" s="141">
        <v>2692627</v>
      </c>
      <c r="L188" s="141">
        <v>30107335</v>
      </c>
      <c r="M188" s="141">
        <v>912201</v>
      </c>
      <c r="N188" s="141">
        <v>0</v>
      </c>
      <c r="O188" s="141">
        <v>0</v>
      </c>
      <c r="P188" s="141">
        <v>912201</v>
      </c>
      <c r="Q188" s="141">
        <v>-238109</v>
      </c>
      <c r="R188" s="141">
        <v>0</v>
      </c>
      <c r="S188" s="141">
        <v>-10211675</v>
      </c>
      <c r="T188" s="141">
        <v>-15317512</v>
      </c>
      <c r="U188" s="141">
        <v>-1768438</v>
      </c>
      <c r="V188" s="141">
        <v>-18268</v>
      </c>
      <c r="W188" s="141">
        <v>-435396</v>
      </c>
      <c r="X188" s="141">
        <v>-27989398</v>
      </c>
      <c r="Y188" s="857">
        <v>2386609</v>
      </c>
      <c r="Z188" t="s">
        <v>1754</v>
      </c>
    </row>
    <row r="189" spans="1:26" ht="12.75" x14ac:dyDescent="0.2">
      <c r="A189" s="764">
        <v>182</v>
      </c>
      <c r="B189" s="765" t="s">
        <v>249</v>
      </c>
      <c r="C189" s="766" t="s">
        <v>529</v>
      </c>
      <c r="D189" s="767" t="s">
        <v>1225</v>
      </c>
      <c r="E189" s="768" t="s">
        <v>588</v>
      </c>
      <c r="F189" s="141">
        <v>-26207483</v>
      </c>
      <c r="G189" s="141">
        <v>87796260</v>
      </c>
      <c r="H189" s="141">
        <v>-698685</v>
      </c>
      <c r="I189" s="141">
        <v>-385000</v>
      </c>
      <c r="J189" s="141">
        <v>3196984</v>
      </c>
      <c r="K189" s="141">
        <v>-2187504</v>
      </c>
      <c r="L189" s="141">
        <v>87722055</v>
      </c>
      <c r="M189" s="141">
        <v>0</v>
      </c>
      <c r="N189" s="141">
        <v>0</v>
      </c>
      <c r="O189" s="141">
        <v>25389504</v>
      </c>
      <c r="P189" s="141">
        <v>25389504</v>
      </c>
      <c r="Q189" s="141">
        <v>-5053822</v>
      </c>
      <c r="R189" s="141">
        <v>0</v>
      </c>
      <c r="S189" s="141">
        <v>-760013</v>
      </c>
      <c r="T189" s="141">
        <v>-75241243</v>
      </c>
      <c r="U189" s="141">
        <v>-3978003</v>
      </c>
      <c r="V189" s="141">
        <v>-236771</v>
      </c>
      <c r="W189" s="141">
        <v>0</v>
      </c>
      <c r="X189" s="141">
        <v>-85269852</v>
      </c>
      <c r="Y189" s="857">
        <v>1634224</v>
      </c>
      <c r="Z189" t="s">
        <v>1755</v>
      </c>
    </row>
    <row r="190" spans="1:26" ht="12.75" x14ac:dyDescent="0.2">
      <c r="A190" s="764">
        <v>183</v>
      </c>
      <c r="B190" s="765" t="s">
        <v>251</v>
      </c>
      <c r="C190" s="766" t="s">
        <v>1217</v>
      </c>
      <c r="D190" s="767" t="s">
        <v>1221</v>
      </c>
      <c r="E190" s="768" t="s">
        <v>250</v>
      </c>
      <c r="F190" s="141">
        <v>-978219</v>
      </c>
      <c r="G190" s="141">
        <v>27528525</v>
      </c>
      <c r="H190" s="141">
        <v>0</v>
      </c>
      <c r="I190" s="141">
        <v>-132560</v>
      </c>
      <c r="J190" s="141">
        <v>500000</v>
      </c>
      <c r="K190" s="141">
        <v>-2269975</v>
      </c>
      <c r="L190" s="141">
        <v>25625990</v>
      </c>
      <c r="M190" s="141">
        <v>2241388</v>
      </c>
      <c r="N190" s="141">
        <v>47365</v>
      </c>
      <c r="O190" s="141">
        <v>450086</v>
      </c>
      <c r="P190" s="141">
        <v>2738839</v>
      </c>
      <c r="Q190" s="141">
        <v>-315980</v>
      </c>
      <c r="R190" s="141">
        <v>-12321240</v>
      </c>
      <c r="S190" s="141">
        <v>-2503609</v>
      </c>
      <c r="T190" s="141">
        <v>-10014437</v>
      </c>
      <c r="U190" s="141">
        <v>-1127591</v>
      </c>
      <c r="V190" s="141">
        <v>0</v>
      </c>
      <c r="W190" s="141">
        <v>0</v>
      </c>
      <c r="X190" s="141">
        <v>-26282857</v>
      </c>
      <c r="Y190" s="857">
        <v>1103753</v>
      </c>
      <c r="Z190" t="s">
        <v>1756</v>
      </c>
    </row>
    <row r="191" spans="1:26" ht="12.75" x14ac:dyDescent="0.2">
      <c r="A191" s="764">
        <v>184</v>
      </c>
      <c r="B191" s="765" t="s">
        <v>253</v>
      </c>
      <c r="C191" s="766" t="s">
        <v>529</v>
      </c>
      <c r="D191" s="767" t="s">
        <v>1226</v>
      </c>
      <c r="E191" s="768" t="s">
        <v>533</v>
      </c>
      <c r="F191" s="141">
        <v>209</v>
      </c>
      <c r="G191" s="141">
        <v>64500782</v>
      </c>
      <c r="H191" s="141">
        <v>0</v>
      </c>
      <c r="I191" s="141">
        <v>-688932</v>
      </c>
      <c r="J191" s="141">
        <v>375745</v>
      </c>
      <c r="K191" s="141">
        <v>-4010094</v>
      </c>
      <c r="L191" s="141">
        <v>60177501</v>
      </c>
      <c r="M191" s="141">
        <v>0</v>
      </c>
      <c r="N191" s="141">
        <v>0</v>
      </c>
      <c r="O191" s="141">
        <v>262887</v>
      </c>
      <c r="P191" s="141">
        <v>262887</v>
      </c>
      <c r="Q191" s="141">
        <v>-648052</v>
      </c>
      <c r="R191" s="141">
        <v>-28931486</v>
      </c>
      <c r="S191" s="141">
        <v>-596129</v>
      </c>
      <c r="T191" s="141">
        <v>-29210333</v>
      </c>
      <c r="U191" s="141">
        <v>-1805313</v>
      </c>
      <c r="V191" s="141">
        <v>-6586</v>
      </c>
      <c r="W191" s="141">
        <v>0</v>
      </c>
      <c r="X191" s="141">
        <v>-61197899</v>
      </c>
      <c r="Y191" s="857">
        <v>-757302</v>
      </c>
      <c r="Z191" t="s">
        <v>1757</v>
      </c>
    </row>
    <row r="192" spans="1:26" ht="12.75" x14ac:dyDescent="0.2">
      <c r="A192" s="764">
        <v>185</v>
      </c>
      <c r="B192" s="765" t="s">
        <v>255</v>
      </c>
      <c r="C192" s="766" t="s">
        <v>1224</v>
      </c>
      <c r="D192" s="767" t="s">
        <v>1229</v>
      </c>
      <c r="E192" s="768" t="s">
        <v>254</v>
      </c>
      <c r="F192" s="141">
        <v>73336</v>
      </c>
      <c r="G192" s="141">
        <v>59416270</v>
      </c>
      <c r="H192" s="141">
        <v>0</v>
      </c>
      <c r="I192" s="141">
        <v>-509660</v>
      </c>
      <c r="J192" s="141">
        <v>213806</v>
      </c>
      <c r="K192" s="141">
        <v>-1532830</v>
      </c>
      <c r="L192" s="141">
        <v>57587586</v>
      </c>
      <c r="M192" s="141">
        <v>1345007</v>
      </c>
      <c r="N192" s="141">
        <v>0</v>
      </c>
      <c r="O192" s="141">
        <v>34003</v>
      </c>
      <c r="P192" s="141">
        <v>1379010</v>
      </c>
      <c r="Q192" s="141">
        <v>-2362566</v>
      </c>
      <c r="R192" s="141">
        <v>-28409636</v>
      </c>
      <c r="S192" s="141">
        <v>-568193</v>
      </c>
      <c r="T192" s="141">
        <v>-27841444</v>
      </c>
      <c r="U192" s="141">
        <v>-124904</v>
      </c>
      <c r="V192" s="141">
        <v>-225430</v>
      </c>
      <c r="W192" s="141">
        <v>0</v>
      </c>
      <c r="X192" s="141">
        <v>-59532173</v>
      </c>
      <c r="Y192" s="857">
        <v>-492241</v>
      </c>
      <c r="Z192" t="s">
        <v>1758</v>
      </c>
    </row>
    <row r="193" spans="1:26" ht="12.75" x14ac:dyDescent="0.2">
      <c r="A193" s="764">
        <v>186</v>
      </c>
      <c r="B193" s="765" t="s">
        <v>257</v>
      </c>
      <c r="C193" s="766" t="s">
        <v>1217</v>
      </c>
      <c r="D193" s="767" t="s">
        <v>1227</v>
      </c>
      <c r="E193" s="768" t="s">
        <v>256</v>
      </c>
      <c r="F193" s="141">
        <v>4355822</v>
      </c>
      <c r="G193" s="141">
        <v>50881828</v>
      </c>
      <c r="H193" s="141">
        <v>0</v>
      </c>
      <c r="I193" s="141">
        <v>-175000</v>
      </c>
      <c r="J193" s="141">
        <v>0</v>
      </c>
      <c r="K193" s="141">
        <v>-3461351</v>
      </c>
      <c r="L193" s="141">
        <v>47245477</v>
      </c>
      <c r="M193" s="141">
        <v>22742</v>
      </c>
      <c r="N193" s="141">
        <v>0</v>
      </c>
      <c r="O193" s="141">
        <v>0</v>
      </c>
      <c r="P193" s="141">
        <v>22742</v>
      </c>
      <c r="Q193" s="141">
        <v>-22742</v>
      </c>
      <c r="R193" s="141">
        <v>-23081057</v>
      </c>
      <c r="S193" s="141">
        <v>-4616301</v>
      </c>
      <c r="T193" s="141">
        <v>-18465205</v>
      </c>
      <c r="U193" s="141">
        <v>-108580</v>
      </c>
      <c r="V193" s="141">
        <v>0</v>
      </c>
      <c r="W193" s="141">
        <v>-2309654</v>
      </c>
      <c r="X193" s="141">
        <v>-48603539</v>
      </c>
      <c r="Y193" s="857">
        <v>3020502</v>
      </c>
      <c r="Z193" t="s">
        <v>1759</v>
      </c>
    </row>
    <row r="194" spans="1:26" ht="12.75" x14ac:dyDescent="0.2">
      <c r="A194" s="764">
        <v>187</v>
      </c>
      <c r="B194" s="765" t="s">
        <v>263</v>
      </c>
      <c r="C194" s="766" t="s">
        <v>1217</v>
      </c>
      <c r="D194" s="767" t="s">
        <v>1220</v>
      </c>
      <c r="E194" s="768" t="s">
        <v>262</v>
      </c>
      <c r="F194" s="141">
        <v>-917254</v>
      </c>
      <c r="G194" s="141">
        <v>61125276</v>
      </c>
      <c r="H194" s="141">
        <v>-400000</v>
      </c>
      <c r="I194" s="141">
        <v>-382851</v>
      </c>
      <c r="J194" s="141">
        <v>615461</v>
      </c>
      <c r="K194" s="141">
        <v>-669433</v>
      </c>
      <c r="L194" s="141">
        <v>60288453</v>
      </c>
      <c r="M194" s="141">
        <v>487590</v>
      </c>
      <c r="N194" s="141">
        <v>26534</v>
      </c>
      <c r="O194" s="141">
        <v>978422</v>
      </c>
      <c r="P194" s="141">
        <v>1492546</v>
      </c>
      <c r="Q194" s="141">
        <v>0</v>
      </c>
      <c r="R194" s="141">
        <v>-30434407</v>
      </c>
      <c r="S194" s="141">
        <v>-6086881</v>
      </c>
      <c r="T194" s="141">
        <v>-24347525</v>
      </c>
      <c r="U194" s="141">
        <v>-360652</v>
      </c>
      <c r="V194" s="141">
        <v>0</v>
      </c>
      <c r="W194" s="141">
        <v>0</v>
      </c>
      <c r="X194" s="141">
        <v>-61229465</v>
      </c>
      <c r="Y194" s="857">
        <v>-365720</v>
      </c>
      <c r="Z194" t="s">
        <v>1760</v>
      </c>
    </row>
    <row r="195" spans="1:26" ht="12.75" x14ac:dyDescent="0.2">
      <c r="A195" s="764">
        <v>188</v>
      </c>
      <c r="B195" s="765" t="s">
        <v>265</v>
      </c>
      <c r="C195" s="766" t="s">
        <v>1217</v>
      </c>
      <c r="D195" s="767" t="s">
        <v>1220</v>
      </c>
      <c r="E195" s="768" t="s">
        <v>264</v>
      </c>
      <c r="F195" s="141">
        <v>-569790</v>
      </c>
      <c r="G195" s="141">
        <v>103727893</v>
      </c>
      <c r="H195" s="141">
        <v>-1500000</v>
      </c>
      <c r="I195" s="141">
        <v>1096454</v>
      </c>
      <c r="J195" s="141">
        <v>1217605</v>
      </c>
      <c r="K195" s="141">
        <v>-4974662</v>
      </c>
      <c r="L195" s="141">
        <v>99567290</v>
      </c>
      <c r="M195" s="141">
        <v>0</v>
      </c>
      <c r="N195" s="141">
        <v>0</v>
      </c>
      <c r="O195" s="141">
        <v>2212083</v>
      </c>
      <c r="P195" s="141">
        <v>2212083</v>
      </c>
      <c r="Q195" s="141">
        <v>-2015424</v>
      </c>
      <c r="R195" s="141">
        <v>-48938523</v>
      </c>
      <c r="S195" s="141">
        <v>-9787705</v>
      </c>
      <c r="T195" s="141">
        <v>-39150819</v>
      </c>
      <c r="U195" s="141">
        <v>-750004</v>
      </c>
      <c r="V195" s="141">
        <v>-282580</v>
      </c>
      <c r="W195" s="141">
        <v>0</v>
      </c>
      <c r="X195" s="141">
        <v>-100925055</v>
      </c>
      <c r="Y195" s="857">
        <v>284528</v>
      </c>
      <c r="Z195" t="s">
        <v>1761</v>
      </c>
    </row>
    <row r="196" spans="1:26" ht="12.75" x14ac:dyDescent="0.2">
      <c r="A196" s="764">
        <v>189</v>
      </c>
      <c r="B196" s="765" t="s">
        <v>267</v>
      </c>
      <c r="C196" s="766" t="s">
        <v>529</v>
      </c>
      <c r="D196" s="767" t="s">
        <v>1229</v>
      </c>
      <c r="E196" s="768" t="s">
        <v>266</v>
      </c>
      <c r="F196" s="141">
        <v>-1198894</v>
      </c>
      <c r="G196" s="141">
        <v>77698003</v>
      </c>
      <c r="H196" s="141">
        <v>0</v>
      </c>
      <c r="I196" s="141">
        <v>-480000</v>
      </c>
      <c r="J196" s="141">
        <v>4452990</v>
      </c>
      <c r="K196" s="141">
        <v>-3500006</v>
      </c>
      <c r="L196" s="141">
        <v>78170987</v>
      </c>
      <c r="M196" s="141">
        <v>2358712</v>
      </c>
      <c r="N196" s="141">
        <v>659703</v>
      </c>
      <c r="O196" s="141">
        <v>0</v>
      </c>
      <c r="P196" s="141">
        <v>3018415</v>
      </c>
      <c r="Q196" s="141">
        <v>0</v>
      </c>
      <c r="R196" s="141">
        <v>-38747017</v>
      </c>
      <c r="S196" s="141">
        <v>0</v>
      </c>
      <c r="T196" s="141">
        <v>-38747017</v>
      </c>
      <c r="U196" s="141">
        <v>-2988071</v>
      </c>
      <c r="V196" s="141">
        <v>-37006</v>
      </c>
      <c r="W196" s="141">
        <v>-2164124</v>
      </c>
      <c r="X196" s="141">
        <v>-82683235</v>
      </c>
      <c r="Y196" s="857">
        <v>-2692727</v>
      </c>
      <c r="Z196" t="s">
        <v>1762</v>
      </c>
    </row>
    <row r="197" spans="1:26" ht="12.75" x14ac:dyDescent="0.2">
      <c r="A197" s="764">
        <v>190</v>
      </c>
      <c r="B197" s="765" t="s">
        <v>269</v>
      </c>
      <c r="C197" s="766" t="s">
        <v>1217</v>
      </c>
      <c r="D197" s="767" t="s">
        <v>1221</v>
      </c>
      <c r="E197" s="768" t="s">
        <v>268</v>
      </c>
      <c r="F197" s="141">
        <v>-2545932</v>
      </c>
      <c r="G197" s="141">
        <v>78708537</v>
      </c>
      <c r="H197" s="141">
        <v>0</v>
      </c>
      <c r="I197" s="141">
        <v>-1316572</v>
      </c>
      <c r="J197" s="141">
        <v>504024</v>
      </c>
      <c r="K197" s="141">
        <v>-891415</v>
      </c>
      <c r="L197" s="141">
        <v>77004574</v>
      </c>
      <c r="M197" s="141">
        <v>0</v>
      </c>
      <c r="N197" s="141">
        <v>0</v>
      </c>
      <c r="O197" s="141">
        <v>2495698</v>
      </c>
      <c r="P197" s="141">
        <v>2495698</v>
      </c>
      <c r="Q197" s="141">
        <v>-705970</v>
      </c>
      <c r="R197" s="141">
        <v>-37680067</v>
      </c>
      <c r="S197" s="141">
        <v>-7536013</v>
      </c>
      <c r="T197" s="141">
        <v>-30144053</v>
      </c>
      <c r="U197" s="141">
        <v>-268079</v>
      </c>
      <c r="V197" s="141">
        <v>0</v>
      </c>
      <c r="W197" s="141">
        <v>0</v>
      </c>
      <c r="X197" s="141">
        <v>-76334182</v>
      </c>
      <c r="Y197" s="857">
        <v>620158</v>
      </c>
      <c r="Z197" t="s">
        <v>1763</v>
      </c>
    </row>
    <row r="198" spans="1:26" ht="12.75" x14ac:dyDescent="0.2">
      <c r="A198" s="764">
        <v>191</v>
      </c>
      <c r="B198" s="765" t="s">
        <v>271</v>
      </c>
      <c r="C198" s="766" t="s">
        <v>529</v>
      </c>
      <c r="D198" s="767" t="s">
        <v>1220</v>
      </c>
      <c r="E198" s="768" t="s">
        <v>606</v>
      </c>
      <c r="F198" s="141">
        <v>517281</v>
      </c>
      <c r="G198" s="141">
        <v>138508916</v>
      </c>
      <c r="H198" s="141">
        <v>0</v>
      </c>
      <c r="I198" s="141">
        <v>-1000000</v>
      </c>
      <c r="J198" s="141">
        <v>2500000</v>
      </c>
      <c r="K198" s="141">
        <v>282991</v>
      </c>
      <c r="L198" s="141">
        <v>140291907</v>
      </c>
      <c r="M198" s="141">
        <v>3760860</v>
      </c>
      <c r="N198" s="141">
        <v>0</v>
      </c>
      <c r="O198" s="141">
        <v>0</v>
      </c>
      <c r="P198" s="141">
        <v>3760860</v>
      </c>
      <c r="Q198" s="141">
        <v>0</v>
      </c>
      <c r="R198" s="141">
        <v>-68327826</v>
      </c>
      <c r="S198" s="141">
        <v>-1366557</v>
      </c>
      <c r="T198" s="141">
        <v>-66961269</v>
      </c>
      <c r="U198" s="141">
        <v>-498293</v>
      </c>
      <c r="V198" s="141">
        <v>0</v>
      </c>
      <c r="W198" s="141">
        <v>-3492495</v>
      </c>
      <c r="X198" s="141">
        <v>-140646440</v>
      </c>
      <c r="Y198" s="857">
        <v>3923608</v>
      </c>
      <c r="Z198" t="s">
        <v>1764</v>
      </c>
    </row>
    <row r="199" spans="1:26" ht="12.75" x14ac:dyDescent="0.2">
      <c r="A199" s="764">
        <v>192</v>
      </c>
      <c r="B199" s="765" t="s">
        <v>273</v>
      </c>
      <c r="C199" s="766" t="s">
        <v>1217</v>
      </c>
      <c r="D199" s="767" t="s">
        <v>1227</v>
      </c>
      <c r="E199" s="768" t="s">
        <v>272</v>
      </c>
      <c r="F199" s="141">
        <v>84617</v>
      </c>
      <c r="G199" s="141">
        <v>36488043</v>
      </c>
      <c r="H199" s="141">
        <v>-21351</v>
      </c>
      <c r="I199" s="141">
        <v>-278649</v>
      </c>
      <c r="J199" s="141">
        <v>0</v>
      </c>
      <c r="K199" s="141">
        <v>-1000000</v>
      </c>
      <c r="L199" s="141">
        <v>35188043</v>
      </c>
      <c r="M199" s="141">
        <v>0</v>
      </c>
      <c r="N199" s="141">
        <v>0</v>
      </c>
      <c r="O199" s="141">
        <v>159996</v>
      </c>
      <c r="P199" s="141">
        <v>159996</v>
      </c>
      <c r="Q199" s="141">
        <v>-565704</v>
      </c>
      <c r="R199" s="141">
        <v>-17147539</v>
      </c>
      <c r="S199" s="141">
        <v>-3429508</v>
      </c>
      <c r="T199" s="141">
        <v>-13718032</v>
      </c>
      <c r="U199" s="141">
        <v>-131034</v>
      </c>
      <c r="V199" s="141">
        <v>0</v>
      </c>
      <c r="W199" s="141">
        <v>0</v>
      </c>
      <c r="X199" s="141">
        <v>-34991817</v>
      </c>
      <c r="Y199" s="857">
        <v>440839</v>
      </c>
      <c r="Z199" t="s">
        <v>1765</v>
      </c>
    </row>
    <row r="200" spans="1:26" ht="12.75" x14ac:dyDescent="0.2">
      <c r="A200" s="764">
        <v>193</v>
      </c>
      <c r="B200" s="765" t="s">
        <v>275</v>
      </c>
      <c r="C200" s="766" t="s">
        <v>1217</v>
      </c>
      <c r="D200" s="767" t="s">
        <v>1220</v>
      </c>
      <c r="E200" s="768" t="s">
        <v>274</v>
      </c>
      <c r="F200" s="141">
        <v>-481588</v>
      </c>
      <c r="G200" s="141">
        <v>12295986</v>
      </c>
      <c r="H200" s="141">
        <v>0</v>
      </c>
      <c r="I200" s="141">
        <v>0</v>
      </c>
      <c r="J200" s="141">
        <v>0</v>
      </c>
      <c r="K200" s="141">
        <v>-473134</v>
      </c>
      <c r="L200" s="141">
        <v>11822852</v>
      </c>
      <c r="M200" s="141">
        <v>393489</v>
      </c>
      <c r="N200" s="141">
        <v>0</v>
      </c>
      <c r="O200" s="141">
        <v>347677</v>
      </c>
      <c r="P200" s="141">
        <v>741166</v>
      </c>
      <c r="Q200" s="141">
        <v>-58695</v>
      </c>
      <c r="R200" s="141">
        <v>-6109276</v>
      </c>
      <c r="S200" s="141">
        <v>-1221856</v>
      </c>
      <c r="T200" s="141">
        <v>-4887421</v>
      </c>
      <c r="U200" s="141">
        <v>-54961</v>
      </c>
      <c r="V200" s="141">
        <v>0</v>
      </c>
      <c r="W200" s="141">
        <v>0</v>
      </c>
      <c r="X200" s="141">
        <v>-12332209</v>
      </c>
      <c r="Y200" s="857">
        <v>-249779</v>
      </c>
      <c r="Z200" t="s">
        <v>1766</v>
      </c>
    </row>
    <row r="201" spans="1:26" ht="12.75" x14ac:dyDescent="0.2">
      <c r="A201" s="764">
        <v>194</v>
      </c>
      <c r="B201" s="765" t="s">
        <v>277</v>
      </c>
      <c r="C201" s="766" t="s">
        <v>1224</v>
      </c>
      <c r="D201" s="767" t="s">
        <v>1219</v>
      </c>
      <c r="E201" s="768" t="s">
        <v>276</v>
      </c>
      <c r="F201" s="141">
        <v>-1341682</v>
      </c>
      <c r="G201" s="141">
        <v>58781525</v>
      </c>
      <c r="H201" s="141">
        <v>0</v>
      </c>
      <c r="I201" s="141">
        <v>-1038534</v>
      </c>
      <c r="J201" s="141">
        <v>0</v>
      </c>
      <c r="K201" s="141">
        <v>-1169840</v>
      </c>
      <c r="L201" s="141">
        <v>56573151</v>
      </c>
      <c r="M201" s="141">
        <v>0</v>
      </c>
      <c r="N201" s="141">
        <v>0</v>
      </c>
      <c r="O201" s="141">
        <v>1367194</v>
      </c>
      <c r="P201" s="141">
        <v>1367194</v>
      </c>
      <c r="Q201" s="141">
        <v>-2680973</v>
      </c>
      <c r="R201" s="141">
        <v>0</v>
      </c>
      <c r="S201" s="141">
        <v>-535536</v>
      </c>
      <c r="T201" s="141">
        <v>-53018041</v>
      </c>
      <c r="U201" s="141">
        <v>-303420</v>
      </c>
      <c r="V201" s="141">
        <v>0</v>
      </c>
      <c r="W201" s="141">
        <v>0</v>
      </c>
      <c r="X201" s="141">
        <v>-56537970</v>
      </c>
      <c r="Y201" s="857">
        <v>60693</v>
      </c>
      <c r="Z201" t="s">
        <v>1767</v>
      </c>
    </row>
    <row r="202" spans="1:26" ht="12.75" x14ac:dyDescent="0.2">
      <c r="A202" s="764">
        <v>195</v>
      </c>
      <c r="B202" s="765" t="s">
        <v>279</v>
      </c>
      <c r="C202" s="766" t="s">
        <v>1217</v>
      </c>
      <c r="D202" s="767" t="s">
        <v>1218</v>
      </c>
      <c r="E202" s="768" t="s">
        <v>278</v>
      </c>
      <c r="F202" s="141">
        <v>1252075</v>
      </c>
      <c r="G202" s="141">
        <v>106769034</v>
      </c>
      <c r="H202" s="141">
        <v>-656275</v>
      </c>
      <c r="I202" s="141">
        <v>264415</v>
      </c>
      <c r="J202" s="141">
        <v>1173065</v>
      </c>
      <c r="K202" s="141">
        <v>-2855302</v>
      </c>
      <c r="L202" s="141">
        <v>104694937</v>
      </c>
      <c r="M202" s="141">
        <v>155423</v>
      </c>
      <c r="N202" s="141">
        <v>0</v>
      </c>
      <c r="O202" s="141">
        <v>0</v>
      </c>
      <c r="P202" s="141">
        <v>155423</v>
      </c>
      <c r="Q202" s="141">
        <v>-144785</v>
      </c>
      <c r="R202" s="141">
        <v>-51759228</v>
      </c>
      <c r="S202" s="141">
        <v>-10351846</v>
      </c>
      <c r="T202" s="141">
        <v>-41407382</v>
      </c>
      <c r="U202" s="141">
        <v>-222870</v>
      </c>
      <c r="V202" s="141">
        <v>-494</v>
      </c>
      <c r="W202" s="141">
        <v>-646121</v>
      </c>
      <c r="X202" s="141">
        <v>-104532726</v>
      </c>
      <c r="Y202" s="857">
        <v>1569709</v>
      </c>
      <c r="Z202" t="s">
        <v>1768</v>
      </c>
    </row>
    <row r="203" spans="1:26" ht="12.75" x14ac:dyDescent="0.2">
      <c r="A203" s="764">
        <v>196</v>
      </c>
      <c r="B203" s="765" t="s">
        <v>281</v>
      </c>
      <c r="C203" s="766" t="s">
        <v>1217</v>
      </c>
      <c r="D203" s="767" t="s">
        <v>1219</v>
      </c>
      <c r="E203" s="768" t="s">
        <v>280</v>
      </c>
      <c r="F203" s="141">
        <v>1888336</v>
      </c>
      <c r="G203" s="141">
        <v>19551620</v>
      </c>
      <c r="H203" s="141">
        <v>-275662</v>
      </c>
      <c r="I203" s="141">
        <v>-53253</v>
      </c>
      <c r="J203" s="141">
        <v>0</v>
      </c>
      <c r="K203" s="141">
        <v>-1527000</v>
      </c>
      <c r="L203" s="141">
        <v>17695705</v>
      </c>
      <c r="M203" s="141">
        <v>0</v>
      </c>
      <c r="N203" s="141">
        <v>0</v>
      </c>
      <c r="O203" s="141">
        <v>0</v>
      </c>
      <c r="P203" s="141">
        <v>0</v>
      </c>
      <c r="Q203" s="141">
        <v>-159160</v>
      </c>
      <c r="R203" s="141">
        <v>-8830087</v>
      </c>
      <c r="S203" s="141">
        <v>-1766018</v>
      </c>
      <c r="T203" s="141">
        <v>-7064070</v>
      </c>
      <c r="U203" s="141">
        <v>-132929</v>
      </c>
      <c r="V203" s="141">
        <v>0</v>
      </c>
      <c r="W203" s="141">
        <v>-631777</v>
      </c>
      <c r="X203" s="141">
        <v>-18584041</v>
      </c>
      <c r="Y203" s="857">
        <v>1000000</v>
      </c>
      <c r="Z203" t="s">
        <v>1769</v>
      </c>
    </row>
    <row r="204" spans="1:26" ht="12.75" x14ac:dyDescent="0.2">
      <c r="A204" s="764">
        <v>197</v>
      </c>
      <c r="B204" s="765" t="s">
        <v>283</v>
      </c>
      <c r="C204" s="766" t="s">
        <v>529</v>
      </c>
      <c r="D204" s="767" t="s">
        <v>1221</v>
      </c>
      <c r="E204" s="768" t="s">
        <v>545</v>
      </c>
      <c r="F204" s="141">
        <v>973094</v>
      </c>
      <c r="G204" s="141">
        <v>101661019</v>
      </c>
      <c r="H204" s="141">
        <v>0</v>
      </c>
      <c r="I204" s="141">
        <v>-1232000</v>
      </c>
      <c r="J204" s="141">
        <v>583000</v>
      </c>
      <c r="K204" s="141">
        <v>-4491000</v>
      </c>
      <c r="L204" s="141">
        <v>96521019</v>
      </c>
      <c r="M204" s="141">
        <v>869336</v>
      </c>
      <c r="N204" s="141">
        <v>0</v>
      </c>
      <c r="O204" s="141">
        <v>0</v>
      </c>
      <c r="P204" s="141">
        <v>869336</v>
      </c>
      <c r="Q204" s="141">
        <v>-4041226</v>
      </c>
      <c r="R204" s="141">
        <v>-46049935</v>
      </c>
      <c r="S204" s="141">
        <v>-920999</v>
      </c>
      <c r="T204" s="141">
        <v>-45128937</v>
      </c>
      <c r="U204" s="141">
        <v>-605595</v>
      </c>
      <c r="V204" s="141">
        <v>0</v>
      </c>
      <c r="W204" s="141">
        <v>-584757</v>
      </c>
      <c r="X204" s="141">
        <v>-97331449</v>
      </c>
      <c r="Y204" s="857">
        <v>1032000</v>
      </c>
      <c r="Z204" t="s">
        <v>1770</v>
      </c>
    </row>
    <row r="205" spans="1:26" ht="12.75" x14ac:dyDescent="0.2">
      <c r="A205" s="764">
        <v>198</v>
      </c>
      <c r="B205" s="765" t="s">
        <v>285</v>
      </c>
      <c r="C205" s="766" t="s">
        <v>529</v>
      </c>
      <c r="D205" s="767" t="s">
        <v>1226</v>
      </c>
      <c r="E205" s="768" t="s">
        <v>562</v>
      </c>
      <c r="F205" s="141">
        <v>-15143346</v>
      </c>
      <c r="G205" s="141">
        <v>84816874</v>
      </c>
      <c r="H205" s="141">
        <v>-285465</v>
      </c>
      <c r="I205" s="141">
        <v>-190032</v>
      </c>
      <c r="J205" s="141">
        <v>4479418</v>
      </c>
      <c r="K205" s="141">
        <v>-178470</v>
      </c>
      <c r="L205" s="141">
        <v>88642325</v>
      </c>
      <c r="M205" s="141">
        <v>0</v>
      </c>
      <c r="N205" s="141">
        <v>0</v>
      </c>
      <c r="O205" s="141">
        <v>2993234</v>
      </c>
      <c r="P205" s="141">
        <v>2993234</v>
      </c>
      <c r="Q205" s="141">
        <v>-2878081</v>
      </c>
      <c r="R205" s="141">
        <v>0</v>
      </c>
      <c r="S205" s="141">
        <v>-886269</v>
      </c>
      <c r="T205" s="141">
        <v>-87740662</v>
      </c>
      <c r="U205" s="141">
        <v>0</v>
      </c>
      <c r="V205" s="141">
        <v>-199690</v>
      </c>
      <c r="W205" s="141">
        <v>0</v>
      </c>
      <c r="X205" s="141">
        <v>-91704702</v>
      </c>
      <c r="Y205" s="857">
        <v>-15212489</v>
      </c>
      <c r="Z205" t="s">
        <v>1771</v>
      </c>
    </row>
    <row r="206" spans="1:26" ht="12.75" x14ac:dyDescent="0.2">
      <c r="A206" s="764">
        <v>199</v>
      </c>
      <c r="B206" s="765" t="s">
        <v>287</v>
      </c>
      <c r="C206" s="766" t="s">
        <v>529</v>
      </c>
      <c r="D206" s="767" t="s">
        <v>1218</v>
      </c>
      <c r="E206" s="768" t="s">
        <v>577</v>
      </c>
      <c r="F206" s="141">
        <v>-148802</v>
      </c>
      <c r="G206" s="141">
        <v>89635400</v>
      </c>
      <c r="H206" s="141">
        <v>-1084174</v>
      </c>
      <c r="I206" s="141">
        <v>0</v>
      </c>
      <c r="J206" s="141">
        <v>712436</v>
      </c>
      <c r="K206" s="141">
        <v>71323</v>
      </c>
      <c r="L206" s="141">
        <v>89334985</v>
      </c>
      <c r="M206" s="141">
        <v>0</v>
      </c>
      <c r="N206" s="141">
        <v>0</v>
      </c>
      <c r="O206" s="141">
        <v>0</v>
      </c>
      <c r="P206" s="141">
        <v>0</v>
      </c>
      <c r="Q206" s="141">
        <v>-794640</v>
      </c>
      <c r="R206" s="141">
        <v>0</v>
      </c>
      <c r="S206" s="141">
        <v>-85928191</v>
      </c>
      <c r="T206" s="141">
        <v>-867962</v>
      </c>
      <c r="U206" s="141">
        <v>-272843</v>
      </c>
      <c r="V206" s="141">
        <v>0</v>
      </c>
      <c r="W206" s="141">
        <v>-1114661</v>
      </c>
      <c r="X206" s="141">
        <v>-88978297</v>
      </c>
      <c r="Y206" s="857">
        <v>207886</v>
      </c>
      <c r="Z206" t="s">
        <v>1772</v>
      </c>
    </row>
    <row r="207" spans="1:26" ht="12.75" x14ac:dyDescent="0.2">
      <c r="A207" s="764">
        <v>200</v>
      </c>
      <c r="B207" s="765" t="s">
        <v>289</v>
      </c>
      <c r="C207" s="766" t="s">
        <v>1217</v>
      </c>
      <c r="D207" s="767" t="s">
        <v>1219</v>
      </c>
      <c r="E207" s="768" t="s">
        <v>288</v>
      </c>
      <c r="F207" s="141">
        <v>1597092</v>
      </c>
      <c r="G207" s="141">
        <v>64285113</v>
      </c>
      <c r="H207" s="141">
        <v>0</v>
      </c>
      <c r="I207" s="141">
        <v>-2114736</v>
      </c>
      <c r="J207" s="141">
        <v>841538</v>
      </c>
      <c r="K207" s="141">
        <v>-4852864</v>
      </c>
      <c r="L207" s="141">
        <v>58159051</v>
      </c>
      <c r="M207" s="141">
        <v>0</v>
      </c>
      <c r="N207" s="141">
        <v>0</v>
      </c>
      <c r="O207" s="141">
        <v>0</v>
      </c>
      <c r="P207" s="141">
        <v>0</v>
      </c>
      <c r="Q207" s="141">
        <v>-5061143</v>
      </c>
      <c r="R207" s="141">
        <v>-26580269</v>
      </c>
      <c r="S207" s="141">
        <v>-5316053</v>
      </c>
      <c r="T207" s="141">
        <v>-21264216</v>
      </c>
      <c r="U207" s="141">
        <v>-243289</v>
      </c>
      <c r="V207" s="141">
        <v>0</v>
      </c>
      <c r="W207" s="141">
        <v>-2376606</v>
      </c>
      <c r="X207" s="141">
        <v>-60841576</v>
      </c>
      <c r="Y207" s="857">
        <v>-1085433</v>
      </c>
      <c r="Z207" t="s">
        <v>1773</v>
      </c>
    </row>
    <row r="208" spans="1:26" ht="12.75" x14ac:dyDescent="0.2">
      <c r="A208" s="764">
        <v>201</v>
      </c>
      <c r="B208" s="765" t="s">
        <v>291</v>
      </c>
      <c r="C208" s="766" t="s">
        <v>529</v>
      </c>
      <c r="D208" s="767" t="s">
        <v>1218</v>
      </c>
      <c r="E208" s="768" t="s">
        <v>539</v>
      </c>
      <c r="F208" s="141">
        <v>5799613</v>
      </c>
      <c r="G208" s="141">
        <v>135611774</v>
      </c>
      <c r="H208" s="141">
        <v>0</v>
      </c>
      <c r="I208" s="141">
        <v>-1604558</v>
      </c>
      <c r="J208" s="141">
        <v>0</v>
      </c>
      <c r="K208" s="141">
        <v>-3668000</v>
      </c>
      <c r="L208" s="141">
        <v>130339216</v>
      </c>
      <c r="M208" s="141">
        <v>1705156</v>
      </c>
      <c r="N208" s="141">
        <v>0</v>
      </c>
      <c r="O208" s="141">
        <v>0</v>
      </c>
      <c r="P208" s="141">
        <v>1705156</v>
      </c>
      <c r="Q208" s="141">
        <v>0</v>
      </c>
      <c r="R208" s="141">
        <v>0</v>
      </c>
      <c r="S208" s="141">
        <v>-1300000</v>
      </c>
      <c r="T208" s="141">
        <v>-128700000</v>
      </c>
      <c r="U208" s="141">
        <v>-282159</v>
      </c>
      <c r="V208" s="141">
        <v>0</v>
      </c>
      <c r="W208" s="141">
        <v>-9360000</v>
      </c>
      <c r="X208" s="141">
        <v>-139642159</v>
      </c>
      <c r="Y208" s="857">
        <v>-1798174</v>
      </c>
      <c r="Z208" t="s">
        <v>1774</v>
      </c>
    </row>
    <row r="209" spans="1:26" ht="12.75" x14ac:dyDescent="0.2">
      <c r="A209" s="764">
        <v>202</v>
      </c>
      <c r="B209" s="765" t="s">
        <v>293</v>
      </c>
      <c r="C209" s="766" t="s">
        <v>1222</v>
      </c>
      <c r="D209" s="767" t="s">
        <v>1223</v>
      </c>
      <c r="E209" s="768" t="s">
        <v>292</v>
      </c>
      <c r="F209" s="141">
        <v>-9398499</v>
      </c>
      <c r="G209" s="141">
        <v>56975000</v>
      </c>
      <c r="H209" s="141">
        <v>-817000</v>
      </c>
      <c r="I209" s="141">
        <v>0</v>
      </c>
      <c r="J209" s="141">
        <v>0</v>
      </c>
      <c r="K209" s="141">
        <v>-2061000</v>
      </c>
      <c r="L209" s="141">
        <v>54097000</v>
      </c>
      <c r="M209" s="141">
        <v>2642000</v>
      </c>
      <c r="N209" s="141">
        <v>0</v>
      </c>
      <c r="O209" s="141">
        <v>1182795</v>
      </c>
      <c r="P209" s="141">
        <v>3824795</v>
      </c>
      <c r="Q209" s="141">
        <v>0</v>
      </c>
      <c r="R209" s="141">
        <v>-21473405</v>
      </c>
      <c r="S209" s="141">
        <v>-38174941</v>
      </c>
      <c r="T209" s="141">
        <v>0</v>
      </c>
      <c r="U209" s="141">
        <v>0</v>
      </c>
      <c r="V209" s="141">
        <v>-280817</v>
      </c>
      <c r="W209" s="141">
        <v>0</v>
      </c>
      <c r="X209" s="141">
        <v>-59929163</v>
      </c>
      <c r="Y209" s="857">
        <v>-11405867</v>
      </c>
      <c r="Z209" t="s">
        <v>1775</v>
      </c>
    </row>
    <row r="210" spans="1:26" ht="12.75" x14ac:dyDescent="0.2">
      <c r="A210" s="764">
        <v>203</v>
      </c>
      <c r="B210" s="765" t="s">
        <v>295</v>
      </c>
      <c r="C210" s="766" t="s">
        <v>529</v>
      </c>
      <c r="D210" s="767" t="s">
        <v>1229</v>
      </c>
      <c r="E210" s="768" t="s">
        <v>896</v>
      </c>
      <c r="F210" s="141">
        <v>-4715243</v>
      </c>
      <c r="G210" s="141">
        <v>39360344</v>
      </c>
      <c r="H210" s="141">
        <v>0</v>
      </c>
      <c r="I210" s="141">
        <v>16181</v>
      </c>
      <c r="J210" s="141">
        <v>135000</v>
      </c>
      <c r="K210" s="141">
        <v>-590640</v>
      </c>
      <c r="L210" s="141">
        <v>38920885</v>
      </c>
      <c r="M210" s="141">
        <v>0</v>
      </c>
      <c r="N210" s="141">
        <v>0</v>
      </c>
      <c r="O210" s="141">
        <v>0</v>
      </c>
      <c r="P210" s="141">
        <v>0</v>
      </c>
      <c r="Q210" s="141">
        <v>-1694584</v>
      </c>
      <c r="R210" s="141">
        <v>-18884332</v>
      </c>
      <c r="S210" s="141">
        <v>-378000</v>
      </c>
      <c r="T210" s="141">
        <v>-18506655</v>
      </c>
      <c r="U210" s="141">
        <v>-1708049</v>
      </c>
      <c r="V210" s="141">
        <v>-157000</v>
      </c>
      <c r="W210" s="141">
        <v>-1906298</v>
      </c>
      <c r="X210" s="141">
        <v>-43234918</v>
      </c>
      <c r="Y210" s="857">
        <v>-9029276</v>
      </c>
      <c r="Z210" t="s">
        <v>1776</v>
      </c>
    </row>
    <row r="211" spans="1:26" ht="12.75" x14ac:dyDescent="0.2">
      <c r="A211" s="764">
        <v>204</v>
      </c>
      <c r="B211" s="765" t="s">
        <v>297</v>
      </c>
      <c r="C211" s="766" t="s">
        <v>1217</v>
      </c>
      <c r="D211" s="767" t="s">
        <v>1227</v>
      </c>
      <c r="E211" s="768" t="s">
        <v>296</v>
      </c>
      <c r="F211" s="141">
        <v>688703.10000000009</v>
      </c>
      <c r="G211" s="141">
        <v>35278686</v>
      </c>
      <c r="H211" s="141">
        <v>0</v>
      </c>
      <c r="I211" s="141">
        <v>-352786</v>
      </c>
      <c r="J211" s="141">
        <v>613467</v>
      </c>
      <c r="K211" s="141">
        <v>-3504334</v>
      </c>
      <c r="L211" s="141">
        <v>32035033</v>
      </c>
      <c r="M211" s="141">
        <v>0</v>
      </c>
      <c r="N211" s="141">
        <v>0</v>
      </c>
      <c r="O211" s="141">
        <v>0</v>
      </c>
      <c r="P211" s="141">
        <v>0</v>
      </c>
      <c r="Q211" s="141">
        <v>-1175733</v>
      </c>
      <c r="R211" s="141">
        <v>-16790447</v>
      </c>
      <c r="S211" s="141">
        <v>-3358089</v>
      </c>
      <c r="T211" s="141">
        <v>-13432357</v>
      </c>
      <c r="U211" s="141">
        <v>-105992</v>
      </c>
      <c r="V211" s="141">
        <v>0</v>
      </c>
      <c r="W211" s="141">
        <v>-5598808</v>
      </c>
      <c r="X211" s="141">
        <v>-40461426</v>
      </c>
      <c r="Y211" s="857">
        <v>-7737689.8999999985</v>
      </c>
      <c r="Z211" t="s">
        <v>1777</v>
      </c>
    </row>
    <row r="212" spans="1:26" ht="12.75" x14ac:dyDescent="0.2">
      <c r="A212" s="764">
        <v>205</v>
      </c>
      <c r="B212" s="765" t="s">
        <v>299</v>
      </c>
      <c r="C212" s="766" t="s">
        <v>1217</v>
      </c>
      <c r="D212" s="767" t="s">
        <v>1218</v>
      </c>
      <c r="E212" s="768" t="s">
        <v>298</v>
      </c>
      <c r="F212" s="141">
        <v>-4739687</v>
      </c>
      <c r="G212" s="141">
        <v>54824548</v>
      </c>
      <c r="H212" s="141">
        <v>-151474</v>
      </c>
      <c r="I212" s="141">
        <v>-138062</v>
      </c>
      <c r="J212" s="141">
        <v>1060587</v>
      </c>
      <c r="K212" s="141">
        <v>917212</v>
      </c>
      <c r="L212" s="141">
        <v>56512811</v>
      </c>
      <c r="M212" s="141">
        <v>302542</v>
      </c>
      <c r="N212" s="141">
        <v>0</v>
      </c>
      <c r="O212" s="141">
        <v>3790646</v>
      </c>
      <c r="P212" s="141">
        <v>4093188</v>
      </c>
      <c r="Q212" s="141">
        <v>-89019</v>
      </c>
      <c r="R212" s="141">
        <v>0</v>
      </c>
      <c r="S212" s="141">
        <v>0</v>
      </c>
      <c r="T212" s="141">
        <v>-38365818</v>
      </c>
      <c r="U212" s="141">
        <v>-16442493</v>
      </c>
      <c r="V212" s="141">
        <v>-172438</v>
      </c>
      <c r="W212" s="141">
        <v>0</v>
      </c>
      <c r="X212" s="141">
        <v>-55069768</v>
      </c>
      <c r="Y212" s="857">
        <v>796544</v>
      </c>
      <c r="Z212" t="s">
        <v>1778</v>
      </c>
    </row>
    <row r="213" spans="1:26" ht="12.75" x14ac:dyDescent="0.2">
      <c r="A213" s="764">
        <v>206</v>
      </c>
      <c r="B213" s="765" t="s">
        <v>301</v>
      </c>
      <c r="C213" s="766" t="s">
        <v>1217</v>
      </c>
      <c r="D213" s="767" t="s">
        <v>1219</v>
      </c>
      <c r="E213" s="768" t="s">
        <v>300</v>
      </c>
      <c r="F213" s="141">
        <v>94324</v>
      </c>
      <c r="G213" s="141">
        <v>15541254</v>
      </c>
      <c r="H213" s="141">
        <v>0</v>
      </c>
      <c r="I213" s="141">
        <v>-130000</v>
      </c>
      <c r="J213" s="141">
        <v>421956</v>
      </c>
      <c r="K213" s="141">
        <v>-616333</v>
      </c>
      <c r="L213" s="141">
        <v>15216877</v>
      </c>
      <c r="M213" s="141">
        <v>208370</v>
      </c>
      <c r="N213" s="141">
        <v>0</v>
      </c>
      <c r="O213" s="141">
        <v>62912</v>
      </c>
      <c r="P213" s="141">
        <v>271282</v>
      </c>
      <c r="Q213" s="141">
        <v>0</v>
      </c>
      <c r="R213" s="141">
        <v>-7311176</v>
      </c>
      <c r="S213" s="141">
        <v>-1462236</v>
      </c>
      <c r="T213" s="141">
        <v>-5848942</v>
      </c>
      <c r="U213" s="141">
        <v>-301179</v>
      </c>
      <c r="V213" s="141">
        <v>-98422</v>
      </c>
      <c r="W213" s="141">
        <v>0</v>
      </c>
      <c r="X213" s="141">
        <v>-15021955</v>
      </c>
      <c r="Y213" s="857">
        <v>560528</v>
      </c>
      <c r="Z213" t="s">
        <v>1779</v>
      </c>
    </row>
    <row r="214" spans="1:26" ht="12.75" x14ac:dyDescent="0.2">
      <c r="A214" s="764">
        <v>207</v>
      </c>
      <c r="B214" s="765" t="s">
        <v>303</v>
      </c>
      <c r="C214" s="766" t="s">
        <v>1222</v>
      </c>
      <c r="D214" s="767" t="s">
        <v>1223</v>
      </c>
      <c r="E214" s="768" t="s">
        <v>302</v>
      </c>
      <c r="F214" s="141">
        <v>3516454</v>
      </c>
      <c r="G214" s="141">
        <v>89599662</v>
      </c>
      <c r="H214" s="141">
        <v>-600000</v>
      </c>
      <c r="I214" s="141">
        <v>-600000</v>
      </c>
      <c r="J214" s="141">
        <v>2100000</v>
      </c>
      <c r="K214" s="141">
        <v>-800000</v>
      </c>
      <c r="L214" s="141">
        <v>89699662</v>
      </c>
      <c r="M214" s="141">
        <v>907000</v>
      </c>
      <c r="N214" s="141">
        <v>23840</v>
      </c>
      <c r="O214" s="141">
        <v>3000000</v>
      </c>
      <c r="P214" s="141">
        <v>3930840</v>
      </c>
      <c r="Q214" s="141">
        <v>0</v>
      </c>
      <c r="R214" s="141">
        <v>0</v>
      </c>
      <c r="S214" s="141">
        <v>-32285000</v>
      </c>
      <c r="T214" s="141">
        <v>-57396000</v>
      </c>
      <c r="U214" s="141">
        <v>0</v>
      </c>
      <c r="V214" s="141">
        <v>-290000</v>
      </c>
      <c r="W214" s="141">
        <v>0</v>
      </c>
      <c r="X214" s="141">
        <v>-89971000</v>
      </c>
      <c r="Y214" s="857">
        <v>7175956</v>
      </c>
      <c r="Z214" t="s">
        <v>1780</v>
      </c>
    </row>
    <row r="215" spans="1:26" ht="12.75" x14ac:dyDescent="0.2">
      <c r="A215" s="764">
        <v>208</v>
      </c>
      <c r="B215" s="765" t="s">
        <v>305</v>
      </c>
      <c r="C215" s="766" t="s">
        <v>1217</v>
      </c>
      <c r="D215" s="767" t="s">
        <v>1225</v>
      </c>
      <c r="E215" s="768" t="s">
        <v>304</v>
      </c>
      <c r="F215" s="141">
        <v>121629</v>
      </c>
      <c r="G215" s="141">
        <v>12777059</v>
      </c>
      <c r="H215" s="141">
        <v>0</v>
      </c>
      <c r="I215" s="141">
        <v>-124731</v>
      </c>
      <c r="J215" s="141">
        <v>200000</v>
      </c>
      <c r="K215" s="141">
        <v>-1660000</v>
      </c>
      <c r="L215" s="141">
        <v>11192328</v>
      </c>
      <c r="M215" s="141">
        <v>237233</v>
      </c>
      <c r="N215" s="141">
        <v>0</v>
      </c>
      <c r="O215" s="141">
        <v>1174026</v>
      </c>
      <c r="P215" s="141">
        <v>1411259</v>
      </c>
      <c r="Q215" s="141">
        <v>0</v>
      </c>
      <c r="R215" s="141">
        <v>-6843558</v>
      </c>
      <c r="S215" s="141">
        <v>-1368712</v>
      </c>
      <c r="T215" s="141">
        <v>-5474847</v>
      </c>
      <c r="U215" s="141">
        <v>-98083</v>
      </c>
      <c r="V215" s="141">
        <v>0</v>
      </c>
      <c r="W215" s="141">
        <v>0</v>
      </c>
      <c r="X215" s="141">
        <v>-13785200</v>
      </c>
      <c r="Y215" s="857">
        <v>-1059984</v>
      </c>
      <c r="Z215" t="s">
        <v>1781</v>
      </c>
    </row>
    <row r="216" spans="1:26" ht="12.75" x14ac:dyDescent="0.2">
      <c r="A216" s="764">
        <v>209</v>
      </c>
      <c r="B216" s="765" t="s">
        <v>307</v>
      </c>
      <c r="C216" s="766" t="s">
        <v>1224</v>
      </c>
      <c r="D216" s="767" t="s">
        <v>1219</v>
      </c>
      <c r="E216" s="768" t="s">
        <v>306</v>
      </c>
      <c r="F216" s="141">
        <v>2026155</v>
      </c>
      <c r="G216" s="141">
        <v>66225973</v>
      </c>
      <c r="H216" s="141">
        <v>0</v>
      </c>
      <c r="I216" s="141">
        <v>-1000000</v>
      </c>
      <c r="J216" s="141">
        <v>1313000</v>
      </c>
      <c r="K216" s="141">
        <v>-3646877</v>
      </c>
      <c r="L216" s="141">
        <v>62892096</v>
      </c>
      <c r="M216" s="141">
        <v>1251097</v>
      </c>
      <c r="N216" s="141">
        <v>0</v>
      </c>
      <c r="O216" s="141">
        <v>0</v>
      </c>
      <c r="P216" s="141">
        <v>1251097</v>
      </c>
      <c r="Q216" s="141">
        <v>-2704313</v>
      </c>
      <c r="R216" s="141">
        <v>0</v>
      </c>
      <c r="S216" s="141">
        <v>-580849</v>
      </c>
      <c r="T216" s="141">
        <v>-57504092</v>
      </c>
      <c r="U216" s="141">
        <v>-278094</v>
      </c>
      <c r="V216" s="141">
        <v>-533000</v>
      </c>
      <c r="W216" s="141">
        <v>-456000</v>
      </c>
      <c r="X216" s="141">
        <v>-62056348</v>
      </c>
      <c r="Y216" s="857">
        <v>4113000</v>
      </c>
      <c r="Z216" t="s">
        <v>1782</v>
      </c>
    </row>
    <row r="217" spans="1:26" ht="12.75" x14ac:dyDescent="0.2">
      <c r="A217" s="764">
        <v>210</v>
      </c>
      <c r="B217" s="765" t="s">
        <v>309</v>
      </c>
      <c r="C217" s="766" t="s">
        <v>1217</v>
      </c>
      <c r="D217" s="767" t="s">
        <v>1221</v>
      </c>
      <c r="E217" s="768" t="s">
        <v>308</v>
      </c>
      <c r="F217" s="141">
        <v>-2979052</v>
      </c>
      <c r="G217" s="141">
        <v>16256839</v>
      </c>
      <c r="H217" s="141">
        <v>0</v>
      </c>
      <c r="I217" s="141">
        <v>0</v>
      </c>
      <c r="J217" s="141">
        <v>386750</v>
      </c>
      <c r="K217" s="141">
        <v>-624404</v>
      </c>
      <c r="L217" s="141">
        <v>16019185</v>
      </c>
      <c r="M217" s="141">
        <v>398889</v>
      </c>
      <c r="N217" s="141">
        <v>0</v>
      </c>
      <c r="O217" s="141">
        <v>2774615</v>
      </c>
      <c r="P217" s="141">
        <v>3173504</v>
      </c>
      <c r="Q217" s="141">
        <v>-151122</v>
      </c>
      <c r="R217" s="141">
        <v>-8473693</v>
      </c>
      <c r="S217" s="141">
        <v>-1694739</v>
      </c>
      <c r="T217" s="141">
        <v>-6778954</v>
      </c>
      <c r="U217" s="141">
        <v>-133637</v>
      </c>
      <c r="V217" s="141">
        <v>-15</v>
      </c>
      <c r="W217" s="141">
        <v>0</v>
      </c>
      <c r="X217" s="141">
        <v>-17232160</v>
      </c>
      <c r="Y217" s="857">
        <v>-1018523</v>
      </c>
      <c r="Z217" t="s">
        <v>1783</v>
      </c>
    </row>
    <row r="218" spans="1:26" ht="12.75" x14ac:dyDescent="0.2">
      <c r="A218" s="764">
        <v>211</v>
      </c>
      <c r="B218" s="765" t="s">
        <v>311</v>
      </c>
      <c r="C218" s="766" t="s">
        <v>1217</v>
      </c>
      <c r="D218" s="767" t="s">
        <v>1219</v>
      </c>
      <c r="E218" s="768" t="s">
        <v>310</v>
      </c>
      <c r="F218" s="141">
        <v>105118</v>
      </c>
      <c r="G218" s="141">
        <v>13133335</v>
      </c>
      <c r="H218" s="141">
        <v>0</v>
      </c>
      <c r="I218" s="141">
        <v>-250000</v>
      </c>
      <c r="J218" s="141">
        <v>0</v>
      </c>
      <c r="K218" s="141">
        <v>-300000</v>
      </c>
      <c r="L218" s="141">
        <v>12583335</v>
      </c>
      <c r="M218" s="141">
        <v>0</v>
      </c>
      <c r="N218" s="141">
        <v>0</v>
      </c>
      <c r="O218" s="141">
        <v>916346</v>
      </c>
      <c r="P218" s="141">
        <v>916346</v>
      </c>
      <c r="Q218" s="141">
        <v>-199041</v>
      </c>
      <c r="R218" s="141">
        <v>-5889425</v>
      </c>
      <c r="S218" s="141">
        <v>-1177884</v>
      </c>
      <c r="T218" s="141">
        <v>-4711540</v>
      </c>
      <c r="U218" s="141">
        <v>0</v>
      </c>
      <c r="V218" s="141">
        <v>0</v>
      </c>
      <c r="W218" s="141">
        <v>0</v>
      </c>
      <c r="X218" s="141">
        <v>-11977890</v>
      </c>
      <c r="Y218" s="857">
        <v>1626909</v>
      </c>
      <c r="Z218" t="s">
        <v>1784</v>
      </c>
    </row>
    <row r="219" spans="1:26" ht="12.75" x14ac:dyDescent="0.2">
      <c r="A219" s="764">
        <v>212</v>
      </c>
      <c r="B219" s="765" t="s">
        <v>313</v>
      </c>
      <c r="C219" s="766" t="s">
        <v>1217</v>
      </c>
      <c r="D219" s="767" t="s">
        <v>1218</v>
      </c>
      <c r="E219" s="768" t="s">
        <v>312</v>
      </c>
      <c r="F219" s="141">
        <v>-305334</v>
      </c>
      <c r="G219" s="141">
        <v>17581793</v>
      </c>
      <c r="H219" s="141">
        <v>-167466</v>
      </c>
      <c r="I219" s="141">
        <v>0</v>
      </c>
      <c r="J219" s="141">
        <v>40000</v>
      </c>
      <c r="K219" s="141">
        <v>-1250078</v>
      </c>
      <c r="L219" s="141">
        <v>16204249</v>
      </c>
      <c r="M219" s="141">
        <v>704786</v>
      </c>
      <c r="N219" s="141">
        <v>0</v>
      </c>
      <c r="O219" s="141">
        <v>168304</v>
      </c>
      <c r="P219" s="141">
        <v>873090</v>
      </c>
      <c r="Q219" s="141">
        <v>0</v>
      </c>
      <c r="R219" s="141">
        <v>-8925625</v>
      </c>
      <c r="S219" s="141">
        <v>-1785125</v>
      </c>
      <c r="T219" s="141">
        <v>-7140500</v>
      </c>
      <c r="U219" s="141">
        <v>-147126</v>
      </c>
      <c r="V219" s="141">
        <v>0</v>
      </c>
      <c r="W219" s="141">
        <v>0</v>
      </c>
      <c r="X219" s="141">
        <v>-17998376</v>
      </c>
      <c r="Y219" s="857">
        <v>-1226371</v>
      </c>
      <c r="Z219" t="s">
        <v>1785</v>
      </c>
    </row>
    <row r="220" spans="1:26" ht="12.75" x14ac:dyDescent="0.2">
      <c r="A220" s="764">
        <v>213</v>
      </c>
      <c r="B220" s="765" t="s">
        <v>315</v>
      </c>
      <c r="C220" s="766" t="s">
        <v>1224</v>
      </c>
      <c r="D220" s="767" t="s">
        <v>1225</v>
      </c>
      <c r="E220" s="768" t="s">
        <v>314</v>
      </c>
      <c r="F220" s="141">
        <v>684186</v>
      </c>
      <c r="G220" s="141">
        <v>76334171</v>
      </c>
      <c r="H220" s="141">
        <v>0</v>
      </c>
      <c r="I220" s="141">
        <v>-200000</v>
      </c>
      <c r="J220" s="141">
        <v>846432</v>
      </c>
      <c r="K220" s="141">
        <v>-1213445</v>
      </c>
      <c r="L220" s="141">
        <v>75767158</v>
      </c>
      <c r="M220" s="141">
        <v>0</v>
      </c>
      <c r="N220" s="141">
        <v>0</v>
      </c>
      <c r="O220" s="141">
        <v>0</v>
      </c>
      <c r="P220" s="141">
        <v>0</v>
      </c>
      <c r="Q220" s="141">
        <v>-2761700</v>
      </c>
      <c r="R220" s="141">
        <v>-34890045</v>
      </c>
      <c r="S220" s="141">
        <v>-700011</v>
      </c>
      <c r="T220" s="141">
        <v>-34300537</v>
      </c>
      <c r="U220" s="141">
        <v>-1010228</v>
      </c>
      <c r="V220" s="141">
        <v>0</v>
      </c>
      <c r="W220" s="141">
        <v>-658700</v>
      </c>
      <c r="X220" s="141">
        <v>-74321221</v>
      </c>
      <c r="Y220" s="857">
        <v>2130123</v>
      </c>
      <c r="Z220" t="s">
        <v>1786</v>
      </c>
    </row>
    <row r="221" spans="1:26" ht="12.75" x14ac:dyDescent="0.2">
      <c r="A221" s="764">
        <v>214</v>
      </c>
      <c r="B221" s="765" t="s">
        <v>317</v>
      </c>
      <c r="C221" s="766" t="s">
        <v>1217</v>
      </c>
      <c r="D221" s="767" t="s">
        <v>1227</v>
      </c>
      <c r="E221" s="768" t="s">
        <v>316</v>
      </c>
      <c r="F221" s="141">
        <v>-2638170</v>
      </c>
      <c r="G221" s="141">
        <v>54905535</v>
      </c>
      <c r="H221" s="141">
        <v>0</v>
      </c>
      <c r="I221" s="141">
        <v>-114494</v>
      </c>
      <c r="J221" s="141">
        <v>1425123</v>
      </c>
      <c r="K221" s="141">
        <v>-4400183</v>
      </c>
      <c r="L221" s="141">
        <v>51815981</v>
      </c>
      <c r="M221" s="141">
        <v>0</v>
      </c>
      <c r="N221" s="141">
        <v>0</v>
      </c>
      <c r="O221" s="141">
        <v>498014</v>
      </c>
      <c r="P221" s="141">
        <v>498014</v>
      </c>
      <c r="Q221" s="141">
        <v>-1090231</v>
      </c>
      <c r="R221" s="141">
        <v>-24382097</v>
      </c>
      <c r="S221" s="141">
        <v>-4876419</v>
      </c>
      <c r="T221" s="141">
        <v>-19505678</v>
      </c>
      <c r="U221" s="141">
        <v>-136235</v>
      </c>
      <c r="V221" s="141">
        <v>0</v>
      </c>
      <c r="W221" s="141">
        <v>0</v>
      </c>
      <c r="X221" s="141">
        <v>-49990660</v>
      </c>
      <c r="Y221" s="857">
        <v>-314835</v>
      </c>
      <c r="Z221" t="s">
        <v>1787</v>
      </c>
    </row>
    <row r="222" spans="1:26" ht="12.75" x14ac:dyDescent="0.2">
      <c r="A222" s="764">
        <v>215</v>
      </c>
      <c r="B222" s="765" t="s">
        <v>319</v>
      </c>
      <c r="C222" s="766" t="s">
        <v>1217</v>
      </c>
      <c r="D222" s="767" t="s">
        <v>1218</v>
      </c>
      <c r="E222" s="768" t="s">
        <v>318</v>
      </c>
      <c r="F222" s="141">
        <v>-5738967</v>
      </c>
      <c r="G222" s="141">
        <v>57056490</v>
      </c>
      <c r="H222" s="141">
        <v>-250000</v>
      </c>
      <c r="I222" s="141">
        <v>-35000</v>
      </c>
      <c r="J222" s="141">
        <v>0</v>
      </c>
      <c r="K222" s="141">
        <v>9000000</v>
      </c>
      <c r="L222" s="141">
        <v>65771490</v>
      </c>
      <c r="M222" s="141">
        <v>1041219</v>
      </c>
      <c r="N222" s="141">
        <v>0</v>
      </c>
      <c r="O222" s="141">
        <v>2615572</v>
      </c>
      <c r="P222" s="141">
        <v>3656791</v>
      </c>
      <c r="Q222" s="141">
        <v>-339326</v>
      </c>
      <c r="R222" s="141">
        <v>0</v>
      </c>
      <c r="S222" s="141">
        <v>-17135267</v>
      </c>
      <c r="T222" s="141">
        <v>-39982291</v>
      </c>
      <c r="U222" s="141">
        <v>-131628</v>
      </c>
      <c r="V222" s="141">
        <v>0</v>
      </c>
      <c r="W222" s="141">
        <v>0</v>
      </c>
      <c r="X222" s="141">
        <v>-57588512</v>
      </c>
      <c r="Y222" s="857">
        <v>6100802</v>
      </c>
      <c r="Z222" t="s">
        <v>1788</v>
      </c>
    </row>
    <row r="223" spans="1:26" ht="12.75" x14ac:dyDescent="0.2">
      <c r="A223" s="764">
        <v>216</v>
      </c>
      <c r="B223" s="765" t="s">
        <v>321</v>
      </c>
      <c r="C223" s="766" t="s">
        <v>1217</v>
      </c>
      <c r="D223" s="767" t="s">
        <v>1220</v>
      </c>
      <c r="E223" s="768" t="s">
        <v>320</v>
      </c>
      <c r="F223" s="141">
        <v>525567</v>
      </c>
      <c r="G223" s="141">
        <v>29692828</v>
      </c>
      <c r="H223" s="141">
        <v>0</v>
      </c>
      <c r="I223" s="141">
        <v>-130000</v>
      </c>
      <c r="J223" s="141">
        <v>329823</v>
      </c>
      <c r="K223" s="141">
        <v>-446990</v>
      </c>
      <c r="L223" s="141">
        <v>29445661</v>
      </c>
      <c r="M223" s="141">
        <v>921407</v>
      </c>
      <c r="N223" s="141">
        <v>0</v>
      </c>
      <c r="O223" s="141">
        <v>0</v>
      </c>
      <c r="P223" s="141">
        <v>921407</v>
      </c>
      <c r="Q223" s="141">
        <v>-3053839</v>
      </c>
      <c r="R223" s="141">
        <v>-12576276</v>
      </c>
      <c r="S223" s="141">
        <v>-2515265</v>
      </c>
      <c r="T223" s="141">
        <v>-10061022</v>
      </c>
      <c r="U223" s="141">
        <v>-651192</v>
      </c>
      <c r="V223" s="141">
        <v>0</v>
      </c>
      <c r="W223" s="141">
        <v>-2533704</v>
      </c>
      <c r="X223" s="141">
        <v>-31391298</v>
      </c>
      <c r="Y223" s="857">
        <v>-498663</v>
      </c>
      <c r="Z223" t="s">
        <v>1789</v>
      </c>
    </row>
    <row r="224" spans="1:26" ht="12.75" x14ac:dyDescent="0.2">
      <c r="A224" s="764">
        <v>217</v>
      </c>
      <c r="B224" s="765" t="s">
        <v>323</v>
      </c>
      <c r="C224" s="766" t="s">
        <v>1217</v>
      </c>
      <c r="D224" s="767" t="s">
        <v>1218</v>
      </c>
      <c r="E224" s="768" t="s">
        <v>322</v>
      </c>
      <c r="F224" s="141">
        <v>-594134</v>
      </c>
      <c r="G224" s="141">
        <v>52350064</v>
      </c>
      <c r="H224" s="141">
        <v>0</v>
      </c>
      <c r="I224" s="141">
        <v>-394000</v>
      </c>
      <c r="J224" s="141">
        <v>1532701</v>
      </c>
      <c r="K224" s="141">
        <v>-2917668</v>
      </c>
      <c r="L224" s="141">
        <v>50571097</v>
      </c>
      <c r="M224" s="141">
        <v>328750</v>
      </c>
      <c r="N224" s="141">
        <v>0</v>
      </c>
      <c r="O224" s="141">
        <v>54148</v>
      </c>
      <c r="P224" s="141">
        <v>382898</v>
      </c>
      <c r="Q224" s="141">
        <v>-24746871</v>
      </c>
      <c r="R224" s="141">
        <v>-4949374</v>
      </c>
      <c r="S224" s="141">
        <v>-19797496</v>
      </c>
      <c r="T224" s="141">
        <v>-119115</v>
      </c>
      <c r="U224" s="141">
        <v>0</v>
      </c>
      <c r="V224" s="141">
        <v>0</v>
      </c>
      <c r="W224" s="141">
        <v>0</v>
      </c>
      <c r="X224" s="141">
        <v>-49612856</v>
      </c>
      <c r="Y224" s="857">
        <v>747005</v>
      </c>
      <c r="Z224" t="s">
        <v>1790</v>
      </c>
    </row>
    <row r="225" spans="1:26" ht="12.75" x14ac:dyDescent="0.2">
      <c r="A225" s="764">
        <v>218</v>
      </c>
      <c r="B225" s="765" t="s">
        <v>325</v>
      </c>
      <c r="C225" s="766" t="s">
        <v>529</v>
      </c>
      <c r="D225" s="767" t="s">
        <v>1220</v>
      </c>
      <c r="E225" s="768" t="s">
        <v>598</v>
      </c>
      <c r="F225" s="141">
        <v>-771644</v>
      </c>
      <c r="G225" s="141">
        <v>11378267</v>
      </c>
      <c r="H225" s="141">
        <v>-21693</v>
      </c>
      <c r="I225" s="141">
        <v>10461</v>
      </c>
      <c r="J225" s="141">
        <v>256035</v>
      </c>
      <c r="K225" s="141">
        <v>-715419</v>
      </c>
      <c r="L225" s="141">
        <v>10907651</v>
      </c>
      <c r="M225" s="141">
        <v>552749</v>
      </c>
      <c r="N225" s="141">
        <v>0</v>
      </c>
      <c r="O225" s="141">
        <v>645207</v>
      </c>
      <c r="P225" s="141">
        <v>1197956</v>
      </c>
      <c r="Q225" s="141">
        <v>0</v>
      </c>
      <c r="R225" s="141">
        <v>-5613633</v>
      </c>
      <c r="S225" s="141">
        <v>-112273</v>
      </c>
      <c r="T225" s="141">
        <v>-5501360</v>
      </c>
      <c r="U225" s="141">
        <v>-102337</v>
      </c>
      <c r="V225" s="141">
        <v>0</v>
      </c>
      <c r="W225" s="141">
        <v>0</v>
      </c>
      <c r="X225" s="141">
        <v>-11329603</v>
      </c>
      <c r="Y225" s="857">
        <v>4360</v>
      </c>
      <c r="Z225" t="s">
        <v>1791</v>
      </c>
    </row>
    <row r="226" spans="1:26" ht="12.75" x14ac:dyDescent="0.2">
      <c r="A226" s="764">
        <v>219</v>
      </c>
      <c r="B226" s="765" t="s">
        <v>327</v>
      </c>
      <c r="C226" s="766" t="s">
        <v>1217</v>
      </c>
      <c r="D226" s="767" t="s">
        <v>1225</v>
      </c>
      <c r="E226" s="768" t="s">
        <v>326</v>
      </c>
      <c r="F226" s="141">
        <v>-1266441</v>
      </c>
      <c r="G226" s="141">
        <v>18394471</v>
      </c>
      <c r="H226" s="141">
        <v>-50000</v>
      </c>
      <c r="I226" s="141">
        <v>0</v>
      </c>
      <c r="J226" s="141">
        <v>0</v>
      </c>
      <c r="K226" s="141">
        <v>-1505000</v>
      </c>
      <c r="L226" s="141">
        <v>16839471</v>
      </c>
      <c r="M226" s="141">
        <v>455000</v>
      </c>
      <c r="N226" s="141">
        <v>0</v>
      </c>
      <c r="O226" s="141">
        <v>418476</v>
      </c>
      <c r="P226" s="141">
        <v>873476</v>
      </c>
      <c r="Q226" s="141">
        <v>0</v>
      </c>
      <c r="R226" s="141">
        <v>-8622049</v>
      </c>
      <c r="S226" s="141">
        <v>-1724410</v>
      </c>
      <c r="T226" s="141">
        <v>-6897639</v>
      </c>
      <c r="U226" s="141">
        <v>-141054</v>
      </c>
      <c r="V226" s="141">
        <v>0</v>
      </c>
      <c r="W226" s="141">
        <v>0</v>
      </c>
      <c r="X226" s="141">
        <v>-17385152</v>
      </c>
      <c r="Y226" s="857">
        <v>-938646</v>
      </c>
      <c r="Z226" t="s">
        <v>1792</v>
      </c>
    </row>
    <row r="227" spans="1:26" ht="12.75" x14ac:dyDescent="0.2">
      <c r="A227" s="764">
        <v>220</v>
      </c>
      <c r="B227" s="765" t="s">
        <v>329</v>
      </c>
      <c r="C227" s="766" t="s">
        <v>1224</v>
      </c>
      <c r="D227" s="767" t="s">
        <v>1219</v>
      </c>
      <c r="E227" s="768" t="s">
        <v>328</v>
      </c>
      <c r="F227" s="141">
        <v>-2268000</v>
      </c>
      <c r="G227" s="141">
        <v>94626840</v>
      </c>
      <c r="H227" s="141">
        <v>0</v>
      </c>
      <c r="I227" s="141">
        <v>-3500000</v>
      </c>
      <c r="J227" s="141">
        <v>3758160</v>
      </c>
      <c r="K227" s="141">
        <v>-3300000</v>
      </c>
      <c r="L227" s="141">
        <v>91585000</v>
      </c>
      <c r="M227" s="141">
        <v>0</v>
      </c>
      <c r="N227" s="141">
        <v>0</v>
      </c>
      <c r="O227" s="141">
        <v>2687863</v>
      </c>
      <c r="P227" s="141">
        <v>2687863</v>
      </c>
      <c r="Q227" s="141">
        <v>-2350000</v>
      </c>
      <c r="R227" s="141">
        <v>0</v>
      </c>
      <c r="S227" s="141">
        <v>-904883</v>
      </c>
      <c r="T227" s="141">
        <v>-89583406</v>
      </c>
      <c r="U227" s="141">
        <v>-448986</v>
      </c>
      <c r="V227" s="141">
        <v>0</v>
      </c>
      <c r="W227" s="141">
        <v>0</v>
      </c>
      <c r="X227" s="141">
        <v>-93287275</v>
      </c>
      <c r="Y227" s="857">
        <v>-1282412</v>
      </c>
      <c r="Z227" t="s">
        <v>1793</v>
      </c>
    </row>
    <row r="228" spans="1:26" ht="12.75" x14ac:dyDescent="0.2">
      <c r="A228" s="764">
        <v>221</v>
      </c>
      <c r="B228" s="765" t="s">
        <v>331</v>
      </c>
      <c r="C228" s="766" t="s">
        <v>1224</v>
      </c>
      <c r="D228" s="767" t="s">
        <v>1227</v>
      </c>
      <c r="E228" s="768" t="s">
        <v>330</v>
      </c>
      <c r="F228" s="141">
        <v>-8642360</v>
      </c>
      <c r="G228" s="141">
        <v>100782551</v>
      </c>
      <c r="H228" s="141">
        <v>0</v>
      </c>
      <c r="I228" s="141">
        <v>-133882</v>
      </c>
      <c r="J228" s="141">
        <v>0</v>
      </c>
      <c r="K228" s="141">
        <v>-1174905</v>
      </c>
      <c r="L228" s="141">
        <v>99473764</v>
      </c>
      <c r="M228" s="141">
        <v>0</v>
      </c>
      <c r="N228" s="141">
        <v>0</v>
      </c>
      <c r="O228" s="141">
        <v>8736138</v>
      </c>
      <c r="P228" s="141">
        <v>8736138</v>
      </c>
      <c r="Q228" s="141">
        <v>-860251</v>
      </c>
      <c r="R228" s="141">
        <v>0</v>
      </c>
      <c r="S228" s="141">
        <v>-970660</v>
      </c>
      <c r="T228" s="141">
        <v>-96095387</v>
      </c>
      <c r="U228" s="141">
        <v>-441022</v>
      </c>
      <c r="V228" s="141">
        <v>0</v>
      </c>
      <c r="W228" s="141">
        <v>0</v>
      </c>
      <c r="X228" s="141">
        <v>-98367320</v>
      </c>
      <c r="Y228" s="857">
        <v>1200222</v>
      </c>
      <c r="Z228" t="s">
        <v>1794</v>
      </c>
    </row>
    <row r="229" spans="1:26" ht="12.75" x14ac:dyDescent="0.2">
      <c r="A229" s="764">
        <v>222</v>
      </c>
      <c r="B229" s="765" t="s">
        <v>333</v>
      </c>
      <c r="C229" s="766" t="s">
        <v>1217</v>
      </c>
      <c r="D229" s="767" t="s">
        <v>1225</v>
      </c>
      <c r="E229" s="768" t="s">
        <v>332</v>
      </c>
      <c r="F229" s="141">
        <v>354777.71000000089</v>
      </c>
      <c r="G229" s="141">
        <v>36815087</v>
      </c>
      <c r="H229" s="141">
        <v>-250000</v>
      </c>
      <c r="I229" s="141">
        <v>0</v>
      </c>
      <c r="J229" s="141">
        <v>0</v>
      </c>
      <c r="K229" s="141">
        <v>-1955000</v>
      </c>
      <c r="L229" s="141">
        <v>34610087</v>
      </c>
      <c r="M229" s="141">
        <v>1380000</v>
      </c>
      <c r="N229" s="141">
        <v>0</v>
      </c>
      <c r="O229" s="141">
        <v>0</v>
      </c>
      <c r="P229" s="141">
        <v>1380000</v>
      </c>
      <c r="Q229" s="141">
        <v>0</v>
      </c>
      <c r="R229" s="141">
        <v>-18426802</v>
      </c>
      <c r="S229" s="141">
        <v>-3685360</v>
      </c>
      <c r="T229" s="141">
        <v>-14741442</v>
      </c>
      <c r="U229" s="141">
        <v>-260038</v>
      </c>
      <c r="V229" s="141">
        <v>0</v>
      </c>
      <c r="W229" s="141">
        <v>-59466</v>
      </c>
      <c r="X229" s="141">
        <v>-37173108</v>
      </c>
      <c r="Y229" s="857">
        <v>-828243.28999999911</v>
      </c>
      <c r="Z229" t="s">
        <v>1795</v>
      </c>
    </row>
    <row r="230" spans="1:26" ht="12.75" x14ac:dyDescent="0.2">
      <c r="A230" s="764">
        <v>223</v>
      </c>
      <c r="B230" s="765" t="s">
        <v>335</v>
      </c>
      <c r="C230" s="766" t="s">
        <v>1217</v>
      </c>
      <c r="D230" s="767" t="s">
        <v>1226</v>
      </c>
      <c r="E230" s="768" t="s">
        <v>334</v>
      </c>
      <c r="F230" s="141">
        <v>709255</v>
      </c>
      <c r="G230" s="141">
        <v>41195446</v>
      </c>
      <c r="H230" s="141">
        <v>-121000</v>
      </c>
      <c r="I230" s="141">
        <v>-100000</v>
      </c>
      <c r="J230" s="141">
        <v>0</v>
      </c>
      <c r="K230" s="141">
        <v>-1248020</v>
      </c>
      <c r="L230" s="141">
        <v>39726426</v>
      </c>
      <c r="M230" s="141">
        <v>0</v>
      </c>
      <c r="N230" s="141">
        <v>0</v>
      </c>
      <c r="O230" s="141">
        <v>0</v>
      </c>
      <c r="P230" s="141">
        <v>0</v>
      </c>
      <c r="Q230" s="141">
        <v>-58128</v>
      </c>
      <c r="R230" s="141">
        <v>-19810192</v>
      </c>
      <c r="S230" s="141">
        <v>-3962039</v>
      </c>
      <c r="T230" s="141">
        <v>-15848154</v>
      </c>
      <c r="U230" s="141">
        <v>-391019</v>
      </c>
      <c r="V230" s="141">
        <v>-58000</v>
      </c>
      <c r="W230" s="141">
        <v>-158108</v>
      </c>
      <c r="X230" s="141">
        <v>-40285640</v>
      </c>
      <c r="Y230" s="857">
        <v>150041</v>
      </c>
      <c r="Z230" t="s">
        <v>1796</v>
      </c>
    </row>
    <row r="231" spans="1:26" ht="12.75" x14ac:dyDescent="0.2">
      <c r="A231" s="764">
        <v>224</v>
      </c>
      <c r="B231" s="765" t="s">
        <v>337</v>
      </c>
      <c r="C231" s="766" t="s">
        <v>1224</v>
      </c>
      <c r="D231" s="767" t="s">
        <v>1219</v>
      </c>
      <c r="E231" s="768" t="s">
        <v>336</v>
      </c>
      <c r="F231" s="141">
        <v>5589005</v>
      </c>
      <c r="G231" s="141">
        <v>70580534</v>
      </c>
      <c r="H231" s="141">
        <v>0</v>
      </c>
      <c r="I231" s="141">
        <v>-1340000</v>
      </c>
      <c r="J231" s="141">
        <v>2333314</v>
      </c>
      <c r="K231" s="141">
        <v>-4020000</v>
      </c>
      <c r="L231" s="141">
        <v>67553848</v>
      </c>
      <c r="M231" s="141">
        <v>0</v>
      </c>
      <c r="N231" s="141">
        <v>0</v>
      </c>
      <c r="O231" s="141">
        <v>0</v>
      </c>
      <c r="P231" s="141">
        <v>0</v>
      </c>
      <c r="Q231" s="141">
        <v>-537996</v>
      </c>
      <c r="R231" s="141">
        <v>0</v>
      </c>
      <c r="S231" s="141">
        <v>-671204</v>
      </c>
      <c r="T231" s="141">
        <v>-66449165</v>
      </c>
      <c r="U231" s="141">
        <v>-318969</v>
      </c>
      <c r="V231" s="141">
        <v>0</v>
      </c>
      <c r="W231" s="141">
        <v>-3397641</v>
      </c>
      <c r="X231" s="141">
        <v>-71374975</v>
      </c>
      <c r="Y231" s="857">
        <v>1767878</v>
      </c>
      <c r="Z231" t="s">
        <v>1797</v>
      </c>
    </row>
    <row r="232" spans="1:26" ht="12.75" x14ac:dyDescent="0.2">
      <c r="A232" s="764">
        <v>225</v>
      </c>
      <c r="B232" s="765" t="s">
        <v>339</v>
      </c>
      <c r="C232" s="766" t="s">
        <v>1217</v>
      </c>
      <c r="D232" s="767" t="s">
        <v>1225</v>
      </c>
      <c r="E232" s="768" t="s">
        <v>338</v>
      </c>
      <c r="F232" s="141">
        <v>4643144</v>
      </c>
      <c r="G232" s="141">
        <v>39394909</v>
      </c>
      <c r="H232" s="141">
        <v>0</v>
      </c>
      <c r="I232" s="141">
        <v>-114033</v>
      </c>
      <c r="J232" s="141">
        <v>1330223</v>
      </c>
      <c r="K232" s="141">
        <v>-2520195</v>
      </c>
      <c r="L232" s="141">
        <v>38090904</v>
      </c>
      <c r="M232" s="141">
        <v>744997</v>
      </c>
      <c r="N232" s="141">
        <v>0</v>
      </c>
      <c r="O232" s="141">
        <v>0</v>
      </c>
      <c r="P232" s="141">
        <v>744997</v>
      </c>
      <c r="Q232" s="141">
        <v>-2894859</v>
      </c>
      <c r="R232" s="141">
        <v>-14216569</v>
      </c>
      <c r="S232" s="141">
        <v>-2843313</v>
      </c>
      <c r="T232" s="141">
        <v>-11373255</v>
      </c>
      <c r="U232" s="141">
        <v>-7931119</v>
      </c>
      <c r="V232" s="141">
        <v>0</v>
      </c>
      <c r="W232" s="141">
        <v>-4081132</v>
      </c>
      <c r="X232" s="141">
        <v>-43340247</v>
      </c>
      <c r="Y232" s="857">
        <v>138798</v>
      </c>
      <c r="Z232" t="s">
        <v>1798</v>
      </c>
    </row>
    <row r="233" spans="1:26" ht="12.75" x14ac:dyDescent="0.2">
      <c r="A233" s="764">
        <v>226</v>
      </c>
      <c r="B233" s="765" t="s">
        <v>341</v>
      </c>
      <c r="C233" s="766" t="s">
        <v>1217</v>
      </c>
      <c r="D233" s="767" t="s">
        <v>1218</v>
      </c>
      <c r="E233" s="768" t="s">
        <v>340</v>
      </c>
      <c r="F233" s="141">
        <v>329305</v>
      </c>
      <c r="G233" s="141">
        <v>36464911</v>
      </c>
      <c r="H233" s="141">
        <v>-7085</v>
      </c>
      <c r="I233" s="141">
        <v>0</v>
      </c>
      <c r="J233" s="141">
        <v>391560</v>
      </c>
      <c r="K233" s="141">
        <v>-1872733</v>
      </c>
      <c r="L233" s="141">
        <v>34976653</v>
      </c>
      <c r="M233" s="141">
        <v>825963</v>
      </c>
      <c r="N233" s="141">
        <v>0</v>
      </c>
      <c r="O233" s="141">
        <v>0</v>
      </c>
      <c r="P233" s="141">
        <v>825963</v>
      </c>
      <c r="Q233" s="141">
        <v>-275051</v>
      </c>
      <c r="R233" s="141">
        <v>0</v>
      </c>
      <c r="S233" s="141">
        <v>-20856429</v>
      </c>
      <c r="T233" s="141">
        <v>-13904286</v>
      </c>
      <c r="U233" s="141">
        <v>-163466</v>
      </c>
      <c r="V233" s="141">
        <v>0</v>
      </c>
      <c r="W233" s="141">
        <v>-379156</v>
      </c>
      <c r="X233" s="141">
        <v>-35578388</v>
      </c>
      <c r="Y233" s="857">
        <v>553533</v>
      </c>
      <c r="Z233" t="s">
        <v>1799</v>
      </c>
    </row>
    <row r="234" spans="1:26" ht="12.75" x14ac:dyDescent="0.2">
      <c r="A234" s="764">
        <v>227</v>
      </c>
      <c r="B234" s="765" t="s">
        <v>343</v>
      </c>
      <c r="C234" s="766" t="s">
        <v>1224</v>
      </c>
      <c r="D234" s="767" t="s">
        <v>1225</v>
      </c>
      <c r="E234" s="768" t="s">
        <v>342</v>
      </c>
      <c r="F234" s="141">
        <v>-9711292</v>
      </c>
      <c r="G234" s="141">
        <v>221711435</v>
      </c>
      <c r="H234" s="141">
        <v>0</v>
      </c>
      <c r="I234" s="141">
        <v>-2458881</v>
      </c>
      <c r="J234" s="141">
        <v>3431212</v>
      </c>
      <c r="K234" s="141">
        <v>-7307275</v>
      </c>
      <c r="L234" s="141">
        <v>215376491</v>
      </c>
      <c r="M234" s="141">
        <v>3179062</v>
      </c>
      <c r="N234" s="141">
        <v>0</v>
      </c>
      <c r="O234" s="141">
        <v>11332002</v>
      </c>
      <c r="P234" s="141">
        <v>14511064</v>
      </c>
      <c r="Q234" s="141">
        <v>-8539743</v>
      </c>
      <c r="R234" s="141">
        <v>-100412074</v>
      </c>
      <c r="S234" s="141">
        <v>-2008241</v>
      </c>
      <c r="T234" s="141">
        <v>-98403833</v>
      </c>
      <c r="U234" s="141">
        <v>-2989685</v>
      </c>
      <c r="V234" s="141">
        <v>0</v>
      </c>
      <c r="W234" s="141">
        <v>0</v>
      </c>
      <c r="X234" s="141">
        <v>-212353576</v>
      </c>
      <c r="Y234" s="857">
        <v>7822687</v>
      </c>
      <c r="Z234" t="s">
        <v>1800</v>
      </c>
    </row>
    <row r="235" spans="1:26" ht="12.75" x14ac:dyDescent="0.2">
      <c r="A235" s="764">
        <v>228</v>
      </c>
      <c r="B235" s="765" t="s">
        <v>347</v>
      </c>
      <c r="C235" s="766" t="s">
        <v>529</v>
      </c>
      <c r="D235" s="767" t="s">
        <v>1227</v>
      </c>
      <c r="E235" s="768" t="s">
        <v>346</v>
      </c>
      <c r="F235" s="141">
        <v>-6176606</v>
      </c>
      <c r="G235" s="141">
        <v>83240463</v>
      </c>
      <c r="H235" s="141">
        <v>0</v>
      </c>
      <c r="I235" s="141">
        <v>-305153</v>
      </c>
      <c r="J235" s="141">
        <v>1089557</v>
      </c>
      <c r="K235" s="141">
        <v>-5780606</v>
      </c>
      <c r="L235" s="141">
        <v>78244261</v>
      </c>
      <c r="M235" s="141">
        <v>4059149</v>
      </c>
      <c r="N235" s="141">
        <v>0</v>
      </c>
      <c r="O235" s="141">
        <v>6025600</v>
      </c>
      <c r="P235" s="141">
        <v>10084749</v>
      </c>
      <c r="Q235" s="141">
        <v>0</v>
      </c>
      <c r="R235" s="141">
        <v>-41132473</v>
      </c>
      <c r="S235" s="141">
        <v>-822649</v>
      </c>
      <c r="T235" s="141">
        <v>-40309824</v>
      </c>
      <c r="U235" s="141">
        <v>-1644140</v>
      </c>
      <c r="V235" s="141">
        <v>0</v>
      </c>
      <c r="W235" s="141">
        <v>0</v>
      </c>
      <c r="X235" s="141">
        <v>-83909086</v>
      </c>
      <c r="Y235" s="857">
        <v>-1756682</v>
      </c>
      <c r="Z235" t="s">
        <v>1801</v>
      </c>
    </row>
    <row r="236" spans="1:26" ht="12.75" x14ac:dyDescent="0.2">
      <c r="A236" s="764">
        <v>229</v>
      </c>
      <c r="B236" s="765" t="s">
        <v>349</v>
      </c>
      <c r="C236" s="766" t="s">
        <v>529</v>
      </c>
      <c r="D236" s="767" t="s">
        <v>1218</v>
      </c>
      <c r="E236" s="768" t="s">
        <v>540</v>
      </c>
      <c r="F236" s="141">
        <v>-3315967</v>
      </c>
      <c r="G236" s="141">
        <v>108404798</v>
      </c>
      <c r="H236" s="141">
        <v>0</v>
      </c>
      <c r="I236" s="141">
        <v>0</v>
      </c>
      <c r="J236" s="141">
        <v>0</v>
      </c>
      <c r="K236" s="141">
        <v>-7306020</v>
      </c>
      <c r="L236" s="141">
        <v>101098778</v>
      </c>
      <c r="M236" s="141">
        <v>0</v>
      </c>
      <c r="N236" s="141">
        <v>0</v>
      </c>
      <c r="O236" s="141">
        <v>6232643</v>
      </c>
      <c r="P236" s="141">
        <v>6232643</v>
      </c>
      <c r="Q236" s="141">
        <v>-1176149</v>
      </c>
      <c r="R236" s="141">
        <v>0</v>
      </c>
      <c r="S236" s="141">
        <v>-1025002</v>
      </c>
      <c r="T236" s="141">
        <v>-101475231</v>
      </c>
      <c r="U236" s="141">
        <v>0</v>
      </c>
      <c r="V236" s="141">
        <v>0</v>
      </c>
      <c r="W236" s="141">
        <v>0</v>
      </c>
      <c r="X236" s="141">
        <v>-103676382</v>
      </c>
      <c r="Y236" s="857">
        <v>339072</v>
      </c>
      <c r="Z236" t="s">
        <v>1802</v>
      </c>
    </row>
    <row r="237" spans="1:26" ht="12.75" x14ac:dyDescent="0.2">
      <c r="A237" s="764">
        <v>230</v>
      </c>
      <c r="B237" s="765" t="s">
        <v>351</v>
      </c>
      <c r="C237" s="766" t="s">
        <v>1224</v>
      </c>
      <c r="D237" s="767" t="s">
        <v>1227</v>
      </c>
      <c r="E237" s="768" t="s">
        <v>350</v>
      </c>
      <c r="F237" s="141">
        <v>177185.5</v>
      </c>
      <c r="G237" s="141">
        <v>118674760</v>
      </c>
      <c r="H237" s="141">
        <v>0</v>
      </c>
      <c r="I237" s="141">
        <v>-689354</v>
      </c>
      <c r="J237" s="141">
        <v>1377768</v>
      </c>
      <c r="K237" s="141">
        <v>-2098079</v>
      </c>
      <c r="L237" s="141">
        <v>117265095</v>
      </c>
      <c r="M237" s="141">
        <v>0</v>
      </c>
      <c r="N237" s="141">
        <v>0</v>
      </c>
      <c r="O237" s="141">
        <v>0</v>
      </c>
      <c r="P237" s="141">
        <v>0</v>
      </c>
      <c r="Q237" s="141">
        <v>-3020346</v>
      </c>
      <c r="R237" s="141">
        <v>0</v>
      </c>
      <c r="S237" s="141">
        <v>-1128101</v>
      </c>
      <c r="T237" s="141">
        <v>-111681981</v>
      </c>
      <c r="U237" s="141">
        <v>-252086</v>
      </c>
      <c r="V237" s="141">
        <v>0</v>
      </c>
      <c r="W237" s="141">
        <v>-331693</v>
      </c>
      <c r="X237" s="141">
        <v>-116414207</v>
      </c>
      <c r="Y237" s="857">
        <v>1028073.5</v>
      </c>
      <c r="Z237" t="s">
        <v>1803</v>
      </c>
    </row>
    <row r="238" spans="1:26" ht="12.75" x14ac:dyDescent="0.2">
      <c r="A238" s="764">
        <v>231</v>
      </c>
      <c r="B238" s="765" t="s">
        <v>1150</v>
      </c>
      <c r="C238" s="766" t="s">
        <v>1217</v>
      </c>
      <c r="D238" s="767" t="s">
        <v>1226</v>
      </c>
      <c r="E238" s="768" t="s">
        <v>1149</v>
      </c>
      <c r="F238" s="141">
        <v>-1051056</v>
      </c>
      <c r="G238" s="141">
        <v>58905556</v>
      </c>
      <c r="H238" s="141">
        <v>0</v>
      </c>
      <c r="I238" s="141">
        <v>-382074</v>
      </c>
      <c r="J238" s="141">
        <v>1078203</v>
      </c>
      <c r="K238" s="141">
        <v>-1738237</v>
      </c>
      <c r="L238" s="141">
        <v>57863448</v>
      </c>
      <c r="M238" s="141">
        <v>1235946</v>
      </c>
      <c r="N238" s="141">
        <v>0</v>
      </c>
      <c r="O238" s="141">
        <v>1354223</v>
      </c>
      <c r="P238" s="141">
        <v>2590169</v>
      </c>
      <c r="Q238" s="141">
        <v>-918804</v>
      </c>
      <c r="R238" s="141">
        <v>-27351824</v>
      </c>
      <c r="S238" s="141">
        <v>-5470366</v>
      </c>
      <c r="T238" s="141">
        <v>-21881460</v>
      </c>
      <c r="U238" s="141">
        <v>-200336</v>
      </c>
      <c r="V238" s="141">
        <v>-250008</v>
      </c>
      <c r="W238" s="141">
        <v>0</v>
      </c>
      <c r="X238" s="141">
        <v>-56072798</v>
      </c>
      <c r="Y238" s="857">
        <v>3329763</v>
      </c>
      <c r="Z238" t="s">
        <v>1804</v>
      </c>
    </row>
    <row r="239" spans="1:26" ht="12.75" x14ac:dyDescent="0.2">
      <c r="A239" s="764">
        <v>232</v>
      </c>
      <c r="B239" s="765" t="s">
        <v>353</v>
      </c>
      <c r="C239" s="766" t="s">
        <v>1217</v>
      </c>
      <c r="D239" s="767" t="s">
        <v>1218</v>
      </c>
      <c r="E239" s="768" t="s">
        <v>352</v>
      </c>
      <c r="F239" s="141">
        <v>1232766</v>
      </c>
      <c r="G239" s="141">
        <v>32280974</v>
      </c>
      <c r="H239" s="141">
        <v>0</v>
      </c>
      <c r="I239" s="141">
        <v>-68819</v>
      </c>
      <c r="J239" s="141">
        <v>239700</v>
      </c>
      <c r="K239" s="141">
        <v>-331519</v>
      </c>
      <c r="L239" s="141">
        <v>32120336</v>
      </c>
      <c r="M239" s="141">
        <v>299050</v>
      </c>
      <c r="N239" s="141">
        <v>0</v>
      </c>
      <c r="O239" s="141">
        <v>0</v>
      </c>
      <c r="P239" s="141">
        <v>299050</v>
      </c>
      <c r="Q239" s="141">
        <v>0</v>
      </c>
      <c r="R239" s="141">
        <v>-16213386</v>
      </c>
      <c r="S239" s="141">
        <v>-3242677</v>
      </c>
      <c r="T239" s="141">
        <v>-12970708</v>
      </c>
      <c r="U239" s="141">
        <v>-95879</v>
      </c>
      <c r="V239" s="141">
        <v>0</v>
      </c>
      <c r="W239" s="141">
        <v>-1549078</v>
      </c>
      <c r="X239" s="141">
        <v>-34071728</v>
      </c>
      <c r="Y239" s="857">
        <v>-419576</v>
      </c>
      <c r="Z239" t="s">
        <v>1805</v>
      </c>
    </row>
    <row r="240" spans="1:26" ht="12.75" x14ac:dyDescent="0.2">
      <c r="A240" s="764">
        <v>233</v>
      </c>
      <c r="B240" s="765" t="s">
        <v>355</v>
      </c>
      <c r="C240" s="766" t="s">
        <v>1217</v>
      </c>
      <c r="D240" s="767" t="s">
        <v>1221</v>
      </c>
      <c r="E240" s="768" t="s">
        <v>354</v>
      </c>
      <c r="F240" s="141">
        <v>8380121</v>
      </c>
      <c r="G240" s="141">
        <v>90236031</v>
      </c>
      <c r="H240" s="141">
        <v>0</v>
      </c>
      <c r="I240" s="141">
        <v>-109859</v>
      </c>
      <c r="J240" s="141">
        <v>1175500</v>
      </c>
      <c r="K240" s="141">
        <v>-624933</v>
      </c>
      <c r="L240" s="141">
        <v>90676739</v>
      </c>
      <c r="M240" s="141">
        <v>0</v>
      </c>
      <c r="N240" s="141">
        <v>0</v>
      </c>
      <c r="O240" s="141">
        <v>0</v>
      </c>
      <c r="P240" s="141">
        <v>0</v>
      </c>
      <c r="Q240" s="141">
        <v>-167236</v>
      </c>
      <c r="R240" s="141">
        <v>-40334257</v>
      </c>
      <c r="S240" s="141">
        <v>-8066851</v>
      </c>
      <c r="T240" s="141">
        <v>-32267405</v>
      </c>
      <c r="U240" s="141">
        <v>-1757353</v>
      </c>
      <c r="V240" s="141">
        <v>0</v>
      </c>
      <c r="W240" s="141">
        <v>-7797201</v>
      </c>
      <c r="X240" s="141">
        <v>-90390303</v>
      </c>
      <c r="Y240" s="857">
        <v>8666557</v>
      </c>
      <c r="Z240" t="s">
        <v>1806</v>
      </c>
    </row>
    <row r="241" spans="1:26" ht="12.75" x14ac:dyDescent="0.2">
      <c r="A241" s="764">
        <v>234</v>
      </c>
      <c r="B241" s="765" t="s">
        <v>357</v>
      </c>
      <c r="C241" s="766" t="s">
        <v>1217</v>
      </c>
      <c r="D241" s="767" t="s">
        <v>1220</v>
      </c>
      <c r="E241" s="768" t="s">
        <v>356</v>
      </c>
      <c r="F241" s="141">
        <v>-192383</v>
      </c>
      <c r="G241" s="141">
        <v>25595132</v>
      </c>
      <c r="H241" s="141">
        <v>-141655</v>
      </c>
      <c r="I241" s="141">
        <v>-180096</v>
      </c>
      <c r="J241" s="141">
        <v>0</v>
      </c>
      <c r="K241" s="141">
        <v>-250000</v>
      </c>
      <c r="L241" s="141">
        <v>25023381</v>
      </c>
      <c r="M241" s="141">
        <v>798081</v>
      </c>
      <c r="N241" s="141">
        <v>0</v>
      </c>
      <c r="O241" s="141">
        <v>763829</v>
      </c>
      <c r="P241" s="141">
        <v>1561910</v>
      </c>
      <c r="Q241" s="141">
        <v>0</v>
      </c>
      <c r="R241" s="141">
        <v>0</v>
      </c>
      <c r="S241" s="141">
        <v>-13387165</v>
      </c>
      <c r="T241" s="141">
        <v>-13387165</v>
      </c>
      <c r="U241" s="141">
        <v>0</v>
      </c>
      <c r="V241" s="141">
        <v>-91363</v>
      </c>
      <c r="W241" s="141">
        <v>0</v>
      </c>
      <c r="X241" s="141">
        <v>-26865693</v>
      </c>
      <c r="Y241" s="857">
        <v>-472785</v>
      </c>
      <c r="Z241" t="s">
        <v>1807</v>
      </c>
    </row>
    <row r="242" spans="1:26" ht="12.75" x14ac:dyDescent="0.2">
      <c r="A242" s="764">
        <v>235</v>
      </c>
      <c r="B242" s="765" t="s">
        <v>359</v>
      </c>
      <c r="C242" s="766" t="s">
        <v>529</v>
      </c>
      <c r="D242" s="767" t="s">
        <v>1226</v>
      </c>
      <c r="E242" s="768" t="s">
        <v>532</v>
      </c>
      <c r="F242" s="141">
        <v>-5972157</v>
      </c>
      <c r="G242" s="141">
        <v>149536671</v>
      </c>
      <c r="H242" s="141">
        <v>0</v>
      </c>
      <c r="I242" s="141">
        <v>-350000</v>
      </c>
      <c r="J242" s="141">
        <v>2046436</v>
      </c>
      <c r="K242" s="141">
        <v>-2749476</v>
      </c>
      <c r="L242" s="141">
        <v>148483631</v>
      </c>
      <c r="M242" s="141">
        <v>0</v>
      </c>
      <c r="N242" s="141">
        <v>0</v>
      </c>
      <c r="O242" s="141">
        <v>5619761</v>
      </c>
      <c r="P242" s="141">
        <v>5619761</v>
      </c>
      <c r="Q242" s="141">
        <v>-4091914</v>
      </c>
      <c r="R242" s="141">
        <v>0</v>
      </c>
      <c r="S242" s="141">
        <v>-7823106</v>
      </c>
      <c r="T242" s="141">
        <v>-122562033</v>
      </c>
      <c r="U242" s="141">
        <v>-11672316</v>
      </c>
      <c r="V242" s="141">
        <v>-957696</v>
      </c>
      <c r="W242" s="141">
        <v>0</v>
      </c>
      <c r="X242" s="141">
        <v>-147107065</v>
      </c>
      <c r="Y242" s="857">
        <v>1024170</v>
      </c>
      <c r="Z242" t="s">
        <v>1808</v>
      </c>
    </row>
    <row r="243" spans="1:26" ht="12.75" x14ac:dyDescent="0.2">
      <c r="A243" s="764">
        <v>236</v>
      </c>
      <c r="B243" s="765" t="s">
        <v>361</v>
      </c>
      <c r="C243" s="766" t="s">
        <v>1217</v>
      </c>
      <c r="D243" s="767" t="s">
        <v>1226</v>
      </c>
      <c r="E243" s="768" t="s">
        <v>360</v>
      </c>
      <c r="F243" s="141">
        <v>33691790</v>
      </c>
      <c r="G243" s="141">
        <v>30743525</v>
      </c>
      <c r="H243" s="141">
        <v>0</v>
      </c>
      <c r="I243" s="141">
        <v>-238528</v>
      </c>
      <c r="J243" s="141">
        <v>299140</v>
      </c>
      <c r="K243" s="141">
        <v>0</v>
      </c>
      <c r="L243" s="141">
        <v>30804137</v>
      </c>
      <c r="M243" s="141">
        <v>1096189</v>
      </c>
      <c r="N243" s="141">
        <v>0</v>
      </c>
      <c r="O243" s="141">
        <v>0</v>
      </c>
      <c r="P243" s="141">
        <v>1096189</v>
      </c>
      <c r="Q243" s="141">
        <v>-1207410</v>
      </c>
      <c r="R243" s="141">
        <v>0</v>
      </c>
      <c r="S243" s="141">
        <v>-16784822</v>
      </c>
      <c r="T243" s="141">
        <v>-11189881</v>
      </c>
      <c r="U243" s="141">
        <v>-205447</v>
      </c>
      <c r="V243" s="141">
        <v>0</v>
      </c>
      <c r="W243" s="141">
        <v>-34716011</v>
      </c>
      <c r="X243" s="141">
        <v>-64103571</v>
      </c>
      <c r="Y243" s="857">
        <v>1488545</v>
      </c>
      <c r="Z243" t="s">
        <v>1809</v>
      </c>
    </row>
    <row r="244" spans="1:26" ht="12.75" x14ac:dyDescent="0.2">
      <c r="A244" s="764">
        <v>237</v>
      </c>
      <c r="B244" s="765" t="s">
        <v>363</v>
      </c>
      <c r="C244" s="766" t="s">
        <v>1217</v>
      </c>
      <c r="D244" s="767" t="s">
        <v>1220</v>
      </c>
      <c r="E244" s="768" t="s">
        <v>362</v>
      </c>
      <c r="F244" s="141">
        <v>959044</v>
      </c>
      <c r="G244" s="141">
        <v>26653465</v>
      </c>
      <c r="H244" s="141">
        <v>0</v>
      </c>
      <c r="I244" s="141">
        <v>-314749</v>
      </c>
      <c r="J244" s="141">
        <v>103225</v>
      </c>
      <c r="K244" s="141">
        <v>1435000</v>
      </c>
      <c r="L244" s="141">
        <v>27876941</v>
      </c>
      <c r="M244" s="141">
        <v>0</v>
      </c>
      <c r="N244" s="141">
        <v>0</v>
      </c>
      <c r="O244" s="141">
        <v>0</v>
      </c>
      <c r="P244" s="141">
        <v>0</v>
      </c>
      <c r="Q244" s="141">
        <v>-2066870</v>
      </c>
      <c r="R244" s="141">
        <v>0</v>
      </c>
      <c r="S244" s="141">
        <v>-9292708</v>
      </c>
      <c r="T244" s="141">
        <v>-13939063</v>
      </c>
      <c r="U244" s="141">
        <v>0</v>
      </c>
      <c r="V244" s="141">
        <v>-421411</v>
      </c>
      <c r="W244" s="141">
        <v>-1003934</v>
      </c>
      <c r="X244" s="141">
        <v>-26723986</v>
      </c>
      <c r="Y244" s="857">
        <v>2111999</v>
      </c>
      <c r="Z244" t="s">
        <v>1810</v>
      </c>
    </row>
    <row r="245" spans="1:26" ht="12.75" x14ac:dyDescent="0.2">
      <c r="A245" s="764">
        <v>238</v>
      </c>
      <c r="B245" s="765" t="s">
        <v>365</v>
      </c>
      <c r="C245" s="766" t="s">
        <v>1217</v>
      </c>
      <c r="D245" s="767" t="s">
        <v>1220</v>
      </c>
      <c r="E245" s="768" t="s">
        <v>364</v>
      </c>
      <c r="F245" s="141">
        <v>-655758</v>
      </c>
      <c r="G245" s="141">
        <v>43434919</v>
      </c>
      <c r="H245" s="141">
        <v>0</v>
      </c>
      <c r="I245" s="141">
        <v>-250780</v>
      </c>
      <c r="J245" s="141">
        <v>545432</v>
      </c>
      <c r="K245" s="141">
        <v>-868698</v>
      </c>
      <c r="L245" s="141">
        <v>42860873</v>
      </c>
      <c r="M245" s="141">
        <v>91385</v>
      </c>
      <c r="N245" s="141">
        <v>0</v>
      </c>
      <c r="O245" s="141">
        <v>991249</v>
      </c>
      <c r="P245" s="141">
        <v>1082634</v>
      </c>
      <c r="Q245" s="141">
        <v>0</v>
      </c>
      <c r="R245" s="141">
        <v>0</v>
      </c>
      <c r="S245" s="141">
        <v>-16321574</v>
      </c>
      <c r="T245" s="141">
        <v>-24482360</v>
      </c>
      <c r="U245" s="141">
        <v>-177094</v>
      </c>
      <c r="V245" s="141">
        <v>0</v>
      </c>
      <c r="W245" s="141">
        <v>0</v>
      </c>
      <c r="X245" s="141">
        <v>-40981028</v>
      </c>
      <c r="Y245" s="857">
        <v>2306721</v>
      </c>
      <c r="Z245" t="s">
        <v>1811</v>
      </c>
    </row>
    <row r="246" spans="1:26" ht="12.75" x14ac:dyDescent="0.2">
      <c r="A246" s="764">
        <v>239</v>
      </c>
      <c r="B246" s="765" t="s">
        <v>367</v>
      </c>
      <c r="C246" s="766" t="s">
        <v>1217</v>
      </c>
      <c r="D246" s="767" t="s">
        <v>1219</v>
      </c>
      <c r="E246" s="768" t="s">
        <v>366</v>
      </c>
      <c r="F246" s="141">
        <v>1114448</v>
      </c>
      <c r="G246" s="141">
        <v>43251968</v>
      </c>
      <c r="H246" s="141">
        <v>0</v>
      </c>
      <c r="I246" s="141">
        <v>-438793</v>
      </c>
      <c r="J246" s="141">
        <v>971126</v>
      </c>
      <c r="K246" s="141">
        <v>-1977474</v>
      </c>
      <c r="L246" s="141">
        <v>41806827</v>
      </c>
      <c r="M246" s="141">
        <v>1157705</v>
      </c>
      <c r="N246" s="141">
        <v>0</v>
      </c>
      <c r="O246" s="141">
        <v>0</v>
      </c>
      <c r="P246" s="141">
        <v>1157705</v>
      </c>
      <c r="Q246" s="141">
        <v>0</v>
      </c>
      <c r="R246" s="141">
        <v>-21377736</v>
      </c>
      <c r="S246" s="141">
        <v>-4275547</v>
      </c>
      <c r="T246" s="141">
        <v>-17102189</v>
      </c>
      <c r="U246" s="141">
        <v>-299947</v>
      </c>
      <c r="V246" s="141">
        <v>0</v>
      </c>
      <c r="W246" s="141">
        <v>-128268</v>
      </c>
      <c r="X246" s="141">
        <v>-43183687</v>
      </c>
      <c r="Y246" s="857">
        <v>895293</v>
      </c>
      <c r="Z246" t="s">
        <v>1812</v>
      </c>
    </row>
    <row r="247" spans="1:26" ht="12.75" x14ac:dyDescent="0.2">
      <c r="A247" s="764">
        <v>240</v>
      </c>
      <c r="B247" s="765" t="s">
        <v>369</v>
      </c>
      <c r="C247" s="766" t="s">
        <v>1217</v>
      </c>
      <c r="D247" s="767" t="s">
        <v>1221</v>
      </c>
      <c r="E247" s="768" t="s">
        <v>368</v>
      </c>
      <c r="F247" s="141">
        <v>-1967857</v>
      </c>
      <c r="G247" s="141">
        <v>30868339</v>
      </c>
      <c r="H247" s="141">
        <v>0</v>
      </c>
      <c r="I247" s="141">
        <v>-225000</v>
      </c>
      <c r="J247" s="141">
        <v>1110910</v>
      </c>
      <c r="K247" s="141">
        <v>-1590473</v>
      </c>
      <c r="L247" s="141">
        <v>30163776</v>
      </c>
      <c r="M247" s="141">
        <v>0</v>
      </c>
      <c r="N247" s="141">
        <v>0</v>
      </c>
      <c r="O247" s="141">
        <v>3497632</v>
      </c>
      <c r="P247" s="141">
        <v>3497632</v>
      </c>
      <c r="Q247" s="141">
        <v>-84949</v>
      </c>
      <c r="R247" s="141">
        <v>-14689578</v>
      </c>
      <c r="S247" s="141">
        <v>-3005367</v>
      </c>
      <c r="T247" s="141">
        <v>-12021468</v>
      </c>
      <c r="U247" s="141">
        <v>-172511</v>
      </c>
      <c r="V247" s="141">
        <v>0</v>
      </c>
      <c r="W247" s="141">
        <v>0</v>
      </c>
      <c r="X247" s="141">
        <v>-29973873</v>
      </c>
      <c r="Y247" s="857">
        <v>1719678</v>
      </c>
      <c r="Z247" t="s">
        <v>1813</v>
      </c>
    </row>
    <row r="248" spans="1:26" ht="12.75" x14ac:dyDescent="0.2">
      <c r="A248" s="764">
        <v>241</v>
      </c>
      <c r="B248" s="765" t="s">
        <v>371</v>
      </c>
      <c r="C248" s="766" t="s">
        <v>1217</v>
      </c>
      <c r="D248" s="767" t="s">
        <v>1220</v>
      </c>
      <c r="E248" s="768" t="s">
        <v>370</v>
      </c>
      <c r="F248" s="141">
        <v>1220765</v>
      </c>
      <c r="G248" s="141">
        <v>24341283</v>
      </c>
      <c r="H248" s="141">
        <v>-50000</v>
      </c>
      <c r="I248" s="141">
        <v>25729</v>
      </c>
      <c r="J248" s="141">
        <v>176074</v>
      </c>
      <c r="K248" s="141">
        <v>-257886</v>
      </c>
      <c r="L248" s="141">
        <v>24235200</v>
      </c>
      <c r="M248" s="141">
        <v>349496</v>
      </c>
      <c r="N248" s="141">
        <v>0</v>
      </c>
      <c r="O248" s="141">
        <v>0</v>
      </c>
      <c r="P248" s="141">
        <v>349496</v>
      </c>
      <c r="Q248" s="141">
        <v>0</v>
      </c>
      <c r="R248" s="141">
        <v>-11759789</v>
      </c>
      <c r="S248" s="141">
        <v>-2351958</v>
      </c>
      <c r="T248" s="141">
        <v>-9407831</v>
      </c>
      <c r="U248" s="141">
        <v>-367481</v>
      </c>
      <c r="V248" s="141">
        <v>-118450</v>
      </c>
      <c r="W248" s="141">
        <v>-1279981</v>
      </c>
      <c r="X248" s="141">
        <v>-25285490</v>
      </c>
      <c r="Y248" s="857">
        <v>519971</v>
      </c>
      <c r="Z248" t="s">
        <v>1814</v>
      </c>
    </row>
    <row r="249" spans="1:26" ht="12.75" x14ac:dyDescent="0.2">
      <c r="A249" s="764">
        <v>242</v>
      </c>
      <c r="B249" s="765" t="s">
        <v>373</v>
      </c>
      <c r="C249" s="766" t="s">
        <v>1217</v>
      </c>
      <c r="D249" s="767" t="s">
        <v>1218</v>
      </c>
      <c r="E249" s="768" t="s">
        <v>372</v>
      </c>
      <c r="F249" s="141">
        <v>-1275316</v>
      </c>
      <c r="G249" s="141">
        <v>45724282</v>
      </c>
      <c r="H249" s="141">
        <v>0</v>
      </c>
      <c r="I249" s="141">
        <v>-586430</v>
      </c>
      <c r="J249" s="141">
        <v>1080148</v>
      </c>
      <c r="K249" s="141">
        <v>-2581478</v>
      </c>
      <c r="L249" s="141">
        <v>43636522</v>
      </c>
      <c r="M249" s="141">
        <v>811255</v>
      </c>
      <c r="N249" s="141">
        <v>0</v>
      </c>
      <c r="O249" s="141">
        <v>694684</v>
      </c>
      <c r="P249" s="141">
        <v>1505939</v>
      </c>
      <c r="Q249" s="141">
        <v>0</v>
      </c>
      <c r="R249" s="141">
        <v>-21794379</v>
      </c>
      <c r="S249" s="141">
        <v>-4358876</v>
      </c>
      <c r="T249" s="141">
        <v>-17435503</v>
      </c>
      <c r="U249" s="141">
        <v>-308192</v>
      </c>
      <c r="V249" s="141">
        <v>0</v>
      </c>
      <c r="W249" s="141">
        <v>0</v>
      </c>
      <c r="X249" s="141">
        <v>-43896950</v>
      </c>
      <c r="Y249" s="857">
        <v>-29805</v>
      </c>
      <c r="Z249" t="s">
        <v>1815</v>
      </c>
    </row>
    <row r="250" spans="1:26" ht="12.75" x14ac:dyDescent="0.2">
      <c r="A250" s="764">
        <v>243</v>
      </c>
      <c r="B250" s="765" t="s">
        <v>375</v>
      </c>
      <c r="C250" s="766" t="s">
        <v>1217</v>
      </c>
      <c r="D250" s="767" t="s">
        <v>1219</v>
      </c>
      <c r="E250" s="768" t="s">
        <v>374</v>
      </c>
      <c r="F250" s="141">
        <v>470244</v>
      </c>
      <c r="G250" s="141">
        <v>36419559</v>
      </c>
      <c r="H250" s="141">
        <v>-4605</v>
      </c>
      <c r="I250" s="141">
        <v>-310130</v>
      </c>
      <c r="J250" s="141">
        <v>1480685</v>
      </c>
      <c r="K250" s="141">
        <v>-2230685</v>
      </c>
      <c r="L250" s="141">
        <v>35354824</v>
      </c>
      <c r="M250" s="141">
        <v>0</v>
      </c>
      <c r="N250" s="141">
        <v>0</v>
      </c>
      <c r="O250" s="141">
        <v>135493</v>
      </c>
      <c r="P250" s="141">
        <v>135493</v>
      </c>
      <c r="Q250" s="141">
        <v>-956315</v>
      </c>
      <c r="R250" s="141">
        <v>-16983013</v>
      </c>
      <c r="S250" s="141">
        <v>-3396602</v>
      </c>
      <c r="T250" s="141">
        <v>-13586410</v>
      </c>
      <c r="U250" s="141">
        <v>-576454</v>
      </c>
      <c r="V250" s="141">
        <v>0</v>
      </c>
      <c r="W250" s="141">
        <v>0</v>
      </c>
      <c r="X250" s="141">
        <v>-35498794</v>
      </c>
      <c r="Y250" s="857">
        <v>461767</v>
      </c>
      <c r="Z250" t="s">
        <v>1816</v>
      </c>
    </row>
    <row r="251" spans="1:26" ht="12.75" x14ac:dyDescent="0.2">
      <c r="A251" s="764">
        <v>244</v>
      </c>
      <c r="B251" s="765" t="s">
        <v>377</v>
      </c>
      <c r="C251" s="766" t="s">
        <v>1217</v>
      </c>
      <c r="D251" s="767" t="s">
        <v>1226</v>
      </c>
      <c r="E251" s="768" t="s">
        <v>376</v>
      </c>
      <c r="F251" s="141">
        <v>-2591882</v>
      </c>
      <c r="G251" s="141">
        <v>45914003</v>
      </c>
      <c r="H251" s="141">
        <v>0</v>
      </c>
      <c r="I251" s="141">
        <v>-329700</v>
      </c>
      <c r="J251" s="141">
        <v>147793</v>
      </c>
      <c r="K251" s="141">
        <v>-1119984</v>
      </c>
      <c r="L251" s="141">
        <v>44612112</v>
      </c>
      <c r="M251" s="141">
        <v>1576914</v>
      </c>
      <c r="N251" s="141">
        <v>0</v>
      </c>
      <c r="O251" s="141">
        <v>2396957</v>
      </c>
      <c r="P251" s="141">
        <v>3973871</v>
      </c>
      <c r="Q251" s="141">
        <v>-2198419</v>
      </c>
      <c r="R251" s="141">
        <v>-20800321</v>
      </c>
      <c r="S251" s="141">
        <v>-4160064</v>
      </c>
      <c r="T251" s="141">
        <v>-16640257</v>
      </c>
      <c r="U251" s="141">
        <v>-497652</v>
      </c>
      <c r="V251" s="141">
        <v>-213181</v>
      </c>
      <c r="W251" s="141">
        <v>0</v>
      </c>
      <c r="X251" s="141">
        <v>-44509894</v>
      </c>
      <c r="Y251" s="857">
        <v>1484207</v>
      </c>
      <c r="Z251" t="s">
        <v>1817</v>
      </c>
    </row>
    <row r="252" spans="1:26" ht="12.75" x14ac:dyDescent="0.2">
      <c r="A252" s="764">
        <v>245</v>
      </c>
      <c r="B252" s="765" t="s">
        <v>379</v>
      </c>
      <c r="C252" s="766" t="s">
        <v>1217</v>
      </c>
      <c r="D252" s="767" t="s">
        <v>1227</v>
      </c>
      <c r="E252" s="768" t="s">
        <v>378</v>
      </c>
      <c r="F252" s="141">
        <v>412364</v>
      </c>
      <c r="G252" s="141">
        <v>25857489</v>
      </c>
      <c r="H252" s="141">
        <v>0</v>
      </c>
      <c r="I252" s="141">
        <v>0</v>
      </c>
      <c r="J252" s="141">
        <v>693273</v>
      </c>
      <c r="K252" s="141">
        <v>-866341</v>
      </c>
      <c r="L252" s="141">
        <v>25684421</v>
      </c>
      <c r="M252" s="141">
        <v>180632</v>
      </c>
      <c r="N252" s="141">
        <v>39299</v>
      </c>
      <c r="O252" s="141">
        <v>0</v>
      </c>
      <c r="P252" s="141">
        <v>219931</v>
      </c>
      <c r="Q252" s="141">
        <v>0</v>
      </c>
      <c r="R252" s="141">
        <v>-10939658</v>
      </c>
      <c r="S252" s="141">
        <v>-2389446</v>
      </c>
      <c r="T252" s="141">
        <v>-8777175</v>
      </c>
      <c r="U252" s="141">
        <v>-3479918</v>
      </c>
      <c r="V252" s="141">
        <v>0</v>
      </c>
      <c r="W252" s="141">
        <v>-41154</v>
      </c>
      <c r="X252" s="141">
        <v>-25627351</v>
      </c>
      <c r="Y252" s="857">
        <v>689365</v>
      </c>
      <c r="Z252" t="s">
        <v>1818</v>
      </c>
    </row>
    <row r="253" spans="1:26" ht="12.75" x14ac:dyDescent="0.2">
      <c r="A253" s="764">
        <v>246</v>
      </c>
      <c r="B253" s="765" t="s">
        <v>381</v>
      </c>
      <c r="C253" s="766" t="s">
        <v>1224</v>
      </c>
      <c r="D253" s="767" t="s">
        <v>1229</v>
      </c>
      <c r="E253" s="768" t="s">
        <v>380</v>
      </c>
      <c r="F253" s="141">
        <v>-2329166</v>
      </c>
      <c r="G253" s="141">
        <v>30900000</v>
      </c>
      <c r="H253" s="141">
        <v>-220000</v>
      </c>
      <c r="I253" s="141">
        <v>-80000</v>
      </c>
      <c r="J253" s="141">
        <v>1000000</v>
      </c>
      <c r="K253" s="141">
        <v>-1250000</v>
      </c>
      <c r="L253" s="141">
        <v>30350000</v>
      </c>
      <c r="M253" s="141">
        <v>815311</v>
      </c>
      <c r="N253" s="141">
        <v>149091</v>
      </c>
      <c r="O253" s="141">
        <v>1621105</v>
      </c>
      <c r="P253" s="141">
        <v>2585507</v>
      </c>
      <c r="Q253" s="141">
        <v>-2002769</v>
      </c>
      <c r="R253" s="141">
        <v>-14782924</v>
      </c>
      <c r="S253" s="141">
        <v>-295658</v>
      </c>
      <c r="T253" s="141">
        <v>-14487265</v>
      </c>
      <c r="U253" s="141">
        <v>-149091</v>
      </c>
      <c r="V253" s="141">
        <v>0</v>
      </c>
      <c r="W253" s="141">
        <v>0</v>
      </c>
      <c r="X253" s="141">
        <v>-31717707</v>
      </c>
      <c r="Y253" s="857">
        <v>-1111366</v>
      </c>
      <c r="Z253" t="s">
        <v>1819</v>
      </c>
    </row>
    <row r="254" spans="1:26" ht="12.75" x14ac:dyDescent="0.2">
      <c r="A254" s="764">
        <v>247</v>
      </c>
      <c r="B254" s="765" t="s">
        <v>383</v>
      </c>
      <c r="C254" s="766" t="s">
        <v>529</v>
      </c>
      <c r="D254" s="767" t="s">
        <v>1218</v>
      </c>
      <c r="E254" s="768" t="s">
        <v>579</v>
      </c>
      <c r="F254" s="141">
        <v>3541909</v>
      </c>
      <c r="G254" s="141">
        <v>111773952</v>
      </c>
      <c r="H254" s="141">
        <v>-4032352</v>
      </c>
      <c r="I254" s="141">
        <v>1235134</v>
      </c>
      <c r="J254" s="141">
        <v>4992977</v>
      </c>
      <c r="K254" s="141">
        <v>-5425940</v>
      </c>
      <c r="L254" s="141">
        <v>108543771</v>
      </c>
      <c r="M254" s="141">
        <v>0</v>
      </c>
      <c r="N254" s="141">
        <v>0</v>
      </c>
      <c r="O254" s="141">
        <v>0</v>
      </c>
      <c r="P254" s="141">
        <v>0</v>
      </c>
      <c r="Q254" s="141">
        <v>-1865251</v>
      </c>
      <c r="R254" s="141">
        <v>0</v>
      </c>
      <c r="S254" s="141">
        <v>-1053757</v>
      </c>
      <c r="T254" s="141">
        <v>-104321943</v>
      </c>
      <c r="U254" s="141">
        <v>-311121</v>
      </c>
      <c r="V254" s="141">
        <v>0</v>
      </c>
      <c r="W254" s="141">
        <v>-1435237</v>
      </c>
      <c r="X254" s="141">
        <v>-108987309</v>
      </c>
      <c r="Y254" s="857">
        <v>3098371</v>
      </c>
      <c r="Z254" t="s">
        <v>1820</v>
      </c>
    </row>
    <row r="255" spans="1:26" ht="12.75" x14ac:dyDescent="0.2">
      <c r="A255" s="764">
        <v>248</v>
      </c>
      <c r="B255" s="765" t="s">
        <v>385</v>
      </c>
      <c r="C255" s="766" t="s">
        <v>529</v>
      </c>
      <c r="D255" s="767" t="s">
        <v>1221</v>
      </c>
      <c r="E255" s="768" t="s">
        <v>572</v>
      </c>
      <c r="F255" s="141">
        <v>-1675390.7700000033</v>
      </c>
      <c r="G255" s="141">
        <v>46585104</v>
      </c>
      <c r="H255" s="141">
        <v>-114367</v>
      </c>
      <c r="I255" s="141">
        <v>-370016</v>
      </c>
      <c r="J255" s="141">
        <v>782147</v>
      </c>
      <c r="K255" s="141">
        <v>-1829229</v>
      </c>
      <c r="L255" s="141">
        <v>45053639</v>
      </c>
      <c r="M255" s="141">
        <v>1179158</v>
      </c>
      <c r="N255" s="141">
        <v>0</v>
      </c>
      <c r="O255" s="141">
        <v>1371211</v>
      </c>
      <c r="P255" s="141">
        <v>2550369</v>
      </c>
      <c r="Q255" s="141">
        <v>-2597491</v>
      </c>
      <c r="R255" s="141">
        <v>-21397170</v>
      </c>
      <c r="S255" s="141">
        <v>-427943</v>
      </c>
      <c r="T255" s="141">
        <v>-20969226</v>
      </c>
      <c r="U255" s="141">
        <v>-232831</v>
      </c>
      <c r="V255" s="141">
        <v>0</v>
      </c>
      <c r="W255" s="141">
        <v>0</v>
      </c>
      <c r="X255" s="141">
        <v>-45624661</v>
      </c>
      <c r="Y255" s="857">
        <v>303956.22999999672</v>
      </c>
      <c r="Z255" t="s">
        <v>1821</v>
      </c>
    </row>
    <row r="256" spans="1:26" ht="12.75" x14ac:dyDescent="0.2">
      <c r="A256" s="764">
        <v>249</v>
      </c>
      <c r="B256" s="765" t="s">
        <v>387</v>
      </c>
      <c r="C256" s="766" t="s">
        <v>1228</v>
      </c>
      <c r="D256" s="767" t="s">
        <v>1223</v>
      </c>
      <c r="E256" s="768" t="s">
        <v>386</v>
      </c>
      <c r="F256" s="141">
        <v>17084350</v>
      </c>
      <c r="G256" s="141">
        <v>311218993</v>
      </c>
      <c r="H256" s="141">
        <v>0</v>
      </c>
      <c r="I256" s="141">
        <v>-2043441</v>
      </c>
      <c r="J256" s="141">
        <v>10000000</v>
      </c>
      <c r="K256" s="141">
        <v>-5224574</v>
      </c>
      <c r="L256" s="141">
        <v>313950978</v>
      </c>
      <c r="M256" s="141">
        <v>15841126</v>
      </c>
      <c r="N256" s="141">
        <v>0</v>
      </c>
      <c r="O256" s="141">
        <v>0</v>
      </c>
      <c r="P256" s="141">
        <v>15841126</v>
      </c>
      <c r="Q256" s="141">
        <v>0</v>
      </c>
      <c r="R256" s="141">
        <v>0</v>
      </c>
      <c r="S256" s="141">
        <v>-118466309</v>
      </c>
      <c r="T256" s="141">
        <v>-210606771</v>
      </c>
      <c r="U256" s="141">
        <v>-719814</v>
      </c>
      <c r="V256" s="141">
        <v>0</v>
      </c>
      <c r="W256" s="141">
        <v>-13222664</v>
      </c>
      <c r="X256" s="141">
        <v>-343015558</v>
      </c>
      <c r="Y256" s="857">
        <v>3860896</v>
      </c>
      <c r="Z256" t="s">
        <v>1822</v>
      </c>
    </row>
    <row r="257" spans="1:26" ht="12.75" x14ac:dyDescent="0.2">
      <c r="A257" s="764">
        <v>250</v>
      </c>
      <c r="B257" s="765" t="s">
        <v>389</v>
      </c>
      <c r="C257" s="766" t="s">
        <v>1217</v>
      </c>
      <c r="D257" s="767" t="s">
        <v>1218</v>
      </c>
      <c r="E257" s="768" t="s">
        <v>388</v>
      </c>
      <c r="F257" s="141">
        <v>-7363039</v>
      </c>
      <c r="G257" s="141">
        <v>50937000</v>
      </c>
      <c r="H257" s="141">
        <v>0</v>
      </c>
      <c r="I257" s="141">
        <v>-515000</v>
      </c>
      <c r="J257" s="141">
        <v>611000</v>
      </c>
      <c r="K257" s="141">
        <v>2366000</v>
      </c>
      <c r="L257" s="141">
        <v>53399000</v>
      </c>
      <c r="M257" s="141">
        <v>491000</v>
      </c>
      <c r="N257" s="141">
        <v>0</v>
      </c>
      <c r="O257" s="141">
        <v>4906879</v>
      </c>
      <c r="P257" s="141">
        <v>5397879</v>
      </c>
      <c r="Q257" s="141">
        <v>0</v>
      </c>
      <c r="R257" s="141">
        <v>0</v>
      </c>
      <c r="S257" s="141">
        <v>-32930000</v>
      </c>
      <c r="T257" s="141">
        <v>-14113000</v>
      </c>
      <c r="U257" s="141">
        <v>0</v>
      </c>
      <c r="V257" s="141">
        <v>-126000</v>
      </c>
      <c r="W257" s="141">
        <v>0</v>
      </c>
      <c r="X257" s="141">
        <v>-47169000</v>
      </c>
      <c r="Y257" s="857">
        <v>4264840</v>
      </c>
      <c r="Z257" t="s">
        <v>1823</v>
      </c>
    </row>
    <row r="258" spans="1:26" ht="12.75" x14ac:dyDescent="0.2">
      <c r="A258" s="764">
        <v>251</v>
      </c>
      <c r="B258" s="765" t="s">
        <v>391</v>
      </c>
      <c r="C258" s="766" t="s">
        <v>1217</v>
      </c>
      <c r="D258" s="767" t="s">
        <v>1221</v>
      </c>
      <c r="E258" s="768" t="s">
        <v>390</v>
      </c>
      <c r="F258" s="141">
        <v>-3561736</v>
      </c>
      <c r="G258" s="141">
        <v>61950630</v>
      </c>
      <c r="H258" s="141">
        <v>0</v>
      </c>
      <c r="I258" s="141">
        <v>-300000</v>
      </c>
      <c r="J258" s="141">
        <v>6873730</v>
      </c>
      <c r="K258" s="141">
        <v>-4459500</v>
      </c>
      <c r="L258" s="141">
        <v>64064860</v>
      </c>
      <c r="M258" s="141">
        <v>673472</v>
      </c>
      <c r="N258" s="141">
        <v>0</v>
      </c>
      <c r="O258" s="141">
        <v>3660571</v>
      </c>
      <c r="P258" s="141">
        <v>4334043</v>
      </c>
      <c r="Q258" s="141">
        <v>-460303</v>
      </c>
      <c r="R258" s="141">
        <v>-30367323</v>
      </c>
      <c r="S258" s="141">
        <v>-6073465</v>
      </c>
      <c r="T258" s="141">
        <v>-24293858</v>
      </c>
      <c r="U258" s="141">
        <v>-230380</v>
      </c>
      <c r="V258" s="141">
        <v>0</v>
      </c>
      <c r="W258" s="141">
        <v>0</v>
      </c>
      <c r="X258" s="141">
        <v>-61425329</v>
      </c>
      <c r="Y258" s="857">
        <v>3411838</v>
      </c>
      <c r="Z258" t="s">
        <v>1824</v>
      </c>
    </row>
    <row r="259" spans="1:26" ht="12.75" x14ac:dyDescent="0.2">
      <c r="A259" s="764">
        <v>252</v>
      </c>
      <c r="B259" s="765" t="s">
        <v>395</v>
      </c>
      <c r="C259" s="766" t="s">
        <v>1224</v>
      </c>
      <c r="D259" s="767" t="s">
        <v>1219</v>
      </c>
      <c r="E259" s="768" t="s">
        <v>895</v>
      </c>
      <c r="F259" s="141">
        <v>1449599</v>
      </c>
      <c r="G259" s="141">
        <v>52433147</v>
      </c>
      <c r="H259" s="141">
        <v>-520000</v>
      </c>
      <c r="I259" s="141">
        <v>-780000</v>
      </c>
      <c r="J259" s="141">
        <v>262000</v>
      </c>
      <c r="K259" s="141">
        <v>-1961273</v>
      </c>
      <c r="L259" s="141">
        <v>49433874</v>
      </c>
      <c r="M259" s="141">
        <v>0</v>
      </c>
      <c r="N259" s="141">
        <v>0</v>
      </c>
      <c r="O259" s="141">
        <v>0</v>
      </c>
      <c r="P259" s="141">
        <v>0</v>
      </c>
      <c r="Q259" s="141">
        <v>-1602847</v>
      </c>
      <c r="R259" s="141">
        <v>0</v>
      </c>
      <c r="S259" s="141">
        <v>-468515</v>
      </c>
      <c r="T259" s="141">
        <v>-46383007</v>
      </c>
      <c r="U259" s="141">
        <v>-189442</v>
      </c>
      <c r="V259" s="141">
        <v>0</v>
      </c>
      <c r="W259" s="141">
        <v>-1331581</v>
      </c>
      <c r="X259" s="141">
        <v>-49975392</v>
      </c>
      <c r="Y259" s="857">
        <v>908081</v>
      </c>
      <c r="Z259" t="s">
        <v>1825</v>
      </c>
    </row>
    <row r="260" spans="1:26" ht="12.75" x14ac:dyDescent="0.2">
      <c r="A260" s="764">
        <v>253</v>
      </c>
      <c r="B260" s="765" t="s">
        <v>397</v>
      </c>
      <c r="C260" s="766" t="s">
        <v>1217</v>
      </c>
      <c r="D260" s="767" t="s">
        <v>1227</v>
      </c>
      <c r="E260" s="768" t="s">
        <v>396</v>
      </c>
      <c r="F260" s="141">
        <v>461160</v>
      </c>
      <c r="G260" s="141">
        <v>50979512</v>
      </c>
      <c r="H260" s="141">
        <v>0</v>
      </c>
      <c r="I260" s="141">
        <v>-500000</v>
      </c>
      <c r="J260" s="141">
        <v>1711175</v>
      </c>
      <c r="K260" s="141">
        <v>-2641620</v>
      </c>
      <c r="L260" s="141">
        <v>49549067</v>
      </c>
      <c r="M260" s="141">
        <v>102464</v>
      </c>
      <c r="N260" s="141">
        <v>0</v>
      </c>
      <c r="O260" s="141">
        <v>197001</v>
      </c>
      <c r="P260" s="141">
        <v>299465</v>
      </c>
      <c r="Q260" s="141">
        <v>0</v>
      </c>
      <c r="R260" s="141">
        <v>-24293760</v>
      </c>
      <c r="S260" s="141">
        <v>-4858752</v>
      </c>
      <c r="T260" s="141">
        <v>-19435008</v>
      </c>
      <c r="U260" s="141">
        <v>0</v>
      </c>
      <c r="V260" s="141">
        <v>-167669</v>
      </c>
      <c r="W260" s="141">
        <v>0</v>
      </c>
      <c r="X260" s="141">
        <v>-48755189</v>
      </c>
      <c r="Y260" s="857">
        <v>1554503</v>
      </c>
      <c r="Z260" t="s">
        <v>1826</v>
      </c>
    </row>
    <row r="261" spans="1:26" ht="12.75" x14ac:dyDescent="0.2">
      <c r="A261" s="764">
        <v>254</v>
      </c>
      <c r="B261" s="765" t="s">
        <v>399</v>
      </c>
      <c r="C261" s="766" t="s">
        <v>1217</v>
      </c>
      <c r="D261" s="767" t="s">
        <v>1227</v>
      </c>
      <c r="E261" s="768" t="s">
        <v>398</v>
      </c>
      <c r="F261" s="141">
        <v>-1832703</v>
      </c>
      <c r="G261" s="141">
        <v>20042016</v>
      </c>
      <c r="H261" s="141">
        <v>0</v>
      </c>
      <c r="I261" s="141">
        <v>28985</v>
      </c>
      <c r="J261" s="141">
        <v>0</v>
      </c>
      <c r="K261" s="141">
        <v>-1383016</v>
      </c>
      <c r="L261" s="141">
        <v>18687985</v>
      </c>
      <c r="M261" s="141">
        <v>1146157</v>
      </c>
      <c r="N261" s="141">
        <v>0</v>
      </c>
      <c r="O261" s="141">
        <v>1544879</v>
      </c>
      <c r="P261" s="141">
        <v>2691036</v>
      </c>
      <c r="Q261" s="141">
        <v>0</v>
      </c>
      <c r="R261" s="141">
        <v>-10048825</v>
      </c>
      <c r="S261" s="141">
        <v>-2009766</v>
      </c>
      <c r="T261" s="141">
        <v>-8039061</v>
      </c>
      <c r="U261" s="141">
        <v>-114939</v>
      </c>
      <c r="V261" s="141">
        <v>0</v>
      </c>
      <c r="W261" s="141">
        <v>0</v>
      </c>
      <c r="X261" s="141">
        <v>-20212591</v>
      </c>
      <c r="Y261" s="857">
        <v>-666273</v>
      </c>
      <c r="Z261" t="s">
        <v>1827</v>
      </c>
    </row>
    <row r="262" spans="1:26" ht="12.75" x14ac:dyDescent="0.2">
      <c r="A262" s="764">
        <v>255</v>
      </c>
      <c r="B262" s="765" t="s">
        <v>401</v>
      </c>
      <c r="C262" s="766" t="s">
        <v>1217</v>
      </c>
      <c r="D262" s="767" t="s">
        <v>1221</v>
      </c>
      <c r="E262" s="768" t="s">
        <v>400</v>
      </c>
      <c r="F262" s="141">
        <v>1028133</v>
      </c>
      <c r="G262" s="141">
        <v>45350740</v>
      </c>
      <c r="H262" s="141">
        <v>0</v>
      </c>
      <c r="I262" s="141">
        <v>-100000</v>
      </c>
      <c r="J262" s="141">
        <v>2587856</v>
      </c>
      <c r="K262" s="141">
        <v>-2820000</v>
      </c>
      <c r="L262" s="141">
        <v>45018596</v>
      </c>
      <c r="M262" s="141">
        <v>0</v>
      </c>
      <c r="N262" s="141">
        <v>0</v>
      </c>
      <c r="O262" s="141">
        <v>0</v>
      </c>
      <c r="P262" s="141">
        <v>0</v>
      </c>
      <c r="Q262" s="141">
        <v>-1203444</v>
      </c>
      <c r="R262" s="141">
        <v>-21854042</v>
      </c>
      <c r="S262" s="141">
        <v>-4370808</v>
      </c>
      <c r="T262" s="141">
        <v>-17483234</v>
      </c>
      <c r="U262" s="141">
        <v>-107068</v>
      </c>
      <c r="V262" s="141">
        <v>0</v>
      </c>
      <c r="W262" s="141">
        <v>-75732</v>
      </c>
      <c r="X262" s="141">
        <v>-45094328</v>
      </c>
      <c r="Y262" s="857">
        <v>952401</v>
      </c>
      <c r="Z262" t="s">
        <v>1828</v>
      </c>
    </row>
    <row r="263" spans="1:26" ht="12.75" x14ac:dyDescent="0.2">
      <c r="A263" s="764">
        <v>256</v>
      </c>
      <c r="B263" s="765" t="s">
        <v>403</v>
      </c>
      <c r="C263" s="766" t="s">
        <v>1224</v>
      </c>
      <c r="D263" s="767" t="s">
        <v>1219</v>
      </c>
      <c r="E263" s="768" t="s">
        <v>402</v>
      </c>
      <c r="F263" s="141">
        <v>-2442838.0300000012</v>
      </c>
      <c r="G263" s="141">
        <v>92549000</v>
      </c>
      <c r="H263" s="141">
        <v>0</v>
      </c>
      <c r="I263" s="141">
        <v>-2162000</v>
      </c>
      <c r="J263" s="141">
        <v>0</v>
      </c>
      <c r="K263" s="141">
        <v>-4409075</v>
      </c>
      <c r="L263" s="141">
        <v>85977925</v>
      </c>
      <c r="M263" s="141">
        <v>0</v>
      </c>
      <c r="N263" s="141">
        <v>0</v>
      </c>
      <c r="O263" s="141">
        <v>2663724</v>
      </c>
      <c r="P263" s="141">
        <v>2663724</v>
      </c>
      <c r="Q263" s="141">
        <v>-4698714</v>
      </c>
      <c r="R263" s="141">
        <v>0</v>
      </c>
      <c r="S263" s="141">
        <v>-809370</v>
      </c>
      <c r="T263" s="141">
        <v>-80127676</v>
      </c>
      <c r="U263" s="141">
        <v>-429558</v>
      </c>
      <c r="V263" s="141">
        <v>0</v>
      </c>
      <c r="W263" s="141">
        <v>0</v>
      </c>
      <c r="X263" s="141">
        <v>-86065318</v>
      </c>
      <c r="Y263" s="857">
        <v>133492.96999999881</v>
      </c>
      <c r="Z263" t="s">
        <v>1829</v>
      </c>
    </row>
    <row r="264" spans="1:26" ht="12.75" x14ac:dyDescent="0.2">
      <c r="A264" s="764">
        <v>257</v>
      </c>
      <c r="B264" s="765" t="s">
        <v>405</v>
      </c>
      <c r="C264" s="766" t="s">
        <v>529</v>
      </c>
      <c r="D264" s="767" t="s">
        <v>1229</v>
      </c>
      <c r="E264" s="768" t="s">
        <v>555</v>
      </c>
      <c r="F264" s="141">
        <v>7379742.5</v>
      </c>
      <c r="G264" s="141">
        <v>87786097</v>
      </c>
      <c r="H264" s="141">
        <v>0</v>
      </c>
      <c r="I264" s="141">
        <v>0</v>
      </c>
      <c r="J264" s="141">
        <v>1333079</v>
      </c>
      <c r="K264" s="141">
        <v>-6840079</v>
      </c>
      <c r="L264" s="141">
        <v>82279097</v>
      </c>
      <c r="M264" s="141">
        <v>0</v>
      </c>
      <c r="N264" s="141">
        <v>0</v>
      </c>
      <c r="O264" s="141">
        <v>0</v>
      </c>
      <c r="P264" s="141">
        <v>0</v>
      </c>
      <c r="Q264" s="141">
        <v>-3326618</v>
      </c>
      <c r="R264" s="141">
        <v>-39296288</v>
      </c>
      <c r="S264" s="141">
        <v>-864149</v>
      </c>
      <c r="T264" s="141">
        <v>-38538630</v>
      </c>
      <c r="U264" s="141">
        <v>-158884</v>
      </c>
      <c r="V264" s="141">
        <v>-366643</v>
      </c>
      <c r="W264" s="141">
        <v>-7712330</v>
      </c>
      <c r="X264" s="141">
        <v>-90263542</v>
      </c>
      <c r="Y264" s="857">
        <v>-604702.5</v>
      </c>
      <c r="Z264" t="s">
        <v>1830</v>
      </c>
    </row>
    <row r="265" spans="1:26" ht="12.75" x14ac:dyDescent="0.2">
      <c r="A265" s="764">
        <v>258</v>
      </c>
      <c r="B265" s="765" t="s">
        <v>407</v>
      </c>
      <c r="C265" s="766" t="s">
        <v>529</v>
      </c>
      <c r="D265" s="767" t="s">
        <v>1227</v>
      </c>
      <c r="E265" s="768" t="s">
        <v>612</v>
      </c>
      <c r="F265" s="141">
        <v>-2250605</v>
      </c>
      <c r="G265" s="141">
        <v>93818444</v>
      </c>
      <c r="H265" s="141">
        <v>0</v>
      </c>
      <c r="I265" s="141">
        <v>-1982909</v>
      </c>
      <c r="J265" s="141">
        <v>0</v>
      </c>
      <c r="K265" s="141">
        <v>-125333</v>
      </c>
      <c r="L265" s="141">
        <v>91710202</v>
      </c>
      <c r="M265" s="141">
        <v>0</v>
      </c>
      <c r="N265" s="141">
        <v>0</v>
      </c>
      <c r="O265" s="141">
        <v>0</v>
      </c>
      <c r="P265" s="141">
        <v>0</v>
      </c>
      <c r="Q265" s="141">
        <v>0</v>
      </c>
      <c r="R265" s="141">
        <v>-46458502</v>
      </c>
      <c r="S265" s="141">
        <v>-929170</v>
      </c>
      <c r="T265" s="141">
        <v>-45956669</v>
      </c>
      <c r="U265" s="141">
        <v>0</v>
      </c>
      <c r="V265" s="141">
        <v>0</v>
      </c>
      <c r="W265" s="141">
        <v>-400047</v>
      </c>
      <c r="X265" s="141">
        <v>-93744388</v>
      </c>
      <c r="Y265" s="857">
        <v>-4284791</v>
      </c>
      <c r="Z265" t="s">
        <v>1831</v>
      </c>
    </row>
    <row r="266" spans="1:26" ht="12.75" x14ac:dyDescent="0.2">
      <c r="A266" s="764">
        <v>259</v>
      </c>
      <c r="B266" s="765" t="s">
        <v>409</v>
      </c>
      <c r="C266" s="766" t="s">
        <v>1217</v>
      </c>
      <c r="D266" s="767" t="s">
        <v>1227</v>
      </c>
      <c r="E266" s="768" t="s">
        <v>1899</v>
      </c>
      <c r="F266" s="141">
        <v>-683442</v>
      </c>
      <c r="G266" s="141">
        <v>56450024</v>
      </c>
      <c r="H266" s="141">
        <v>0</v>
      </c>
      <c r="I266" s="141">
        <v>173332</v>
      </c>
      <c r="J266" s="141">
        <v>0</v>
      </c>
      <c r="K266" s="141">
        <v>-3123000</v>
      </c>
      <c r="L266" s="141">
        <v>53500356</v>
      </c>
      <c r="M266" s="141">
        <v>0</v>
      </c>
      <c r="N266" s="141">
        <v>0</v>
      </c>
      <c r="O266" s="141">
        <v>0</v>
      </c>
      <c r="P266" s="141">
        <v>0</v>
      </c>
      <c r="Q266" s="141">
        <v>-73303</v>
      </c>
      <c r="R266" s="141">
        <v>-28486419</v>
      </c>
      <c r="S266" s="141">
        <v>-5697284</v>
      </c>
      <c r="T266" s="141">
        <v>-22789135</v>
      </c>
      <c r="U266" s="141">
        <v>-218788</v>
      </c>
      <c r="V266" s="141">
        <v>0</v>
      </c>
      <c r="W266" s="141">
        <v>-1484115</v>
      </c>
      <c r="X266" s="141">
        <v>-58749044</v>
      </c>
      <c r="Y266" s="857">
        <v>-5932130</v>
      </c>
      <c r="Z266" t="s">
        <v>1832</v>
      </c>
    </row>
    <row r="267" spans="1:26" ht="12.75" x14ac:dyDescent="0.2">
      <c r="A267" s="764">
        <v>260</v>
      </c>
      <c r="B267" s="765" t="s">
        <v>411</v>
      </c>
      <c r="C267" s="766" t="s">
        <v>1217</v>
      </c>
      <c r="D267" s="767" t="s">
        <v>1226</v>
      </c>
      <c r="E267" s="768" t="s">
        <v>410</v>
      </c>
      <c r="F267" s="141">
        <v>-140551</v>
      </c>
      <c r="G267" s="141">
        <v>28464168</v>
      </c>
      <c r="H267" s="141">
        <v>-100000</v>
      </c>
      <c r="I267" s="141">
        <v>-100000</v>
      </c>
      <c r="J267" s="141">
        <v>162000</v>
      </c>
      <c r="K267" s="141">
        <v>-96283</v>
      </c>
      <c r="L267" s="141">
        <v>28329885</v>
      </c>
      <c r="M267" s="141">
        <v>276365</v>
      </c>
      <c r="N267" s="141">
        <v>0</v>
      </c>
      <c r="O267" s="141">
        <v>0</v>
      </c>
      <c r="P267" s="141">
        <v>276365</v>
      </c>
      <c r="Q267" s="141">
        <v>0</v>
      </c>
      <c r="R267" s="141">
        <v>0</v>
      </c>
      <c r="S267" s="141">
        <v>-13849521</v>
      </c>
      <c r="T267" s="141">
        <v>-13849521</v>
      </c>
      <c r="U267" s="141">
        <v>-259585</v>
      </c>
      <c r="V267" s="141">
        <v>0</v>
      </c>
      <c r="W267" s="141">
        <v>-96057</v>
      </c>
      <c r="X267" s="141">
        <v>-28054684</v>
      </c>
      <c r="Y267" s="857">
        <v>411015</v>
      </c>
      <c r="Z267" t="s">
        <v>1833</v>
      </c>
    </row>
    <row r="268" spans="1:26" ht="12.75" x14ac:dyDescent="0.2">
      <c r="A268" s="764">
        <v>261</v>
      </c>
      <c r="B268" s="765" t="s">
        <v>413</v>
      </c>
      <c r="C268" s="766" t="s">
        <v>1224</v>
      </c>
      <c r="D268" s="767" t="s">
        <v>1229</v>
      </c>
      <c r="E268" s="768" t="s">
        <v>412</v>
      </c>
      <c r="F268" s="141">
        <v>1475769</v>
      </c>
      <c r="G268" s="141">
        <v>96550899</v>
      </c>
      <c r="H268" s="141">
        <v>0</v>
      </c>
      <c r="I268" s="141">
        <v>-2391037</v>
      </c>
      <c r="J268" s="141">
        <v>0</v>
      </c>
      <c r="K268" s="141">
        <v>-4495150</v>
      </c>
      <c r="L268" s="141">
        <v>89664712</v>
      </c>
      <c r="M268" s="141">
        <v>2007919</v>
      </c>
      <c r="N268" s="141">
        <v>0</v>
      </c>
      <c r="O268" s="141">
        <v>0</v>
      </c>
      <c r="P268" s="141">
        <v>2007919</v>
      </c>
      <c r="Q268" s="141">
        <v>-4330653</v>
      </c>
      <c r="R268" s="141">
        <v>-43115729</v>
      </c>
      <c r="S268" s="141">
        <v>-862315</v>
      </c>
      <c r="T268" s="141">
        <v>-42253414</v>
      </c>
      <c r="U268" s="141">
        <v>-1110520</v>
      </c>
      <c r="V268" s="141">
        <v>0</v>
      </c>
      <c r="W268" s="141">
        <v>0</v>
      </c>
      <c r="X268" s="141">
        <v>-91672631</v>
      </c>
      <c r="Y268" s="857">
        <v>1475769</v>
      </c>
      <c r="Z268" t="s">
        <v>1834</v>
      </c>
    </row>
    <row r="269" spans="1:26" ht="12.75" x14ac:dyDescent="0.2">
      <c r="A269" s="764">
        <v>262</v>
      </c>
      <c r="B269" s="765" t="s">
        <v>415</v>
      </c>
      <c r="C269" s="766" t="s">
        <v>1217</v>
      </c>
      <c r="D269" s="767" t="s">
        <v>1218</v>
      </c>
      <c r="E269" s="768" t="s">
        <v>414</v>
      </c>
      <c r="F269" s="141">
        <v>-187985</v>
      </c>
      <c r="G269" s="141">
        <v>38680390</v>
      </c>
      <c r="H269" s="141">
        <v>0</v>
      </c>
      <c r="I269" s="141">
        <v>227419</v>
      </c>
      <c r="J269" s="141">
        <v>0</v>
      </c>
      <c r="K269" s="141">
        <v>4100064</v>
      </c>
      <c r="L269" s="141">
        <v>43007873</v>
      </c>
      <c r="M269" s="141">
        <v>0</v>
      </c>
      <c r="N269" s="141">
        <v>0</v>
      </c>
      <c r="O269" s="141">
        <v>0</v>
      </c>
      <c r="P269" s="141">
        <v>0</v>
      </c>
      <c r="Q269" s="141">
        <v>-175161</v>
      </c>
      <c r="R269" s="141">
        <v>0</v>
      </c>
      <c r="S269" s="141">
        <v>-25307275</v>
      </c>
      <c r="T269" s="141">
        <v>-10971074</v>
      </c>
      <c r="U269" s="141">
        <v>0</v>
      </c>
      <c r="V269" s="141">
        <v>0</v>
      </c>
      <c r="W269" s="141">
        <v>-3634422</v>
      </c>
      <c r="X269" s="141">
        <v>-40087932</v>
      </c>
      <c r="Y269" s="857">
        <v>2731956</v>
      </c>
      <c r="Z269" t="s">
        <v>1835</v>
      </c>
    </row>
    <row r="270" spans="1:26" ht="12.75" x14ac:dyDescent="0.2">
      <c r="A270" s="764">
        <v>263</v>
      </c>
      <c r="B270" s="765" t="s">
        <v>417</v>
      </c>
      <c r="C270" s="766" t="s">
        <v>1222</v>
      </c>
      <c r="D270" s="767" t="s">
        <v>1223</v>
      </c>
      <c r="E270" s="768" t="s">
        <v>416</v>
      </c>
      <c r="F270" s="141">
        <v>-5714676.4000000004</v>
      </c>
      <c r="G270" s="141">
        <v>54330790</v>
      </c>
      <c r="H270" s="141">
        <v>0</v>
      </c>
      <c r="I270" s="141">
        <v>-765333</v>
      </c>
      <c r="J270" s="141">
        <v>1210000</v>
      </c>
      <c r="K270" s="141">
        <v>0</v>
      </c>
      <c r="L270" s="141">
        <v>54775457</v>
      </c>
      <c r="M270" s="141">
        <v>1181139</v>
      </c>
      <c r="N270" s="141">
        <v>0</v>
      </c>
      <c r="O270" s="141">
        <v>5189905</v>
      </c>
      <c r="P270" s="141">
        <v>6371044</v>
      </c>
      <c r="Q270" s="141">
        <v>-1134380</v>
      </c>
      <c r="R270" s="141">
        <v>0</v>
      </c>
      <c r="S270" s="141">
        <v>-19320955</v>
      </c>
      <c r="T270" s="141">
        <v>-34348364</v>
      </c>
      <c r="U270" s="141">
        <v>0</v>
      </c>
      <c r="V270" s="141">
        <v>0</v>
      </c>
      <c r="W270" s="141">
        <v>0</v>
      </c>
      <c r="X270" s="141">
        <v>-54803699</v>
      </c>
      <c r="Y270" s="857">
        <v>628125.60000000102</v>
      </c>
      <c r="Z270" t="s">
        <v>1836</v>
      </c>
    </row>
    <row r="271" spans="1:26" ht="12.75" x14ac:dyDescent="0.2">
      <c r="A271" s="764">
        <v>264</v>
      </c>
      <c r="B271" s="765" t="s">
        <v>419</v>
      </c>
      <c r="C271" s="766" t="s">
        <v>1217</v>
      </c>
      <c r="D271" s="767" t="s">
        <v>1218</v>
      </c>
      <c r="E271" s="768" t="s">
        <v>418</v>
      </c>
      <c r="F271" s="141">
        <v>270728.60000000149</v>
      </c>
      <c r="G271" s="141">
        <v>50309673</v>
      </c>
      <c r="H271" s="141">
        <v>-32051</v>
      </c>
      <c r="I271" s="141">
        <v>-496886</v>
      </c>
      <c r="J271" s="141">
        <v>242348</v>
      </c>
      <c r="K271" s="141">
        <v>-2003967</v>
      </c>
      <c r="L271" s="141">
        <v>48019117</v>
      </c>
      <c r="M271" s="141">
        <v>233996</v>
      </c>
      <c r="N271" s="141">
        <v>0</v>
      </c>
      <c r="O271" s="141">
        <v>0</v>
      </c>
      <c r="P271" s="141">
        <v>233996</v>
      </c>
      <c r="Q271" s="141">
        <v>0</v>
      </c>
      <c r="R271" s="141">
        <v>0</v>
      </c>
      <c r="S271" s="141">
        <v>-28285291</v>
      </c>
      <c r="T271" s="141">
        <v>-18856860</v>
      </c>
      <c r="U271" s="141">
        <v>-1419413</v>
      </c>
      <c r="V271" s="141">
        <v>0</v>
      </c>
      <c r="W271" s="141">
        <v>-324603</v>
      </c>
      <c r="X271" s="141">
        <v>-48886167</v>
      </c>
      <c r="Y271" s="857">
        <v>-362325.39999999851</v>
      </c>
      <c r="Z271" t="s">
        <v>1837</v>
      </c>
    </row>
    <row r="272" spans="1:26" ht="12.75" x14ac:dyDescent="0.2">
      <c r="A272" s="764">
        <v>265</v>
      </c>
      <c r="B272" s="765" t="s">
        <v>421</v>
      </c>
      <c r="C272" s="766" t="s">
        <v>529</v>
      </c>
      <c r="D272" s="767" t="s">
        <v>1226</v>
      </c>
      <c r="E272" s="768" t="s">
        <v>619</v>
      </c>
      <c r="F272" s="141">
        <v>3277999</v>
      </c>
      <c r="G272" s="141">
        <v>112767506</v>
      </c>
      <c r="H272" s="141">
        <v>0</v>
      </c>
      <c r="I272" s="141">
        <v>-1465158</v>
      </c>
      <c r="J272" s="141">
        <v>1270018</v>
      </c>
      <c r="K272" s="141">
        <v>-4318720</v>
      </c>
      <c r="L272" s="141">
        <v>108253646</v>
      </c>
      <c r="M272" s="141">
        <v>0</v>
      </c>
      <c r="N272" s="141">
        <v>0</v>
      </c>
      <c r="O272" s="141">
        <v>0</v>
      </c>
      <c r="P272" s="141">
        <v>0</v>
      </c>
      <c r="Q272" s="141">
        <v>-5118862</v>
      </c>
      <c r="R272" s="141">
        <v>-50966791</v>
      </c>
      <c r="S272" s="141">
        <v>-1019336</v>
      </c>
      <c r="T272" s="141">
        <v>-49947455</v>
      </c>
      <c r="U272" s="141">
        <v>-811573</v>
      </c>
      <c r="V272" s="141">
        <v>-30348</v>
      </c>
      <c r="W272" s="141">
        <v>-3545366</v>
      </c>
      <c r="X272" s="141">
        <v>-111439731</v>
      </c>
      <c r="Y272" s="857">
        <v>91914</v>
      </c>
      <c r="Z272" t="s">
        <v>1838</v>
      </c>
    </row>
    <row r="273" spans="1:26" ht="12.75" x14ac:dyDescent="0.2">
      <c r="A273" s="764">
        <v>266</v>
      </c>
      <c r="B273" s="765" t="s">
        <v>423</v>
      </c>
      <c r="C273" s="766" t="s">
        <v>1224</v>
      </c>
      <c r="D273" s="767" t="s">
        <v>1219</v>
      </c>
      <c r="E273" s="768" t="s">
        <v>422</v>
      </c>
      <c r="F273" s="141">
        <v>-62856</v>
      </c>
      <c r="G273" s="141">
        <v>57810467</v>
      </c>
      <c r="H273" s="141">
        <v>0</v>
      </c>
      <c r="I273" s="141">
        <v>-1007075</v>
      </c>
      <c r="J273" s="141">
        <v>781102</v>
      </c>
      <c r="K273" s="141">
        <v>-3059692</v>
      </c>
      <c r="L273" s="141">
        <v>54524802</v>
      </c>
      <c r="M273" s="141">
        <v>0</v>
      </c>
      <c r="N273" s="141">
        <v>10000</v>
      </c>
      <c r="O273" s="141">
        <v>971399</v>
      </c>
      <c r="P273" s="141">
        <v>981399</v>
      </c>
      <c r="Q273" s="141">
        <v>-1737964</v>
      </c>
      <c r="R273" s="141">
        <v>0</v>
      </c>
      <c r="S273" s="141">
        <v>-525503</v>
      </c>
      <c r="T273" s="141">
        <v>-52024780</v>
      </c>
      <c r="U273" s="141">
        <v>-300984</v>
      </c>
      <c r="V273" s="141">
        <v>0</v>
      </c>
      <c r="W273" s="141">
        <v>0</v>
      </c>
      <c r="X273" s="141">
        <v>-54589231</v>
      </c>
      <c r="Y273" s="857">
        <v>854114</v>
      </c>
      <c r="Z273" t="s">
        <v>1839</v>
      </c>
    </row>
    <row r="274" spans="1:26" ht="12.75" x14ac:dyDescent="0.2">
      <c r="A274" s="764">
        <v>267</v>
      </c>
      <c r="B274" s="765" t="s">
        <v>425</v>
      </c>
      <c r="C274" s="766" t="s">
        <v>1217</v>
      </c>
      <c r="D274" s="767" t="s">
        <v>1227</v>
      </c>
      <c r="E274" s="768" t="s">
        <v>424</v>
      </c>
      <c r="F274" s="141">
        <v>690610</v>
      </c>
      <c r="G274" s="141">
        <v>34216707</v>
      </c>
      <c r="H274" s="141">
        <v>0</v>
      </c>
      <c r="I274" s="141">
        <v>-199015</v>
      </c>
      <c r="J274" s="141">
        <v>1574001</v>
      </c>
      <c r="K274" s="141">
        <v>-1425704</v>
      </c>
      <c r="L274" s="141">
        <v>34165989</v>
      </c>
      <c r="M274" s="141">
        <v>0</v>
      </c>
      <c r="N274" s="141">
        <v>0</v>
      </c>
      <c r="O274" s="141">
        <v>555839</v>
      </c>
      <c r="P274" s="141">
        <v>555839</v>
      </c>
      <c r="Q274" s="141">
        <v>-703711</v>
      </c>
      <c r="R274" s="141">
        <v>-16368246</v>
      </c>
      <c r="S274" s="141">
        <v>-3273649</v>
      </c>
      <c r="T274" s="141">
        <v>-13094597</v>
      </c>
      <c r="U274" s="141">
        <v>-90018</v>
      </c>
      <c r="V274" s="141">
        <v>0</v>
      </c>
      <c r="W274" s="141">
        <v>0</v>
      </c>
      <c r="X274" s="141">
        <v>-33530221</v>
      </c>
      <c r="Y274" s="857">
        <v>1882217</v>
      </c>
      <c r="Z274" t="s">
        <v>1840</v>
      </c>
    </row>
    <row r="275" spans="1:26" ht="12.75" x14ac:dyDescent="0.2">
      <c r="A275" s="764">
        <v>268</v>
      </c>
      <c r="B275" s="765" t="s">
        <v>427</v>
      </c>
      <c r="C275" s="766" t="s">
        <v>1217</v>
      </c>
      <c r="D275" s="767" t="s">
        <v>1218</v>
      </c>
      <c r="E275" s="768" t="s">
        <v>426</v>
      </c>
      <c r="F275" s="141">
        <v>-3135766</v>
      </c>
      <c r="G275" s="141">
        <v>21456148</v>
      </c>
      <c r="H275" s="141">
        <v>-100000</v>
      </c>
      <c r="I275" s="141">
        <v>0</v>
      </c>
      <c r="J275" s="141">
        <v>0</v>
      </c>
      <c r="K275" s="141">
        <v>-405515</v>
      </c>
      <c r="L275" s="141">
        <v>20950633</v>
      </c>
      <c r="M275" s="141">
        <v>1088065</v>
      </c>
      <c r="N275" s="141">
        <v>0</v>
      </c>
      <c r="O275" s="141">
        <v>2276456</v>
      </c>
      <c r="P275" s="141">
        <v>3364521</v>
      </c>
      <c r="Q275" s="141">
        <v>0</v>
      </c>
      <c r="R275" s="141">
        <v>0</v>
      </c>
      <c r="S275" s="141">
        <v>-14770246</v>
      </c>
      <c r="T275" s="141">
        <v>-6330106</v>
      </c>
      <c r="U275" s="141">
        <v>-125663</v>
      </c>
      <c r="V275" s="141">
        <v>0</v>
      </c>
      <c r="W275" s="141">
        <v>0</v>
      </c>
      <c r="X275" s="141">
        <v>-21226015</v>
      </c>
      <c r="Y275" s="857">
        <v>-46627</v>
      </c>
      <c r="Z275" t="s">
        <v>1841</v>
      </c>
    </row>
    <row r="276" spans="1:26" ht="12.75" x14ac:dyDescent="0.2">
      <c r="A276" s="764">
        <v>269</v>
      </c>
      <c r="B276" s="765" t="s">
        <v>429</v>
      </c>
      <c r="C276" s="766" t="s">
        <v>1217</v>
      </c>
      <c r="D276" s="767" t="s">
        <v>1226</v>
      </c>
      <c r="E276" s="768" t="s">
        <v>428</v>
      </c>
      <c r="F276" s="141">
        <v>-3922920</v>
      </c>
      <c r="G276" s="141">
        <v>31227504</v>
      </c>
      <c r="H276" s="141">
        <v>0</v>
      </c>
      <c r="I276" s="141">
        <v>-45188</v>
      </c>
      <c r="J276" s="141">
        <v>62300</v>
      </c>
      <c r="K276" s="141">
        <v>-62300</v>
      </c>
      <c r="L276" s="141">
        <v>31182316</v>
      </c>
      <c r="M276" s="141">
        <v>0</v>
      </c>
      <c r="N276" s="141">
        <v>0</v>
      </c>
      <c r="O276" s="141">
        <v>4216122</v>
      </c>
      <c r="P276" s="141">
        <v>4216122</v>
      </c>
      <c r="Q276" s="141">
        <v>-85004</v>
      </c>
      <c r="R276" s="141">
        <v>0</v>
      </c>
      <c r="S276" s="141">
        <v>-18792258</v>
      </c>
      <c r="T276" s="141">
        <v>-12528172</v>
      </c>
      <c r="U276" s="141">
        <v>-266982</v>
      </c>
      <c r="V276" s="141">
        <v>0</v>
      </c>
      <c r="W276" s="141">
        <v>0</v>
      </c>
      <c r="X276" s="141">
        <v>-31672416</v>
      </c>
      <c r="Y276" s="857">
        <v>-196898</v>
      </c>
      <c r="Z276" t="s">
        <v>1842</v>
      </c>
    </row>
    <row r="277" spans="1:26" ht="12.75" x14ac:dyDescent="0.2">
      <c r="A277" s="764">
        <v>270</v>
      </c>
      <c r="B277" s="765" t="s">
        <v>431</v>
      </c>
      <c r="C277" s="766" t="s">
        <v>529</v>
      </c>
      <c r="D277" s="767" t="s">
        <v>1227</v>
      </c>
      <c r="E277" s="768" t="s">
        <v>905</v>
      </c>
      <c r="F277" s="141">
        <v>807719</v>
      </c>
      <c r="G277" s="141">
        <v>73781109</v>
      </c>
      <c r="H277" s="141">
        <v>0</v>
      </c>
      <c r="I277" s="141">
        <v>520094</v>
      </c>
      <c r="J277" s="141">
        <v>1471000</v>
      </c>
      <c r="K277" s="141">
        <v>-2454000</v>
      </c>
      <c r="L277" s="141">
        <v>73318203</v>
      </c>
      <c r="M277" s="141">
        <v>0</v>
      </c>
      <c r="N277" s="141">
        <v>0</v>
      </c>
      <c r="O277" s="141">
        <v>0</v>
      </c>
      <c r="P277" s="141">
        <v>0</v>
      </c>
      <c r="Q277" s="141">
        <v>-93249</v>
      </c>
      <c r="R277" s="141">
        <v>-35364542</v>
      </c>
      <c r="S277" s="141">
        <v>-707291</v>
      </c>
      <c r="T277" s="141">
        <v>-34657251</v>
      </c>
      <c r="U277" s="141">
        <v>-282106</v>
      </c>
      <c r="V277" s="141">
        <v>0</v>
      </c>
      <c r="W277" s="141">
        <v>-1343600</v>
      </c>
      <c r="X277" s="141">
        <v>-72448039</v>
      </c>
      <c r="Y277" s="857">
        <v>1677883</v>
      </c>
      <c r="Z277" t="s">
        <v>1843</v>
      </c>
    </row>
    <row r="278" spans="1:26" ht="12.75" x14ac:dyDescent="0.2">
      <c r="A278" s="764">
        <v>271</v>
      </c>
      <c r="B278" s="765" t="s">
        <v>433</v>
      </c>
      <c r="C278" s="766" t="s">
        <v>1217</v>
      </c>
      <c r="D278" s="767" t="s">
        <v>1221</v>
      </c>
      <c r="E278" s="768" t="s">
        <v>432</v>
      </c>
      <c r="F278" s="141">
        <v>1890423</v>
      </c>
      <c r="G278" s="141">
        <v>28065624</v>
      </c>
      <c r="H278" s="141">
        <v>-325000</v>
      </c>
      <c r="I278" s="141">
        <v>0</v>
      </c>
      <c r="J278" s="141">
        <v>500000</v>
      </c>
      <c r="K278" s="141">
        <v>-2219000</v>
      </c>
      <c r="L278" s="141">
        <v>26021624</v>
      </c>
      <c r="M278" s="141">
        <v>276701</v>
      </c>
      <c r="N278" s="141">
        <v>0</v>
      </c>
      <c r="O278" s="141">
        <v>0</v>
      </c>
      <c r="P278" s="141">
        <v>276701</v>
      </c>
      <c r="Q278" s="141">
        <v>0</v>
      </c>
      <c r="R278" s="141">
        <v>-12853869</v>
      </c>
      <c r="S278" s="141">
        <v>-2570773</v>
      </c>
      <c r="T278" s="141">
        <v>-10283095</v>
      </c>
      <c r="U278" s="141">
        <v>-514709</v>
      </c>
      <c r="V278" s="141">
        <v>-59760</v>
      </c>
      <c r="W278" s="141">
        <v>-792416</v>
      </c>
      <c r="X278" s="141">
        <v>-27074622</v>
      </c>
      <c r="Y278" s="857">
        <v>1114126</v>
      </c>
      <c r="Z278" t="s">
        <v>1844</v>
      </c>
    </row>
    <row r="279" spans="1:26" ht="12.75" x14ac:dyDescent="0.2">
      <c r="A279" s="764">
        <v>272</v>
      </c>
      <c r="B279" s="765" t="s">
        <v>435</v>
      </c>
      <c r="C279" s="766" t="s">
        <v>1217</v>
      </c>
      <c r="D279" s="767" t="s">
        <v>1218</v>
      </c>
      <c r="E279" s="768" t="s">
        <v>434</v>
      </c>
      <c r="F279" s="141">
        <v>1700187</v>
      </c>
      <c r="G279" s="141">
        <v>56163932</v>
      </c>
      <c r="H279" s="141">
        <v>0</v>
      </c>
      <c r="I279" s="141">
        <v>-428571</v>
      </c>
      <c r="J279" s="141">
        <v>375606</v>
      </c>
      <c r="K279" s="141">
        <v>-2340100</v>
      </c>
      <c r="L279" s="141">
        <v>53770867</v>
      </c>
      <c r="M279" s="141">
        <v>250568</v>
      </c>
      <c r="N279" s="141">
        <v>0</v>
      </c>
      <c r="O279" s="141">
        <v>0</v>
      </c>
      <c r="P279" s="141">
        <v>250568</v>
      </c>
      <c r="Q279" s="141">
        <v>0</v>
      </c>
      <c r="R279" s="141">
        <v>-27101456</v>
      </c>
      <c r="S279" s="141">
        <v>-5420291</v>
      </c>
      <c r="T279" s="141">
        <v>-21681165</v>
      </c>
      <c r="U279" s="141">
        <v>-643641</v>
      </c>
      <c r="V279" s="141">
        <v>0</v>
      </c>
      <c r="W279" s="141">
        <v>-1019048</v>
      </c>
      <c r="X279" s="141">
        <v>-55865601</v>
      </c>
      <c r="Y279" s="857">
        <v>-143979</v>
      </c>
      <c r="Z279" t="s">
        <v>1845</v>
      </c>
    </row>
    <row r="280" spans="1:26" ht="12.75" x14ac:dyDescent="0.2">
      <c r="A280" s="764">
        <v>273</v>
      </c>
      <c r="B280" s="765" t="s">
        <v>437</v>
      </c>
      <c r="C280" s="766" t="s">
        <v>1217</v>
      </c>
      <c r="D280" s="767" t="s">
        <v>1226</v>
      </c>
      <c r="E280" s="768" t="s">
        <v>436</v>
      </c>
      <c r="F280" s="141">
        <v>-1790611</v>
      </c>
      <c r="G280" s="141">
        <v>38778075</v>
      </c>
      <c r="H280" s="141">
        <v>0</v>
      </c>
      <c r="I280" s="141">
        <v>-137092</v>
      </c>
      <c r="J280" s="141">
        <v>78150</v>
      </c>
      <c r="K280" s="141">
        <v>-2834036</v>
      </c>
      <c r="L280" s="141">
        <v>35885097</v>
      </c>
      <c r="M280" s="141">
        <v>606830</v>
      </c>
      <c r="N280" s="141">
        <v>0</v>
      </c>
      <c r="O280" s="141">
        <v>1919546</v>
      </c>
      <c r="P280" s="141">
        <v>2526376</v>
      </c>
      <c r="Q280" s="141">
        <v>0</v>
      </c>
      <c r="R280" s="141">
        <v>0</v>
      </c>
      <c r="S280" s="141">
        <v>-17768695</v>
      </c>
      <c r="T280" s="141">
        <v>-17768695</v>
      </c>
      <c r="U280" s="141">
        <v>-237064</v>
      </c>
      <c r="V280" s="141">
        <v>0</v>
      </c>
      <c r="W280" s="141">
        <v>0</v>
      </c>
      <c r="X280" s="141">
        <v>-35774454</v>
      </c>
      <c r="Y280" s="857">
        <v>846408</v>
      </c>
      <c r="Z280" t="s">
        <v>1846</v>
      </c>
    </row>
    <row r="281" spans="1:26" ht="12.75" x14ac:dyDescent="0.2">
      <c r="A281" s="764">
        <v>274</v>
      </c>
      <c r="B281" s="765" t="s">
        <v>439</v>
      </c>
      <c r="C281" s="766" t="s">
        <v>1217</v>
      </c>
      <c r="D281" s="767" t="s">
        <v>1218</v>
      </c>
      <c r="E281" s="768" t="s">
        <v>438</v>
      </c>
      <c r="F281" s="141">
        <v>411072</v>
      </c>
      <c r="G281" s="141">
        <v>34273181</v>
      </c>
      <c r="H281" s="141">
        <v>0</v>
      </c>
      <c r="I281" s="141">
        <v>-201790</v>
      </c>
      <c r="J281" s="141">
        <v>549615</v>
      </c>
      <c r="K281" s="141">
        <v>-1586747</v>
      </c>
      <c r="L281" s="141">
        <v>33034259</v>
      </c>
      <c r="M281" s="141">
        <v>0</v>
      </c>
      <c r="N281" s="141">
        <v>0</v>
      </c>
      <c r="O281" s="141">
        <v>0</v>
      </c>
      <c r="P281" s="141">
        <v>0</v>
      </c>
      <c r="Q281" s="141">
        <v>-40883</v>
      </c>
      <c r="R281" s="141">
        <v>0</v>
      </c>
      <c r="S281" s="141">
        <v>-19463751</v>
      </c>
      <c r="T281" s="141">
        <v>-12975835</v>
      </c>
      <c r="U281" s="141">
        <v>-195956</v>
      </c>
      <c r="V281" s="141">
        <v>0</v>
      </c>
      <c r="W281" s="141">
        <v>-43974</v>
      </c>
      <c r="X281" s="141">
        <v>-32720399</v>
      </c>
      <c r="Y281" s="857">
        <v>724932</v>
      </c>
      <c r="Z281" t="s">
        <v>1847</v>
      </c>
    </row>
    <row r="282" spans="1:26" ht="12.75" x14ac:dyDescent="0.2">
      <c r="A282" s="764">
        <v>275</v>
      </c>
      <c r="B282" s="765" t="s">
        <v>441</v>
      </c>
      <c r="C282" s="766" t="s">
        <v>1217</v>
      </c>
      <c r="D282" s="767" t="s">
        <v>1221</v>
      </c>
      <c r="E282" s="768" t="s">
        <v>440</v>
      </c>
      <c r="F282" s="141">
        <v>2027900</v>
      </c>
      <c r="G282" s="141">
        <v>28668366</v>
      </c>
      <c r="H282" s="141">
        <v>0</v>
      </c>
      <c r="I282" s="141">
        <v>-97710</v>
      </c>
      <c r="J282" s="141">
        <v>563978</v>
      </c>
      <c r="K282" s="141">
        <v>-1942899</v>
      </c>
      <c r="L282" s="141">
        <v>27191735</v>
      </c>
      <c r="M282" s="141">
        <v>35711</v>
      </c>
      <c r="N282" s="141">
        <v>0</v>
      </c>
      <c r="O282" s="141">
        <v>0</v>
      </c>
      <c r="P282" s="141">
        <v>35711</v>
      </c>
      <c r="Q282" s="141">
        <v>0</v>
      </c>
      <c r="R282" s="141">
        <v>-14177081</v>
      </c>
      <c r="S282" s="141">
        <v>-2835416</v>
      </c>
      <c r="T282" s="141">
        <v>-11341665</v>
      </c>
      <c r="U282" s="141">
        <v>-91690</v>
      </c>
      <c r="V282" s="141">
        <v>0</v>
      </c>
      <c r="W282" s="141">
        <v>-3706225</v>
      </c>
      <c r="X282" s="141">
        <v>-32152077</v>
      </c>
      <c r="Y282" s="857">
        <v>-2896731</v>
      </c>
      <c r="Z282" t="s">
        <v>1848</v>
      </c>
    </row>
    <row r="283" spans="1:26" ht="12.75" x14ac:dyDescent="0.2">
      <c r="A283" s="764">
        <v>276</v>
      </c>
      <c r="B283" s="765" t="s">
        <v>443</v>
      </c>
      <c r="C283" s="766" t="s">
        <v>529</v>
      </c>
      <c r="D283" s="767" t="s">
        <v>1221</v>
      </c>
      <c r="E283" s="768" t="s">
        <v>574</v>
      </c>
      <c r="F283" s="141">
        <v>-737073</v>
      </c>
      <c r="G283" s="141">
        <v>121510346</v>
      </c>
      <c r="H283" s="141">
        <v>0</v>
      </c>
      <c r="I283" s="141">
        <v>-1228374</v>
      </c>
      <c r="J283" s="141">
        <v>0</v>
      </c>
      <c r="K283" s="141">
        <v>-1309582</v>
      </c>
      <c r="L283" s="141">
        <v>118972390</v>
      </c>
      <c r="M283" s="141">
        <v>0</v>
      </c>
      <c r="N283" s="141">
        <v>0</v>
      </c>
      <c r="O283" s="141">
        <v>0</v>
      </c>
      <c r="P283" s="141">
        <v>0</v>
      </c>
      <c r="Q283" s="141">
        <v>-1825499</v>
      </c>
      <c r="R283" s="141">
        <v>-58024909</v>
      </c>
      <c r="S283" s="141">
        <v>-1160498</v>
      </c>
      <c r="T283" s="141">
        <v>-56864411</v>
      </c>
      <c r="U283" s="141">
        <v>0</v>
      </c>
      <c r="V283" s="141">
        <v>0</v>
      </c>
      <c r="W283" s="141">
        <v>-142857</v>
      </c>
      <c r="X283" s="141">
        <v>-118018174</v>
      </c>
      <c r="Y283" s="857">
        <v>217143</v>
      </c>
      <c r="Z283" t="s">
        <v>1849</v>
      </c>
    </row>
    <row r="284" spans="1:26" ht="12.75" x14ac:dyDescent="0.2">
      <c r="A284" s="764">
        <v>277</v>
      </c>
      <c r="B284" s="765" t="s">
        <v>445</v>
      </c>
      <c r="C284" s="766" t="s">
        <v>1217</v>
      </c>
      <c r="D284" s="767" t="s">
        <v>1218</v>
      </c>
      <c r="E284" s="768" t="s">
        <v>444</v>
      </c>
      <c r="F284" s="141">
        <v>109533</v>
      </c>
      <c r="G284" s="141">
        <v>57565390</v>
      </c>
      <c r="H284" s="141">
        <v>0</v>
      </c>
      <c r="I284" s="141">
        <v>-400000</v>
      </c>
      <c r="J284" s="141">
        <v>880000</v>
      </c>
      <c r="K284" s="141">
        <v>-1866000</v>
      </c>
      <c r="L284" s="141">
        <v>56179390</v>
      </c>
      <c r="M284" s="141">
        <v>343910</v>
      </c>
      <c r="N284" s="141">
        <v>0</v>
      </c>
      <c r="O284" s="141">
        <v>0</v>
      </c>
      <c r="P284" s="141">
        <v>343910</v>
      </c>
      <c r="Q284" s="141">
        <v>0</v>
      </c>
      <c r="R284" s="141">
        <v>0</v>
      </c>
      <c r="S284" s="141">
        <v>-32569573</v>
      </c>
      <c r="T284" s="141">
        <v>-21713049</v>
      </c>
      <c r="U284" s="141">
        <v>-162166</v>
      </c>
      <c r="V284" s="141">
        <v>-15</v>
      </c>
      <c r="W284" s="141">
        <v>-15308</v>
      </c>
      <c r="X284" s="141">
        <v>-54460111</v>
      </c>
      <c r="Y284" s="857">
        <v>2172722</v>
      </c>
      <c r="Z284" t="s">
        <v>1850</v>
      </c>
    </row>
    <row r="285" spans="1:26" ht="12.75" x14ac:dyDescent="0.2">
      <c r="A285" s="764">
        <v>278</v>
      </c>
      <c r="B285" s="765" t="s">
        <v>447</v>
      </c>
      <c r="C285" s="766" t="s">
        <v>529</v>
      </c>
      <c r="D285" s="767" t="s">
        <v>1226</v>
      </c>
      <c r="E285" s="768" t="s">
        <v>564</v>
      </c>
      <c r="F285" s="141">
        <v>-851014</v>
      </c>
      <c r="G285" s="141">
        <v>35523052</v>
      </c>
      <c r="H285" s="141">
        <v>0</v>
      </c>
      <c r="I285" s="141">
        <v>-600000</v>
      </c>
      <c r="J285" s="141">
        <v>0</v>
      </c>
      <c r="K285" s="141">
        <v>-2113730</v>
      </c>
      <c r="L285" s="141">
        <v>32809322</v>
      </c>
      <c r="M285" s="141">
        <v>0</v>
      </c>
      <c r="N285" s="141">
        <v>0</v>
      </c>
      <c r="O285" s="141">
        <v>805143</v>
      </c>
      <c r="P285" s="141">
        <v>805143</v>
      </c>
      <c r="Q285" s="141">
        <v>-2106212</v>
      </c>
      <c r="R285" s="141">
        <v>0</v>
      </c>
      <c r="S285" s="141">
        <v>-306866</v>
      </c>
      <c r="T285" s="141">
        <v>-30379734</v>
      </c>
      <c r="U285" s="141">
        <v>-196344</v>
      </c>
      <c r="V285" s="141">
        <v>0</v>
      </c>
      <c r="W285" s="141">
        <v>0</v>
      </c>
      <c r="X285" s="141">
        <v>-32989156</v>
      </c>
      <c r="Y285" s="857">
        <v>-225705</v>
      </c>
      <c r="Z285" t="s">
        <v>1851</v>
      </c>
    </row>
    <row r="286" spans="1:26" ht="12.75" x14ac:dyDescent="0.2">
      <c r="A286" s="764">
        <v>279</v>
      </c>
      <c r="B286" s="765" t="s">
        <v>449</v>
      </c>
      <c r="C286" s="766" t="s">
        <v>1217</v>
      </c>
      <c r="D286" s="767" t="s">
        <v>1226</v>
      </c>
      <c r="E286" s="768" t="s">
        <v>448</v>
      </c>
      <c r="F286" s="141">
        <v>1156649</v>
      </c>
      <c r="G286" s="141">
        <v>11505750</v>
      </c>
      <c r="H286" s="141">
        <v>0</v>
      </c>
      <c r="I286" s="141">
        <v>-15495</v>
      </c>
      <c r="J286" s="141">
        <v>67164</v>
      </c>
      <c r="K286" s="141">
        <v>-23090</v>
      </c>
      <c r="L286" s="141">
        <v>11534329</v>
      </c>
      <c r="M286" s="141">
        <v>928000</v>
      </c>
      <c r="N286" s="141">
        <v>0</v>
      </c>
      <c r="O286" s="141">
        <v>0</v>
      </c>
      <c r="P286" s="141">
        <v>928000</v>
      </c>
      <c r="Q286" s="141">
        <v>-390000</v>
      </c>
      <c r="R286" s="141">
        <v>0</v>
      </c>
      <c r="S286" s="141">
        <v>-6677194</v>
      </c>
      <c r="T286" s="141">
        <v>-4451000</v>
      </c>
      <c r="U286" s="141">
        <v>-920000</v>
      </c>
      <c r="V286" s="141">
        <v>0</v>
      </c>
      <c r="W286" s="141">
        <v>-469840</v>
      </c>
      <c r="X286" s="141">
        <v>-12908034</v>
      </c>
      <c r="Y286" s="857">
        <v>710944</v>
      </c>
      <c r="Z286" t="s">
        <v>1852</v>
      </c>
    </row>
    <row r="287" spans="1:26" ht="12.75" x14ac:dyDescent="0.2">
      <c r="A287" s="764">
        <v>280</v>
      </c>
      <c r="B287" s="765" t="s">
        <v>451</v>
      </c>
      <c r="C287" s="766" t="s">
        <v>1228</v>
      </c>
      <c r="D287" s="767" t="s">
        <v>1223</v>
      </c>
      <c r="E287" s="768" t="s">
        <v>450</v>
      </c>
      <c r="F287" s="141">
        <v>-37036646</v>
      </c>
      <c r="G287" s="141">
        <v>453969447</v>
      </c>
      <c r="H287" s="141">
        <v>0</v>
      </c>
      <c r="I287" s="141">
        <v>-2852063</v>
      </c>
      <c r="J287" s="141">
        <v>9809828</v>
      </c>
      <c r="K287" s="141">
        <v>-17074427</v>
      </c>
      <c r="L287" s="141">
        <v>443852785</v>
      </c>
      <c r="M287" s="141">
        <v>13785732</v>
      </c>
      <c r="N287" s="141">
        <v>0</v>
      </c>
      <c r="O287" s="141">
        <v>37858052</v>
      </c>
      <c r="P287" s="141">
        <v>51643784</v>
      </c>
      <c r="Q287" s="141">
        <v>0</v>
      </c>
      <c r="R287" s="141">
        <v>0</v>
      </c>
      <c r="S287" s="141">
        <v>-164708895</v>
      </c>
      <c r="T287" s="141">
        <v>0</v>
      </c>
      <c r="U287" s="141">
        <v>-292815973</v>
      </c>
      <c r="V287" s="141">
        <v>0</v>
      </c>
      <c r="W287" s="141">
        <v>0</v>
      </c>
      <c r="X287" s="141">
        <v>-457524868</v>
      </c>
      <c r="Y287" s="857">
        <v>935055</v>
      </c>
      <c r="Z287" t="s">
        <v>1853</v>
      </c>
    </row>
    <row r="288" spans="1:26" ht="12.75" x14ac:dyDescent="0.2">
      <c r="A288" s="764">
        <v>281</v>
      </c>
      <c r="B288" s="765" t="s">
        <v>453</v>
      </c>
      <c r="C288" s="766" t="s">
        <v>1224</v>
      </c>
      <c r="D288" s="767" t="s">
        <v>1219</v>
      </c>
      <c r="E288" s="768" t="s">
        <v>452</v>
      </c>
      <c r="F288" s="141">
        <v>-9533123</v>
      </c>
      <c r="G288" s="141">
        <v>161115839</v>
      </c>
      <c r="H288" s="141">
        <v>0</v>
      </c>
      <c r="I288" s="141">
        <v>-2100000</v>
      </c>
      <c r="J288" s="141">
        <v>4000000</v>
      </c>
      <c r="K288" s="141">
        <v>-9973197</v>
      </c>
      <c r="L288" s="141">
        <v>153042642</v>
      </c>
      <c r="M288" s="141">
        <v>0</v>
      </c>
      <c r="N288" s="141">
        <v>0</v>
      </c>
      <c r="O288" s="141">
        <v>10726269</v>
      </c>
      <c r="P288" s="141">
        <v>10726269</v>
      </c>
      <c r="Q288" s="141">
        <v>0</v>
      </c>
      <c r="R288" s="141">
        <v>0</v>
      </c>
      <c r="S288" s="141">
        <v>-1540631</v>
      </c>
      <c r="T288" s="141">
        <v>-152522481</v>
      </c>
      <c r="U288" s="141">
        <v>-524495</v>
      </c>
      <c r="V288" s="141">
        <v>0</v>
      </c>
      <c r="W288" s="141">
        <v>0</v>
      </c>
      <c r="X288" s="141">
        <v>-154587607</v>
      </c>
      <c r="Y288" s="857">
        <v>-351819</v>
      </c>
      <c r="Z288" t="s">
        <v>1854</v>
      </c>
    </row>
    <row r="289" spans="1:26" ht="12.75" x14ac:dyDescent="0.2">
      <c r="A289" s="764">
        <v>282</v>
      </c>
      <c r="B289" s="765" t="s">
        <v>455</v>
      </c>
      <c r="C289" s="766" t="s">
        <v>1217</v>
      </c>
      <c r="D289" s="767" t="s">
        <v>1218</v>
      </c>
      <c r="E289" s="768" t="s">
        <v>454</v>
      </c>
      <c r="F289" s="141">
        <v>-994268.0700000003</v>
      </c>
      <c r="G289" s="141">
        <v>53430574</v>
      </c>
      <c r="H289" s="141">
        <v>-500000</v>
      </c>
      <c r="I289" s="141">
        <v>-250000</v>
      </c>
      <c r="J289" s="141">
        <v>100000</v>
      </c>
      <c r="K289" s="141">
        <v>-625000</v>
      </c>
      <c r="L289" s="141">
        <v>52155574</v>
      </c>
      <c r="M289" s="141">
        <v>104944</v>
      </c>
      <c r="N289" s="141">
        <v>83340</v>
      </c>
      <c r="O289" s="141">
        <v>764495</v>
      </c>
      <c r="P289" s="141">
        <v>952779</v>
      </c>
      <c r="Q289" s="141">
        <v>-121211</v>
      </c>
      <c r="R289" s="141">
        <v>0</v>
      </c>
      <c r="S289" s="141">
        <v>-31843478</v>
      </c>
      <c r="T289" s="141">
        <v>-21228985</v>
      </c>
      <c r="U289" s="141">
        <v>-171977</v>
      </c>
      <c r="V289" s="141">
        <v>0</v>
      </c>
      <c r="W289" s="141">
        <v>0</v>
      </c>
      <c r="X289" s="141">
        <v>-53365651</v>
      </c>
      <c r="Y289" s="857">
        <v>-1251566.0700000003</v>
      </c>
      <c r="Z289" t="s">
        <v>1855</v>
      </c>
    </row>
    <row r="290" spans="1:26" ht="12.75" x14ac:dyDescent="0.2">
      <c r="A290" s="764">
        <v>283</v>
      </c>
      <c r="B290" s="765" t="s">
        <v>457</v>
      </c>
      <c r="C290" s="766" t="s">
        <v>1217</v>
      </c>
      <c r="D290" s="767" t="s">
        <v>1221</v>
      </c>
      <c r="E290" s="768" t="s">
        <v>456</v>
      </c>
      <c r="F290" s="141">
        <v>-1006797</v>
      </c>
      <c r="G290" s="141">
        <v>45085722</v>
      </c>
      <c r="H290" s="141">
        <v>-338143</v>
      </c>
      <c r="I290" s="141">
        <v>0</v>
      </c>
      <c r="J290" s="141">
        <v>0</v>
      </c>
      <c r="K290" s="141">
        <v>1247067</v>
      </c>
      <c r="L290" s="141">
        <v>45994646</v>
      </c>
      <c r="M290" s="141">
        <v>0</v>
      </c>
      <c r="N290" s="141">
        <v>0</v>
      </c>
      <c r="O290" s="141">
        <v>960294</v>
      </c>
      <c r="P290" s="141">
        <v>960294</v>
      </c>
      <c r="Q290" s="141">
        <v>-389150</v>
      </c>
      <c r="R290" s="141">
        <v>-21332912</v>
      </c>
      <c r="S290" s="141">
        <v>-4266582</v>
      </c>
      <c r="T290" s="141">
        <v>-17066330</v>
      </c>
      <c r="U290" s="141">
        <v>-263990</v>
      </c>
      <c r="V290" s="141">
        <v>0</v>
      </c>
      <c r="W290" s="141">
        <v>0</v>
      </c>
      <c r="X290" s="141">
        <v>-43318964</v>
      </c>
      <c r="Y290" s="857">
        <v>2629179</v>
      </c>
      <c r="Z290" t="s">
        <v>1856</v>
      </c>
    </row>
    <row r="291" spans="1:26" ht="12.75" x14ac:dyDescent="0.2">
      <c r="A291" s="764">
        <v>284</v>
      </c>
      <c r="B291" s="765" t="s">
        <v>459</v>
      </c>
      <c r="C291" s="766" t="s">
        <v>1217</v>
      </c>
      <c r="D291" s="767" t="s">
        <v>1218</v>
      </c>
      <c r="E291" s="768" t="s">
        <v>458</v>
      </c>
      <c r="F291" s="141">
        <v>-2320862</v>
      </c>
      <c r="G291" s="141">
        <v>60685370</v>
      </c>
      <c r="H291" s="141">
        <v>0</v>
      </c>
      <c r="I291" s="141">
        <v>-656706</v>
      </c>
      <c r="J291" s="141">
        <v>1470503</v>
      </c>
      <c r="K291" s="141">
        <v>-3930907</v>
      </c>
      <c r="L291" s="141">
        <v>57568260</v>
      </c>
      <c r="M291" s="141">
        <v>0</v>
      </c>
      <c r="N291" s="141">
        <v>0</v>
      </c>
      <c r="O291" s="141">
        <v>1229570</v>
      </c>
      <c r="P291" s="141">
        <v>1229570</v>
      </c>
      <c r="Q291" s="141">
        <v>-3679975</v>
      </c>
      <c r="R291" s="141">
        <v>-25887883</v>
      </c>
      <c r="S291" s="141">
        <v>-5262210</v>
      </c>
      <c r="T291" s="141">
        <v>-21048841</v>
      </c>
      <c r="U291" s="141">
        <v>-2087472</v>
      </c>
      <c r="V291" s="141">
        <v>0</v>
      </c>
      <c r="W291" s="141">
        <v>0</v>
      </c>
      <c r="X291" s="141">
        <v>-57966381</v>
      </c>
      <c r="Y291" s="857">
        <v>-1489413</v>
      </c>
      <c r="Z291" t="s">
        <v>1857</v>
      </c>
    </row>
    <row r="292" spans="1:26" ht="12.75" x14ac:dyDescent="0.2">
      <c r="A292" s="764">
        <v>285</v>
      </c>
      <c r="B292" s="765" t="s">
        <v>461</v>
      </c>
      <c r="C292" s="766" t="s">
        <v>1224</v>
      </c>
      <c r="D292" s="767" t="s">
        <v>1225</v>
      </c>
      <c r="E292" s="768" t="s">
        <v>460</v>
      </c>
      <c r="F292" s="141">
        <v>-992271</v>
      </c>
      <c r="G292" s="141">
        <v>130850856</v>
      </c>
      <c r="H292" s="141">
        <v>0</v>
      </c>
      <c r="I292" s="141">
        <v>-1000000</v>
      </c>
      <c r="J292" s="141">
        <v>2457369</v>
      </c>
      <c r="K292" s="141">
        <v>-4226265</v>
      </c>
      <c r="L292" s="141">
        <v>128081960</v>
      </c>
      <c r="M292" s="141">
        <v>4180045</v>
      </c>
      <c r="N292" s="141">
        <v>0</v>
      </c>
      <c r="O292" s="141">
        <v>4869911</v>
      </c>
      <c r="P292" s="141">
        <v>9049956</v>
      </c>
      <c r="Q292" s="141">
        <v>-6565200</v>
      </c>
      <c r="R292" s="141">
        <v>0</v>
      </c>
      <c r="S292" s="141">
        <v>-1208985</v>
      </c>
      <c r="T292" s="141">
        <v>-119689499</v>
      </c>
      <c r="U292" s="141">
        <v>-449154</v>
      </c>
      <c r="V292" s="141">
        <v>-503883</v>
      </c>
      <c r="W292" s="141">
        <v>0</v>
      </c>
      <c r="X292" s="141">
        <v>-128416721</v>
      </c>
      <c r="Y292" s="857">
        <v>7722924</v>
      </c>
      <c r="Z292" t="s">
        <v>1858</v>
      </c>
    </row>
    <row r="293" spans="1:26" ht="12.75" x14ac:dyDescent="0.2">
      <c r="A293" s="764">
        <v>286</v>
      </c>
      <c r="B293" s="765" t="s">
        <v>463</v>
      </c>
      <c r="C293" s="766" t="s">
        <v>1224</v>
      </c>
      <c r="D293" s="767" t="s">
        <v>1227</v>
      </c>
      <c r="E293" s="768" t="s">
        <v>462</v>
      </c>
      <c r="F293" s="141">
        <v>-1947297</v>
      </c>
      <c r="G293" s="141">
        <v>72681692</v>
      </c>
      <c r="H293" s="141">
        <v>0</v>
      </c>
      <c r="I293" s="141">
        <v>-1000000</v>
      </c>
      <c r="J293" s="141">
        <v>2329783</v>
      </c>
      <c r="K293" s="141">
        <v>-2537578</v>
      </c>
      <c r="L293" s="141">
        <v>71473897</v>
      </c>
      <c r="M293" s="141">
        <v>1513008</v>
      </c>
      <c r="N293" s="141">
        <v>0</v>
      </c>
      <c r="O293" s="141">
        <v>1653691</v>
      </c>
      <c r="P293" s="141">
        <v>3166699</v>
      </c>
      <c r="Q293" s="141">
        <v>0</v>
      </c>
      <c r="R293" s="141">
        <v>0</v>
      </c>
      <c r="S293" s="141">
        <v>-731004</v>
      </c>
      <c r="T293" s="141">
        <v>-72369398</v>
      </c>
      <c r="U293" s="141">
        <v>-340666</v>
      </c>
      <c r="V293" s="141">
        <v>0</v>
      </c>
      <c r="W293" s="141">
        <v>0</v>
      </c>
      <c r="X293" s="141">
        <v>-73441068</v>
      </c>
      <c r="Y293" s="857">
        <v>-747769</v>
      </c>
      <c r="Z293" t="s">
        <v>1859</v>
      </c>
    </row>
    <row r="294" spans="1:26" ht="12.75" x14ac:dyDescent="0.2">
      <c r="A294" s="764">
        <v>287</v>
      </c>
      <c r="B294" s="765" t="s">
        <v>465</v>
      </c>
      <c r="C294" s="766" t="s">
        <v>1222</v>
      </c>
      <c r="D294" s="767" t="s">
        <v>1223</v>
      </c>
      <c r="E294" s="768" t="s">
        <v>464</v>
      </c>
      <c r="F294" s="141">
        <v>6187017</v>
      </c>
      <c r="G294" s="141">
        <v>61056888</v>
      </c>
      <c r="H294" s="141">
        <v>0</v>
      </c>
      <c r="I294" s="141">
        <v>-130500</v>
      </c>
      <c r="J294" s="141">
        <v>3119618</v>
      </c>
      <c r="K294" s="141">
        <v>-2582546</v>
      </c>
      <c r="L294" s="141">
        <v>61463460</v>
      </c>
      <c r="M294" s="141">
        <v>5513837</v>
      </c>
      <c r="N294" s="141">
        <v>0</v>
      </c>
      <c r="O294" s="141">
        <v>0</v>
      </c>
      <c r="P294" s="141">
        <v>5513837</v>
      </c>
      <c r="Q294" s="141">
        <v>0</v>
      </c>
      <c r="R294" s="141">
        <v>0</v>
      </c>
      <c r="S294" s="141">
        <v>-24020587</v>
      </c>
      <c r="T294" s="141">
        <v>-42703266</v>
      </c>
      <c r="U294" s="141">
        <v>0</v>
      </c>
      <c r="V294" s="141">
        <v>-292555</v>
      </c>
      <c r="W294" s="141">
        <v>-5935474</v>
      </c>
      <c r="X294" s="141">
        <v>-72951882</v>
      </c>
      <c r="Y294" s="857">
        <v>212432</v>
      </c>
      <c r="Z294" t="s">
        <v>1860</v>
      </c>
    </row>
    <row r="295" spans="1:26" ht="12.75" x14ac:dyDescent="0.2">
      <c r="A295" s="764">
        <v>288</v>
      </c>
      <c r="B295" s="765" t="s">
        <v>467</v>
      </c>
      <c r="C295" s="766" t="s">
        <v>1228</v>
      </c>
      <c r="D295" s="767" t="s">
        <v>1223</v>
      </c>
      <c r="E295" s="768" t="s">
        <v>466</v>
      </c>
      <c r="F295" s="141">
        <v>-3389003</v>
      </c>
      <c r="G295" s="141">
        <v>118991771</v>
      </c>
      <c r="H295" s="141">
        <v>-750000</v>
      </c>
      <c r="I295" s="141">
        <v>-750000</v>
      </c>
      <c r="J295" s="141">
        <v>2120000</v>
      </c>
      <c r="K295" s="141">
        <v>-620000</v>
      </c>
      <c r="L295" s="141">
        <v>118991771</v>
      </c>
      <c r="M295" s="141">
        <v>3876000</v>
      </c>
      <c r="N295" s="141">
        <v>0</v>
      </c>
      <c r="O295" s="141">
        <v>4891000</v>
      </c>
      <c r="P295" s="141">
        <v>8767000</v>
      </c>
      <c r="Q295" s="141">
        <v>0</v>
      </c>
      <c r="R295" s="141">
        <v>0</v>
      </c>
      <c r="S295" s="141">
        <v>-42642000</v>
      </c>
      <c r="T295" s="141">
        <v>-75807000</v>
      </c>
      <c r="U295" s="141">
        <v>0</v>
      </c>
      <c r="V295" s="141">
        <v>-457000</v>
      </c>
      <c r="W295" s="141">
        <v>0</v>
      </c>
      <c r="X295" s="141">
        <v>-118906000</v>
      </c>
      <c r="Y295" s="857">
        <v>5463768</v>
      </c>
      <c r="Z295" t="s">
        <v>1861</v>
      </c>
    </row>
    <row r="296" spans="1:26" ht="12.75" x14ac:dyDescent="0.2">
      <c r="A296" s="764">
        <v>289</v>
      </c>
      <c r="B296" s="765" t="s">
        <v>469</v>
      </c>
      <c r="C296" s="766" t="s">
        <v>529</v>
      </c>
      <c r="D296" s="767" t="s">
        <v>1219</v>
      </c>
      <c r="E296" s="768" t="s">
        <v>550</v>
      </c>
      <c r="F296" s="141">
        <v>-10507741</v>
      </c>
      <c r="G296" s="141">
        <v>107641141</v>
      </c>
      <c r="H296" s="141">
        <v>-358094</v>
      </c>
      <c r="I296" s="141">
        <v>144222</v>
      </c>
      <c r="J296" s="141">
        <v>0</v>
      </c>
      <c r="K296" s="141">
        <v>-4009715</v>
      </c>
      <c r="L296" s="141">
        <v>103417554</v>
      </c>
      <c r="M296" s="141">
        <v>0</v>
      </c>
      <c r="N296" s="141">
        <v>0</v>
      </c>
      <c r="O296" s="141">
        <v>10604443</v>
      </c>
      <c r="P296" s="141">
        <v>10604443</v>
      </c>
      <c r="Q296" s="141">
        <v>-6318143</v>
      </c>
      <c r="R296" s="141">
        <v>-51914243</v>
      </c>
      <c r="S296" s="141">
        <v>-1041185</v>
      </c>
      <c r="T296" s="141">
        <v>-51018061</v>
      </c>
      <c r="U296" s="141">
        <v>0</v>
      </c>
      <c r="V296" s="141">
        <v>0</v>
      </c>
      <c r="W296" s="141">
        <v>0</v>
      </c>
      <c r="X296" s="141">
        <v>-110291632</v>
      </c>
      <c r="Y296" s="857">
        <v>-6777376</v>
      </c>
      <c r="Z296" t="s">
        <v>1862</v>
      </c>
    </row>
    <row r="297" spans="1:26" ht="12.75" x14ac:dyDescent="0.2">
      <c r="A297" s="764">
        <v>290</v>
      </c>
      <c r="B297" s="765" t="s">
        <v>471</v>
      </c>
      <c r="C297" s="766" t="s">
        <v>1217</v>
      </c>
      <c r="D297" s="767" t="s">
        <v>1227</v>
      </c>
      <c r="E297" s="768" t="s">
        <v>470</v>
      </c>
      <c r="F297" s="141">
        <v>6268721</v>
      </c>
      <c r="G297" s="141">
        <v>71459231</v>
      </c>
      <c r="H297" s="141">
        <v>0</v>
      </c>
      <c r="I297" s="141">
        <v>-550000</v>
      </c>
      <c r="J297" s="141">
        <v>1000000</v>
      </c>
      <c r="K297" s="141">
        <v>-424430</v>
      </c>
      <c r="L297" s="141">
        <v>71484801</v>
      </c>
      <c r="M297" s="141">
        <v>0</v>
      </c>
      <c r="N297" s="141">
        <v>2404</v>
      </c>
      <c r="O297" s="141">
        <v>0</v>
      </c>
      <c r="P297" s="141">
        <v>2404</v>
      </c>
      <c r="Q297" s="141">
        <v>-301368</v>
      </c>
      <c r="R297" s="141">
        <v>-33547500</v>
      </c>
      <c r="S297" s="141">
        <v>-6709500</v>
      </c>
      <c r="T297" s="141">
        <v>-26838000</v>
      </c>
      <c r="U297" s="141">
        <v>-238756</v>
      </c>
      <c r="V297" s="141">
        <v>0</v>
      </c>
      <c r="W297" s="141">
        <v>-6296363</v>
      </c>
      <c r="X297" s="141">
        <v>-73931487</v>
      </c>
      <c r="Y297" s="857">
        <v>3824439</v>
      </c>
      <c r="Z297" t="s">
        <v>1863</v>
      </c>
    </row>
    <row r="298" spans="1:26" ht="12.75" x14ac:dyDescent="0.2">
      <c r="A298" s="764">
        <v>291</v>
      </c>
      <c r="B298" s="765" t="s">
        <v>473</v>
      </c>
      <c r="C298" s="766" t="s">
        <v>1217</v>
      </c>
      <c r="D298" s="767" t="s">
        <v>1221</v>
      </c>
      <c r="E298" s="768" t="s">
        <v>472</v>
      </c>
      <c r="F298" s="141">
        <v>2848115.3000000007</v>
      </c>
      <c r="G298" s="141">
        <v>65310180</v>
      </c>
      <c r="H298" s="141">
        <v>0</v>
      </c>
      <c r="I298" s="141">
        <v>-572255</v>
      </c>
      <c r="J298" s="141">
        <v>2555251</v>
      </c>
      <c r="K298" s="141">
        <v>-4759374</v>
      </c>
      <c r="L298" s="141">
        <v>62533802</v>
      </c>
      <c r="M298" s="141">
        <v>0</v>
      </c>
      <c r="N298" s="141">
        <v>0</v>
      </c>
      <c r="O298" s="141">
        <v>0</v>
      </c>
      <c r="P298" s="141">
        <v>0</v>
      </c>
      <c r="Q298" s="141">
        <v>-3094640</v>
      </c>
      <c r="R298" s="141">
        <v>-31094652</v>
      </c>
      <c r="S298" s="141">
        <v>-6218931</v>
      </c>
      <c r="T298" s="141">
        <v>-24875722</v>
      </c>
      <c r="U298" s="141">
        <v>-168509</v>
      </c>
      <c r="V298" s="141">
        <v>0</v>
      </c>
      <c r="W298" s="141">
        <v>-8456175</v>
      </c>
      <c r="X298" s="141">
        <v>-73908629</v>
      </c>
      <c r="Y298" s="857">
        <v>-8526711.700000003</v>
      </c>
      <c r="Z298" t="s">
        <v>1864</v>
      </c>
    </row>
    <row r="299" spans="1:26" ht="12.75" x14ac:dyDescent="0.2">
      <c r="A299" s="764">
        <v>292</v>
      </c>
      <c r="B299" s="765" t="s">
        <v>475</v>
      </c>
      <c r="C299" s="766" t="s">
        <v>1217</v>
      </c>
      <c r="D299" s="767" t="s">
        <v>1218</v>
      </c>
      <c r="E299" s="768" t="s">
        <v>474</v>
      </c>
      <c r="F299" s="141">
        <v>-3017520</v>
      </c>
      <c r="G299" s="141">
        <v>37706301</v>
      </c>
      <c r="H299" s="141">
        <v>0</v>
      </c>
      <c r="I299" s="141">
        <v>-420000</v>
      </c>
      <c r="J299" s="141">
        <v>217408</v>
      </c>
      <c r="K299" s="141">
        <v>796592</v>
      </c>
      <c r="L299" s="141">
        <v>38300301</v>
      </c>
      <c r="M299" s="141">
        <v>1520388</v>
      </c>
      <c r="N299" s="141">
        <v>0</v>
      </c>
      <c r="O299" s="141">
        <v>1913830</v>
      </c>
      <c r="P299" s="141">
        <v>3434218</v>
      </c>
      <c r="Q299" s="141">
        <v>-227506</v>
      </c>
      <c r="R299" s="141">
        <v>0</v>
      </c>
      <c r="S299" s="141">
        <v>-26998837</v>
      </c>
      <c r="T299" s="141">
        <v>-11570930</v>
      </c>
      <c r="U299" s="141">
        <v>-177573</v>
      </c>
      <c r="V299" s="141">
        <v>0</v>
      </c>
      <c r="W299" s="141">
        <v>0</v>
      </c>
      <c r="X299" s="141">
        <v>-38974846</v>
      </c>
      <c r="Y299" s="857">
        <v>-257847</v>
      </c>
      <c r="Z299" t="s">
        <v>1865</v>
      </c>
    </row>
    <row r="300" spans="1:26" ht="12.75" x14ac:dyDescent="0.2">
      <c r="A300" s="764">
        <v>293</v>
      </c>
      <c r="B300" s="765" t="s">
        <v>477</v>
      </c>
      <c r="C300" s="766" t="s">
        <v>1217</v>
      </c>
      <c r="D300" s="767" t="s">
        <v>1218</v>
      </c>
      <c r="E300" s="768" t="s">
        <v>476</v>
      </c>
      <c r="F300" s="141">
        <v>619325</v>
      </c>
      <c r="G300" s="141">
        <v>32589730</v>
      </c>
      <c r="H300" s="141">
        <v>-106000</v>
      </c>
      <c r="I300" s="141">
        <v>-150000</v>
      </c>
      <c r="J300" s="141">
        <v>0</v>
      </c>
      <c r="K300" s="141">
        <v>-1741821</v>
      </c>
      <c r="L300" s="141">
        <v>30591909</v>
      </c>
      <c r="M300" s="141">
        <v>0</v>
      </c>
      <c r="N300" s="141">
        <v>0</v>
      </c>
      <c r="O300" s="141">
        <v>0</v>
      </c>
      <c r="P300" s="141">
        <v>0</v>
      </c>
      <c r="Q300" s="141">
        <v>0</v>
      </c>
      <c r="R300" s="141">
        <v>-15362273</v>
      </c>
      <c r="S300" s="141">
        <v>-3072454</v>
      </c>
      <c r="T300" s="141">
        <v>-12289818</v>
      </c>
      <c r="U300" s="141">
        <v>-219252</v>
      </c>
      <c r="V300" s="141">
        <v>0</v>
      </c>
      <c r="W300" s="141">
        <v>-184003</v>
      </c>
      <c r="X300" s="141">
        <v>-31127800</v>
      </c>
      <c r="Y300" s="857">
        <v>83434</v>
      </c>
      <c r="Z300" t="s">
        <v>1866</v>
      </c>
    </row>
    <row r="301" spans="1:26" ht="12.75" x14ac:dyDescent="0.2">
      <c r="A301" s="764">
        <v>294</v>
      </c>
      <c r="B301" s="765" t="s">
        <v>479</v>
      </c>
      <c r="C301" s="766" t="s">
        <v>1217</v>
      </c>
      <c r="D301" s="767" t="s">
        <v>1220</v>
      </c>
      <c r="E301" s="768" t="s">
        <v>478</v>
      </c>
      <c r="F301" s="141">
        <v>-2850022</v>
      </c>
      <c r="G301" s="141">
        <v>27909189</v>
      </c>
      <c r="H301" s="141">
        <v>0</v>
      </c>
      <c r="I301" s="141">
        <v>-168966</v>
      </c>
      <c r="J301" s="141">
        <v>995987</v>
      </c>
      <c r="K301" s="141">
        <v>-318930</v>
      </c>
      <c r="L301" s="141">
        <v>28417280</v>
      </c>
      <c r="M301" s="141">
        <v>0</v>
      </c>
      <c r="N301" s="141">
        <v>0</v>
      </c>
      <c r="O301" s="141">
        <v>1750661</v>
      </c>
      <c r="P301" s="141">
        <v>1750661</v>
      </c>
      <c r="Q301" s="141">
        <v>-435071</v>
      </c>
      <c r="R301" s="141">
        <v>-14109614</v>
      </c>
      <c r="S301" s="141">
        <v>-2821923</v>
      </c>
      <c r="T301" s="141">
        <v>-11287692</v>
      </c>
      <c r="U301" s="141">
        <v>-139552</v>
      </c>
      <c r="V301" s="141">
        <v>0</v>
      </c>
      <c r="W301" s="141">
        <v>0</v>
      </c>
      <c r="X301" s="141">
        <v>-28793852</v>
      </c>
      <c r="Y301" s="857">
        <v>-1475933</v>
      </c>
      <c r="Z301" t="s">
        <v>1867</v>
      </c>
    </row>
    <row r="302" spans="1:26" ht="12.75" x14ac:dyDescent="0.2">
      <c r="A302" s="764">
        <v>295</v>
      </c>
      <c r="B302" s="765" t="s">
        <v>481</v>
      </c>
      <c r="C302" s="766" t="s">
        <v>1217</v>
      </c>
      <c r="D302" s="767" t="s">
        <v>1221</v>
      </c>
      <c r="E302" s="768" t="s">
        <v>480</v>
      </c>
      <c r="F302" s="141">
        <v>-6815628</v>
      </c>
      <c r="G302" s="141">
        <v>61286800</v>
      </c>
      <c r="H302" s="141">
        <v>-32499</v>
      </c>
      <c r="I302" s="141">
        <v>-151361</v>
      </c>
      <c r="J302" s="141">
        <v>1188315</v>
      </c>
      <c r="K302" s="141">
        <v>-1083011</v>
      </c>
      <c r="L302" s="141">
        <v>61208244</v>
      </c>
      <c r="M302" s="141">
        <v>0</v>
      </c>
      <c r="N302" s="141">
        <v>0</v>
      </c>
      <c r="O302" s="141">
        <v>2320695</v>
      </c>
      <c r="P302" s="141">
        <v>2320695</v>
      </c>
      <c r="Q302" s="141">
        <v>-267091</v>
      </c>
      <c r="R302" s="141">
        <v>-30356288</v>
      </c>
      <c r="S302" s="141">
        <v>-6071258</v>
      </c>
      <c r="T302" s="141">
        <v>-24285030</v>
      </c>
      <c r="U302" s="141">
        <v>-152607</v>
      </c>
      <c r="V302" s="141">
        <v>0</v>
      </c>
      <c r="W302" s="141">
        <v>0</v>
      </c>
      <c r="X302" s="141">
        <v>-61132274</v>
      </c>
      <c r="Y302" s="857">
        <v>-4418963</v>
      </c>
      <c r="Z302" t="s">
        <v>1868</v>
      </c>
    </row>
    <row r="303" spans="1:26" ht="12.75" x14ac:dyDescent="0.2">
      <c r="A303" s="764">
        <v>296</v>
      </c>
      <c r="B303" s="765" t="s">
        <v>483</v>
      </c>
      <c r="C303" s="766" t="s">
        <v>529</v>
      </c>
      <c r="D303" s="767" t="s">
        <v>1218</v>
      </c>
      <c r="E303" s="768" t="s">
        <v>538</v>
      </c>
      <c r="F303" s="141">
        <v>-5745297</v>
      </c>
      <c r="G303" s="141">
        <v>88556083</v>
      </c>
      <c r="H303" s="141">
        <v>0</v>
      </c>
      <c r="I303" s="141">
        <v>100000</v>
      </c>
      <c r="J303" s="141">
        <v>0</v>
      </c>
      <c r="K303" s="141">
        <v>3000000</v>
      </c>
      <c r="L303" s="141">
        <v>91656083</v>
      </c>
      <c r="M303" s="141">
        <v>1843284</v>
      </c>
      <c r="N303" s="141">
        <v>0</v>
      </c>
      <c r="O303" s="141">
        <v>505069</v>
      </c>
      <c r="P303" s="141">
        <v>2348353</v>
      </c>
      <c r="Q303" s="141">
        <v>-3029500</v>
      </c>
      <c r="R303" s="141">
        <v>0</v>
      </c>
      <c r="S303" s="141">
        <v>-863795</v>
      </c>
      <c r="T303" s="141">
        <v>-85515702</v>
      </c>
      <c r="U303" s="141">
        <v>-254389</v>
      </c>
      <c r="V303" s="141">
        <v>0</v>
      </c>
      <c r="W303" s="141">
        <v>0</v>
      </c>
      <c r="X303" s="141">
        <v>-89663386</v>
      </c>
      <c r="Y303" s="857">
        <v>-1404247</v>
      </c>
      <c r="Z303" t="s">
        <v>1869</v>
      </c>
    </row>
    <row r="304" spans="1:26" ht="12.75" x14ac:dyDescent="0.2">
      <c r="A304" s="764">
        <v>297</v>
      </c>
      <c r="B304" s="765" t="s">
        <v>485</v>
      </c>
      <c r="C304" s="766" t="s">
        <v>1217</v>
      </c>
      <c r="D304" s="767" t="s">
        <v>1226</v>
      </c>
      <c r="E304" s="768" t="s">
        <v>484</v>
      </c>
      <c r="F304" s="141">
        <v>182559</v>
      </c>
      <c r="G304" s="141">
        <v>10626038</v>
      </c>
      <c r="H304" s="141">
        <v>0</v>
      </c>
      <c r="I304" s="141">
        <v>-82192</v>
      </c>
      <c r="J304" s="141">
        <v>111896</v>
      </c>
      <c r="K304" s="141">
        <v>-443326</v>
      </c>
      <c r="L304" s="141">
        <v>10212416</v>
      </c>
      <c r="M304" s="141">
        <v>464636</v>
      </c>
      <c r="N304" s="141">
        <v>0</v>
      </c>
      <c r="O304" s="141">
        <v>0</v>
      </c>
      <c r="P304" s="141">
        <v>464636</v>
      </c>
      <c r="Q304" s="141">
        <v>-64806</v>
      </c>
      <c r="R304" s="141">
        <v>0</v>
      </c>
      <c r="S304" s="141">
        <v>-5895382</v>
      </c>
      <c r="T304" s="141">
        <v>-3930255</v>
      </c>
      <c r="U304" s="141">
        <v>-84021</v>
      </c>
      <c r="V304" s="141">
        <v>0</v>
      </c>
      <c r="W304" s="141">
        <v>-104656</v>
      </c>
      <c r="X304" s="141">
        <v>-10079120</v>
      </c>
      <c r="Y304" s="857">
        <v>780491</v>
      </c>
      <c r="Z304" t="s">
        <v>1870</v>
      </c>
    </row>
    <row r="305" spans="1:26" ht="12.75" x14ac:dyDescent="0.2">
      <c r="A305" s="764">
        <v>298</v>
      </c>
      <c r="B305" s="765" t="s">
        <v>487</v>
      </c>
      <c r="C305" s="766" t="s">
        <v>1217</v>
      </c>
      <c r="D305" s="767" t="s">
        <v>1219</v>
      </c>
      <c r="E305" s="768" t="s">
        <v>486</v>
      </c>
      <c r="F305" s="141">
        <v>598826</v>
      </c>
      <c r="G305" s="141">
        <v>32293212</v>
      </c>
      <c r="H305" s="141">
        <v>0</v>
      </c>
      <c r="I305" s="141">
        <v>-968796</v>
      </c>
      <c r="J305" s="141">
        <v>100</v>
      </c>
      <c r="K305" s="141">
        <v>-1436406</v>
      </c>
      <c r="L305" s="141">
        <v>29888110</v>
      </c>
      <c r="M305" s="141">
        <v>0</v>
      </c>
      <c r="N305" s="141">
        <v>0</v>
      </c>
      <c r="O305" s="141">
        <v>0</v>
      </c>
      <c r="P305" s="141">
        <v>0</v>
      </c>
      <c r="Q305" s="141">
        <v>-644846</v>
      </c>
      <c r="R305" s="141">
        <v>-14427797</v>
      </c>
      <c r="S305" s="141">
        <v>-2885559</v>
      </c>
      <c r="T305" s="141">
        <v>-11542238</v>
      </c>
      <c r="U305" s="141">
        <v>-129089</v>
      </c>
      <c r="V305" s="141">
        <v>0</v>
      </c>
      <c r="W305" s="141">
        <v>-93622</v>
      </c>
      <c r="X305" s="141">
        <v>-29723151</v>
      </c>
      <c r="Y305" s="857">
        <v>763785</v>
      </c>
      <c r="Z305" t="s">
        <v>1871</v>
      </c>
    </row>
    <row r="306" spans="1:26" ht="12.75" x14ac:dyDescent="0.2">
      <c r="A306" s="764">
        <v>299</v>
      </c>
      <c r="B306" s="765" t="s">
        <v>489</v>
      </c>
      <c r="C306" s="766" t="s">
        <v>1217</v>
      </c>
      <c r="D306" s="767" t="s">
        <v>1220</v>
      </c>
      <c r="E306" s="768" t="s">
        <v>488</v>
      </c>
      <c r="F306" s="141">
        <v>-362364</v>
      </c>
      <c r="G306" s="141">
        <v>18037026</v>
      </c>
      <c r="H306" s="141">
        <v>0</v>
      </c>
      <c r="I306" s="141">
        <v>-242522</v>
      </c>
      <c r="J306" s="141">
        <v>87268</v>
      </c>
      <c r="K306" s="141">
        <v>198292</v>
      </c>
      <c r="L306" s="141">
        <v>18080064</v>
      </c>
      <c r="M306" s="141">
        <v>657732</v>
      </c>
      <c r="N306" s="141">
        <v>0</v>
      </c>
      <c r="O306" s="141">
        <v>0</v>
      </c>
      <c r="P306" s="141">
        <v>657732</v>
      </c>
      <c r="Q306" s="141">
        <v>-229704</v>
      </c>
      <c r="R306" s="141">
        <v>0</v>
      </c>
      <c r="S306" s="141">
        <v>-6953761</v>
      </c>
      <c r="T306" s="141">
        <v>-10430641</v>
      </c>
      <c r="U306" s="141">
        <v>-218174</v>
      </c>
      <c r="V306" s="141">
        <v>-89900</v>
      </c>
      <c r="W306" s="141">
        <v>0</v>
      </c>
      <c r="X306" s="141">
        <v>-17922180</v>
      </c>
      <c r="Y306" s="857">
        <v>453252</v>
      </c>
      <c r="Z306" t="s">
        <v>1872</v>
      </c>
    </row>
    <row r="307" spans="1:26" ht="12.75" x14ac:dyDescent="0.2">
      <c r="A307" s="764">
        <v>300</v>
      </c>
      <c r="B307" s="765" t="s">
        <v>491</v>
      </c>
      <c r="C307" s="766" t="s">
        <v>1217</v>
      </c>
      <c r="D307" s="767" t="s">
        <v>1218</v>
      </c>
      <c r="E307" s="768" t="s">
        <v>490</v>
      </c>
      <c r="F307" s="141">
        <v>-543466</v>
      </c>
      <c r="G307" s="141">
        <v>38609522</v>
      </c>
      <c r="H307" s="141">
        <v>0</v>
      </c>
      <c r="I307" s="141">
        <v>-100000</v>
      </c>
      <c r="J307" s="141">
        <v>996262</v>
      </c>
      <c r="K307" s="141">
        <v>-1401620</v>
      </c>
      <c r="L307" s="141">
        <v>38104164</v>
      </c>
      <c r="M307" s="141">
        <v>1287585</v>
      </c>
      <c r="N307" s="141">
        <v>0</v>
      </c>
      <c r="O307" s="141">
        <v>165461</v>
      </c>
      <c r="P307" s="141">
        <v>1453046</v>
      </c>
      <c r="Q307" s="141">
        <v>0</v>
      </c>
      <c r="R307" s="141">
        <v>-18955808</v>
      </c>
      <c r="S307" s="141">
        <v>-3791162</v>
      </c>
      <c r="T307" s="141">
        <v>-15164646</v>
      </c>
      <c r="U307" s="141">
        <v>-162472</v>
      </c>
      <c r="V307" s="141">
        <v>-226159</v>
      </c>
      <c r="W307" s="141">
        <v>0</v>
      </c>
      <c r="X307" s="141">
        <v>-38300247</v>
      </c>
      <c r="Y307" s="857">
        <v>713497</v>
      </c>
      <c r="Z307" t="s">
        <v>1873</v>
      </c>
    </row>
    <row r="308" spans="1:26" ht="12.75" x14ac:dyDescent="0.2">
      <c r="A308" s="764">
        <v>301</v>
      </c>
      <c r="B308" s="765" t="s">
        <v>1152</v>
      </c>
      <c r="C308" s="766" t="s">
        <v>1217</v>
      </c>
      <c r="D308" s="767" t="s">
        <v>1226</v>
      </c>
      <c r="E308" s="768" t="s">
        <v>1151</v>
      </c>
      <c r="F308" s="141">
        <v>-1763380.7199999988</v>
      </c>
      <c r="G308" s="141">
        <v>72951068</v>
      </c>
      <c r="H308" s="141">
        <v>0</v>
      </c>
      <c r="I308" s="141">
        <v>-366205</v>
      </c>
      <c r="J308" s="141">
        <v>851315</v>
      </c>
      <c r="K308" s="141">
        <v>-4479915</v>
      </c>
      <c r="L308" s="141">
        <v>68956263</v>
      </c>
      <c r="M308" s="141">
        <v>494014</v>
      </c>
      <c r="N308" s="141">
        <v>0</v>
      </c>
      <c r="O308" s="141">
        <v>1866147</v>
      </c>
      <c r="P308" s="141">
        <v>2360161</v>
      </c>
      <c r="Q308" s="141">
        <v>0</v>
      </c>
      <c r="R308" s="141">
        <v>-35028452</v>
      </c>
      <c r="S308" s="141">
        <v>-7005690</v>
      </c>
      <c r="T308" s="141">
        <v>-28022762</v>
      </c>
      <c r="U308" s="141">
        <v>-841994</v>
      </c>
      <c r="V308" s="141">
        <v>0</v>
      </c>
      <c r="W308" s="141">
        <v>0</v>
      </c>
      <c r="X308" s="141">
        <v>-70898898</v>
      </c>
      <c r="Y308" s="857">
        <v>-1345854.7199999988</v>
      </c>
      <c r="Z308" t="s">
        <v>1874</v>
      </c>
    </row>
    <row r="309" spans="1:26" ht="12.75" x14ac:dyDescent="0.2">
      <c r="A309" s="764">
        <v>302</v>
      </c>
      <c r="B309" s="765" t="s">
        <v>493</v>
      </c>
      <c r="C309" s="766" t="s">
        <v>1228</v>
      </c>
      <c r="D309" s="767" t="s">
        <v>1223</v>
      </c>
      <c r="E309" s="768" t="s">
        <v>492</v>
      </c>
      <c r="F309" s="141">
        <v>251522032</v>
      </c>
      <c r="G309" s="141">
        <v>2208572814</v>
      </c>
      <c r="H309" s="141">
        <v>0</v>
      </c>
      <c r="I309" s="141">
        <v>-8052037</v>
      </c>
      <c r="J309" s="141">
        <v>74021298</v>
      </c>
      <c r="K309" s="141">
        <v>-97177204</v>
      </c>
      <c r="L309" s="141">
        <v>2177364871</v>
      </c>
      <c r="M309" s="141">
        <v>33518775</v>
      </c>
      <c r="N309" s="141">
        <v>0</v>
      </c>
      <c r="O309" s="141">
        <v>0</v>
      </c>
      <c r="P309" s="141">
        <v>33518775</v>
      </c>
      <c r="Q309" s="141">
        <v>0</v>
      </c>
      <c r="R309" s="141">
        <v>0</v>
      </c>
      <c r="S309" s="141">
        <v>-781021719</v>
      </c>
      <c r="T309" s="141">
        <v>-1388483057</v>
      </c>
      <c r="U309" s="141">
        <v>-3310431</v>
      </c>
      <c r="V309" s="141">
        <v>0</v>
      </c>
      <c r="W309" s="141">
        <v>-286195543</v>
      </c>
      <c r="X309" s="141">
        <v>-2459010750</v>
      </c>
      <c r="Y309" s="857">
        <v>3394928</v>
      </c>
      <c r="Z309" t="s">
        <v>1875</v>
      </c>
    </row>
    <row r="310" spans="1:26" ht="12.75" x14ac:dyDescent="0.2">
      <c r="A310" s="764">
        <v>303</v>
      </c>
      <c r="B310" s="765" t="s">
        <v>495</v>
      </c>
      <c r="C310" s="770" t="s">
        <v>1224</v>
      </c>
      <c r="D310" s="771" t="s">
        <v>1219</v>
      </c>
      <c r="E310" s="768" t="s">
        <v>494</v>
      </c>
      <c r="F310" s="141">
        <v>3027354</v>
      </c>
      <c r="G310" s="141">
        <v>83004399</v>
      </c>
      <c r="H310" s="141">
        <v>0</v>
      </c>
      <c r="I310" s="141">
        <v>-700000</v>
      </c>
      <c r="J310" s="141">
        <v>2507411</v>
      </c>
      <c r="K310" s="141">
        <v>-3376724</v>
      </c>
      <c r="L310" s="141">
        <v>81435086</v>
      </c>
      <c r="M310" s="141">
        <v>0</v>
      </c>
      <c r="N310" s="141">
        <v>0</v>
      </c>
      <c r="O310" s="141">
        <v>2472335</v>
      </c>
      <c r="P310" s="141">
        <v>2472335</v>
      </c>
      <c r="Q310" s="141">
        <v>0</v>
      </c>
      <c r="R310" s="141">
        <v>0</v>
      </c>
      <c r="S310" s="141">
        <v>-756289</v>
      </c>
      <c r="T310" s="141">
        <v>-74872618</v>
      </c>
      <c r="U310" s="141">
        <v>0</v>
      </c>
      <c r="V310" s="141">
        <v>0</v>
      </c>
      <c r="W310" s="141">
        <v>0</v>
      </c>
      <c r="X310" s="141">
        <v>-75628907</v>
      </c>
      <c r="Y310" s="857">
        <v>11305868</v>
      </c>
      <c r="Z310" t="s">
        <v>1876</v>
      </c>
    </row>
    <row r="311" spans="1:26" ht="12.75" x14ac:dyDescent="0.2">
      <c r="A311" s="764">
        <v>304</v>
      </c>
      <c r="B311" s="765" t="s">
        <v>497</v>
      </c>
      <c r="C311" s="766" t="s">
        <v>529</v>
      </c>
      <c r="D311" s="767" t="s">
        <v>1226</v>
      </c>
      <c r="E311" s="768" t="s">
        <v>496</v>
      </c>
      <c r="F311" s="141">
        <v>-8220188</v>
      </c>
      <c r="G311" s="141">
        <v>151367701</v>
      </c>
      <c r="H311" s="141">
        <v>0</v>
      </c>
      <c r="I311" s="141">
        <v>-648030</v>
      </c>
      <c r="J311" s="141">
        <v>3681400</v>
      </c>
      <c r="K311" s="141">
        <v>-3796693</v>
      </c>
      <c r="L311" s="141">
        <v>150604378</v>
      </c>
      <c r="M311" s="141">
        <v>0</v>
      </c>
      <c r="N311" s="141">
        <v>0</v>
      </c>
      <c r="O311" s="141">
        <v>2549589</v>
      </c>
      <c r="P311" s="141">
        <v>2549589</v>
      </c>
      <c r="Q311" s="141">
        <v>-2158049</v>
      </c>
      <c r="R311" s="141">
        <v>-74735126</v>
      </c>
      <c r="S311" s="141">
        <v>-1494703</v>
      </c>
      <c r="T311" s="141">
        <v>-73240424</v>
      </c>
      <c r="U311" s="141">
        <v>-2217752</v>
      </c>
      <c r="V311" s="141">
        <v>0</v>
      </c>
      <c r="W311" s="141">
        <v>0</v>
      </c>
      <c r="X311" s="141">
        <v>-153846054</v>
      </c>
      <c r="Y311" s="857">
        <v>-8912275</v>
      </c>
      <c r="Z311" t="s">
        <v>1877</v>
      </c>
    </row>
    <row r="312" spans="1:26" ht="12.75" x14ac:dyDescent="0.2">
      <c r="A312" s="764">
        <v>305</v>
      </c>
      <c r="B312" s="765" t="s">
        <v>499</v>
      </c>
      <c r="C312" s="766" t="s">
        <v>1217</v>
      </c>
      <c r="D312" s="767" t="s">
        <v>1218</v>
      </c>
      <c r="E312" s="768" t="s">
        <v>498</v>
      </c>
      <c r="F312" s="141">
        <v>-1709547</v>
      </c>
      <c r="G312" s="141">
        <v>62279421</v>
      </c>
      <c r="H312" s="141">
        <v>0</v>
      </c>
      <c r="I312" s="141">
        <v>-133935</v>
      </c>
      <c r="J312" s="141">
        <v>187794</v>
      </c>
      <c r="K312" s="141">
        <v>-1928812</v>
      </c>
      <c r="L312" s="141">
        <v>60404468</v>
      </c>
      <c r="M312" s="141">
        <v>1016444</v>
      </c>
      <c r="N312" s="141">
        <v>0</v>
      </c>
      <c r="O312" s="141">
        <v>966071</v>
      </c>
      <c r="P312" s="141">
        <v>1982515</v>
      </c>
      <c r="Q312" s="141">
        <v>0</v>
      </c>
      <c r="R312" s="141">
        <v>-29611507</v>
      </c>
      <c r="S312" s="141">
        <v>-5922301</v>
      </c>
      <c r="T312" s="141">
        <v>-23689207</v>
      </c>
      <c r="U312" s="141">
        <v>-484373</v>
      </c>
      <c r="V312" s="141">
        <v>0</v>
      </c>
      <c r="W312" s="141">
        <v>0</v>
      </c>
      <c r="X312" s="141">
        <v>-59707388</v>
      </c>
      <c r="Y312" s="857">
        <v>970048</v>
      </c>
      <c r="Z312" t="s">
        <v>1878</v>
      </c>
    </row>
    <row r="313" spans="1:26" ht="12.75" x14ac:dyDescent="0.2">
      <c r="A313" s="764">
        <v>306</v>
      </c>
      <c r="B313" s="765" t="s">
        <v>501</v>
      </c>
      <c r="C313" s="766" t="s">
        <v>529</v>
      </c>
      <c r="D313" s="767" t="s">
        <v>1218</v>
      </c>
      <c r="E313" s="768" t="s">
        <v>894</v>
      </c>
      <c r="F313" s="141">
        <v>-11745224</v>
      </c>
      <c r="G313" s="141">
        <v>92716497</v>
      </c>
      <c r="H313" s="141">
        <v>0</v>
      </c>
      <c r="I313" s="141">
        <v>179759</v>
      </c>
      <c r="J313" s="141">
        <v>1479043</v>
      </c>
      <c r="K313" s="141">
        <v>0</v>
      </c>
      <c r="L313" s="141">
        <v>94375299</v>
      </c>
      <c r="M313" s="141">
        <v>313275</v>
      </c>
      <c r="N313" s="141">
        <v>0</v>
      </c>
      <c r="O313" s="141">
        <v>6006280</v>
      </c>
      <c r="P313" s="141">
        <v>6319555</v>
      </c>
      <c r="Q313" s="141">
        <v>0</v>
      </c>
      <c r="R313" s="141">
        <v>0</v>
      </c>
      <c r="S313" s="141">
        <v>-910751</v>
      </c>
      <c r="T313" s="141">
        <v>-90164309</v>
      </c>
      <c r="U313" s="141">
        <v>-11036</v>
      </c>
      <c r="V313" s="141">
        <v>-244862</v>
      </c>
      <c r="W313" s="141">
        <v>0</v>
      </c>
      <c r="X313" s="141">
        <v>-91330958</v>
      </c>
      <c r="Y313" s="857">
        <v>-2381328</v>
      </c>
      <c r="Z313" t="s">
        <v>1879</v>
      </c>
    </row>
    <row r="314" spans="1:26" ht="12.75" x14ac:dyDescent="0.2">
      <c r="A314" s="764">
        <v>307</v>
      </c>
      <c r="B314" s="765" t="s">
        <v>503</v>
      </c>
      <c r="C314" s="766" t="s">
        <v>1224</v>
      </c>
      <c r="D314" s="767" t="s">
        <v>1219</v>
      </c>
      <c r="E314" s="768" t="s">
        <v>502</v>
      </c>
      <c r="F314" s="141">
        <v>-3100882</v>
      </c>
      <c r="G314" s="141">
        <v>73000132</v>
      </c>
      <c r="H314" s="141">
        <v>0</v>
      </c>
      <c r="I314" s="141">
        <v>-1100000</v>
      </c>
      <c r="J314" s="141">
        <v>452301</v>
      </c>
      <c r="K314" s="141">
        <v>1628566</v>
      </c>
      <c r="L314" s="141">
        <v>73980999</v>
      </c>
      <c r="M314" s="141">
        <v>2007468</v>
      </c>
      <c r="N314" s="141">
        <v>0</v>
      </c>
      <c r="O314" s="141">
        <v>1975600</v>
      </c>
      <c r="P314" s="141">
        <v>3983068</v>
      </c>
      <c r="Q314" s="141">
        <v>-3022162</v>
      </c>
      <c r="R314" s="141">
        <v>0</v>
      </c>
      <c r="S314" s="141">
        <v>-714246</v>
      </c>
      <c r="T314" s="141">
        <v>-70710326</v>
      </c>
      <c r="U314" s="141">
        <v>-347350</v>
      </c>
      <c r="V314" s="141">
        <v>0</v>
      </c>
      <c r="W314" s="141">
        <v>0</v>
      </c>
      <c r="X314" s="141">
        <v>-74794084</v>
      </c>
      <c r="Y314" s="857">
        <v>69101</v>
      </c>
      <c r="Z314" t="s">
        <v>1880</v>
      </c>
    </row>
    <row r="315" spans="1:26" ht="12.75" x14ac:dyDescent="0.2">
      <c r="A315" s="764">
        <v>308</v>
      </c>
      <c r="B315" s="765" t="s">
        <v>505</v>
      </c>
      <c r="C315" s="766" t="s">
        <v>1217</v>
      </c>
      <c r="D315" s="767" t="s">
        <v>1218</v>
      </c>
      <c r="E315" s="768" t="s">
        <v>504</v>
      </c>
      <c r="F315" s="141">
        <v>-8541921</v>
      </c>
      <c r="G315" s="141">
        <v>48086728</v>
      </c>
      <c r="H315" s="141">
        <v>-88390</v>
      </c>
      <c r="I315" s="141">
        <v>-242000</v>
      </c>
      <c r="J315" s="141">
        <v>1139073</v>
      </c>
      <c r="K315" s="141">
        <v>4215927</v>
      </c>
      <c r="L315" s="141">
        <v>53111338</v>
      </c>
      <c r="M315" s="141">
        <v>0</v>
      </c>
      <c r="N315" s="141">
        <v>0</v>
      </c>
      <c r="O315" s="141">
        <v>8517115</v>
      </c>
      <c r="P315" s="141">
        <v>8517115</v>
      </c>
      <c r="Q315" s="141">
        <v>-63130</v>
      </c>
      <c r="R315" s="141">
        <v>0</v>
      </c>
      <c r="S315" s="141">
        <v>-32616286</v>
      </c>
      <c r="T315" s="141">
        <v>-13978408</v>
      </c>
      <c r="U315" s="141">
        <v>-135455</v>
      </c>
      <c r="V315" s="141">
        <v>0</v>
      </c>
      <c r="W315" s="141">
        <v>0</v>
      </c>
      <c r="X315" s="141">
        <v>-46793279</v>
      </c>
      <c r="Y315" s="857">
        <v>6293253</v>
      </c>
      <c r="Z315" t="s">
        <v>1881</v>
      </c>
    </row>
    <row r="316" spans="1:26" ht="12.75" x14ac:dyDescent="0.2">
      <c r="A316" s="764">
        <v>309</v>
      </c>
      <c r="B316" s="765" t="s">
        <v>507</v>
      </c>
      <c r="C316" s="766" t="s">
        <v>529</v>
      </c>
      <c r="D316" s="767" t="s">
        <v>1218</v>
      </c>
      <c r="E316" s="768" t="s">
        <v>541</v>
      </c>
      <c r="F316" s="141">
        <v>10473657.140000001</v>
      </c>
      <c r="G316" s="141">
        <v>71928250</v>
      </c>
      <c r="H316" s="141">
        <v>0</v>
      </c>
      <c r="I316" s="141">
        <v>-1600000</v>
      </c>
      <c r="J316" s="141">
        <v>2874000</v>
      </c>
      <c r="K316" s="141">
        <v>605000</v>
      </c>
      <c r="L316" s="141">
        <v>73807250</v>
      </c>
      <c r="M316" s="141">
        <v>2701140</v>
      </c>
      <c r="N316" s="141">
        <v>0</v>
      </c>
      <c r="O316" s="141">
        <v>0</v>
      </c>
      <c r="P316" s="141">
        <v>2701140</v>
      </c>
      <c r="Q316" s="141">
        <v>0</v>
      </c>
      <c r="R316" s="141">
        <v>0</v>
      </c>
      <c r="S316" s="141">
        <v>-719964</v>
      </c>
      <c r="T316" s="141">
        <v>-71276446</v>
      </c>
      <c r="U316" s="141">
        <v>-211998</v>
      </c>
      <c r="V316" s="141">
        <v>0</v>
      </c>
      <c r="W316" s="141">
        <v>-11396160</v>
      </c>
      <c r="X316" s="141">
        <v>-83604568</v>
      </c>
      <c r="Y316" s="857">
        <v>3377479.1400000006</v>
      </c>
      <c r="Z316" t="s">
        <v>1882</v>
      </c>
    </row>
    <row r="317" spans="1:26" ht="12.75" x14ac:dyDescent="0.2">
      <c r="A317" s="764">
        <v>310</v>
      </c>
      <c r="B317" s="765" t="s">
        <v>509</v>
      </c>
      <c r="C317" s="766" t="s">
        <v>1224</v>
      </c>
      <c r="D317" s="767" t="s">
        <v>1227</v>
      </c>
      <c r="E317" s="768" t="s">
        <v>508</v>
      </c>
      <c r="F317" s="141">
        <v>-1122256.6999999993</v>
      </c>
      <c r="G317" s="141">
        <v>73568130</v>
      </c>
      <c r="H317" s="141">
        <v>0</v>
      </c>
      <c r="I317" s="141">
        <v>-1348394</v>
      </c>
      <c r="J317" s="141">
        <v>1808330</v>
      </c>
      <c r="K317" s="141">
        <v>-1368713</v>
      </c>
      <c r="L317" s="141">
        <v>72659353</v>
      </c>
      <c r="M317" s="141">
        <v>0</v>
      </c>
      <c r="N317" s="141">
        <v>0</v>
      </c>
      <c r="O317" s="141">
        <v>1741176</v>
      </c>
      <c r="P317" s="141">
        <v>1741176</v>
      </c>
      <c r="Q317" s="141">
        <v>-369889</v>
      </c>
      <c r="R317" s="141">
        <v>0</v>
      </c>
      <c r="S317" s="141">
        <v>-735714</v>
      </c>
      <c r="T317" s="141">
        <v>-72835649</v>
      </c>
      <c r="U317" s="141">
        <v>-420219</v>
      </c>
      <c r="V317" s="141">
        <v>0</v>
      </c>
      <c r="W317" s="141">
        <v>0</v>
      </c>
      <c r="X317" s="141">
        <v>-74361471</v>
      </c>
      <c r="Y317" s="857">
        <v>-1083198.700000003</v>
      </c>
      <c r="Z317" t="s">
        <v>1883</v>
      </c>
    </row>
    <row r="318" spans="1:26" ht="12.75" x14ac:dyDescent="0.2">
      <c r="A318" s="764">
        <v>311</v>
      </c>
      <c r="B318" s="765" t="s">
        <v>511</v>
      </c>
      <c r="C318" s="766" t="s">
        <v>1217</v>
      </c>
      <c r="D318" s="767" t="s">
        <v>1227</v>
      </c>
      <c r="E318" s="768" t="s">
        <v>510</v>
      </c>
      <c r="F318" s="141">
        <v>-311683</v>
      </c>
      <c r="G318" s="141">
        <v>42627428</v>
      </c>
      <c r="H318" s="141">
        <v>0</v>
      </c>
      <c r="I318" s="141">
        <v>-426274</v>
      </c>
      <c r="J318" s="141">
        <v>320086</v>
      </c>
      <c r="K318" s="141">
        <v>-1878165</v>
      </c>
      <c r="L318" s="141">
        <v>40643075</v>
      </c>
      <c r="M318" s="141">
        <v>0</v>
      </c>
      <c r="N318" s="141">
        <v>0</v>
      </c>
      <c r="O318" s="141">
        <v>162502</v>
      </c>
      <c r="P318" s="141">
        <v>162502</v>
      </c>
      <c r="Q318" s="141">
        <v>-725349</v>
      </c>
      <c r="R318" s="141">
        <v>-19519884</v>
      </c>
      <c r="S318" s="141">
        <v>-3903977</v>
      </c>
      <c r="T318" s="141">
        <v>-15615908</v>
      </c>
      <c r="U318" s="141">
        <v>-3984</v>
      </c>
      <c r="V318" s="141">
        <v>-133147</v>
      </c>
      <c r="W318" s="141">
        <v>0</v>
      </c>
      <c r="X318" s="141">
        <v>-39902249</v>
      </c>
      <c r="Y318" s="857">
        <v>591645</v>
      </c>
      <c r="Z318" t="s">
        <v>1884</v>
      </c>
    </row>
    <row r="319" spans="1:26" ht="12.75" x14ac:dyDescent="0.2">
      <c r="A319" s="764">
        <v>312</v>
      </c>
      <c r="B319" s="769" t="s">
        <v>513</v>
      </c>
      <c r="C319" s="766" t="s">
        <v>1217</v>
      </c>
      <c r="D319" s="767" t="s">
        <v>1218</v>
      </c>
      <c r="E319" s="772" t="s">
        <v>512</v>
      </c>
      <c r="F319" s="141">
        <v>-424838</v>
      </c>
      <c r="G319" s="141">
        <v>32025183</v>
      </c>
      <c r="H319" s="141">
        <v>0</v>
      </c>
      <c r="I319" s="141">
        <v>-241964</v>
      </c>
      <c r="J319" s="141">
        <v>0</v>
      </c>
      <c r="K319" s="141">
        <v>22100</v>
      </c>
      <c r="L319" s="141">
        <v>31805319</v>
      </c>
      <c r="M319" s="141">
        <v>0</v>
      </c>
      <c r="N319" s="141">
        <v>0</v>
      </c>
      <c r="O319" s="141">
        <v>0</v>
      </c>
      <c r="P319" s="141">
        <v>0</v>
      </c>
      <c r="Q319" s="141">
        <v>-143564</v>
      </c>
      <c r="R319" s="141">
        <v>-16003587</v>
      </c>
      <c r="S319" s="141">
        <v>-3200718</v>
      </c>
      <c r="T319" s="141">
        <v>-12802870</v>
      </c>
      <c r="U319" s="141">
        <v>-127461</v>
      </c>
      <c r="V319" s="141">
        <v>0</v>
      </c>
      <c r="W319" s="141">
        <v>-758137</v>
      </c>
      <c r="X319" s="141">
        <v>-33036337</v>
      </c>
      <c r="Y319" s="857">
        <v>-1655856</v>
      </c>
      <c r="Z319" t="s">
        <v>1885</v>
      </c>
    </row>
    <row r="320" spans="1:26" ht="12.75" x14ac:dyDescent="0.2">
      <c r="A320" s="764">
        <v>313</v>
      </c>
      <c r="B320" s="765" t="s">
        <v>515</v>
      </c>
      <c r="C320" s="766" t="s">
        <v>1217</v>
      </c>
      <c r="D320" s="767" t="s">
        <v>1227</v>
      </c>
      <c r="E320" s="768" t="s">
        <v>514</v>
      </c>
      <c r="F320" s="141">
        <v>-262252.52479200065</v>
      </c>
      <c r="G320" s="141">
        <v>43215114</v>
      </c>
      <c r="H320" s="141">
        <v>-422385</v>
      </c>
      <c r="I320" s="141">
        <v>0</v>
      </c>
      <c r="J320" s="141">
        <v>73301</v>
      </c>
      <c r="K320" s="141">
        <v>-1581787</v>
      </c>
      <c r="L320" s="141">
        <v>41284243</v>
      </c>
      <c r="M320" s="141">
        <v>261394</v>
      </c>
      <c r="N320" s="141">
        <v>0</v>
      </c>
      <c r="O320" s="141">
        <v>0</v>
      </c>
      <c r="P320" s="141">
        <v>261394</v>
      </c>
      <c r="Q320" s="141">
        <v>0</v>
      </c>
      <c r="R320" s="141">
        <v>-19635797</v>
      </c>
      <c r="S320" s="141">
        <v>-3927160</v>
      </c>
      <c r="T320" s="141">
        <v>-15708638</v>
      </c>
      <c r="U320" s="141">
        <v>-571958</v>
      </c>
      <c r="V320" s="141">
        <v>-13278</v>
      </c>
      <c r="W320" s="141">
        <v>0</v>
      </c>
      <c r="X320" s="141">
        <v>-39856831</v>
      </c>
      <c r="Y320" s="857">
        <v>1426553.4752079993</v>
      </c>
      <c r="Z320" t="s">
        <v>1886</v>
      </c>
    </row>
    <row r="321" spans="1:26" ht="12.75" x14ac:dyDescent="0.2">
      <c r="A321" s="764">
        <v>314</v>
      </c>
      <c r="B321" s="765" t="s">
        <v>517</v>
      </c>
      <c r="C321" s="766" t="s">
        <v>1217</v>
      </c>
      <c r="D321" s="767" t="s">
        <v>1218</v>
      </c>
      <c r="E321" s="768" t="s">
        <v>516</v>
      </c>
      <c r="F321" s="141">
        <v>-2507017</v>
      </c>
      <c r="G321" s="141">
        <v>72369000</v>
      </c>
      <c r="H321" s="141">
        <v>0</v>
      </c>
      <c r="I321" s="141">
        <v>-542000</v>
      </c>
      <c r="J321" s="141">
        <v>750000</v>
      </c>
      <c r="K321" s="141">
        <v>750000</v>
      </c>
      <c r="L321" s="141">
        <v>73327000</v>
      </c>
      <c r="M321" s="141">
        <v>0</v>
      </c>
      <c r="N321" s="141">
        <v>0</v>
      </c>
      <c r="O321" s="141">
        <v>0</v>
      </c>
      <c r="P321" s="141">
        <v>0</v>
      </c>
      <c r="Q321" s="141">
        <v>-754000</v>
      </c>
      <c r="R321" s="141">
        <v>-35849972</v>
      </c>
      <c r="S321" s="141">
        <v>-7169994</v>
      </c>
      <c r="T321" s="141">
        <v>-28679978</v>
      </c>
      <c r="U321" s="141">
        <v>0</v>
      </c>
      <c r="V321" s="141">
        <v>0</v>
      </c>
      <c r="W321" s="141">
        <v>-3750412</v>
      </c>
      <c r="X321" s="141">
        <v>-76204356</v>
      </c>
      <c r="Y321" s="857">
        <v>-5384373</v>
      </c>
      <c r="Z321" t="s">
        <v>1887</v>
      </c>
    </row>
    <row r="322" spans="1:26" ht="12.75" x14ac:dyDescent="0.2">
      <c r="A322" s="764">
        <v>315</v>
      </c>
      <c r="B322" s="765" t="s">
        <v>519</v>
      </c>
      <c r="C322" s="766" t="s">
        <v>1217</v>
      </c>
      <c r="D322" s="767" t="s">
        <v>1219</v>
      </c>
      <c r="E322" s="768" t="s">
        <v>518</v>
      </c>
      <c r="F322" s="141">
        <v>-1300939</v>
      </c>
      <c r="G322" s="141">
        <v>27005393</v>
      </c>
      <c r="H322" s="141">
        <v>-150000</v>
      </c>
      <c r="I322" s="141">
        <v>-10249</v>
      </c>
      <c r="J322" s="141">
        <v>0</v>
      </c>
      <c r="K322" s="141">
        <v>-1269253</v>
      </c>
      <c r="L322" s="141">
        <v>25575891</v>
      </c>
      <c r="M322" s="141">
        <v>0</v>
      </c>
      <c r="N322" s="141">
        <v>0</v>
      </c>
      <c r="O322" s="141">
        <v>866376</v>
      </c>
      <c r="P322" s="141">
        <v>866376</v>
      </c>
      <c r="Q322" s="141">
        <v>-1142766</v>
      </c>
      <c r="R322" s="141">
        <v>-12416257</v>
      </c>
      <c r="S322" s="141">
        <v>-2483251</v>
      </c>
      <c r="T322" s="141">
        <v>-9933005</v>
      </c>
      <c r="U322" s="141">
        <v>-210673</v>
      </c>
      <c r="V322" s="141">
        <v>0</v>
      </c>
      <c r="W322" s="141">
        <v>0</v>
      </c>
      <c r="X322" s="141">
        <v>-26185952</v>
      </c>
      <c r="Y322" s="857">
        <v>-1044624</v>
      </c>
      <c r="Z322" t="s">
        <v>1888</v>
      </c>
    </row>
    <row r="323" spans="1:26" ht="12.75" x14ac:dyDescent="0.2">
      <c r="A323" s="764">
        <v>316</v>
      </c>
      <c r="B323" s="765" t="s">
        <v>521</v>
      </c>
      <c r="C323" s="766" t="s">
        <v>1217</v>
      </c>
      <c r="D323" s="767" t="s">
        <v>1227</v>
      </c>
      <c r="E323" s="768" t="s">
        <v>520</v>
      </c>
      <c r="F323" s="141">
        <v>-252955</v>
      </c>
      <c r="G323" s="141">
        <v>28943412</v>
      </c>
      <c r="H323" s="141">
        <v>0</v>
      </c>
      <c r="I323" s="141">
        <v>-289434</v>
      </c>
      <c r="J323" s="141">
        <v>0</v>
      </c>
      <c r="K323" s="141">
        <v>-1443399</v>
      </c>
      <c r="L323" s="141">
        <v>27210579</v>
      </c>
      <c r="M323" s="141">
        <v>0</v>
      </c>
      <c r="N323" s="141">
        <v>0</v>
      </c>
      <c r="O323" s="141">
        <v>24721</v>
      </c>
      <c r="P323" s="141">
        <v>24721</v>
      </c>
      <c r="Q323" s="141">
        <v>-298381</v>
      </c>
      <c r="R323" s="141">
        <v>-13565083</v>
      </c>
      <c r="S323" s="141">
        <v>-2713017</v>
      </c>
      <c r="T323" s="141">
        <v>-10852066</v>
      </c>
      <c r="U323" s="141">
        <v>-134280</v>
      </c>
      <c r="V323" s="141">
        <v>0</v>
      </c>
      <c r="W323" s="141">
        <v>0</v>
      </c>
      <c r="X323" s="141">
        <v>-27562827</v>
      </c>
      <c r="Y323" s="857">
        <v>-580482</v>
      </c>
      <c r="Z323" t="s">
        <v>1889</v>
      </c>
    </row>
    <row r="324" spans="1:26" ht="13.5" thickBot="1" x14ac:dyDescent="0.25">
      <c r="A324" s="764">
        <v>317</v>
      </c>
      <c r="B324" s="765" t="s">
        <v>523</v>
      </c>
      <c r="C324" s="766" t="s">
        <v>529</v>
      </c>
      <c r="D324" s="767" t="s">
        <v>1225</v>
      </c>
      <c r="E324" s="768" t="s">
        <v>602</v>
      </c>
      <c r="F324" s="141">
        <v>-768965</v>
      </c>
      <c r="G324" s="141">
        <v>105718848</v>
      </c>
      <c r="H324" s="141">
        <v>-239853</v>
      </c>
      <c r="I324" s="141">
        <v>-160147</v>
      </c>
      <c r="J324" s="141">
        <v>1481487</v>
      </c>
      <c r="K324" s="141">
        <v>0</v>
      </c>
      <c r="L324" s="141">
        <v>106800335</v>
      </c>
      <c r="M324" s="141">
        <v>2336171</v>
      </c>
      <c r="N324" s="141">
        <v>0</v>
      </c>
      <c r="O324" s="141">
        <v>655878</v>
      </c>
      <c r="P324" s="141">
        <v>2992049</v>
      </c>
      <c r="Q324" s="141">
        <v>-3652921</v>
      </c>
      <c r="R324" s="141">
        <v>0</v>
      </c>
      <c r="S324" s="141">
        <v>-1004025</v>
      </c>
      <c r="T324" s="141">
        <v>-99398451</v>
      </c>
      <c r="U324" s="141">
        <v>-708220</v>
      </c>
      <c r="V324" s="141">
        <v>0</v>
      </c>
      <c r="W324" s="141">
        <v>0</v>
      </c>
      <c r="X324" s="141">
        <v>-104763617</v>
      </c>
      <c r="Y324" s="857">
        <v>4259802</v>
      </c>
      <c r="Z324" t="s">
        <v>1890</v>
      </c>
    </row>
    <row r="325" spans="1:26" ht="13.5" thickBot="1" x14ac:dyDescent="0.25">
      <c r="A325" s="773">
        <v>327</v>
      </c>
      <c r="B325" s="864" t="s">
        <v>524</v>
      </c>
      <c r="C325" s="774"/>
      <c r="D325" s="775" t="s">
        <v>1221</v>
      </c>
      <c r="E325" s="775" t="s">
        <v>1230</v>
      </c>
      <c r="F325" s="860">
        <f>SUM(F8:F324)</f>
        <v>6145053.433319021</v>
      </c>
      <c r="G325" s="858">
        <f>SUM(G8:G324)</f>
        <v>25749926535.739998</v>
      </c>
      <c r="H325" s="858">
        <f t="shared" ref="H325:Y325" si="0">SUM(H8:H324)</f>
        <v>-49836557</v>
      </c>
      <c r="I325" s="858">
        <f t="shared" si="0"/>
        <v>-182793774</v>
      </c>
      <c r="J325" s="858">
        <f t="shared" si="0"/>
        <v>572481251</v>
      </c>
      <c r="K325" s="858">
        <f t="shared" si="0"/>
        <v>-897975269</v>
      </c>
      <c r="L325" s="858">
        <f t="shared" si="0"/>
        <v>25191802186.739998</v>
      </c>
      <c r="M325" s="858">
        <f t="shared" si="0"/>
        <v>355249412</v>
      </c>
      <c r="N325" s="858">
        <f t="shared" si="0"/>
        <v>9363442</v>
      </c>
      <c r="O325" s="858">
        <f t="shared" si="0"/>
        <v>549774451</v>
      </c>
      <c r="P325" s="858">
        <f t="shared" si="0"/>
        <v>914387305</v>
      </c>
      <c r="Q325" s="858">
        <f t="shared" si="0"/>
        <v>-373491846</v>
      </c>
      <c r="R325" s="858">
        <f t="shared" si="0"/>
        <v>-4755530062</v>
      </c>
      <c r="S325" s="858">
        <f t="shared" si="0"/>
        <v>-4862563809</v>
      </c>
      <c r="T325" s="858">
        <f t="shared" si="0"/>
        <v>-14801672573</v>
      </c>
      <c r="U325" s="858">
        <f t="shared" si="0"/>
        <v>-500800419</v>
      </c>
      <c r="V325" s="858">
        <f t="shared" si="0"/>
        <v>-16535404</v>
      </c>
      <c r="W325" s="858">
        <f t="shared" si="0"/>
        <v>-747183953</v>
      </c>
      <c r="X325" s="858">
        <f t="shared" si="0"/>
        <v>-26057778066</v>
      </c>
      <c r="Y325" s="859">
        <f t="shared" si="0"/>
        <v>54556479.173319004</v>
      </c>
    </row>
    <row r="326" spans="1:26" s="861" customFormat="1" ht="12.75" x14ac:dyDescent="0.2">
      <c r="A326" s="1106" t="s">
        <v>1900</v>
      </c>
      <c r="B326" s="1107"/>
      <c r="C326" s="1107"/>
      <c r="D326" s="1107"/>
      <c r="E326" s="1107"/>
    </row>
    <row r="327" spans="1:26" x14ac:dyDescent="0.2">
      <c r="D327" s="780"/>
      <c r="E327" s="781"/>
    </row>
    <row r="328" spans="1:26" x14ac:dyDescent="0.2">
      <c r="A328" s="784"/>
      <c r="D328" s="780"/>
      <c r="E328" s="781"/>
    </row>
    <row r="329" spans="1:26" x14ac:dyDescent="0.2">
      <c r="D329" s="780"/>
      <c r="E329" s="781"/>
    </row>
    <row r="330" spans="1:26" x14ac:dyDescent="0.2">
      <c r="D330" s="780"/>
      <c r="E330" s="781"/>
    </row>
  </sheetData>
  <mergeCells count="1">
    <mergeCell ref="A326:E32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319"/>
  <sheetViews>
    <sheetView workbookViewId="0">
      <selection activeCell="D244" sqref="D244"/>
    </sheetView>
  </sheetViews>
  <sheetFormatPr defaultRowHeight="12.75" x14ac:dyDescent="0.2"/>
  <cols>
    <col min="1" max="1" width="24.42578125" customWidth="1"/>
    <col min="3" max="3" width="29.28515625" customWidth="1"/>
  </cols>
  <sheetData>
    <row r="1" spans="1:3" x14ac:dyDescent="0.2">
      <c r="A1" s="125" t="s">
        <v>880</v>
      </c>
    </row>
    <row r="2" spans="1:3" x14ac:dyDescent="0.2">
      <c r="B2" t="s">
        <v>879</v>
      </c>
    </row>
    <row r="3" spans="1:3" x14ac:dyDescent="0.2">
      <c r="A3" t="s">
        <v>679</v>
      </c>
      <c r="B3" t="s">
        <v>680</v>
      </c>
      <c r="C3" t="s">
        <v>679</v>
      </c>
    </row>
    <row r="4" spans="1:3" x14ac:dyDescent="0.2">
      <c r="A4" t="s">
        <v>681</v>
      </c>
      <c r="B4" t="s">
        <v>682</v>
      </c>
      <c r="C4" t="s">
        <v>681</v>
      </c>
    </row>
    <row r="5" spans="1:3" x14ac:dyDescent="0.2">
      <c r="A5" t="s">
        <v>683</v>
      </c>
      <c r="B5" t="s">
        <v>684</v>
      </c>
      <c r="C5" t="s">
        <v>683</v>
      </c>
    </row>
    <row r="6" spans="1:3" x14ac:dyDescent="0.2">
      <c r="A6" t="s">
        <v>685</v>
      </c>
      <c r="B6" t="s">
        <v>686</v>
      </c>
      <c r="C6" t="s">
        <v>685</v>
      </c>
    </row>
    <row r="7" spans="1:3" x14ac:dyDescent="0.2">
      <c r="A7" t="s">
        <v>687</v>
      </c>
      <c r="B7" t="s">
        <v>688</v>
      </c>
      <c r="C7" t="s">
        <v>687</v>
      </c>
    </row>
    <row r="8" spans="1:3" x14ac:dyDescent="0.2">
      <c r="A8" t="s">
        <v>689</v>
      </c>
      <c r="B8" t="s">
        <v>690</v>
      </c>
      <c r="C8" t="s">
        <v>689</v>
      </c>
    </row>
    <row r="9" spans="1:3" x14ac:dyDescent="0.2">
      <c r="A9" t="s">
        <v>691</v>
      </c>
      <c r="B9" t="s">
        <v>692</v>
      </c>
      <c r="C9" t="s">
        <v>691</v>
      </c>
    </row>
    <row r="10" spans="1:3" x14ac:dyDescent="0.2">
      <c r="A10" t="s">
        <v>693</v>
      </c>
      <c r="B10" t="s">
        <v>694</v>
      </c>
      <c r="C10" t="s">
        <v>693</v>
      </c>
    </row>
    <row r="11" spans="1:3" x14ac:dyDescent="0.2">
      <c r="A11" t="s">
        <v>695</v>
      </c>
      <c r="B11" t="s">
        <v>696</v>
      </c>
      <c r="C11" t="s">
        <v>695</v>
      </c>
    </row>
    <row r="12" spans="1:3" x14ac:dyDescent="0.2">
      <c r="A12" t="s">
        <v>697</v>
      </c>
      <c r="B12" t="s">
        <v>698</v>
      </c>
      <c r="C12" t="s">
        <v>697</v>
      </c>
    </row>
    <row r="13" spans="1:3" x14ac:dyDescent="0.2">
      <c r="A13" t="s">
        <v>699</v>
      </c>
      <c r="B13" t="s">
        <v>700</v>
      </c>
      <c r="C13" t="s">
        <v>699</v>
      </c>
    </row>
    <row r="14" spans="1:3" x14ac:dyDescent="0.2">
      <c r="A14" t="s">
        <v>701</v>
      </c>
      <c r="B14" t="s">
        <v>702</v>
      </c>
      <c r="C14" t="s">
        <v>701</v>
      </c>
    </row>
    <row r="15" spans="1:3" x14ac:dyDescent="0.2">
      <c r="A15" t="s">
        <v>703</v>
      </c>
      <c r="B15" t="s">
        <v>704</v>
      </c>
      <c r="C15" t="s">
        <v>703</v>
      </c>
    </row>
    <row r="16" spans="1:3" x14ac:dyDescent="0.2">
      <c r="A16" t="s">
        <v>705</v>
      </c>
      <c r="B16" t="s">
        <v>706</v>
      </c>
      <c r="C16" t="s">
        <v>705</v>
      </c>
    </row>
    <row r="17" spans="1:3" x14ac:dyDescent="0.2">
      <c r="A17" t="s">
        <v>707</v>
      </c>
      <c r="B17" t="s">
        <v>708</v>
      </c>
      <c r="C17" t="s">
        <v>707</v>
      </c>
    </row>
    <row r="18" spans="1:3" x14ac:dyDescent="0.2">
      <c r="A18" t="s">
        <v>709</v>
      </c>
      <c r="B18" t="s">
        <v>710</v>
      </c>
      <c r="C18" t="s">
        <v>709</v>
      </c>
    </row>
    <row r="19" spans="1:3" x14ac:dyDescent="0.2">
      <c r="A19" t="s">
        <v>711</v>
      </c>
      <c r="B19" t="s">
        <v>712</v>
      </c>
      <c r="C19" t="s">
        <v>711</v>
      </c>
    </row>
    <row r="20" spans="1:3" x14ac:dyDescent="0.2">
      <c r="A20" t="s">
        <v>713</v>
      </c>
      <c r="B20" t="s">
        <v>714</v>
      </c>
      <c r="C20" t="s">
        <v>713</v>
      </c>
    </row>
    <row r="21" spans="1:3" x14ac:dyDescent="0.2">
      <c r="A21" t="s">
        <v>715</v>
      </c>
      <c r="B21" t="s">
        <v>716</v>
      </c>
      <c r="C21" t="s">
        <v>715</v>
      </c>
    </row>
    <row r="22" spans="1:3" x14ac:dyDescent="0.2">
      <c r="A22" t="s">
        <v>717</v>
      </c>
      <c r="B22" t="s">
        <v>718</v>
      </c>
      <c r="C22" t="s">
        <v>717</v>
      </c>
    </row>
    <row r="23" spans="1:3" x14ac:dyDescent="0.2">
      <c r="A23" t="s">
        <v>719</v>
      </c>
      <c r="B23" t="s">
        <v>720</v>
      </c>
      <c r="C23" t="s">
        <v>719</v>
      </c>
    </row>
    <row r="24" spans="1:3" x14ac:dyDescent="0.2">
      <c r="A24" t="s">
        <v>721</v>
      </c>
      <c r="B24" t="s">
        <v>722</v>
      </c>
      <c r="C24" t="s">
        <v>721</v>
      </c>
    </row>
    <row r="25" spans="1:3" x14ac:dyDescent="0.2">
      <c r="A25" t="s">
        <v>723</v>
      </c>
      <c r="B25" t="s">
        <v>724</v>
      </c>
      <c r="C25" t="s">
        <v>723</v>
      </c>
    </row>
    <row r="26" spans="1:3" x14ac:dyDescent="0.2">
      <c r="A26" t="s">
        <v>725</v>
      </c>
      <c r="B26" t="s">
        <v>726</v>
      </c>
      <c r="C26" t="s">
        <v>725</v>
      </c>
    </row>
    <row r="27" spans="1:3" x14ac:dyDescent="0.2">
      <c r="A27" t="s">
        <v>727</v>
      </c>
      <c r="B27" t="s">
        <v>728</v>
      </c>
      <c r="C27" t="s">
        <v>727</v>
      </c>
    </row>
    <row r="28" spans="1:3" x14ac:dyDescent="0.2">
      <c r="A28" s="650" t="s">
        <v>1167</v>
      </c>
      <c r="B28" s="650" t="s">
        <v>1144</v>
      </c>
      <c r="C28" s="650" t="s">
        <v>1167</v>
      </c>
    </row>
    <row r="29" spans="1:3" x14ac:dyDescent="0.2">
      <c r="A29" t="s">
        <v>729</v>
      </c>
      <c r="B29" t="s">
        <v>730</v>
      </c>
      <c r="C29" t="s">
        <v>729</v>
      </c>
    </row>
    <row r="30" spans="1:3" x14ac:dyDescent="0.2">
      <c r="A30" t="s">
        <v>731</v>
      </c>
      <c r="B30" t="s">
        <v>732</v>
      </c>
      <c r="C30" t="s">
        <v>731</v>
      </c>
    </row>
    <row r="31" spans="1:3" x14ac:dyDescent="0.2">
      <c r="A31" t="s">
        <v>733</v>
      </c>
      <c r="B31" t="s">
        <v>734</v>
      </c>
      <c r="C31" t="s">
        <v>733</v>
      </c>
    </row>
    <row r="32" spans="1:3" x14ac:dyDescent="0.2">
      <c r="A32" t="s">
        <v>735</v>
      </c>
      <c r="B32" t="s">
        <v>736</v>
      </c>
      <c r="C32" t="s">
        <v>735</v>
      </c>
    </row>
    <row r="33" spans="1:3" x14ac:dyDescent="0.2">
      <c r="A33" t="s">
        <v>737</v>
      </c>
      <c r="B33" t="s">
        <v>738</v>
      </c>
      <c r="C33" t="s">
        <v>737</v>
      </c>
    </row>
    <row r="34" spans="1:3" x14ac:dyDescent="0.2">
      <c r="A34" t="s">
        <v>739</v>
      </c>
      <c r="B34" t="s">
        <v>740</v>
      </c>
      <c r="C34" t="s">
        <v>739</v>
      </c>
    </row>
    <row r="35" spans="1:3" x14ac:dyDescent="0.2">
      <c r="A35" t="s">
        <v>741</v>
      </c>
      <c r="B35" t="s">
        <v>742</v>
      </c>
      <c r="C35" t="s">
        <v>741</v>
      </c>
    </row>
    <row r="36" spans="1:3" x14ac:dyDescent="0.2">
      <c r="A36" t="s">
        <v>743</v>
      </c>
      <c r="B36" t="s">
        <v>744</v>
      </c>
      <c r="C36" t="s">
        <v>743</v>
      </c>
    </row>
    <row r="37" spans="1:3" x14ac:dyDescent="0.2">
      <c r="A37" t="s">
        <v>745</v>
      </c>
      <c r="B37" t="s">
        <v>746</v>
      </c>
      <c r="C37" t="s">
        <v>745</v>
      </c>
    </row>
    <row r="38" spans="1:3" x14ac:dyDescent="0.2">
      <c r="A38" t="s">
        <v>747</v>
      </c>
      <c r="B38" t="s">
        <v>748</v>
      </c>
      <c r="C38" t="s">
        <v>747</v>
      </c>
    </row>
    <row r="39" spans="1:3" x14ac:dyDescent="0.2">
      <c r="A39" t="s">
        <v>749</v>
      </c>
      <c r="B39" t="s">
        <v>750</v>
      </c>
      <c r="C39" t="s">
        <v>749</v>
      </c>
    </row>
    <row r="40" spans="1:3" x14ac:dyDescent="0.2">
      <c r="A40" t="s">
        <v>751</v>
      </c>
      <c r="B40" t="s">
        <v>752</v>
      </c>
      <c r="C40" t="s">
        <v>751</v>
      </c>
    </row>
    <row r="41" spans="1:3" x14ac:dyDescent="0.2">
      <c r="A41" t="s">
        <v>753</v>
      </c>
      <c r="B41" t="s">
        <v>754</v>
      </c>
      <c r="C41" t="s">
        <v>753</v>
      </c>
    </row>
    <row r="42" spans="1:3" x14ac:dyDescent="0.2">
      <c r="A42" t="s">
        <v>755</v>
      </c>
      <c r="B42" t="s">
        <v>756</v>
      </c>
      <c r="C42" t="s">
        <v>755</v>
      </c>
    </row>
    <row r="43" spans="1:3" x14ac:dyDescent="0.2">
      <c r="A43" t="s">
        <v>757</v>
      </c>
      <c r="B43" t="s">
        <v>758</v>
      </c>
      <c r="C43" t="s">
        <v>757</v>
      </c>
    </row>
    <row r="44" spans="1:3" x14ac:dyDescent="0.2">
      <c r="A44" t="s">
        <v>759</v>
      </c>
      <c r="B44" t="s">
        <v>760</v>
      </c>
      <c r="C44" t="s">
        <v>759</v>
      </c>
    </row>
    <row r="45" spans="1:3" x14ac:dyDescent="0.2">
      <c r="A45" t="s">
        <v>761</v>
      </c>
      <c r="B45" t="s">
        <v>762</v>
      </c>
      <c r="C45" t="s">
        <v>761</v>
      </c>
    </row>
    <row r="46" spans="1:3" x14ac:dyDescent="0.2">
      <c r="A46" t="s">
        <v>763</v>
      </c>
      <c r="B46" t="s">
        <v>764</v>
      </c>
      <c r="C46" t="s">
        <v>763</v>
      </c>
    </row>
    <row r="47" spans="1:3" x14ac:dyDescent="0.2">
      <c r="A47" t="s">
        <v>765</v>
      </c>
      <c r="B47" t="s">
        <v>766</v>
      </c>
      <c r="C47" t="s">
        <v>765</v>
      </c>
    </row>
    <row r="48" spans="1:3" x14ac:dyDescent="0.2">
      <c r="A48" t="s">
        <v>767</v>
      </c>
      <c r="B48" t="s">
        <v>768</v>
      </c>
      <c r="C48" t="s">
        <v>767</v>
      </c>
    </row>
    <row r="49" spans="1:3" x14ac:dyDescent="0.2">
      <c r="A49" t="s">
        <v>769</v>
      </c>
      <c r="B49" t="s">
        <v>770</v>
      </c>
      <c r="C49" t="s">
        <v>769</v>
      </c>
    </row>
    <row r="50" spans="1:3" x14ac:dyDescent="0.2">
      <c r="A50" t="s">
        <v>771</v>
      </c>
      <c r="B50" t="s">
        <v>772</v>
      </c>
      <c r="C50" t="s">
        <v>771</v>
      </c>
    </row>
    <row r="51" spans="1:3" x14ac:dyDescent="0.2">
      <c r="A51" t="s">
        <v>773</v>
      </c>
      <c r="B51" t="s">
        <v>774</v>
      </c>
      <c r="C51" t="s">
        <v>773</v>
      </c>
    </row>
    <row r="52" spans="1:3" x14ac:dyDescent="0.2">
      <c r="A52" t="s">
        <v>775</v>
      </c>
      <c r="B52" t="s">
        <v>776</v>
      </c>
      <c r="C52" t="s">
        <v>775</v>
      </c>
    </row>
    <row r="53" spans="1:3" x14ac:dyDescent="0.2">
      <c r="A53" t="s">
        <v>777</v>
      </c>
      <c r="B53" t="s">
        <v>778</v>
      </c>
      <c r="C53" t="s">
        <v>777</v>
      </c>
    </row>
    <row r="54" spans="1:3" x14ac:dyDescent="0.2">
      <c r="A54" t="s">
        <v>779</v>
      </c>
      <c r="B54" t="s">
        <v>780</v>
      </c>
      <c r="C54" t="s">
        <v>779</v>
      </c>
    </row>
    <row r="55" spans="1:3" x14ac:dyDescent="0.2">
      <c r="A55" t="s">
        <v>781</v>
      </c>
      <c r="B55" t="s">
        <v>782</v>
      </c>
      <c r="C55" t="s">
        <v>781</v>
      </c>
    </row>
    <row r="56" spans="1:3" x14ac:dyDescent="0.2">
      <c r="A56" t="s">
        <v>783</v>
      </c>
      <c r="B56" t="s">
        <v>784</v>
      </c>
      <c r="C56" t="s">
        <v>783</v>
      </c>
    </row>
    <row r="57" spans="1:3" x14ac:dyDescent="0.2">
      <c r="A57" t="s">
        <v>551</v>
      </c>
      <c r="B57" t="s">
        <v>785</v>
      </c>
      <c r="C57" t="s">
        <v>551</v>
      </c>
    </row>
    <row r="58" spans="1:3" x14ac:dyDescent="0.2">
      <c r="A58" t="s">
        <v>786</v>
      </c>
      <c r="B58" t="s">
        <v>787</v>
      </c>
      <c r="C58" t="s">
        <v>786</v>
      </c>
    </row>
    <row r="59" spans="1:3" x14ac:dyDescent="0.2">
      <c r="A59" t="s">
        <v>788</v>
      </c>
      <c r="B59" t="s">
        <v>789</v>
      </c>
      <c r="C59" t="s">
        <v>788</v>
      </c>
    </row>
    <row r="60" spans="1:3" x14ac:dyDescent="0.2">
      <c r="A60" t="s">
        <v>790</v>
      </c>
      <c r="B60" t="s">
        <v>791</v>
      </c>
      <c r="C60" t="s">
        <v>790</v>
      </c>
    </row>
    <row r="61" spans="1:3" x14ac:dyDescent="0.2">
      <c r="A61" t="s">
        <v>792</v>
      </c>
      <c r="B61" t="s">
        <v>793</v>
      </c>
      <c r="C61" t="s">
        <v>792</v>
      </c>
    </row>
    <row r="62" spans="1:3" x14ac:dyDescent="0.2">
      <c r="A62" t="s">
        <v>794</v>
      </c>
      <c r="B62" t="s">
        <v>0</v>
      </c>
      <c r="C62" t="s">
        <v>794</v>
      </c>
    </row>
    <row r="63" spans="1:3" x14ac:dyDescent="0.2">
      <c r="A63" t="s">
        <v>1</v>
      </c>
      <c r="B63" t="s">
        <v>2</v>
      </c>
      <c r="C63" t="s">
        <v>1</v>
      </c>
    </row>
    <row r="64" spans="1:3" x14ac:dyDescent="0.2">
      <c r="A64" t="s">
        <v>3</v>
      </c>
      <c r="B64" t="s">
        <v>4</v>
      </c>
      <c r="C64" t="s">
        <v>3</v>
      </c>
    </row>
    <row r="65" spans="1:3" x14ac:dyDescent="0.2">
      <c r="A65" t="s">
        <v>5</v>
      </c>
      <c r="B65" t="s">
        <v>6</v>
      </c>
      <c r="C65" t="s">
        <v>5</v>
      </c>
    </row>
    <row r="66" spans="1:3" x14ac:dyDescent="0.2">
      <c r="A66" t="s">
        <v>7</v>
      </c>
      <c r="B66" t="s">
        <v>8</v>
      </c>
      <c r="C66" t="s">
        <v>7</v>
      </c>
    </row>
    <row r="67" spans="1:3" x14ac:dyDescent="0.2">
      <c r="A67" t="s">
        <v>9</v>
      </c>
      <c r="B67" t="s">
        <v>10</v>
      </c>
      <c r="C67" t="s">
        <v>9</v>
      </c>
    </row>
    <row r="68" spans="1:3" x14ac:dyDescent="0.2">
      <c r="A68" t="s">
        <v>11</v>
      </c>
      <c r="B68" t="s">
        <v>12</v>
      </c>
      <c r="C68" t="s">
        <v>11</v>
      </c>
    </row>
    <row r="69" spans="1:3" x14ac:dyDescent="0.2">
      <c r="A69" t="s">
        <v>13</v>
      </c>
      <c r="B69" t="s">
        <v>14</v>
      </c>
      <c r="C69" t="s">
        <v>13</v>
      </c>
    </row>
    <row r="70" spans="1:3" x14ac:dyDescent="0.2">
      <c r="A70" t="s">
        <v>15</v>
      </c>
      <c r="B70" t="s">
        <v>16</v>
      </c>
      <c r="C70" t="s">
        <v>15</v>
      </c>
    </row>
    <row r="71" spans="1:3" x14ac:dyDescent="0.2">
      <c r="A71" t="s">
        <v>17</v>
      </c>
      <c r="B71" t="s">
        <v>18</v>
      </c>
      <c r="C71" t="s">
        <v>17</v>
      </c>
    </row>
    <row r="72" spans="1:3" x14ac:dyDescent="0.2">
      <c r="A72" t="s">
        <v>19</v>
      </c>
      <c r="B72" t="s">
        <v>20</v>
      </c>
      <c r="C72" t="s">
        <v>19</v>
      </c>
    </row>
    <row r="73" spans="1:3" x14ac:dyDescent="0.2">
      <c r="A73" t="s">
        <v>21</v>
      </c>
      <c r="B73" t="s">
        <v>22</v>
      </c>
      <c r="C73" t="s">
        <v>21</v>
      </c>
    </row>
    <row r="74" spans="1:3" x14ac:dyDescent="0.2">
      <c r="A74" t="s">
        <v>23</v>
      </c>
      <c r="B74" t="s">
        <v>24</v>
      </c>
      <c r="C74" t="s">
        <v>23</v>
      </c>
    </row>
    <row r="75" spans="1:3" x14ac:dyDescent="0.2">
      <c r="A75" t="s">
        <v>25</v>
      </c>
      <c r="B75" t="s">
        <v>26</v>
      </c>
      <c r="C75" t="s">
        <v>25</v>
      </c>
    </row>
    <row r="76" spans="1:3" x14ac:dyDescent="0.2">
      <c r="A76" t="s">
        <v>27</v>
      </c>
      <c r="B76" t="s">
        <v>28</v>
      </c>
      <c r="C76" t="s">
        <v>27</v>
      </c>
    </row>
    <row r="77" spans="1:3" x14ac:dyDescent="0.2">
      <c r="A77" t="s">
        <v>29</v>
      </c>
      <c r="B77" t="s">
        <v>30</v>
      </c>
      <c r="C77" t="s">
        <v>29</v>
      </c>
    </row>
    <row r="78" spans="1:3" x14ac:dyDescent="0.2">
      <c r="A78" t="s">
        <v>31</v>
      </c>
      <c r="B78" t="s">
        <v>32</v>
      </c>
      <c r="C78" t="s">
        <v>31</v>
      </c>
    </row>
    <row r="79" spans="1:3" x14ac:dyDescent="0.2">
      <c r="A79" s="650" t="s">
        <v>1145</v>
      </c>
      <c r="B79" s="650" t="s">
        <v>1146</v>
      </c>
      <c r="C79" s="650" t="s">
        <v>1145</v>
      </c>
    </row>
    <row r="80" spans="1:3" x14ac:dyDescent="0.2">
      <c r="A80" t="s">
        <v>42</v>
      </c>
      <c r="B80" t="s">
        <v>43</v>
      </c>
      <c r="C80" t="s">
        <v>42</v>
      </c>
    </row>
    <row r="81" spans="1:3" x14ac:dyDescent="0.2">
      <c r="A81" t="s">
        <v>44</v>
      </c>
      <c r="B81" t="s">
        <v>45</v>
      </c>
      <c r="C81" t="s">
        <v>44</v>
      </c>
    </row>
    <row r="82" spans="1:3" x14ac:dyDescent="0.2">
      <c r="A82" t="s">
        <v>46</v>
      </c>
      <c r="B82" t="s">
        <v>47</v>
      </c>
      <c r="C82" t="s">
        <v>46</v>
      </c>
    </row>
    <row r="83" spans="1:3" x14ac:dyDescent="0.2">
      <c r="A83" t="s">
        <v>48</v>
      </c>
      <c r="B83" t="s">
        <v>49</v>
      </c>
      <c r="C83" t="s">
        <v>48</v>
      </c>
    </row>
    <row r="84" spans="1:3" x14ac:dyDescent="0.2">
      <c r="A84" t="s">
        <v>50</v>
      </c>
      <c r="B84" t="s">
        <v>51</v>
      </c>
      <c r="C84" t="s">
        <v>50</v>
      </c>
    </row>
    <row r="85" spans="1:3" x14ac:dyDescent="0.2">
      <c r="A85" t="s">
        <v>52</v>
      </c>
      <c r="B85" t="s">
        <v>53</v>
      </c>
      <c r="C85" t="s">
        <v>52</v>
      </c>
    </row>
    <row r="86" spans="1:3" x14ac:dyDescent="0.2">
      <c r="A86" t="s">
        <v>54</v>
      </c>
      <c r="B86" t="s">
        <v>55</v>
      </c>
      <c r="C86" t="s">
        <v>54</v>
      </c>
    </row>
    <row r="87" spans="1:3" x14ac:dyDescent="0.2">
      <c r="A87" t="s">
        <v>56</v>
      </c>
      <c r="B87" t="s">
        <v>57</v>
      </c>
      <c r="C87" t="s">
        <v>56</v>
      </c>
    </row>
    <row r="88" spans="1:3" x14ac:dyDescent="0.2">
      <c r="A88" t="s">
        <v>58</v>
      </c>
      <c r="B88" t="s">
        <v>59</v>
      </c>
      <c r="C88" t="s">
        <v>58</v>
      </c>
    </row>
    <row r="89" spans="1:3" x14ac:dyDescent="0.2">
      <c r="A89" t="s">
        <v>60</v>
      </c>
      <c r="B89" t="s">
        <v>61</v>
      </c>
      <c r="C89" t="s">
        <v>60</v>
      </c>
    </row>
    <row r="90" spans="1:3" x14ac:dyDescent="0.2">
      <c r="A90" t="s">
        <v>62</v>
      </c>
      <c r="B90" t="s">
        <v>63</v>
      </c>
      <c r="C90" t="s">
        <v>62</v>
      </c>
    </row>
    <row r="91" spans="1:3" x14ac:dyDescent="0.2">
      <c r="A91" t="s">
        <v>67</v>
      </c>
      <c r="B91" t="s">
        <v>68</v>
      </c>
      <c r="C91" t="s">
        <v>67</v>
      </c>
    </row>
    <row r="92" spans="1:3" x14ac:dyDescent="0.2">
      <c r="A92" s="650" t="s">
        <v>1147</v>
      </c>
      <c r="B92" s="650" t="s">
        <v>1148</v>
      </c>
      <c r="C92" s="650" t="s">
        <v>1147</v>
      </c>
    </row>
    <row r="93" spans="1:3" x14ac:dyDescent="0.2">
      <c r="A93" t="s">
        <v>69</v>
      </c>
      <c r="B93" t="s">
        <v>70</v>
      </c>
      <c r="C93" t="s">
        <v>69</v>
      </c>
    </row>
    <row r="94" spans="1:3" x14ac:dyDescent="0.2">
      <c r="A94" t="s">
        <v>71</v>
      </c>
      <c r="B94" t="s">
        <v>72</v>
      </c>
      <c r="C94" t="s">
        <v>71</v>
      </c>
    </row>
    <row r="95" spans="1:3" x14ac:dyDescent="0.2">
      <c r="A95" t="s">
        <v>73</v>
      </c>
      <c r="B95" t="s">
        <v>74</v>
      </c>
      <c r="C95" t="s">
        <v>73</v>
      </c>
    </row>
    <row r="96" spans="1:3" x14ac:dyDescent="0.2">
      <c r="A96" t="s">
        <v>75</v>
      </c>
      <c r="B96" t="s">
        <v>76</v>
      </c>
      <c r="C96" t="s">
        <v>75</v>
      </c>
    </row>
    <row r="97" spans="1:3" x14ac:dyDescent="0.2">
      <c r="A97" t="s">
        <v>77</v>
      </c>
      <c r="B97" t="s">
        <v>78</v>
      </c>
      <c r="C97" t="s">
        <v>77</v>
      </c>
    </row>
    <row r="98" spans="1:3" x14ac:dyDescent="0.2">
      <c r="A98" t="s">
        <v>79</v>
      </c>
      <c r="B98" t="s">
        <v>80</v>
      </c>
      <c r="C98" t="s">
        <v>79</v>
      </c>
    </row>
    <row r="99" spans="1:3" x14ac:dyDescent="0.2">
      <c r="A99" t="s">
        <v>81</v>
      </c>
      <c r="B99" t="s">
        <v>82</v>
      </c>
      <c r="C99" t="s">
        <v>81</v>
      </c>
    </row>
    <row r="100" spans="1:3" x14ac:dyDescent="0.2">
      <c r="A100" t="s">
        <v>83</v>
      </c>
      <c r="B100" t="s">
        <v>84</v>
      </c>
      <c r="C100" t="s">
        <v>83</v>
      </c>
    </row>
    <row r="101" spans="1:3" x14ac:dyDescent="0.2">
      <c r="A101" t="s">
        <v>85</v>
      </c>
      <c r="B101" t="s">
        <v>86</v>
      </c>
      <c r="C101" t="s">
        <v>85</v>
      </c>
    </row>
    <row r="102" spans="1:3" x14ac:dyDescent="0.2">
      <c r="A102" t="s">
        <v>87</v>
      </c>
      <c r="B102" t="s">
        <v>88</v>
      </c>
      <c r="C102" t="s">
        <v>87</v>
      </c>
    </row>
    <row r="103" spans="1:3" x14ac:dyDescent="0.2">
      <c r="A103" t="s">
        <v>89</v>
      </c>
      <c r="B103" t="s">
        <v>90</v>
      </c>
      <c r="C103" t="s">
        <v>89</v>
      </c>
    </row>
    <row r="104" spans="1:3" x14ac:dyDescent="0.2">
      <c r="A104" t="s">
        <v>91</v>
      </c>
      <c r="B104" t="s">
        <v>92</v>
      </c>
      <c r="C104" t="s">
        <v>91</v>
      </c>
    </row>
    <row r="105" spans="1:3" x14ac:dyDescent="0.2">
      <c r="A105" t="s">
        <v>93</v>
      </c>
      <c r="B105" t="s">
        <v>94</v>
      </c>
      <c r="C105" t="s">
        <v>93</v>
      </c>
    </row>
    <row r="106" spans="1:3" x14ac:dyDescent="0.2">
      <c r="A106" t="s">
        <v>95</v>
      </c>
      <c r="B106" t="s">
        <v>96</v>
      </c>
      <c r="C106" t="s">
        <v>95</v>
      </c>
    </row>
    <row r="107" spans="1:3" x14ac:dyDescent="0.2">
      <c r="A107" t="s">
        <v>97</v>
      </c>
      <c r="B107" t="s">
        <v>98</v>
      </c>
      <c r="C107" t="s">
        <v>97</v>
      </c>
    </row>
    <row r="108" spans="1:3" x14ac:dyDescent="0.2">
      <c r="A108" t="s">
        <v>99</v>
      </c>
      <c r="B108" t="s">
        <v>100</v>
      </c>
      <c r="C108" t="s">
        <v>99</v>
      </c>
    </row>
    <row r="109" spans="1:3" x14ac:dyDescent="0.2">
      <c r="A109" t="s">
        <v>101</v>
      </c>
      <c r="B109" t="s">
        <v>102</v>
      </c>
      <c r="C109" t="s">
        <v>101</v>
      </c>
    </row>
    <row r="110" spans="1:3" x14ac:dyDescent="0.2">
      <c r="A110" t="s">
        <v>103</v>
      </c>
      <c r="B110" t="s">
        <v>104</v>
      </c>
      <c r="C110" t="s">
        <v>103</v>
      </c>
    </row>
    <row r="111" spans="1:3" x14ac:dyDescent="0.2">
      <c r="A111" t="s">
        <v>105</v>
      </c>
      <c r="B111" t="s">
        <v>106</v>
      </c>
      <c r="C111" t="s">
        <v>105</v>
      </c>
    </row>
    <row r="112" spans="1:3" x14ac:dyDescent="0.2">
      <c r="A112" t="s">
        <v>107</v>
      </c>
      <c r="B112" t="s">
        <v>108</v>
      </c>
      <c r="C112" t="s">
        <v>107</v>
      </c>
    </row>
    <row r="113" spans="1:3" x14ac:dyDescent="0.2">
      <c r="A113" t="s">
        <v>109</v>
      </c>
      <c r="B113" t="s">
        <v>110</v>
      </c>
      <c r="C113" t="s">
        <v>109</v>
      </c>
    </row>
    <row r="114" spans="1:3" x14ac:dyDescent="0.2">
      <c r="A114" t="s">
        <v>111</v>
      </c>
      <c r="B114" t="s">
        <v>112</v>
      </c>
      <c r="C114" t="s">
        <v>111</v>
      </c>
    </row>
    <row r="115" spans="1:3" x14ac:dyDescent="0.2">
      <c r="A115" t="s">
        <v>113</v>
      </c>
      <c r="B115" t="s">
        <v>114</v>
      </c>
      <c r="C115" t="s">
        <v>113</v>
      </c>
    </row>
    <row r="116" spans="1:3" x14ac:dyDescent="0.2">
      <c r="A116" t="s">
        <v>115</v>
      </c>
      <c r="B116" t="s">
        <v>116</v>
      </c>
      <c r="C116" t="s">
        <v>115</v>
      </c>
    </row>
    <row r="117" spans="1:3" x14ac:dyDescent="0.2">
      <c r="A117" t="s">
        <v>117</v>
      </c>
      <c r="B117" t="s">
        <v>118</v>
      </c>
      <c r="C117" t="s">
        <v>117</v>
      </c>
    </row>
    <row r="118" spans="1:3" x14ac:dyDescent="0.2">
      <c r="A118" t="s">
        <v>119</v>
      </c>
      <c r="B118" t="s">
        <v>120</v>
      </c>
      <c r="C118" t="s">
        <v>119</v>
      </c>
    </row>
    <row r="119" spans="1:3" x14ac:dyDescent="0.2">
      <c r="A119" t="s">
        <v>121</v>
      </c>
      <c r="B119" t="s">
        <v>122</v>
      </c>
      <c r="C119" t="s">
        <v>121</v>
      </c>
    </row>
    <row r="120" spans="1:3" x14ac:dyDescent="0.2">
      <c r="A120" t="s">
        <v>123</v>
      </c>
      <c r="B120" t="s">
        <v>124</v>
      </c>
      <c r="C120" t="s">
        <v>123</v>
      </c>
    </row>
    <row r="121" spans="1:3" x14ac:dyDescent="0.2">
      <c r="A121" t="s">
        <v>125</v>
      </c>
      <c r="B121" t="s">
        <v>126</v>
      </c>
      <c r="C121" t="s">
        <v>125</v>
      </c>
    </row>
    <row r="122" spans="1:3" x14ac:dyDescent="0.2">
      <c r="A122" t="s">
        <v>127</v>
      </c>
      <c r="B122" t="s">
        <v>128</v>
      </c>
      <c r="C122" t="s">
        <v>127</v>
      </c>
    </row>
    <row r="123" spans="1:3" x14ac:dyDescent="0.2">
      <c r="A123" t="s">
        <v>129</v>
      </c>
      <c r="B123" t="s">
        <v>130</v>
      </c>
      <c r="C123" t="s">
        <v>129</v>
      </c>
    </row>
    <row r="124" spans="1:3" x14ac:dyDescent="0.2">
      <c r="A124" t="s">
        <v>131</v>
      </c>
      <c r="B124" t="s">
        <v>132</v>
      </c>
      <c r="C124" t="s">
        <v>131</v>
      </c>
    </row>
    <row r="125" spans="1:3" x14ac:dyDescent="0.2">
      <c r="A125" t="s">
        <v>133</v>
      </c>
      <c r="B125" t="s">
        <v>134</v>
      </c>
      <c r="C125" t="s">
        <v>133</v>
      </c>
    </row>
    <row r="126" spans="1:3" x14ac:dyDescent="0.2">
      <c r="A126" t="s">
        <v>135</v>
      </c>
      <c r="B126" t="s">
        <v>136</v>
      </c>
      <c r="C126" t="s">
        <v>135</v>
      </c>
    </row>
    <row r="127" spans="1:3" x14ac:dyDescent="0.2">
      <c r="A127" t="s">
        <v>137</v>
      </c>
      <c r="B127" t="s">
        <v>138</v>
      </c>
      <c r="C127" t="s">
        <v>137</v>
      </c>
    </row>
    <row r="128" spans="1:3" x14ac:dyDescent="0.2">
      <c r="A128" t="s">
        <v>139</v>
      </c>
      <c r="B128" t="s">
        <v>140</v>
      </c>
      <c r="C128" t="s">
        <v>139</v>
      </c>
    </row>
    <row r="129" spans="1:3" x14ac:dyDescent="0.2">
      <c r="A129" t="s">
        <v>141</v>
      </c>
      <c r="B129" t="s">
        <v>142</v>
      </c>
      <c r="C129" t="s">
        <v>141</v>
      </c>
    </row>
    <row r="130" spans="1:3" x14ac:dyDescent="0.2">
      <c r="A130" t="s">
        <v>143</v>
      </c>
      <c r="B130" t="s">
        <v>144</v>
      </c>
      <c r="C130" t="s">
        <v>143</v>
      </c>
    </row>
    <row r="131" spans="1:3" x14ac:dyDescent="0.2">
      <c r="A131" t="s">
        <v>145</v>
      </c>
      <c r="B131" t="s">
        <v>146</v>
      </c>
      <c r="C131" t="s">
        <v>145</v>
      </c>
    </row>
    <row r="132" spans="1:3" x14ac:dyDescent="0.2">
      <c r="A132" t="s">
        <v>147</v>
      </c>
      <c r="B132" t="s">
        <v>148</v>
      </c>
      <c r="C132" t="s">
        <v>147</v>
      </c>
    </row>
    <row r="133" spans="1:3" x14ac:dyDescent="0.2">
      <c r="A133" t="s">
        <v>149</v>
      </c>
      <c r="B133" t="s">
        <v>150</v>
      </c>
      <c r="C133" t="s">
        <v>149</v>
      </c>
    </row>
    <row r="134" spans="1:3" x14ac:dyDescent="0.2">
      <c r="A134" t="s">
        <v>151</v>
      </c>
      <c r="B134" t="s">
        <v>152</v>
      </c>
      <c r="C134" t="s">
        <v>151</v>
      </c>
    </row>
    <row r="135" spans="1:3" x14ac:dyDescent="0.2">
      <c r="A135" t="s">
        <v>153</v>
      </c>
      <c r="B135" t="s">
        <v>154</v>
      </c>
      <c r="C135" t="s">
        <v>153</v>
      </c>
    </row>
    <row r="136" spans="1:3" x14ac:dyDescent="0.2">
      <c r="A136" t="s">
        <v>155</v>
      </c>
      <c r="B136" t="s">
        <v>156</v>
      </c>
      <c r="C136" t="s">
        <v>155</v>
      </c>
    </row>
    <row r="137" spans="1:3" x14ac:dyDescent="0.2">
      <c r="A137" t="s">
        <v>157</v>
      </c>
      <c r="B137" t="s">
        <v>158</v>
      </c>
      <c r="C137" t="s">
        <v>157</v>
      </c>
    </row>
    <row r="138" spans="1:3" x14ac:dyDescent="0.2">
      <c r="A138" t="s">
        <v>159</v>
      </c>
      <c r="B138" t="s">
        <v>160</v>
      </c>
      <c r="C138" t="s">
        <v>159</v>
      </c>
    </row>
    <row r="139" spans="1:3" x14ac:dyDescent="0.2">
      <c r="A139" t="s">
        <v>161</v>
      </c>
      <c r="B139" t="s">
        <v>162</v>
      </c>
      <c r="C139" t="s">
        <v>161</v>
      </c>
    </row>
    <row r="140" spans="1:3" x14ac:dyDescent="0.2">
      <c r="A140" t="s">
        <v>163</v>
      </c>
      <c r="B140" t="s">
        <v>164</v>
      </c>
      <c r="C140" t="s">
        <v>163</v>
      </c>
    </row>
    <row r="141" spans="1:3" x14ac:dyDescent="0.2">
      <c r="A141" t="s">
        <v>165</v>
      </c>
      <c r="B141" t="s">
        <v>166</v>
      </c>
      <c r="C141" t="s">
        <v>165</v>
      </c>
    </row>
    <row r="142" spans="1:3" x14ac:dyDescent="0.2">
      <c r="A142" t="s">
        <v>167</v>
      </c>
      <c r="B142" t="s">
        <v>168</v>
      </c>
      <c r="C142" t="s">
        <v>167</v>
      </c>
    </row>
    <row r="143" spans="1:3" x14ac:dyDescent="0.2">
      <c r="A143" t="s">
        <v>169</v>
      </c>
      <c r="B143" t="s">
        <v>170</v>
      </c>
      <c r="C143" t="s">
        <v>169</v>
      </c>
    </row>
    <row r="144" spans="1:3" x14ac:dyDescent="0.2">
      <c r="A144" t="s">
        <v>171</v>
      </c>
      <c r="B144" t="s">
        <v>172</v>
      </c>
      <c r="C144" t="s">
        <v>171</v>
      </c>
    </row>
    <row r="145" spans="1:3" x14ac:dyDescent="0.2">
      <c r="A145" t="s">
        <v>173</v>
      </c>
      <c r="B145" t="s">
        <v>174</v>
      </c>
      <c r="C145" t="s">
        <v>173</v>
      </c>
    </row>
    <row r="146" spans="1:3" x14ac:dyDescent="0.2">
      <c r="A146" t="s">
        <v>175</v>
      </c>
      <c r="B146" t="s">
        <v>176</v>
      </c>
      <c r="C146" t="s">
        <v>175</v>
      </c>
    </row>
    <row r="147" spans="1:3" x14ac:dyDescent="0.2">
      <c r="A147" t="s">
        <v>177</v>
      </c>
      <c r="B147" t="s">
        <v>178</v>
      </c>
      <c r="C147" t="s">
        <v>177</v>
      </c>
    </row>
    <row r="148" spans="1:3" x14ac:dyDescent="0.2">
      <c r="A148" t="s">
        <v>179</v>
      </c>
      <c r="B148" t="s">
        <v>180</v>
      </c>
      <c r="C148" t="s">
        <v>179</v>
      </c>
    </row>
    <row r="149" spans="1:3" x14ac:dyDescent="0.2">
      <c r="A149" t="s">
        <v>181</v>
      </c>
      <c r="B149" t="s">
        <v>182</v>
      </c>
      <c r="C149" t="s">
        <v>181</v>
      </c>
    </row>
    <row r="150" spans="1:3" x14ac:dyDescent="0.2">
      <c r="A150" t="s">
        <v>183</v>
      </c>
      <c r="B150" t="s">
        <v>184</v>
      </c>
      <c r="C150" t="s">
        <v>183</v>
      </c>
    </row>
    <row r="151" spans="1:3" x14ac:dyDescent="0.2">
      <c r="A151" t="s">
        <v>185</v>
      </c>
      <c r="B151" t="s">
        <v>186</v>
      </c>
      <c r="C151" t="s">
        <v>185</v>
      </c>
    </row>
    <row r="152" spans="1:3" x14ac:dyDescent="0.2">
      <c r="A152" t="s">
        <v>187</v>
      </c>
      <c r="B152" t="s">
        <v>188</v>
      </c>
      <c r="C152" t="s">
        <v>187</v>
      </c>
    </row>
    <row r="153" spans="1:3" x14ac:dyDescent="0.2">
      <c r="A153" t="s">
        <v>189</v>
      </c>
      <c r="B153" t="s">
        <v>190</v>
      </c>
      <c r="C153" t="s">
        <v>189</v>
      </c>
    </row>
    <row r="154" spans="1:3" x14ac:dyDescent="0.2">
      <c r="A154" t="s">
        <v>191</v>
      </c>
      <c r="B154" t="s">
        <v>192</v>
      </c>
      <c r="C154" t="s">
        <v>191</v>
      </c>
    </row>
    <row r="155" spans="1:3" x14ac:dyDescent="0.2">
      <c r="A155" t="s">
        <v>193</v>
      </c>
      <c r="B155" t="s">
        <v>194</v>
      </c>
      <c r="C155" t="s">
        <v>193</v>
      </c>
    </row>
    <row r="156" spans="1:3" x14ac:dyDescent="0.2">
      <c r="A156" t="s">
        <v>195</v>
      </c>
      <c r="B156" t="s">
        <v>196</v>
      </c>
      <c r="C156" t="s">
        <v>195</v>
      </c>
    </row>
    <row r="157" spans="1:3" x14ac:dyDescent="0.2">
      <c r="A157" t="s">
        <v>197</v>
      </c>
      <c r="B157" t="s">
        <v>198</v>
      </c>
      <c r="C157" t="s">
        <v>197</v>
      </c>
    </row>
    <row r="158" spans="1:3" x14ac:dyDescent="0.2">
      <c r="A158" t="s">
        <v>199</v>
      </c>
      <c r="B158" t="s">
        <v>200</v>
      </c>
      <c r="C158" t="s">
        <v>199</v>
      </c>
    </row>
    <row r="159" spans="1:3" x14ac:dyDescent="0.2">
      <c r="A159" t="s">
        <v>201</v>
      </c>
      <c r="B159" t="s">
        <v>202</v>
      </c>
      <c r="C159" t="s">
        <v>201</v>
      </c>
    </row>
    <row r="160" spans="1:3" x14ac:dyDescent="0.2">
      <c r="A160" t="s">
        <v>203</v>
      </c>
      <c r="B160" t="s">
        <v>204</v>
      </c>
      <c r="C160" t="s">
        <v>203</v>
      </c>
    </row>
    <row r="161" spans="1:3" x14ac:dyDescent="0.2">
      <c r="A161" t="s">
        <v>205</v>
      </c>
      <c r="B161" t="s">
        <v>206</v>
      </c>
      <c r="C161" t="s">
        <v>205</v>
      </c>
    </row>
    <row r="162" spans="1:3" x14ac:dyDescent="0.2">
      <c r="A162" t="s">
        <v>207</v>
      </c>
      <c r="B162" t="s">
        <v>208</v>
      </c>
      <c r="C162" t="s">
        <v>207</v>
      </c>
    </row>
    <row r="163" spans="1:3" x14ac:dyDescent="0.2">
      <c r="A163" t="s">
        <v>209</v>
      </c>
      <c r="B163" t="s">
        <v>210</v>
      </c>
      <c r="C163" t="s">
        <v>209</v>
      </c>
    </row>
    <row r="164" spans="1:3" x14ac:dyDescent="0.2">
      <c r="A164" t="s">
        <v>211</v>
      </c>
      <c r="B164" t="s">
        <v>212</v>
      </c>
      <c r="C164" t="s">
        <v>211</v>
      </c>
    </row>
    <row r="165" spans="1:3" x14ac:dyDescent="0.2">
      <c r="A165" t="s">
        <v>213</v>
      </c>
      <c r="B165" t="s">
        <v>214</v>
      </c>
      <c r="C165" t="s">
        <v>213</v>
      </c>
    </row>
    <row r="166" spans="1:3" x14ac:dyDescent="0.2">
      <c r="A166" t="s">
        <v>215</v>
      </c>
      <c r="B166" t="s">
        <v>216</v>
      </c>
      <c r="C166" t="s">
        <v>215</v>
      </c>
    </row>
    <row r="167" spans="1:3" x14ac:dyDescent="0.2">
      <c r="A167" t="s">
        <v>217</v>
      </c>
      <c r="B167" t="s">
        <v>218</v>
      </c>
      <c r="C167" t="s">
        <v>217</v>
      </c>
    </row>
    <row r="168" spans="1:3" x14ac:dyDescent="0.2">
      <c r="A168" t="s">
        <v>219</v>
      </c>
      <c r="B168" t="s">
        <v>220</v>
      </c>
      <c r="C168" t="s">
        <v>219</v>
      </c>
    </row>
    <row r="169" spans="1:3" x14ac:dyDescent="0.2">
      <c r="A169" t="s">
        <v>221</v>
      </c>
      <c r="B169" t="s">
        <v>222</v>
      </c>
      <c r="C169" t="s">
        <v>221</v>
      </c>
    </row>
    <row r="170" spans="1:3" x14ac:dyDescent="0.2">
      <c r="A170" t="s">
        <v>223</v>
      </c>
      <c r="B170" t="s">
        <v>224</v>
      </c>
      <c r="C170" t="s">
        <v>223</v>
      </c>
    </row>
    <row r="171" spans="1:3" x14ac:dyDescent="0.2">
      <c r="A171" t="s">
        <v>225</v>
      </c>
      <c r="B171" t="s">
        <v>226</v>
      </c>
      <c r="C171" t="s">
        <v>225</v>
      </c>
    </row>
    <row r="172" spans="1:3" x14ac:dyDescent="0.2">
      <c r="A172" t="s">
        <v>227</v>
      </c>
      <c r="B172" t="s">
        <v>228</v>
      </c>
      <c r="C172" t="s">
        <v>227</v>
      </c>
    </row>
    <row r="173" spans="1:3" x14ac:dyDescent="0.2">
      <c r="A173" t="s">
        <v>229</v>
      </c>
      <c r="B173" t="s">
        <v>230</v>
      </c>
      <c r="C173" t="s">
        <v>229</v>
      </c>
    </row>
    <row r="174" spans="1:3" x14ac:dyDescent="0.2">
      <c r="A174" t="s">
        <v>231</v>
      </c>
      <c r="B174" t="s">
        <v>232</v>
      </c>
      <c r="C174" t="s">
        <v>231</v>
      </c>
    </row>
    <row r="175" spans="1:3" x14ac:dyDescent="0.2">
      <c r="A175" t="s">
        <v>867</v>
      </c>
      <c r="B175" t="s">
        <v>233</v>
      </c>
      <c r="C175" t="s">
        <v>867</v>
      </c>
    </row>
    <row r="176" spans="1:3" x14ac:dyDescent="0.2">
      <c r="A176" t="s">
        <v>234</v>
      </c>
      <c r="B176" t="s">
        <v>235</v>
      </c>
      <c r="C176" t="s">
        <v>234</v>
      </c>
    </row>
    <row r="177" spans="1:3" x14ac:dyDescent="0.2">
      <c r="A177" t="s">
        <v>236</v>
      </c>
      <c r="B177" t="s">
        <v>237</v>
      </c>
      <c r="C177" t="s">
        <v>236</v>
      </c>
    </row>
    <row r="178" spans="1:3" x14ac:dyDescent="0.2">
      <c r="A178" t="s">
        <v>238</v>
      </c>
      <c r="B178" t="s">
        <v>239</v>
      </c>
      <c r="C178" t="s">
        <v>238</v>
      </c>
    </row>
    <row r="179" spans="1:3" x14ac:dyDescent="0.2">
      <c r="A179" t="s">
        <v>240</v>
      </c>
      <c r="B179" t="s">
        <v>241</v>
      </c>
      <c r="C179" t="s">
        <v>240</v>
      </c>
    </row>
    <row r="180" spans="1:3" x14ac:dyDescent="0.2">
      <c r="A180" t="s">
        <v>242</v>
      </c>
      <c r="B180" t="s">
        <v>243</v>
      </c>
      <c r="C180" t="s">
        <v>242</v>
      </c>
    </row>
    <row r="181" spans="1:3" x14ac:dyDescent="0.2">
      <c r="A181" t="s">
        <v>244</v>
      </c>
      <c r="B181" t="s">
        <v>245</v>
      </c>
      <c r="C181" t="s">
        <v>244</v>
      </c>
    </row>
    <row r="182" spans="1:3" x14ac:dyDescent="0.2">
      <c r="A182" t="s">
        <v>246</v>
      </c>
      <c r="B182" t="s">
        <v>247</v>
      </c>
      <c r="C182" t="s">
        <v>246</v>
      </c>
    </row>
    <row r="183" spans="1:3" x14ac:dyDescent="0.2">
      <c r="A183" t="s">
        <v>248</v>
      </c>
      <c r="B183" t="s">
        <v>249</v>
      </c>
      <c r="C183" t="s">
        <v>248</v>
      </c>
    </row>
    <row r="184" spans="1:3" x14ac:dyDescent="0.2">
      <c r="A184" t="s">
        <v>250</v>
      </c>
      <c r="B184" t="s">
        <v>251</v>
      </c>
      <c r="C184" t="s">
        <v>250</v>
      </c>
    </row>
    <row r="185" spans="1:3" x14ac:dyDescent="0.2">
      <c r="A185" t="s">
        <v>252</v>
      </c>
      <c r="B185" t="s">
        <v>253</v>
      </c>
      <c r="C185" t="s">
        <v>252</v>
      </c>
    </row>
    <row r="186" spans="1:3" x14ac:dyDescent="0.2">
      <c r="A186" t="s">
        <v>254</v>
      </c>
      <c r="B186" t="s">
        <v>255</v>
      </c>
      <c r="C186" t="s">
        <v>254</v>
      </c>
    </row>
    <row r="187" spans="1:3" x14ac:dyDescent="0.2">
      <c r="A187" t="s">
        <v>256</v>
      </c>
      <c r="B187" t="s">
        <v>257</v>
      </c>
      <c r="C187" t="s">
        <v>256</v>
      </c>
    </row>
    <row r="188" spans="1:3" x14ac:dyDescent="0.2">
      <c r="A188" t="s">
        <v>262</v>
      </c>
      <c r="B188" t="s">
        <v>263</v>
      </c>
      <c r="C188" t="s">
        <v>262</v>
      </c>
    </row>
    <row r="189" spans="1:3" x14ac:dyDescent="0.2">
      <c r="A189" t="s">
        <v>264</v>
      </c>
      <c r="B189" t="s">
        <v>265</v>
      </c>
      <c r="C189" t="s">
        <v>264</v>
      </c>
    </row>
    <row r="190" spans="1:3" x14ac:dyDescent="0.2">
      <c r="A190" t="s">
        <v>266</v>
      </c>
      <c r="B190" t="s">
        <v>267</v>
      </c>
      <c r="C190" t="s">
        <v>266</v>
      </c>
    </row>
    <row r="191" spans="1:3" x14ac:dyDescent="0.2">
      <c r="A191" t="s">
        <v>268</v>
      </c>
      <c r="B191" t="s">
        <v>269</v>
      </c>
      <c r="C191" t="s">
        <v>268</v>
      </c>
    </row>
    <row r="192" spans="1:3" x14ac:dyDescent="0.2">
      <c r="A192" t="s">
        <v>270</v>
      </c>
      <c r="B192" t="s">
        <v>271</v>
      </c>
      <c r="C192" t="s">
        <v>270</v>
      </c>
    </row>
    <row r="193" spans="1:3" x14ac:dyDescent="0.2">
      <c r="A193" t="s">
        <v>272</v>
      </c>
      <c r="B193" t="s">
        <v>273</v>
      </c>
      <c r="C193" t="s">
        <v>272</v>
      </c>
    </row>
    <row r="194" spans="1:3" x14ac:dyDescent="0.2">
      <c r="A194" t="s">
        <v>274</v>
      </c>
      <c r="B194" t="s">
        <v>275</v>
      </c>
      <c r="C194" t="s">
        <v>274</v>
      </c>
    </row>
    <row r="195" spans="1:3" x14ac:dyDescent="0.2">
      <c r="A195" t="s">
        <v>276</v>
      </c>
      <c r="B195" t="s">
        <v>277</v>
      </c>
      <c r="C195" t="s">
        <v>276</v>
      </c>
    </row>
    <row r="196" spans="1:3" x14ac:dyDescent="0.2">
      <c r="A196" t="s">
        <v>278</v>
      </c>
      <c r="B196" t="s">
        <v>279</v>
      </c>
      <c r="C196" t="s">
        <v>278</v>
      </c>
    </row>
    <row r="197" spans="1:3" x14ac:dyDescent="0.2">
      <c r="A197" t="s">
        <v>280</v>
      </c>
      <c r="B197" t="s">
        <v>281</v>
      </c>
      <c r="C197" t="s">
        <v>280</v>
      </c>
    </row>
    <row r="198" spans="1:3" x14ac:dyDescent="0.2">
      <c r="A198" t="s">
        <v>282</v>
      </c>
      <c r="B198" t="s">
        <v>283</v>
      </c>
      <c r="C198" t="s">
        <v>282</v>
      </c>
    </row>
    <row r="199" spans="1:3" x14ac:dyDescent="0.2">
      <c r="A199" t="s">
        <v>284</v>
      </c>
      <c r="B199" t="s">
        <v>285</v>
      </c>
      <c r="C199" t="s">
        <v>284</v>
      </c>
    </row>
    <row r="200" spans="1:3" x14ac:dyDescent="0.2">
      <c r="A200" t="s">
        <v>286</v>
      </c>
      <c r="B200" t="s">
        <v>287</v>
      </c>
      <c r="C200" t="s">
        <v>286</v>
      </c>
    </row>
    <row r="201" spans="1:3" x14ac:dyDescent="0.2">
      <c r="A201" t="s">
        <v>288</v>
      </c>
      <c r="B201" t="s">
        <v>289</v>
      </c>
      <c r="C201" t="s">
        <v>288</v>
      </c>
    </row>
    <row r="202" spans="1:3" x14ac:dyDescent="0.2">
      <c r="A202" t="s">
        <v>290</v>
      </c>
      <c r="B202" t="s">
        <v>291</v>
      </c>
      <c r="C202" t="s">
        <v>290</v>
      </c>
    </row>
    <row r="203" spans="1:3" x14ac:dyDescent="0.2">
      <c r="A203" t="s">
        <v>292</v>
      </c>
      <c r="B203" t="s">
        <v>293</v>
      </c>
      <c r="C203" t="s">
        <v>292</v>
      </c>
    </row>
    <row r="204" spans="1:3" x14ac:dyDescent="0.2">
      <c r="A204" t="s">
        <v>294</v>
      </c>
      <c r="B204" t="s">
        <v>295</v>
      </c>
      <c r="C204" t="s">
        <v>294</v>
      </c>
    </row>
    <row r="205" spans="1:3" x14ac:dyDescent="0.2">
      <c r="A205" t="s">
        <v>296</v>
      </c>
      <c r="B205" t="s">
        <v>297</v>
      </c>
      <c r="C205" t="s">
        <v>296</v>
      </c>
    </row>
    <row r="206" spans="1:3" x14ac:dyDescent="0.2">
      <c r="A206" t="s">
        <v>298</v>
      </c>
      <c r="B206" t="s">
        <v>299</v>
      </c>
      <c r="C206" t="s">
        <v>298</v>
      </c>
    </row>
    <row r="207" spans="1:3" x14ac:dyDescent="0.2">
      <c r="A207" t="s">
        <v>300</v>
      </c>
      <c r="B207" t="s">
        <v>301</v>
      </c>
      <c r="C207" t="s">
        <v>300</v>
      </c>
    </row>
    <row r="208" spans="1:3" x14ac:dyDescent="0.2">
      <c r="A208" t="s">
        <v>302</v>
      </c>
      <c r="B208" t="s">
        <v>303</v>
      </c>
      <c r="C208" t="s">
        <v>302</v>
      </c>
    </row>
    <row r="209" spans="1:3" x14ac:dyDescent="0.2">
      <c r="A209" t="s">
        <v>304</v>
      </c>
      <c r="B209" t="s">
        <v>305</v>
      </c>
      <c r="C209" t="s">
        <v>304</v>
      </c>
    </row>
    <row r="210" spans="1:3" x14ac:dyDescent="0.2">
      <c r="A210" t="s">
        <v>306</v>
      </c>
      <c r="B210" t="s">
        <v>307</v>
      </c>
      <c r="C210" t="s">
        <v>306</v>
      </c>
    </row>
    <row r="211" spans="1:3" x14ac:dyDescent="0.2">
      <c r="A211" t="s">
        <v>308</v>
      </c>
      <c r="B211" t="s">
        <v>309</v>
      </c>
      <c r="C211" t="s">
        <v>308</v>
      </c>
    </row>
    <row r="212" spans="1:3" x14ac:dyDescent="0.2">
      <c r="A212" t="s">
        <v>310</v>
      </c>
      <c r="B212" t="s">
        <v>311</v>
      </c>
      <c r="C212" t="s">
        <v>310</v>
      </c>
    </row>
    <row r="213" spans="1:3" x14ac:dyDescent="0.2">
      <c r="A213" t="s">
        <v>312</v>
      </c>
      <c r="B213" t="s">
        <v>313</v>
      </c>
      <c r="C213" t="s">
        <v>312</v>
      </c>
    </row>
    <row r="214" spans="1:3" x14ac:dyDescent="0.2">
      <c r="A214" t="s">
        <v>314</v>
      </c>
      <c r="B214" t="s">
        <v>315</v>
      </c>
      <c r="C214" t="s">
        <v>314</v>
      </c>
    </row>
    <row r="215" spans="1:3" x14ac:dyDescent="0.2">
      <c r="A215" t="s">
        <v>316</v>
      </c>
      <c r="B215" t="s">
        <v>317</v>
      </c>
      <c r="C215" t="s">
        <v>316</v>
      </c>
    </row>
    <row r="216" spans="1:3" x14ac:dyDescent="0.2">
      <c r="A216" t="s">
        <v>318</v>
      </c>
      <c r="B216" t="s">
        <v>319</v>
      </c>
      <c r="C216" t="s">
        <v>318</v>
      </c>
    </row>
    <row r="217" spans="1:3" x14ac:dyDescent="0.2">
      <c r="A217" t="s">
        <v>320</v>
      </c>
      <c r="B217" t="s">
        <v>321</v>
      </c>
      <c r="C217" t="s">
        <v>320</v>
      </c>
    </row>
    <row r="218" spans="1:3" x14ac:dyDescent="0.2">
      <c r="A218" t="s">
        <v>322</v>
      </c>
      <c r="B218" t="s">
        <v>323</v>
      </c>
      <c r="C218" t="s">
        <v>322</v>
      </c>
    </row>
    <row r="219" spans="1:3" x14ac:dyDescent="0.2">
      <c r="A219" t="s">
        <v>324</v>
      </c>
      <c r="B219" t="s">
        <v>325</v>
      </c>
      <c r="C219" t="s">
        <v>324</v>
      </c>
    </row>
    <row r="220" spans="1:3" x14ac:dyDescent="0.2">
      <c r="A220" t="s">
        <v>326</v>
      </c>
      <c r="B220" t="s">
        <v>327</v>
      </c>
      <c r="C220" t="s">
        <v>326</v>
      </c>
    </row>
    <row r="221" spans="1:3" x14ac:dyDescent="0.2">
      <c r="A221" t="s">
        <v>328</v>
      </c>
      <c r="B221" t="s">
        <v>329</v>
      </c>
      <c r="C221" t="s">
        <v>328</v>
      </c>
    </row>
    <row r="222" spans="1:3" x14ac:dyDescent="0.2">
      <c r="A222" t="s">
        <v>330</v>
      </c>
      <c r="B222" t="s">
        <v>331</v>
      </c>
      <c r="C222" t="s">
        <v>330</v>
      </c>
    </row>
    <row r="223" spans="1:3" x14ac:dyDescent="0.2">
      <c r="A223" t="s">
        <v>332</v>
      </c>
      <c r="B223" t="s">
        <v>333</v>
      </c>
      <c r="C223" t="s">
        <v>332</v>
      </c>
    </row>
    <row r="224" spans="1:3" x14ac:dyDescent="0.2">
      <c r="A224" t="s">
        <v>334</v>
      </c>
      <c r="B224" t="s">
        <v>335</v>
      </c>
      <c r="C224" t="s">
        <v>334</v>
      </c>
    </row>
    <row r="225" spans="1:3" x14ac:dyDescent="0.2">
      <c r="A225" t="s">
        <v>336</v>
      </c>
      <c r="B225" t="s">
        <v>337</v>
      </c>
      <c r="C225" t="s">
        <v>336</v>
      </c>
    </row>
    <row r="226" spans="1:3" x14ac:dyDescent="0.2">
      <c r="A226" t="s">
        <v>338</v>
      </c>
      <c r="B226" t="s">
        <v>339</v>
      </c>
      <c r="C226" t="s">
        <v>338</v>
      </c>
    </row>
    <row r="227" spans="1:3" x14ac:dyDescent="0.2">
      <c r="A227" t="s">
        <v>340</v>
      </c>
      <c r="B227" t="s">
        <v>341</v>
      </c>
      <c r="C227" t="s">
        <v>340</v>
      </c>
    </row>
    <row r="228" spans="1:3" x14ac:dyDescent="0.2">
      <c r="A228" t="s">
        <v>342</v>
      </c>
      <c r="B228" t="s">
        <v>343</v>
      </c>
      <c r="C228" t="s">
        <v>342</v>
      </c>
    </row>
    <row r="229" spans="1:3" x14ac:dyDescent="0.2">
      <c r="A229" t="s">
        <v>344</v>
      </c>
      <c r="B229" t="s">
        <v>345</v>
      </c>
      <c r="C229" t="s">
        <v>344</v>
      </c>
    </row>
    <row r="230" spans="1:3" x14ac:dyDescent="0.2">
      <c r="A230" t="s">
        <v>346</v>
      </c>
      <c r="B230" t="s">
        <v>347</v>
      </c>
      <c r="C230" t="s">
        <v>346</v>
      </c>
    </row>
    <row r="231" spans="1:3" x14ac:dyDescent="0.2">
      <c r="A231" t="s">
        <v>348</v>
      </c>
      <c r="B231" t="s">
        <v>349</v>
      </c>
      <c r="C231" t="s">
        <v>348</v>
      </c>
    </row>
    <row r="232" spans="1:3" x14ac:dyDescent="0.2">
      <c r="A232" t="s">
        <v>350</v>
      </c>
      <c r="B232" t="s">
        <v>351</v>
      </c>
      <c r="C232" t="s">
        <v>350</v>
      </c>
    </row>
    <row r="233" spans="1:3" x14ac:dyDescent="0.2">
      <c r="A233" s="650" t="s">
        <v>1149</v>
      </c>
      <c r="B233" s="650" t="s">
        <v>1150</v>
      </c>
      <c r="C233" s="650" t="s">
        <v>1149</v>
      </c>
    </row>
    <row r="234" spans="1:3" x14ac:dyDescent="0.2">
      <c r="A234" t="s">
        <v>352</v>
      </c>
      <c r="B234" t="s">
        <v>353</v>
      </c>
      <c r="C234" t="s">
        <v>352</v>
      </c>
    </row>
    <row r="235" spans="1:3" x14ac:dyDescent="0.2">
      <c r="A235" t="s">
        <v>354</v>
      </c>
      <c r="B235" t="s">
        <v>355</v>
      </c>
      <c r="C235" t="s">
        <v>354</v>
      </c>
    </row>
    <row r="236" spans="1:3" x14ac:dyDescent="0.2">
      <c r="A236" t="s">
        <v>356</v>
      </c>
      <c r="B236" t="s">
        <v>357</v>
      </c>
      <c r="C236" t="s">
        <v>356</v>
      </c>
    </row>
    <row r="237" spans="1:3" x14ac:dyDescent="0.2">
      <c r="A237" t="s">
        <v>358</v>
      </c>
      <c r="B237" t="s">
        <v>359</v>
      </c>
      <c r="C237" t="s">
        <v>358</v>
      </c>
    </row>
    <row r="238" spans="1:3" x14ac:dyDescent="0.2">
      <c r="A238" t="s">
        <v>360</v>
      </c>
      <c r="B238" t="s">
        <v>361</v>
      </c>
      <c r="C238" t="s">
        <v>360</v>
      </c>
    </row>
    <row r="239" spans="1:3" x14ac:dyDescent="0.2">
      <c r="A239" t="s">
        <v>362</v>
      </c>
      <c r="B239" t="s">
        <v>363</v>
      </c>
      <c r="C239" t="s">
        <v>362</v>
      </c>
    </row>
    <row r="240" spans="1:3" x14ac:dyDescent="0.2">
      <c r="A240" t="s">
        <v>364</v>
      </c>
      <c r="B240" t="s">
        <v>365</v>
      </c>
      <c r="C240" t="s">
        <v>364</v>
      </c>
    </row>
    <row r="241" spans="1:3" x14ac:dyDescent="0.2">
      <c r="A241" t="s">
        <v>366</v>
      </c>
      <c r="B241" t="s">
        <v>367</v>
      </c>
      <c r="C241" t="s">
        <v>366</v>
      </c>
    </row>
    <row r="242" spans="1:3" x14ac:dyDescent="0.2">
      <c r="A242" t="s">
        <v>368</v>
      </c>
      <c r="B242" t="s">
        <v>369</v>
      </c>
      <c r="C242" t="s">
        <v>368</v>
      </c>
    </row>
    <row r="243" spans="1:3" x14ac:dyDescent="0.2">
      <c r="A243" t="s">
        <v>370</v>
      </c>
      <c r="B243" t="s">
        <v>371</v>
      </c>
      <c r="C243" t="s">
        <v>370</v>
      </c>
    </row>
    <row r="244" spans="1:3" x14ac:dyDescent="0.2">
      <c r="A244" t="s">
        <v>372</v>
      </c>
      <c r="B244" t="s">
        <v>373</v>
      </c>
      <c r="C244" t="s">
        <v>372</v>
      </c>
    </row>
    <row r="245" spans="1:3" x14ac:dyDescent="0.2">
      <c r="A245" t="s">
        <v>374</v>
      </c>
      <c r="B245" t="s">
        <v>375</v>
      </c>
      <c r="C245" t="s">
        <v>374</v>
      </c>
    </row>
    <row r="246" spans="1:3" x14ac:dyDescent="0.2">
      <c r="A246" t="s">
        <v>376</v>
      </c>
      <c r="B246" t="s">
        <v>377</v>
      </c>
      <c r="C246" t="s">
        <v>376</v>
      </c>
    </row>
    <row r="247" spans="1:3" x14ac:dyDescent="0.2">
      <c r="A247" t="s">
        <v>378</v>
      </c>
      <c r="B247" t="s">
        <v>379</v>
      </c>
      <c r="C247" t="s">
        <v>378</v>
      </c>
    </row>
    <row r="248" spans="1:3" x14ac:dyDescent="0.2">
      <c r="A248" t="s">
        <v>380</v>
      </c>
      <c r="B248" t="s">
        <v>381</v>
      </c>
      <c r="C248" t="s">
        <v>380</v>
      </c>
    </row>
    <row r="249" spans="1:3" x14ac:dyDescent="0.2">
      <c r="A249" t="s">
        <v>382</v>
      </c>
      <c r="B249" t="s">
        <v>383</v>
      </c>
      <c r="C249" t="s">
        <v>382</v>
      </c>
    </row>
    <row r="250" spans="1:3" x14ac:dyDescent="0.2">
      <c r="A250" t="s">
        <v>384</v>
      </c>
      <c r="B250" t="s">
        <v>385</v>
      </c>
      <c r="C250" t="s">
        <v>384</v>
      </c>
    </row>
    <row r="251" spans="1:3" x14ac:dyDescent="0.2">
      <c r="A251" t="s">
        <v>386</v>
      </c>
      <c r="B251" t="s">
        <v>387</v>
      </c>
      <c r="C251" t="s">
        <v>386</v>
      </c>
    </row>
    <row r="252" spans="1:3" x14ac:dyDescent="0.2">
      <c r="A252" t="s">
        <v>388</v>
      </c>
      <c r="B252" t="s">
        <v>389</v>
      </c>
      <c r="C252" t="s">
        <v>388</v>
      </c>
    </row>
    <row r="253" spans="1:3" x14ac:dyDescent="0.2">
      <c r="A253" t="s">
        <v>390</v>
      </c>
      <c r="B253" t="s">
        <v>391</v>
      </c>
      <c r="C253" t="s">
        <v>390</v>
      </c>
    </row>
    <row r="254" spans="1:3" x14ac:dyDescent="0.2">
      <c r="A254" t="s">
        <v>394</v>
      </c>
      <c r="B254" t="s">
        <v>395</v>
      </c>
      <c r="C254" t="s">
        <v>394</v>
      </c>
    </row>
    <row r="255" spans="1:3" x14ac:dyDescent="0.2">
      <c r="A255" t="s">
        <v>396</v>
      </c>
      <c r="B255" t="s">
        <v>397</v>
      </c>
      <c r="C255" t="s">
        <v>396</v>
      </c>
    </row>
    <row r="256" spans="1:3" x14ac:dyDescent="0.2">
      <c r="A256" t="s">
        <v>398</v>
      </c>
      <c r="B256" t="s">
        <v>399</v>
      </c>
      <c r="C256" t="s">
        <v>398</v>
      </c>
    </row>
    <row r="257" spans="1:3" x14ac:dyDescent="0.2">
      <c r="A257" t="s">
        <v>400</v>
      </c>
      <c r="B257" t="s">
        <v>401</v>
      </c>
      <c r="C257" t="s">
        <v>400</v>
      </c>
    </row>
    <row r="258" spans="1:3" x14ac:dyDescent="0.2">
      <c r="A258" t="s">
        <v>402</v>
      </c>
      <c r="B258" t="s">
        <v>403</v>
      </c>
      <c r="C258" t="s">
        <v>402</v>
      </c>
    </row>
    <row r="259" spans="1:3" x14ac:dyDescent="0.2">
      <c r="A259" t="s">
        <v>404</v>
      </c>
      <c r="B259" t="s">
        <v>405</v>
      </c>
      <c r="C259" t="s">
        <v>404</v>
      </c>
    </row>
    <row r="260" spans="1:3" x14ac:dyDescent="0.2">
      <c r="A260" t="s">
        <v>406</v>
      </c>
      <c r="B260" t="s">
        <v>407</v>
      </c>
      <c r="C260" t="s">
        <v>406</v>
      </c>
    </row>
    <row r="261" spans="1:3" x14ac:dyDescent="0.2">
      <c r="A261" t="s">
        <v>408</v>
      </c>
      <c r="B261" t="s">
        <v>409</v>
      </c>
      <c r="C261" t="s">
        <v>408</v>
      </c>
    </row>
    <row r="262" spans="1:3" x14ac:dyDescent="0.2">
      <c r="A262" t="s">
        <v>410</v>
      </c>
      <c r="B262" t="s">
        <v>411</v>
      </c>
      <c r="C262" t="s">
        <v>410</v>
      </c>
    </row>
    <row r="263" spans="1:3" x14ac:dyDescent="0.2">
      <c r="A263" t="s">
        <v>412</v>
      </c>
      <c r="B263" t="s">
        <v>413</v>
      </c>
      <c r="C263" t="s">
        <v>412</v>
      </c>
    </row>
    <row r="264" spans="1:3" x14ac:dyDescent="0.2">
      <c r="A264" t="s">
        <v>414</v>
      </c>
      <c r="B264" t="s">
        <v>415</v>
      </c>
      <c r="C264" t="s">
        <v>414</v>
      </c>
    </row>
    <row r="265" spans="1:3" x14ac:dyDescent="0.2">
      <c r="A265" t="s">
        <v>416</v>
      </c>
      <c r="B265" t="s">
        <v>417</v>
      </c>
      <c r="C265" t="s">
        <v>416</v>
      </c>
    </row>
    <row r="266" spans="1:3" x14ac:dyDescent="0.2">
      <c r="A266" t="s">
        <v>418</v>
      </c>
      <c r="B266" t="s">
        <v>419</v>
      </c>
      <c r="C266" t="s">
        <v>418</v>
      </c>
    </row>
    <row r="267" spans="1:3" x14ac:dyDescent="0.2">
      <c r="A267" t="s">
        <v>420</v>
      </c>
      <c r="B267" t="s">
        <v>421</v>
      </c>
      <c r="C267" t="s">
        <v>420</v>
      </c>
    </row>
    <row r="268" spans="1:3" x14ac:dyDescent="0.2">
      <c r="A268" t="s">
        <v>422</v>
      </c>
      <c r="B268" t="s">
        <v>423</v>
      </c>
      <c r="C268" t="s">
        <v>422</v>
      </c>
    </row>
    <row r="269" spans="1:3" x14ac:dyDescent="0.2">
      <c r="A269" t="s">
        <v>424</v>
      </c>
      <c r="B269" t="s">
        <v>425</v>
      </c>
      <c r="C269" t="s">
        <v>424</v>
      </c>
    </row>
    <row r="270" spans="1:3" x14ac:dyDescent="0.2">
      <c r="A270" t="s">
        <v>426</v>
      </c>
      <c r="B270" t="s">
        <v>427</v>
      </c>
      <c r="C270" t="s">
        <v>426</v>
      </c>
    </row>
    <row r="271" spans="1:3" x14ac:dyDescent="0.2">
      <c r="A271" t="s">
        <v>428</v>
      </c>
      <c r="B271" t="s">
        <v>429</v>
      </c>
      <c r="C271" t="s">
        <v>428</v>
      </c>
    </row>
    <row r="272" spans="1:3" x14ac:dyDescent="0.2">
      <c r="A272" t="s">
        <v>430</v>
      </c>
      <c r="B272" t="s">
        <v>431</v>
      </c>
      <c r="C272" t="s">
        <v>430</v>
      </c>
    </row>
    <row r="273" spans="1:3" x14ac:dyDescent="0.2">
      <c r="A273" t="s">
        <v>432</v>
      </c>
      <c r="B273" t="s">
        <v>433</v>
      </c>
      <c r="C273" t="s">
        <v>432</v>
      </c>
    </row>
    <row r="274" spans="1:3" x14ac:dyDescent="0.2">
      <c r="A274" t="s">
        <v>434</v>
      </c>
      <c r="B274" t="s">
        <v>435</v>
      </c>
      <c r="C274" t="s">
        <v>434</v>
      </c>
    </row>
    <row r="275" spans="1:3" x14ac:dyDescent="0.2">
      <c r="A275" t="s">
        <v>436</v>
      </c>
      <c r="B275" t="s">
        <v>437</v>
      </c>
      <c r="C275" t="s">
        <v>436</v>
      </c>
    </row>
    <row r="276" spans="1:3" x14ac:dyDescent="0.2">
      <c r="A276" t="s">
        <v>438</v>
      </c>
      <c r="B276" t="s">
        <v>439</v>
      </c>
      <c r="C276" t="s">
        <v>438</v>
      </c>
    </row>
    <row r="277" spans="1:3" x14ac:dyDescent="0.2">
      <c r="A277" t="s">
        <v>440</v>
      </c>
      <c r="B277" t="s">
        <v>441</v>
      </c>
      <c r="C277" t="s">
        <v>440</v>
      </c>
    </row>
    <row r="278" spans="1:3" x14ac:dyDescent="0.2">
      <c r="A278" t="s">
        <v>442</v>
      </c>
      <c r="B278" t="s">
        <v>443</v>
      </c>
      <c r="C278" t="s">
        <v>442</v>
      </c>
    </row>
    <row r="279" spans="1:3" x14ac:dyDescent="0.2">
      <c r="A279" t="s">
        <v>444</v>
      </c>
      <c r="B279" t="s">
        <v>445</v>
      </c>
      <c r="C279" t="s">
        <v>444</v>
      </c>
    </row>
    <row r="280" spans="1:3" x14ac:dyDescent="0.2">
      <c r="A280" t="s">
        <v>446</v>
      </c>
      <c r="B280" t="s">
        <v>447</v>
      </c>
      <c r="C280" t="s">
        <v>446</v>
      </c>
    </row>
    <row r="281" spans="1:3" x14ac:dyDescent="0.2">
      <c r="A281" t="s">
        <v>448</v>
      </c>
      <c r="B281" t="s">
        <v>449</v>
      </c>
      <c r="C281" t="s">
        <v>448</v>
      </c>
    </row>
    <row r="282" spans="1:3" x14ac:dyDescent="0.2">
      <c r="A282" t="s">
        <v>450</v>
      </c>
      <c r="B282" t="s">
        <v>451</v>
      </c>
      <c r="C282" t="s">
        <v>450</v>
      </c>
    </row>
    <row r="283" spans="1:3" x14ac:dyDescent="0.2">
      <c r="A283" t="s">
        <v>452</v>
      </c>
      <c r="B283" t="s">
        <v>453</v>
      </c>
      <c r="C283" t="s">
        <v>452</v>
      </c>
    </row>
    <row r="284" spans="1:3" x14ac:dyDescent="0.2">
      <c r="A284" t="s">
        <v>454</v>
      </c>
      <c r="B284" t="s">
        <v>455</v>
      </c>
      <c r="C284" t="s">
        <v>454</v>
      </c>
    </row>
    <row r="285" spans="1:3" x14ac:dyDescent="0.2">
      <c r="A285" t="s">
        <v>456</v>
      </c>
      <c r="B285" t="s">
        <v>457</v>
      </c>
      <c r="C285" t="s">
        <v>456</v>
      </c>
    </row>
    <row r="286" spans="1:3" x14ac:dyDescent="0.2">
      <c r="A286" t="s">
        <v>458</v>
      </c>
      <c r="B286" t="s">
        <v>459</v>
      </c>
      <c r="C286" t="s">
        <v>458</v>
      </c>
    </row>
    <row r="287" spans="1:3" x14ac:dyDescent="0.2">
      <c r="A287" t="s">
        <v>460</v>
      </c>
      <c r="B287" t="s">
        <v>461</v>
      </c>
      <c r="C287" t="s">
        <v>460</v>
      </c>
    </row>
    <row r="288" spans="1:3" x14ac:dyDescent="0.2">
      <c r="A288" t="s">
        <v>462</v>
      </c>
      <c r="B288" t="s">
        <v>463</v>
      </c>
      <c r="C288" t="s">
        <v>462</v>
      </c>
    </row>
    <row r="289" spans="1:3" x14ac:dyDescent="0.2">
      <c r="A289" t="s">
        <v>464</v>
      </c>
      <c r="B289" t="s">
        <v>465</v>
      </c>
      <c r="C289" t="s">
        <v>464</v>
      </c>
    </row>
    <row r="290" spans="1:3" x14ac:dyDescent="0.2">
      <c r="A290" t="s">
        <v>466</v>
      </c>
      <c r="B290" t="s">
        <v>467</v>
      </c>
      <c r="C290" t="s">
        <v>466</v>
      </c>
    </row>
    <row r="291" spans="1:3" x14ac:dyDescent="0.2">
      <c r="A291" t="s">
        <v>468</v>
      </c>
      <c r="B291" t="s">
        <v>469</v>
      </c>
      <c r="C291" t="s">
        <v>468</v>
      </c>
    </row>
    <row r="292" spans="1:3" x14ac:dyDescent="0.2">
      <c r="A292" t="s">
        <v>470</v>
      </c>
      <c r="B292" t="s">
        <v>471</v>
      </c>
      <c r="C292" t="s">
        <v>470</v>
      </c>
    </row>
    <row r="293" spans="1:3" x14ac:dyDescent="0.2">
      <c r="A293" t="s">
        <v>472</v>
      </c>
      <c r="B293" t="s">
        <v>473</v>
      </c>
      <c r="C293" t="s">
        <v>472</v>
      </c>
    </row>
    <row r="294" spans="1:3" x14ac:dyDescent="0.2">
      <c r="A294" t="s">
        <v>474</v>
      </c>
      <c r="B294" t="s">
        <v>475</v>
      </c>
      <c r="C294" t="s">
        <v>474</v>
      </c>
    </row>
    <row r="295" spans="1:3" x14ac:dyDescent="0.2">
      <c r="A295" t="s">
        <v>476</v>
      </c>
      <c r="B295" t="s">
        <v>477</v>
      </c>
      <c r="C295" t="s">
        <v>476</v>
      </c>
    </row>
    <row r="296" spans="1:3" x14ac:dyDescent="0.2">
      <c r="A296" t="s">
        <v>478</v>
      </c>
      <c r="B296" t="s">
        <v>479</v>
      </c>
      <c r="C296" t="s">
        <v>478</v>
      </c>
    </row>
    <row r="297" spans="1:3" x14ac:dyDescent="0.2">
      <c r="A297" t="s">
        <v>480</v>
      </c>
      <c r="B297" t="s">
        <v>481</v>
      </c>
      <c r="C297" t="s">
        <v>480</v>
      </c>
    </row>
    <row r="298" spans="1:3" x14ac:dyDescent="0.2">
      <c r="A298" t="s">
        <v>482</v>
      </c>
      <c r="B298" t="s">
        <v>483</v>
      </c>
      <c r="C298" t="s">
        <v>482</v>
      </c>
    </row>
    <row r="299" spans="1:3" x14ac:dyDescent="0.2">
      <c r="A299" t="s">
        <v>484</v>
      </c>
      <c r="B299" t="s">
        <v>485</v>
      </c>
      <c r="C299" t="s">
        <v>484</v>
      </c>
    </row>
    <row r="300" spans="1:3" x14ac:dyDescent="0.2">
      <c r="A300" t="s">
        <v>486</v>
      </c>
      <c r="B300" t="s">
        <v>487</v>
      </c>
      <c r="C300" t="s">
        <v>486</v>
      </c>
    </row>
    <row r="301" spans="1:3" x14ac:dyDescent="0.2">
      <c r="A301" t="s">
        <v>488</v>
      </c>
      <c r="B301" t="s">
        <v>489</v>
      </c>
      <c r="C301" t="s">
        <v>488</v>
      </c>
    </row>
    <row r="302" spans="1:3" x14ac:dyDescent="0.2">
      <c r="A302" t="s">
        <v>490</v>
      </c>
      <c r="B302" t="s">
        <v>491</v>
      </c>
      <c r="C302" t="s">
        <v>490</v>
      </c>
    </row>
    <row r="303" spans="1:3" x14ac:dyDescent="0.2">
      <c r="A303" s="650" t="s">
        <v>1151</v>
      </c>
      <c r="B303" s="650" t="s">
        <v>1152</v>
      </c>
      <c r="C303" s="650" t="s">
        <v>1151</v>
      </c>
    </row>
    <row r="304" spans="1:3" x14ac:dyDescent="0.2">
      <c r="A304" t="s">
        <v>492</v>
      </c>
      <c r="B304" t="s">
        <v>493</v>
      </c>
      <c r="C304" t="s">
        <v>492</v>
      </c>
    </row>
    <row r="305" spans="1:3" x14ac:dyDescent="0.2">
      <c r="A305" t="s">
        <v>494</v>
      </c>
      <c r="B305" t="s">
        <v>495</v>
      </c>
      <c r="C305" t="s">
        <v>494</v>
      </c>
    </row>
    <row r="306" spans="1:3" x14ac:dyDescent="0.2">
      <c r="A306" t="s">
        <v>496</v>
      </c>
      <c r="B306" t="s">
        <v>497</v>
      </c>
      <c r="C306" t="s">
        <v>496</v>
      </c>
    </row>
    <row r="307" spans="1:3" x14ac:dyDescent="0.2">
      <c r="A307" t="s">
        <v>498</v>
      </c>
      <c r="B307" t="s">
        <v>499</v>
      </c>
      <c r="C307" t="s">
        <v>498</v>
      </c>
    </row>
    <row r="308" spans="1:3" x14ac:dyDescent="0.2">
      <c r="A308" t="s">
        <v>500</v>
      </c>
      <c r="B308" t="s">
        <v>501</v>
      </c>
      <c r="C308" t="s">
        <v>500</v>
      </c>
    </row>
    <row r="309" spans="1:3" x14ac:dyDescent="0.2">
      <c r="A309" t="s">
        <v>502</v>
      </c>
      <c r="B309" t="s">
        <v>503</v>
      </c>
      <c r="C309" t="s">
        <v>502</v>
      </c>
    </row>
    <row r="310" spans="1:3" x14ac:dyDescent="0.2">
      <c r="A310" t="s">
        <v>504</v>
      </c>
      <c r="B310" t="s">
        <v>505</v>
      </c>
      <c r="C310" t="s">
        <v>504</v>
      </c>
    </row>
    <row r="311" spans="1:3" x14ac:dyDescent="0.2">
      <c r="A311" t="s">
        <v>506</v>
      </c>
      <c r="B311" t="s">
        <v>507</v>
      </c>
      <c r="C311" t="s">
        <v>506</v>
      </c>
    </row>
    <row r="312" spans="1:3" x14ac:dyDescent="0.2">
      <c r="A312" t="s">
        <v>508</v>
      </c>
      <c r="B312" t="s">
        <v>509</v>
      </c>
      <c r="C312" t="s">
        <v>508</v>
      </c>
    </row>
    <row r="313" spans="1:3" x14ac:dyDescent="0.2">
      <c r="A313" t="s">
        <v>510</v>
      </c>
      <c r="B313" t="s">
        <v>511</v>
      </c>
      <c r="C313" t="s">
        <v>510</v>
      </c>
    </row>
    <row r="314" spans="1:3" x14ac:dyDescent="0.2">
      <c r="A314" t="s">
        <v>512</v>
      </c>
      <c r="B314" t="s">
        <v>513</v>
      </c>
      <c r="C314" t="s">
        <v>512</v>
      </c>
    </row>
    <row r="315" spans="1:3" x14ac:dyDescent="0.2">
      <c r="A315" t="s">
        <v>514</v>
      </c>
      <c r="B315" t="s">
        <v>515</v>
      </c>
      <c r="C315" t="s">
        <v>514</v>
      </c>
    </row>
    <row r="316" spans="1:3" x14ac:dyDescent="0.2">
      <c r="A316" t="s">
        <v>516</v>
      </c>
      <c r="B316" t="s">
        <v>517</v>
      </c>
      <c r="C316" t="s">
        <v>516</v>
      </c>
    </row>
    <row r="317" spans="1:3" x14ac:dyDescent="0.2">
      <c r="A317" t="s">
        <v>518</v>
      </c>
      <c r="B317" t="s">
        <v>519</v>
      </c>
      <c r="C317" t="s">
        <v>518</v>
      </c>
    </row>
    <row r="318" spans="1:3" x14ac:dyDescent="0.2">
      <c r="A318" t="s">
        <v>520</v>
      </c>
      <c r="B318" t="s">
        <v>521</v>
      </c>
      <c r="C318" t="s">
        <v>520</v>
      </c>
    </row>
    <row r="319" spans="1:3" x14ac:dyDescent="0.2">
      <c r="A319" t="s">
        <v>522</v>
      </c>
      <c r="B319" t="s">
        <v>523</v>
      </c>
      <c r="C319" t="s">
        <v>522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1000"/>
  <sheetViews>
    <sheetView zoomScale="70" zoomScaleNormal="70" workbookViewId="0">
      <pane xSplit="3" ySplit="7" topLeftCell="D8" activePane="bottomRight" state="frozen"/>
      <selection pane="topRight" activeCell="D1" sqref="D1"/>
      <selection pane="bottomLeft" activeCell="A8" sqref="A8"/>
      <selection pane="bottomRight" activeCell="N13" sqref="N13"/>
    </sheetView>
  </sheetViews>
  <sheetFormatPr defaultColWidth="9.140625" defaultRowHeight="15" x14ac:dyDescent="0.2"/>
  <cols>
    <col min="1" max="1" width="8.42578125" style="587" customWidth="1"/>
    <col min="2" max="2" width="33.140625" style="587" customWidth="1"/>
    <col min="3" max="3" width="8.140625" style="587" bestFit="1" customWidth="1"/>
    <col min="4" max="47" width="9.140625" style="554"/>
    <col min="48" max="16384" width="9.140625" style="555"/>
  </cols>
  <sheetData>
    <row r="1" spans="1:44" ht="13.5" thickBot="1" x14ac:dyDescent="0.25">
      <c r="A1" s="551"/>
      <c r="B1" s="552"/>
      <c r="C1" s="553"/>
      <c r="AA1" s="718" t="s">
        <v>1553</v>
      </c>
      <c r="AM1" s="588"/>
      <c r="AN1" s="588"/>
      <c r="AO1" s="588"/>
      <c r="AP1" s="588"/>
      <c r="AQ1" s="588"/>
      <c r="AR1" s="588"/>
    </row>
    <row r="2" spans="1:44" ht="12.75" x14ac:dyDescent="0.2">
      <c r="A2" s="556"/>
      <c r="B2" s="557"/>
      <c r="C2" s="553"/>
      <c r="AM2" s="588"/>
      <c r="AN2" s="588"/>
      <c r="AO2" s="588"/>
      <c r="AP2" s="588"/>
      <c r="AQ2" s="588"/>
      <c r="AR2" s="588"/>
    </row>
    <row r="3" spans="1:44" ht="12.75" x14ac:dyDescent="0.2">
      <c r="A3" s="558">
        <v>1</v>
      </c>
      <c r="B3" s="559">
        <v>2</v>
      </c>
      <c r="C3" s="560">
        <v>3</v>
      </c>
    </row>
    <row r="4" spans="1:44" ht="12.75" x14ac:dyDescent="0.2">
      <c r="A4" s="561"/>
      <c r="B4" s="562"/>
      <c r="C4" s="563"/>
    </row>
    <row r="5" spans="1:44" ht="12.75" x14ac:dyDescent="0.2">
      <c r="A5" s="564" t="s">
        <v>676</v>
      </c>
      <c r="B5" s="565" t="s">
        <v>677</v>
      </c>
      <c r="C5" s="566" t="s">
        <v>678</v>
      </c>
    </row>
    <row r="6" spans="1:44" ht="13.5" thickBot="1" x14ac:dyDescent="0.25">
      <c r="A6" s="567"/>
      <c r="B6" s="568"/>
      <c r="C6" s="569"/>
    </row>
    <row r="7" spans="1:44" ht="13.5" thickBot="1" x14ac:dyDescent="0.25">
      <c r="A7" s="570"/>
      <c r="B7" s="571"/>
      <c r="C7" s="571"/>
    </row>
    <row r="8" spans="1:44" ht="12.75" x14ac:dyDescent="0.2">
      <c r="A8" s="572">
        <v>1</v>
      </c>
      <c r="B8" s="573" t="s">
        <v>679</v>
      </c>
      <c r="C8" s="574" t="s">
        <v>680</v>
      </c>
      <c r="E8"/>
      <c r="F8"/>
      <c r="G8"/>
    </row>
    <row r="9" spans="1:44" ht="12.75" x14ac:dyDescent="0.2">
      <c r="A9" s="572">
        <v>2</v>
      </c>
      <c r="B9" s="575" t="s">
        <v>681</v>
      </c>
      <c r="C9" s="576" t="s">
        <v>682</v>
      </c>
      <c r="E9"/>
      <c r="F9"/>
      <c r="G9"/>
    </row>
    <row r="10" spans="1:44" ht="12.75" x14ac:dyDescent="0.2">
      <c r="A10" s="572">
        <v>3</v>
      </c>
      <c r="B10" s="577" t="s">
        <v>683</v>
      </c>
      <c r="C10" s="576" t="s">
        <v>684</v>
      </c>
      <c r="E10"/>
      <c r="F10"/>
      <c r="G10"/>
    </row>
    <row r="11" spans="1:44" ht="12.75" x14ac:dyDescent="0.2">
      <c r="A11" s="572">
        <v>4</v>
      </c>
      <c r="B11" s="577" t="s">
        <v>685</v>
      </c>
      <c r="C11" s="576" t="s">
        <v>686</v>
      </c>
      <c r="E11"/>
      <c r="F11"/>
      <c r="G11"/>
    </row>
    <row r="12" spans="1:44" ht="12.75" x14ac:dyDescent="0.2">
      <c r="A12" s="572">
        <v>5</v>
      </c>
      <c r="B12" s="577" t="s">
        <v>687</v>
      </c>
      <c r="C12" s="576" t="s">
        <v>688</v>
      </c>
      <c r="E12"/>
      <c r="F12"/>
      <c r="G12"/>
    </row>
    <row r="13" spans="1:44" ht="12.75" x14ac:dyDescent="0.2">
      <c r="A13" s="572">
        <v>6</v>
      </c>
      <c r="B13" s="577" t="s">
        <v>689</v>
      </c>
      <c r="C13" s="576" t="s">
        <v>690</v>
      </c>
      <c r="E13"/>
      <c r="F13"/>
      <c r="G13"/>
    </row>
    <row r="14" spans="1:44" ht="12.75" x14ac:dyDescent="0.2">
      <c r="A14" s="572">
        <v>7</v>
      </c>
      <c r="B14" s="577" t="s">
        <v>691</v>
      </c>
      <c r="C14" s="576" t="s">
        <v>692</v>
      </c>
      <c r="E14"/>
      <c r="F14"/>
      <c r="G14"/>
    </row>
    <row r="15" spans="1:44" ht="12.75" x14ac:dyDescent="0.2">
      <c r="A15" s="572">
        <v>8</v>
      </c>
      <c r="B15" s="577" t="s">
        <v>693</v>
      </c>
      <c r="C15" s="576" t="s">
        <v>694</v>
      </c>
      <c r="E15"/>
      <c r="F15"/>
      <c r="G15"/>
    </row>
    <row r="16" spans="1:44" ht="12.75" x14ac:dyDescent="0.2">
      <c r="A16" s="572">
        <v>9</v>
      </c>
      <c r="B16" s="577" t="s">
        <v>695</v>
      </c>
      <c r="C16" s="576" t="s">
        <v>696</v>
      </c>
      <c r="E16"/>
      <c r="F16"/>
      <c r="G16"/>
    </row>
    <row r="17" spans="1:7" ht="12.75" x14ac:dyDescent="0.2">
      <c r="A17" s="572">
        <v>10</v>
      </c>
      <c r="B17" s="577" t="s">
        <v>697</v>
      </c>
      <c r="C17" s="576" t="s">
        <v>698</v>
      </c>
      <c r="E17"/>
      <c r="F17"/>
      <c r="G17"/>
    </row>
    <row r="18" spans="1:7" ht="12.75" x14ac:dyDescent="0.2">
      <c r="A18" s="572">
        <v>11</v>
      </c>
      <c r="B18" s="577" t="s">
        <v>699</v>
      </c>
      <c r="C18" s="576" t="s">
        <v>700</v>
      </c>
      <c r="E18"/>
      <c r="F18"/>
      <c r="G18"/>
    </row>
    <row r="19" spans="1:7" ht="12.75" x14ac:dyDescent="0.2">
      <c r="A19" s="572">
        <v>12</v>
      </c>
      <c r="B19" s="577" t="s">
        <v>701</v>
      </c>
      <c r="C19" s="576" t="s">
        <v>702</v>
      </c>
      <c r="E19"/>
      <c r="F19"/>
      <c r="G19"/>
    </row>
    <row r="20" spans="1:7" ht="12.75" x14ac:dyDescent="0.2">
      <c r="A20" s="572">
        <v>13</v>
      </c>
      <c r="B20" s="577" t="s">
        <v>703</v>
      </c>
      <c r="C20" s="576" t="s">
        <v>704</v>
      </c>
      <c r="E20"/>
      <c r="F20"/>
      <c r="G20"/>
    </row>
    <row r="21" spans="1:7" ht="12.75" x14ac:dyDescent="0.2">
      <c r="A21" s="572">
        <v>14</v>
      </c>
      <c r="B21" s="578" t="s">
        <v>903</v>
      </c>
      <c r="C21" s="576" t="s">
        <v>706</v>
      </c>
      <c r="E21"/>
      <c r="F21"/>
      <c r="G21"/>
    </row>
    <row r="22" spans="1:7" ht="12.75" x14ac:dyDescent="0.2">
      <c r="A22" s="572">
        <v>15</v>
      </c>
      <c r="B22" s="577" t="s">
        <v>707</v>
      </c>
      <c r="C22" s="576" t="s">
        <v>708</v>
      </c>
      <c r="E22"/>
      <c r="F22"/>
      <c r="G22"/>
    </row>
    <row r="23" spans="1:7" ht="12.75" x14ac:dyDescent="0.2">
      <c r="A23" s="572">
        <v>16</v>
      </c>
      <c r="B23" s="578" t="s">
        <v>904</v>
      </c>
      <c r="C23" s="576" t="s">
        <v>710</v>
      </c>
      <c r="E23"/>
      <c r="F23"/>
      <c r="G23"/>
    </row>
    <row r="24" spans="1:7" ht="12.75" x14ac:dyDescent="0.2">
      <c r="A24" s="572">
        <v>17</v>
      </c>
      <c r="B24" s="577" t="s">
        <v>711</v>
      </c>
      <c r="C24" s="576" t="s">
        <v>712</v>
      </c>
      <c r="E24"/>
      <c r="F24"/>
      <c r="G24"/>
    </row>
    <row r="25" spans="1:7" ht="12.75" x14ac:dyDescent="0.2">
      <c r="A25" s="572">
        <v>18</v>
      </c>
      <c r="B25" s="577" t="s">
        <v>713</v>
      </c>
      <c r="C25" s="576" t="s">
        <v>714</v>
      </c>
      <c r="E25"/>
      <c r="F25"/>
      <c r="G25"/>
    </row>
    <row r="26" spans="1:7" ht="12.75" x14ac:dyDescent="0.2">
      <c r="A26" s="572">
        <v>19</v>
      </c>
      <c r="B26" s="577" t="s">
        <v>715</v>
      </c>
      <c r="C26" s="576" t="s">
        <v>716</v>
      </c>
      <c r="E26"/>
      <c r="F26"/>
      <c r="G26"/>
    </row>
    <row r="27" spans="1:7" ht="12.75" x14ac:dyDescent="0.2">
      <c r="A27" s="572">
        <v>20</v>
      </c>
      <c r="B27" s="577" t="s">
        <v>717</v>
      </c>
      <c r="C27" s="576" t="s">
        <v>718</v>
      </c>
      <c r="E27"/>
      <c r="F27"/>
      <c r="G27"/>
    </row>
    <row r="28" spans="1:7" ht="12.75" x14ac:dyDescent="0.2">
      <c r="A28" s="572">
        <v>21</v>
      </c>
      <c r="B28" s="578" t="s">
        <v>592</v>
      </c>
      <c r="C28" s="576" t="s">
        <v>720</v>
      </c>
      <c r="E28"/>
      <c r="F28"/>
      <c r="G28"/>
    </row>
    <row r="29" spans="1:7" ht="12.75" x14ac:dyDescent="0.2">
      <c r="A29" s="572">
        <v>22</v>
      </c>
      <c r="B29" s="578" t="s">
        <v>594</v>
      </c>
      <c r="C29" s="576" t="s">
        <v>722</v>
      </c>
      <c r="E29"/>
      <c r="F29"/>
      <c r="G29"/>
    </row>
    <row r="30" spans="1:7" ht="12.75" x14ac:dyDescent="0.2">
      <c r="A30" s="572">
        <v>23</v>
      </c>
      <c r="B30" s="577" t="s">
        <v>723</v>
      </c>
      <c r="C30" s="576" t="s">
        <v>724</v>
      </c>
      <c r="E30"/>
      <c r="F30"/>
      <c r="G30"/>
    </row>
    <row r="31" spans="1:7" ht="12.75" x14ac:dyDescent="0.2">
      <c r="A31" s="572">
        <v>24</v>
      </c>
      <c r="B31" s="577" t="s">
        <v>725</v>
      </c>
      <c r="C31" s="576" t="s">
        <v>726</v>
      </c>
      <c r="E31"/>
      <c r="F31"/>
      <c r="G31"/>
    </row>
    <row r="32" spans="1:7" ht="12.75" x14ac:dyDescent="0.2">
      <c r="A32" s="572">
        <v>25</v>
      </c>
      <c r="B32" s="577" t="s">
        <v>727</v>
      </c>
      <c r="C32" s="576" t="s">
        <v>728</v>
      </c>
      <c r="E32"/>
      <c r="F32"/>
      <c r="G32"/>
    </row>
    <row r="33" spans="1:48" s="645" customFormat="1" ht="12.75" x14ac:dyDescent="0.2">
      <c r="A33" s="641">
        <v>26</v>
      </c>
      <c r="B33" s="642" t="s">
        <v>1167</v>
      </c>
      <c r="C33" s="643" t="s">
        <v>1144</v>
      </c>
      <c r="D33" s="644"/>
      <c r="E33" s="680"/>
      <c r="F33" s="680"/>
      <c r="G33" s="680"/>
      <c r="H33" s="644"/>
      <c r="I33" s="644"/>
      <c r="J33" s="644"/>
      <c r="K33" s="644"/>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row>
    <row r="34" spans="1:48" ht="12.75" x14ac:dyDescent="0.2">
      <c r="A34" s="572">
        <v>27</v>
      </c>
      <c r="B34" s="578" t="s">
        <v>536</v>
      </c>
      <c r="C34" s="576" t="s">
        <v>730</v>
      </c>
      <c r="E34"/>
      <c r="F34"/>
      <c r="G34"/>
    </row>
    <row r="35" spans="1:48" ht="12.75" x14ac:dyDescent="0.2">
      <c r="A35" s="572">
        <v>28</v>
      </c>
      <c r="B35" s="577" t="s">
        <v>731</v>
      </c>
      <c r="C35" s="576" t="s">
        <v>732</v>
      </c>
      <c r="E35"/>
      <c r="F35"/>
      <c r="G35"/>
    </row>
    <row r="36" spans="1:48" ht="12.75" x14ac:dyDescent="0.2">
      <c r="A36" s="572">
        <v>29</v>
      </c>
      <c r="B36" s="577" t="s">
        <v>733</v>
      </c>
      <c r="C36" s="576" t="s">
        <v>734</v>
      </c>
      <c r="E36"/>
      <c r="F36"/>
      <c r="G36"/>
    </row>
    <row r="37" spans="1:48" ht="12.75" x14ac:dyDescent="0.2">
      <c r="A37" s="572">
        <v>30</v>
      </c>
      <c r="B37" s="577" t="s">
        <v>735</v>
      </c>
      <c r="C37" s="576" t="s">
        <v>736</v>
      </c>
      <c r="E37"/>
      <c r="F37"/>
      <c r="G37"/>
    </row>
    <row r="38" spans="1:48" ht="12.75" x14ac:dyDescent="0.2">
      <c r="A38" s="572">
        <v>31</v>
      </c>
      <c r="B38" s="577" t="s">
        <v>737</v>
      </c>
      <c r="C38" s="576" t="s">
        <v>738</v>
      </c>
      <c r="E38"/>
      <c r="F38"/>
      <c r="G38"/>
    </row>
    <row r="39" spans="1:48" ht="12.75" x14ac:dyDescent="0.2">
      <c r="A39" s="572">
        <v>32</v>
      </c>
      <c r="B39" s="577" t="s">
        <v>739</v>
      </c>
      <c r="C39" s="576" t="s">
        <v>740</v>
      </c>
      <c r="E39"/>
      <c r="F39"/>
      <c r="G39"/>
    </row>
    <row r="40" spans="1:48" ht="12.75" x14ac:dyDescent="0.2">
      <c r="A40" s="572">
        <v>33</v>
      </c>
      <c r="B40" s="578" t="s">
        <v>902</v>
      </c>
      <c r="C40" s="576" t="s">
        <v>742</v>
      </c>
      <c r="E40"/>
      <c r="F40"/>
      <c r="G40"/>
    </row>
    <row r="41" spans="1:48" ht="12.75" x14ac:dyDescent="0.2">
      <c r="A41" s="572">
        <v>34</v>
      </c>
      <c r="B41" s="578" t="s">
        <v>531</v>
      </c>
      <c r="C41" s="576" t="s">
        <v>744</v>
      </c>
      <c r="E41"/>
      <c r="F41"/>
      <c r="G41"/>
    </row>
    <row r="42" spans="1:48" ht="12.75" x14ac:dyDescent="0.2">
      <c r="A42" s="572">
        <v>35</v>
      </c>
      <c r="B42" s="577" t="s">
        <v>745</v>
      </c>
      <c r="C42" s="576" t="s">
        <v>746</v>
      </c>
      <c r="E42"/>
      <c r="F42"/>
      <c r="G42"/>
    </row>
    <row r="43" spans="1:48" ht="12.75" x14ac:dyDescent="0.2">
      <c r="A43" s="572">
        <v>36</v>
      </c>
      <c r="B43" s="577" t="s">
        <v>747</v>
      </c>
      <c r="C43" s="576" t="s">
        <v>748</v>
      </c>
      <c r="E43"/>
      <c r="F43"/>
      <c r="G43"/>
    </row>
    <row r="44" spans="1:48" ht="12.75" x14ac:dyDescent="0.2">
      <c r="A44" s="572">
        <v>37</v>
      </c>
      <c r="B44" s="577" t="s">
        <v>749</v>
      </c>
      <c r="C44" s="576" t="s">
        <v>750</v>
      </c>
      <c r="E44"/>
      <c r="F44"/>
      <c r="G44"/>
    </row>
    <row r="45" spans="1:48" ht="12.75" x14ac:dyDescent="0.2">
      <c r="A45" s="572">
        <v>38</v>
      </c>
      <c r="B45" s="577" t="s">
        <v>751</v>
      </c>
      <c r="C45" s="576" t="s">
        <v>752</v>
      </c>
      <c r="E45"/>
      <c r="F45"/>
      <c r="G45"/>
    </row>
    <row r="46" spans="1:48" ht="12.75" x14ac:dyDescent="0.2">
      <c r="A46" s="572">
        <v>39</v>
      </c>
      <c r="B46" s="577" t="s">
        <v>753</v>
      </c>
      <c r="C46" s="576" t="s">
        <v>754</v>
      </c>
      <c r="E46"/>
      <c r="F46"/>
      <c r="G46"/>
    </row>
    <row r="47" spans="1:48" ht="12.75" x14ac:dyDescent="0.2">
      <c r="A47" s="572">
        <v>40</v>
      </c>
      <c r="B47" s="577" t="s">
        <v>755</v>
      </c>
      <c r="C47" s="576" t="s">
        <v>756</v>
      </c>
      <c r="E47"/>
      <c r="F47"/>
      <c r="G47"/>
    </row>
    <row r="48" spans="1:48" ht="12.75" x14ac:dyDescent="0.2">
      <c r="A48" s="572">
        <v>41</v>
      </c>
      <c r="B48" s="577" t="s">
        <v>757</v>
      </c>
      <c r="C48" s="576" t="s">
        <v>758</v>
      </c>
      <c r="E48"/>
      <c r="F48"/>
      <c r="G48"/>
    </row>
    <row r="49" spans="1:7" ht="12.75" x14ac:dyDescent="0.2">
      <c r="A49" s="572">
        <v>42</v>
      </c>
      <c r="B49" s="577" t="s">
        <v>759</v>
      </c>
      <c r="C49" s="576" t="s">
        <v>760</v>
      </c>
      <c r="E49"/>
      <c r="F49"/>
      <c r="G49"/>
    </row>
    <row r="50" spans="1:7" ht="12.75" x14ac:dyDescent="0.2">
      <c r="A50" s="572">
        <v>43</v>
      </c>
      <c r="B50" s="577" t="s">
        <v>761</v>
      </c>
      <c r="C50" s="576" t="s">
        <v>762</v>
      </c>
      <c r="E50"/>
      <c r="F50"/>
      <c r="G50"/>
    </row>
    <row r="51" spans="1:7" ht="12.75" x14ac:dyDescent="0.2">
      <c r="A51" s="572">
        <v>44</v>
      </c>
      <c r="B51" s="577" t="s">
        <v>763</v>
      </c>
      <c r="C51" s="576" t="s">
        <v>764</v>
      </c>
      <c r="E51"/>
      <c r="F51"/>
      <c r="G51"/>
    </row>
    <row r="52" spans="1:7" ht="12.75" x14ac:dyDescent="0.2">
      <c r="A52" s="572">
        <v>45</v>
      </c>
      <c r="B52" s="578" t="s">
        <v>765</v>
      </c>
      <c r="C52" s="576" t="s">
        <v>766</v>
      </c>
      <c r="E52"/>
      <c r="F52"/>
      <c r="G52"/>
    </row>
    <row r="53" spans="1:7" ht="12.75" x14ac:dyDescent="0.2">
      <c r="A53" s="572">
        <v>46</v>
      </c>
      <c r="B53" s="577" t="s">
        <v>767</v>
      </c>
      <c r="C53" s="576" t="s">
        <v>768</v>
      </c>
      <c r="E53"/>
      <c r="F53"/>
      <c r="G53"/>
    </row>
    <row r="54" spans="1:7" ht="12.75" x14ac:dyDescent="0.2">
      <c r="A54" s="572">
        <v>47</v>
      </c>
      <c r="B54" s="577" t="s">
        <v>769</v>
      </c>
      <c r="C54" s="576" t="s">
        <v>770</v>
      </c>
      <c r="E54"/>
      <c r="F54"/>
      <c r="G54"/>
    </row>
    <row r="55" spans="1:7" ht="12.75" x14ac:dyDescent="0.2">
      <c r="A55" s="572">
        <v>48</v>
      </c>
      <c r="B55" s="577" t="s">
        <v>771</v>
      </c>
      <c r="C55" s="576" t="s">
        <v>772</v>
      </c>
      <c r="E55"/>
      <c r="F55"/>
      <c r="G55"/>
    </row>
    <row r="56" spans="1:7" ht="12.75" x14ac:dyDescent="0.2">
      <c r="A56" s="572">
        <v>49</v>
      </c>
      <c r="B56" s="579" t="s">
        <v>773</v>
      </c>
      <c r="C56" s="580" t="s">
        <v>774</v>
      </c>
      <c r="E56"/>
      <c r="F56"/>
      <c r="G56"/>
    </row>
    <row r="57" spans="1:7" ht="12.75" x14ac:dyDescent="0.2">
      <c r="A57" s="572">
        <v>50</v>
      </c>
      <c r="B57" s="577" t="s">
        <v>775</v>
      </c>
      <c r="C57" s="576" t="s">
        <v>776</v>
      </c>
      <c r="E57"/>
      <c r="F57"/>
      <c r="G57"/>
    </row>
    <row r="58" spans="1:7" ht="12.75" x14ac:dyDescent="0.2">
      <c r="A58" s="572">
        <v>51</v>
      </c>
      <c r="B58" s="577" t="s">
        <v>777</v>
      </c>
      <c r="C58" s="576" t="s">
        <v>778</v>
      </c>
      <c r="E58"/>
      <c r="F58"/>
      <c r="G58"/>
    </row>
    <row r="59" spans="1:7" ht="12.75" x14ac:dyDescent="0.2">
      <c r="A59" s="572">
        <v>52</v>
      </c>
      <c r="B59" s="577" t="s">
        <v>779</v>
      </c>
      <c r="C59" s="576" t="s">
        <v>780</v>
      </c>
      <c r="E59"/>
      <c r="F59"/>
      <c r="G59"/>
    </row>
    <row r="60" spans="1:7" ht="12.75" x14ac:dyDescent="0.2">
      <c r="A60" s="572">
        <v>53</v>
      </c>
      <c r="B60" s="577" t="s">
        <v>781</v>
      </c>
      <c r="C60" s="576" t="s">
        <v>782</v>
      </c>
      <c r="E60"/>
      <c r="F60"/>
      <c r="G60"/>
    </row>
    <row r="61" spans="1:7" ht="12.75" x14ac:dyDescent="0.2">
      <c r="A61" s="572">
        <v>54</v>
      </c>
      <c r="B61" s="577" t="s">
        <v>783</v>
      </c>
      <c r="C61" s="576" t="s">
        <v>784</v>
      </c>
      <c r="E61"/>
      <c r="F61"/>
      <c r="G61"/>
    </row>
    <row r="62" spans="1:7" ht="12.75" x14ac:dyDescent="0.2">
      <c r="A62" s="572">
        <v>55</v>
      </c>
      <c r="B62" s="578" t="s">
        <v>551</v>
      </c>
      <c r="C62" s="576" t="s">
        <v>785</v>
      </c>
      <c r="E62"/>
      <c r="F62"/>
      <c r="G62"/>
    </row>
    <row r="63" spans="1:7" ht="12.75" x14ac:dyDescent="0.2">
      <c r="A63" s="572">
        <v>56</v>
      </c>
      <c r="B63" s="577" t="s">
        <v>786</v>
      </c>
      <c r="C63" s="576" t="s">
        <v>787</v>
      </c>
      <c r="E63"/>
      <c r="F63"/>
      <c r="G63"/>
    </row>
    <row r="64" spans="1:7" ht="12.75" x14ac:dyDescent="0.2">
      <c r="A64" s="572">
        <v>57</v>
      </c>
      <c r="B64" s="577" t="s">
        <v>788</v>
      </c>
      <c r="C64" s="576" t="s">
        <v>789</v>
      </c>
      <c r="E64"/>
      <c r="F64"/>
      <c r="G64"/>
    </row>
    <row r="65" spans="1:48" ht="12.75" x14ac:dyDescent="0.2">
      <c r="A65" s="572">
        <v>58</v>
      </c>
      <c r="B65" s="577" t="s">
        <v>790</v>
      </c>
      <c r="C65" s="576" t="s">
        <v>791</v>
      </c>
      <c r="E65"/>
      <c r="F65"/>
      <c r="G65"/>
    </row>
    <row r="66" spans="1:48" s="623" customFormat="1" ht="12.75" x14ac:dyDescent="0.2">
      <c r="A66" s="572">
        <v>59</v>
      </c>
      <c r="B66" s="577" t="s">
        <v>792</v>
      </c>
      <c r="C66" s="576" t="s">
        <v>793</v>
      </c>
      <c r="D66" s="554"/>
      <c r="E66"/>
      <c r="F66"/>
      <c r="G66"/>
      <c r="H66" s="554"/>
      <c r="I66" s="554"/>
      <c r="J66" s="554"/>
      <c r="K66" s="554"/>
      <c r="L66" s="554"/>
      <c r="M66" s="554"/>
      <c r="N66" s="554"/>
      <c r="O66" s="554"/>
      <c r="P66" s="554"/>
      <c r="Q66" s="554"/>
      <c r="R66" s="554"/>
      <c r="S66" s="554"/>
      <c r="T66" s="554"/>
      <c r="U66" s="554"/>
      <c r="V66" s="554"/>
      <c r="W66" s="554"/>
      <c r="X66" s="554"/>
      <c r="Y66" s="554"/>
      <c r="Z66" s="554"/>
      <c r="AA66" s="554"/>
      <c r="AB66" s="554"/>
      <c r="AC66" s="554"/>
      <c r="AD66" s="554"/>
      <c r="AE66" s="554"/>
      <c r="AF66" s="554"/>
      <c r="AG66" s="554"/>
      <c r="AH66" s="554"/>
      <c r="AI66" s="554"/>
      <c r="AJ66" s="554"/>
      <c r="AK66" s="554"/>
      <c r="AL66" s="554"/>
      <c r="AM66" s="554"/>
      <c r="AN66" s="554"/>
      <c r="AO66" s="554"/>
      <c r="AP66" s="554"/>
      <c r="AQ66" s="554"/>
      <c r="AR66" s="554"/>
      <c r="AS66" s="554"/>
      <c r="AT66" s="554"/>
      <c r="AU66" s="554"/>
      <c r="AV66" s="555"/>
    </row>
    <row r="67" spans="1:48" ht="12.75" x14ac:dyDescent="0.2">
      <c r="A67" s="572">
        <v>60</v>
      </c>
      <c r="B67" s="577" t="s">
        <v>794</v>
      </c>
      <c r="C67" s="576" t="s">
        <v>0</v>
      </c>
      <c r="E67"/>
      <c r="F67"/>
      <c r="G67"/>
    </row>
    <row r="68" spans="1:48" ht="12.75" x14ac:dyDescent="0.2">
      <c r="A68" s="572">
        <v>61</v>
      </c>
      <c r="B68" s="577" t="s">
        <v>1</v>
      </c>
      <c r="C68" s="576" t="s">
        <v>2</v>
      </c>
      <c r="E68"/>
      <c r="F68"/>
      <c r="G68"/>
    </row>
    <row r="69" spans="1:48" ht="12.75" x14ac:dyDescent="0.2">
      <c r="A69" s="572">
        <v>62</v>
      </c>
      <c r="B69" s="577" t="s">
        <v>3</v>
      </c>
      <c r="C69" s="576" t="s">
        <v>4</v>
      </c>
      <c r="E69"/>
      <c r="F69"/>
      <c r="G69"/>
    </row>
    <row r="70" spans="1:48" ht="12.75" x14ac:dyDescent="0.2">
      <c r="A70" s="572">
        <v>63</v>
      </c>
      <c r="B70" s="577" t="s">
        <v>5</v>
      </c>
      <c r="C70" s="576" t="s">
        <v>6</v>
      </c>
      <c r="E70"/>
      <c r="F70"/>
      <c r="G70"/>
    </row>
    <row r="71" spans="1:48" ht="12.75" x14ac:dyDescent="0.2">
      <c r="A71" s="572">
        <v>64</v>
      </c>
      <c r="B71" s="577" t="s">
        <v>7</v>
      </c>
      <c r="C71" s="576" t="s">
        <v>8</v>
      </c>
      <c r="E71"/>
      <c r="F71"/>
      <c r="G71"/>
    </row>
    <row r="72" spans="1:48" ht="12.75" x14ac:dyDescent="0.2">
      <c r="A72" s="572">
        <v>65</v>
      </c>
      <c r="B72" s="577" t="s">
        <v>9</v>
      </c>
      <c r="C72" s="576" t="s">
        <v>10</v>
      </c>
      <c r="E72"/>
      <c r="F72"/>
      <c r="G72"/>
    </row>
    <row r="73" spans="1:48" ht="12.75" x14ac:dyDescent="0.2">
      <c r="A73" s="572">
        <v>66</v>
      </c>
      <c r="B73" s="577" t="s">
        <v>11</v>
      </c>
      <c r="C73" s="576" t="s">
        <v>12</v>
      </c>
      <c r="E73"/>
      <c r="F73"/>
      <c r="G73"/>
    </row>
    <row r="74" spans="1:48" ht="12.75" x14ac:dyDescent="0.2">
      <c r="A74" s="572">
        <v>67</v>
      </c>
      <c r="B74" s="577" t="s">
        <v>13</v>
      </c>
      <c r="C74" s="576" t="s">
        <v>14</v>
      </c>
      <c r="E74"/>
      <c r="F74"/>
      <c r="G74"/>
    </row>
    <row r="75" spans="1:48" ht="12.75" x14ac:dyDescent="0.2">
      <c r="A75" s="572">
        <v>68</v>
      </c>
      <c r="B75" s="577" t="s">
        <v>15</v>
      </c>
      <c r="C75" s="576" t="s">
        <v>16</v>
      </c>
      <c r="E75"/>
      <c r="F75"/>
      <c r="G75"/>
    </row>
    <row r="76" spans="1:48" ht="12.75" x14ac:dyDescent="0.2">
      <c r="A76" s="572">
        <v>69</v>
      </c>
      <c r="B76" s="577" t="s">
        <v>17</v>
      </c>
      <c r="C76" s="576" t="s">
        <v>18</v>
      </c>
      <c r="E76"/>
      <c r="F76"/>
      <c r="G76"/>
    </row>
    <row r="77" spans="1:48" ht="12.75" x14ac:dyDescent="0.2">
      <c r="A77" s="572">
        <v>70</v>
      </c>
      <c r="B77" s="577" t="s">
        <v>19</v>
      </c>
      <c r="C77" s="576" t="s">
        <v>20</v>
      </c>
      <c r="E77"/>
      <c r="F77"/>
      <c r="G77"/>
    </row>
    <row r="78" spans="1:48" ht="12.75" x14ac:dyDescent="0.2">
      <c r="A78" s="572">
        <v>71</v>
      </c>
      <c r="B78" s="578" t="s">
        <v>568</v>
      </c>
      <c r="C78" s="576" t="s">
        <v>22</v>
      </c>
      <c r="E78"/>
      <c r="F78"/>
      <c r="G78"/>
    </row>
    <row r="79" spans="1:48" ht="12.75" x14ac:dyDescent="0.2">
      <c r="A79" s="572">
        <v>72</v>
      </c>
      <c r="B79" s="577" t="s">
        <v>23</v>
      </c>
      <c r="C79" s="576" t="s">
        <v>24</v>
      </c>
      <c r="E79"/>
      <c r="F79"/>
      <c r="G79"/>
    </row>
    <row r="80" spans="1:48" ht="12.75" x14ac:dyDescent="0.2">
      <c r="A80" s="572">
        <v>73</v>
      </c>
      <c r="B80" s="577" t="s">
        <v>25</v>
      </c>
      <c r="C80" s="576" t="s">
        <v>26</v>
      </c>
      <c r="E80"/>
      <c r="F80"/>
      <c r="G80"/>
    </row>
    <row r="81" spans="1:48" ht="12.75" x14ac:dyDescent="0.2">
      <c r="A81" s="572">
        <v>74</v>
      </c>
      <c r="B81" s="578" t="s">
        <v>558</v>
      </c>
      <c r="C81" s="576" t="s">
        <v>28</v>
      </c>
      <c r="E81"/>
      <c r="F81"/>
      <c r="G81"/>
    </row>
    <row r="82" spans="1:48" ht="12.75" x14ac:dyDescent="0.2">
      <c r="A82" s="572">
        <v>75</v>
      </c>
      <c r="B82" s="577" t="s">
        <v>29</v>
      </c>
      <c r="C82" s="576" t="s">
        <v>30</v>
      </c>
      <c r="E82"/>
      <c r="F82"/>
      <c r="G82"/>
    </row>
    <row r="83" spans="1:48" ht="12.75" x14ac:dyDescent="0.2">
      <c r="A83" s="572">
        <v>76</v>
      </c>
      <c r="B83" s="577" t="s">
        <v>31</v>
      </c>
      <c r="C83" s="576" t="s">
        <v>32</v>
      </c>
      <c r="E83"/>
      <c r="F83"/>
      <c r="G83"/>
    </row>
    <row r="84" spans="1:48" s="645" customFormat="1" ht="12.75" x14ac:dyDescent="0.2">
      <c r="A84" s="641">
        <v>77</v>
      </c>
      <c r="B84" s="642" t="s">
        <v>1145</v>
      </c>
      <c r="C84" s="643" t="s">
        <v>1146</v>
      </c>
      <c r="D84" s="644"/>
      <c r="E84" s="680"/>
      <c r="F84" s="680"/>
      <c r="G84" s="680"/>
      <c r="H84" s="644"/>
      <c r="I84" s="644"/>
      <c r="J84" s="644"/>
      <c r="K84" s="644"/>
      <c r="L84" s="644"/>
      <c r="M84" s="644"/>
      <c r="N84" s="644"/>
      <c r="O84" s="644"/>
      <c r="P84" s="644"/>
      <c r="Q84" s="644"/>
      <c r="R84" s="644"/>
      <c r="S84" s="644"/>
      <c r="T84" s="644"/>
      <c r="U84" s="644"/>
      <c r="V84" s="644"/>
      <c r="W84" s="644"/>
      <c r="X84" s="644"/>
      <c r="Y84" s="644"/>
      <c r="Z84" s="644"/>
      <c r="AA84" s="644"/>
      <c r="AB84" s="644"/>
      <c r="AC84" s="644"/>
      <c r="AD84" s="644"/>
      <c r="AE84" s="644"/>
      <c r="AF84" s="644"/>
      <c r="AG84" s="644"/>
      <c r="AH84" s="644"/>
      <c r="AI84" s="644"/>
      <c r="AJ84" s="644"/>
      <c r="AK84" s="644"/>
      <c r="AL84" s="644"/>
      <c r="AM84" s="644"/>
      <c r="AN84" s="644"/>
      <c r="AO84" s="644"/>
      <c r="AP84" s="644"/>
      <c r="AQ84" s="644"/>
      <c r="AR84" s="644"/>
      <c r="AS84" s="644"/>
      <c r="AT84" s="644"/>
      <c r="AU84" s="644"/>
      <c r="AV84" s="644"/>
    </row>
    <row r="85" spans="1:48" ht="12.75" x14ac:dyDescent="0.2">
      <c r="A85" s="572">
        <v>78</v>
      </c>
      <c r="B85" s="577" t="s">
        <v>42</v>
      </c>
      <c r="C85" s="576" t="s">
        <v>43</v>
      </c>
      <c r="E85"/>
      <c r="F85"/>
      <c r="G85"/>
    </row>
    <row r="86" spans="1:48" ht="12.75" x14ac:dyDescent="0.2">
      <c r="A86" s="572">
        <v>79</v>
      </c>
      <c r="B86" s="577" t="s">
        <v>44</v>
      </c>
      <c r="C86" s="576" t="s">
        <v>45</v>
      </c>
      <c r="E86"/>
      <c r="F86"/>
      <c r="G86"/>
    </row>
    <row r="87" spans="1:48" ht="12.75" x14ac:dyDescent="0.2">
      <c r="A87" s="572">
        <v>80</v>
      </c>
      <c r="B87" s="577" t="s">
        <v>46</v>
      </c>
      <c r="C87" s="576" t="s">
        <v>47</v>
      </c>
      <c r="E87"/>
      <c r="F87"/>
      <c r="G87"/>
    </row>
    <row r="88" spans="1:48" ht="12.75" x14ac:dyDescent="0.2">
      <c r="A88" s="572">
        <v>81</v>
      </c>
      <c r="B88" s="577" t="s">
        <v>48</v>
      </c>
      <c r="C88" s="576" t="s">
        <v>49</v>
      </c>
      <c r="E88"/>
      <c r="F88"/>
      <c r="G88"/>
    </row>
    <row r="89" spans="1:48" s="623" customFormat="1" ht="12.75" x14ac:dyDescent="0.2">
      <c r="A89" s="572">
        <v>82</v>
      </c>
      <c r="B89" s="577" t="s">
        <v>50</v>
      </c>
      <c r="C89" s="576" t="s">
        <v>51</v>
      </c>
      <c r="D89" s="554"/>
      <c r="E89"/>
      <c r="F89"/>
      <c r="G89"/>
      <c r="H89" s="554"/>
      <c r="I89" s="554"/>
      <c r="J89" s="554"/>
      <c r="K89" s="554"/>
      <c r="L89" s="554"/>
      <c r="M89" s="554"/>
      <c r="N89" s="554"/>
      <c r="O89" s="554"/>
      <c r="P89" s="554"/>
      <c r="Q89" s="554"/>
      <c r="R89" s="554"/>
      <c r="S89" s="554"/>
      <c r="T89" s="554"/>
      <c r="U89" s="554"/>
      <c r="V89" s="554"/>
      <c r="W89" s="554"/>
      <c r="X89" s="554"/>
      <c r="Y89" s="554"/>
      <c r="Z89" s="554"/>
      <c r="AA89" s="554"/>
      <c r="AB89" s="554"/>
      <c r="AC89" s="554"/>
      <c r="AD89" s="554"/>
      <c r="AE89" s="554"/>
      <c r="AF89" s="554"/>
      <c r="AG89" s="554"/>
      <c r="AH89" s="554"/>
      <c r="AI89" s="554"/>
      <c r="AJ89" s="554"/>
      <c r="AK89" s="554"/>
      <c r="AL89" s="554"/>
      <c r="AM89" s="554"/>
      <c r="AN89" s="554"/>
      <c r="AO89" s="554"/>
      <c r="AP89" s="554"/>
      <c r="AQ89" s="554"/>
      <c r="AR89" s="554"/>
      <c r="AS89" s="554"/>
      <c r="AT89" s="554"/>
      <c r="AU89" s="554"/>
      <c r="AV89" s="555"/>
    </row>
    <row r="90" spans="1:48" ht="12.75" x14ac:dyDescent="0.2">
      <c r="A90" s="572">
        <v>83</v>
      </c>
      <c r="B90" s="577" t="s">
        <v>52</v>
      </c>
      <c r="C90" s="576" t="s">
        <v>53</v>
      </c>
      <c r="E90"/>
      <c r="F90"/>
      <c r="G90"/>
    </row>
    <row r="91" spans="1:48" ht="12.75" x14ac:dyDescent="0.2">
      <c r="A91" s="572">
        <v>84</v>
      </c>
      <c r="B91" s="577" t="s">
        <v>54</v>
      </c>
      <c r="C91" s="576" t="s">
        <v>55</v>
      </c>
      <c r="E91"/>
      <c r="F91"/>
      <c r="G91"/>
    </row>
    <row r="92" spans="1:48" ht="12.75" x14ac:dyDescent="0.2">
      <c r="A92" s="572">
        <v>85</v>
      </c>
      <c r="B92" s="577" t="s">
        <v>56</v>
      </c>
      <c r="C92" s="576" t="s">
        <v>57</v>
      </c>
      <c r="E92"/>
      <c r="F92"/>
      <c r="G92"/>
    </row>
    <row r="93" spans="1:48" ht="12.75" x14ac:dyDescent="0.2">
      <c r="A93" s="572">
        <v>86</v>
      </c>
      <c r="B93" s="577" t="s">
        <v>58</v>
      </c>
      <c r="C93" s="576" t="s">
        <v>59</v>
      </c>
      <c r="E93"/>
      <c r="F93"/>
      <c r="G93"/>
    </row>
    <row r="94" spans="1:48" ht="12.75" x14ac:dyDescent="0.2">
      <c r="A94" s="572">
        <v>87</v>
      </c>
      <c r="B94" s="577" t="s">
        <v>60</v>
      </c>
      <c r="C94" s="576" t="s">
        <v>61</v>
      </c>
      <c r="E94"/>
      <c r="F94"/>
      <c r="G94"/>
    </row>
    <row r="95" spans="1:48" ht="12.75" x14ac:dyDescent="0.2">
      <c r="A95" s="572">
        <v>88</v>
      </c>
      <c r="B95" s="578" t="s">
        <v>585</v>
      </c>
      <c r="C95" s="576" t="s">
        <v>63</v>
      </c>
      <c r="E95"/>
      <c r="F95"/>
      <c r="G95"/>
    </row>
    <row r="96" spans="1:48" ht="12.75" x14ac:dyDescent="0.2">
      <c r="A96" s="572">
        <v>89</v>
      </c>
      <c r="B96" s="577" t="s">
        <v>67</v>
      </c>
      <c r="C96" s="576" t="s">
        <v>68</v>
      </c>
      <c r="E96"/>
      <c r="F96"/>
      <c r="G96"/>
    </row>
    <row r="97" spans="1:48" s="645" customFormat="1" ht="12.75" x14ac:dyDescent="0.2">
      <c r="A97" s="641">
        <v>90</v>
      </c>
      <c r="B97" s="642" t="s">
        <v>1147</v>
      </c>
      <c r="C97" s="646" t="s">
        <v>1148</v>
      </c>
      <c r="D97" s="644"/>
      <c r="E97" s="680"/>
      <c r="F97" s="680"/>
      <c r="G97" s="680"/>
      <c r="H97" s="644"/>
      <c r="I97" s="644"/>
      <c r="J97" s="644"/>
      <c r="K97" s="644"/>
      <c r="L97" s="644"/>
      <c r="M97" s="644"/>
      <c r="N97" s="644"/>
      <c r="O97" s="644"/>
      <c r="P97" s="644"/>
      <c r="Q97" s="644"/>
      <c r="R97" s="644"/>
      <c r="S97" s="644"/>
      <c r="T97" s="644"/>
      <c r="U97" s="644"/>
      <c r="V97" s="644"/>
      <c r="W97" s="644"/>
      <c r="X97" s="644"/>
      <c r="Y97" s="644"/>
      <c r="Z97" s="644"/>
      <c r="AA97" s="644"/>
      <c r="AB97" s="644"/>
      <c r="AC97" s="644"/>
      <c r="AD97" s="644"/>
      <c r="AE97" s="644"/>
      <c r="AF97" s="644"/>
      <c r="AG97" s="644"/>
      <c r="AH97" s="644"/>
      <c r="AI97" s="644"/>
      <c r="AJ97" s="644"/>
      <c r="AK97" s="644"/>
      <c r="AL97" s="644"/>
      <c r="AM97" s="644"/>
      <c r="AN97" s="644"/>
      <c r="AO97" s="644"/>
      <c r="AP97" s="644"/>
      <c r="AQ97" s="644"/>
      <c r="AR97" s="644"/>
      <c r="AS97" s="644"/>
      <c r="AT97" s="644"/>
      <c r="AU97" s="644"/>
      <c r="AV97" s="644"/>
    </row>
    <row r="98" spans="1:48" ht="12.75" x14ac:dyDescent="0.2">
      <c r="A98" s="572">
        <v>91</v>
      </c>
      <c r="B98" s="577" t="s">
        <v>69</v>
      </c>
      <c r="C98" s="576" t="s">
        <v>70</v>
      </c>
      <c r="E98"/>
      <c r="F98"/>
      <c r="G98"/>
    </row>
    <row r="99" spans="1:48" ht="12.75" x14ac:dyDescent="0.2">
      <c r="A99" s="572">
        <v>92</v>
      </c>
      <c r="B99" s="577" t="s">
        <v>71</v>
      </c>
      <c r="C99" s="576" t="s">
        <v>72</v>
      </c>
      <c r="E99"/>
      <c r="F99"/>
      <c r="G99"/>
    </row>
    <row r="100" spans="1:48" ht="12.75" x14ac:dyDescent="0.2">
      <c r="A100" s="572">
        <v>93</v>
      </c>
      <c r="B100" s="577" t="s">
        <v>73</v>
      </c>
      <c r="C100" s="576" t="s">
        <v>74</v>
      </c>
      <c r="E100"/>
      <c r="F100"/>
      <c r="G100"/>
    </row>
    <row r="101" spans="1:48" ht="12.75" x14ac:dyDescent="0.2">
      <c r="A101" s="572">
        <v>94</v>
      </c>
      <c r="B101" s="577" t="s">
        <v>75</v>
      </c>
      <c r="C101" s="576" t="s">
        <v>76</v>
      </c>
      <c r="E101"/>
      <c r="F101"/>
      <c r="G101"/>
    </row>
    <row r="102" spans="1:48" ht="12.75" x14ac:dyDescent="0.2">
      <c r="A102" s="572">
        <v>95</v>
      </c>
      <c r="B102" s="577" t="s">
        <v>77</v>
      </c>
      <c r="C102" s="576" t="s">
        <v>78</v>
      </c>
      <c r="E102"/>
      <c r="F102"/>
      <c r="G102"/>
    </row>
    <row r="103" spans="1:48" ht="12.75" x14ac:dyDescent="0.2">
      <c r="A103" s="572">
        <v>96</v>
      </c>
      <c r="B103" s="577" t="s">
        <v>79</v>
      </c>
      <c r="C103" s="576" t="s">
        <v>80</v>
      </c>
      <c r="E103"/>
      <c r="F103"/>
      <c r="G103"/>
    </row>
    <row r="104" spans="1:48" ht="12.75" x14ac:dyDescent="0.2">
      <c r="A104" s="572">
        <v>97</v>
      </c>
      <c r="B104" s="578" t="s">
        <v>900</v>
      </c>
      <c r="C104" s="576" t="s">
        <v>82</v>
      </c>
      <c r="E104"/>
      <c r="F104"/>
      <c r="G104"/>
    </row>
    <row r="105" spans="1:48" ht="12.75" x14ac:dyDescent="0.2">
      <c r="A105" s="572">
        <v>98</v>
      </c>
      <c r="B105" s="577" t="s">
        <v>83</v>
      </c>
      <c r="C105" s="576" t="s">
        <v>84</v>
      </c>
      <c r="E105"/>
      <c r="F105"/>
      <c r="G105"/>
    </row>
    <row r="106" spans="1:48" s="623" customFormat="1" ht="12.75" x14ac:dyDescent="0.2">
      <c r="A106" s="572">
        <v>99</v>
      </c>
      <c r="B106" s="577" t="s">
        <v>85</v>
      </c>
      <c r="C106" s="576" t="s">
        <v>86</v>
      </c>
      <c r="D106" s="554"/>
      <c r="E106"/>
      <c r="F106"/>
      <c r="G106"/>
      <c r="H106" s="554"/>
      <c r="I106" s="554"/>
      <c r="J106" s="554"/>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4"/>
      <c r="AK106" s="554"/>
      <c r="AL106" s="554"/>
      <c r="AM106" s="554"/>
      <c r="AN106" s="554"/>
      <c r="AO106" s="554"/>
      <c r="AP106" s="554"/>
      <c r="AQ106" s="554"/>
      <c r="AR106" s="554"/>
      <c r="AS106" s="554"/>
      <c r="AT106" s="554"/>
      <c r="AU106" s="554"/>
      <c r="AV106" s="555"/>
    </row>
    <row r="107" spans="1:48" ht="12.75" x14ac:dyDescent="0.2">
      <c r="A107" s="572">
        <v>100</v>
      </c>
      <c r="B107" s="577" t="s">
        <v>87</v>
      </c>
      <c r="C107" s="576" t="s">
        <v>88</v>
      </c>
      <c r="E107"/>
      <c r="F107"/>
      <c r="G107"/>
    </row>
    <row r="108" spans="1:48" ht="12.75" x14ac:dyDescent="0.2">
      <c r="A108" s="572">
        <v>101</v>
      </c>
      <c r="B108" s="577" t="s">
        <v>89</v>
      </c>
      <c r="C108" s="576" t="s">
        <v>90</v>
      </c>
      <c r="E108"/>
      <c r="F108"/>
      <c r="G108"/>
    </row>
    <row r="109" spans="1:48" ht="12" customHeight="1" x14ac:dyDescent="0.2">
      <c r="A109" s="572">
        <v>102</v>
      </c>
      <c r="B109" s="647" t="s">
        <v>1142</v>
      </c>
      <c r="C109" s="622" t="s">
        <v>345</v>
      </c>
      <c r="D109" s="623"/>
      <c r="E109"/>
      <c r="F109" s="125"/>
      <c r="G109"/>
      <c r="H109" s="623"/>
      <c r="I109" s="623"/>
      <c r="J109" s="623"/>
      <c r="K109" s="623"/>
      <c r="L109" s="623"/>
      <c r="M109" s="623"/>
      <c r="N109" s="623"/>
      <c r="O109" s="623"/>
      <c r="P109" s="623"/>
      <c r="Q109" s="623"/>
      <c r="R109" s="623"/>
      <c r="S109" s="623"/>
      <c r="T109" s="623"/>
      <c r="U109" s="623"/>
      <c r="V109" s="623"/>
      <c r="W109" s="623"/>
      <c r="X109" s="623"/>
      <c r="Y109" s="623"/>
      <c r="Z109" s="623"/>
      <c r="AA109" s="623"/>
      <c r="AB109" s="623"/>
      <c r="AC109" s="623"/>
      <c r="AD109" s="623"/>
      <c r="AE109" s="623"/>
      <c r="AF109" s="623"/>
      <c r="AG109" s="623"/>
      <c r="AH109" s="623"/>
      <c r="AI109" s="623"/>
      <c r="AJ109" s="623"/>
      <c r="AK109" s="623"/>
      <c r="AL109" s="623"/>
      <c r="AM109" s="623"/>
      <c r="AN109" s="623"/>
      <c r="AO109" s="623"/>
      <c r="AP109" s="623"/>
      <c r="AQ109" s="623"/>
      <c r="AR109" s="623"/>
      <c r="AS109" s="623"/>
      <c r="AT109" s="623"/>
      <c r="AU109" s="623"/>
      <c r="AV109" s="623"/>
    </row>
    <row r="110" spans="1:48" ht="12.75" x14ac:dyDescent="0.2">
      <c r="A110" s="572">
        <v>103</v>
      </c>
      <c r="B110" s="577" t="s">
        <v>91</v>
      </c>
      <c r="C110" s="576" t="s">
        <v>92</v>
      </c>
      <c r="E110"/>
      <c r="F110"/>
      <c r="G110"/>
    </row>
    <row r="111" spans="1:48" ht="12.75" x14ac:dyDescent="0.2">
      <c r="A111" s="572">
        <v>104</v>
      </c>
      <c r="B111" s="577" t="s">
        <v>93</v>
      </c>
      <c r="C111" s="576" t="s">
        <v>94</v>
      </c>
      <c r="E111"/>
      <c r="F111"/>
      <c r="G111"/>
    </row>
    <row r="112" spans="1:48" ht="12.75" x14ac:dyDescent="0.2">
      <c r="A112" s="572">
        <v>105</v>
      </c>
      <c r="B112" s="577" t="s">
        <v>95</v>
      </c>
      <c r="C112" s="576" t="s">
        <v>96</v>
      </c>
      <c r="E112"/>
      <c r="F112"/>
      <c r="G112"/>
    </row>
    <row r="113" spans="1:7" ht="12.75" x14ac:dyDescent="0.2">
      <c r="A113" s="572">
        <v>106</v>
      </c>
      <c r="B113" s="577" t="s">
        <v>97</v>
      </c>
      <c r="C113" s="576" t="s">
        <v>98</v>
      </c>
      <c r="E113"/>
      <c r="F113"/>
      <c r="G113"/>
    </row>
    <row r="114" spans="1:7" ht="12.75" x14ac:dyDescent="0.2">
      <c r="A114" s="572">
        <v>107</v>
      </c>
      <c r="B114" s="577" t="s">
        <v>99</v>
      </c>
      <c r="C114" s="576" t="s">
        <v>100</v>
      </c>
      <c r="E114"/>
      <c r="F114"/>
      <c r="G114"/>
    </row>
    <row r="115" spans="1:7" ht="12.75" x14ac:dyDescent="0.2">
      <c r="A115" s="572">
        <v>108</v>
      </c>
      <c r="B115" s="577" t="s">
        <v>101</v>
      </c>
      <c r="C115" s="576" t="s">
        <v>102</v>
      </c>
      <c r="E115"/>
      <c r="F115"/>
      <c r="G115"/>
    </row>
    <row r="116" spans="1:7" ht="12.75" x14ac:dyDescent="0.2">
      <c r="A116" s="572">
        <v>109</v>
      </c>
      <c r="B116" s="577" t="s">
        <v>103</v>
      </c>
      <c r="C116" s="576" t="s">
        <v>104</v>
      </c>
      <c r="E116"/>
      <c r="F116"/>
      <c r="G116"/>
    </row>
    <row r="117" spans="1:7" ht="12.75" x14ac:dyDescent="0.2">
      <c r="A117" s="572">
        <v>110</v>
      </c>
      <c r="B117" s="577" t="s">
        <v>105</v>
      </c>
      <c r="C117" s="576" t="s">
        <v>106</v>
      </c>
      <c r="E117"/>
      <c r="F117"/>
      <c r="G117"/>
    </row>
    <row r="118" spans="1:7" ht="12.75" x14ac:dyDescent="0.2">
      <c r="A118" s="572">
        <v>111</v>
      </c>
      <c r="B118" s="577" t="s">
        <v>107</v>
      </c>
      <c r="C118" s="576" t="s">
        <v>108</v>
      </c>
      <c r="E118"/>
      <c r="F118"/>
      <c r="G118"/>
    </row>
    <row r="119" spans="1:7" ht="12.75" x14ac:dyDescent="0.2">
      <c r="A119" s="572">
        <v>112</v>
      </c>
      <c r="B119" s="577" t="s">
        <v>109</v>
      </c>
      <c r="C119" s="576" t="s">
        <v>110</v>
      </c>
      <c r="E119"/>
      <c r="F119"/>
      <c r="G119"/>
    </row>
    <row r="120" spans="1:7" ht="12.75" x14ac:dyDescent="0.2">
      <c r="A120" s="572">
        <v>113</v>
      </c>
      <c r="B120" s="577" t="s">
        <v>111</v>
      </c>
      <c r="C120" s="576" t="s">
        <v>112</v>
      </c>
      <c r="E120"/>
      <c r="F120"/>
      <c r="G120"/>
    </row>
    <row r="121" spans="1:7" ht="12.75" x14ac:dyDescent="0.2">
      <c r="A121" s="572">
        <v>114</v>
      </c>
      <c r="B121" s="578" t="s">
        <v>548</v>
      </c>
      <c r="C121" s="576" t="s">
        <v>114</v>
      </c>
      <c r="E121"/>
      <c r="F121"/>
      <c r="G121"/>
    </row>
    <row r="122" spans="1:7" ht="12.75" x14ac:dyDescent="0.2">
      <c r="A122" s="572">
        <v>115</v>
      </c>
      <c r="B122" s="577" t="s">
        <v>115</v>
      </c>
      <c r="C122" s="576" t="s">
        <v>116</v>
      </c>
      <c r="E122"/>
      <c r="F122"/>
      <c r="G122"/>
    </row>
    <row r="123" spans="1:7" ht="12.75" x14ac:dyDescent="0.2">
      <c r="A123" s="572">
        <v>116</v>
      </c>
      <c r="B123" s="577" t="s">
        <v>117</v>
      </c>
      <c r="C123" s="576" t="s">
        <v>118</v>
      </c>
      <c r="E123"/>
      <c r="F123"/>
      <c r="G123"/>
    </row>
    <row r="124" spans="1:7" ht="12.75" x14ac:dyDescent="0.2">
      <c r="A124" s="572">
        <v>117</v>
      </c>
      <c r="B124" s="577" t="s">
        <v>119</v>
      </c>
      <c r="C124" s="576" t="s">
        <v>120</v>
      </c>
      <c r="E124"/>
      <c r="F124"/>
      <c r="G124"/>
    </row>
    <row r="125" spans="1:7" ht="12.75" x14ac:dyDescent="0.2">
      <c r="A125" s="572">
        <v>118</v>
      </c>
      <c r="B125" s="577" t="s">
        <v>121</v>
      </c>
      <c r="C125" s="576" t="s">
        <v>122</v>
      </c>
      <c r="E125"/>
      <c r="F125"/>
      <c r="G125"/>
    </row>
    <row r="126" spans="1:7" ht="12.75" x14ac:dyDescent="0.2">
      <c r="A126" s="572">
        <v>119</v>
      </c>
      <c r="B126" s="577" t="s">
        <v>123</v>
      </c>
      <c r="C126" s="576" t="s">
        <v>124</v>
      </c>
      <c r="E126"/>
      <c r="F126"/>
      <c r="G126"/>
    </row>
    <row r="127" spans="1:7" ht="12.75" x14ac:dyDescent="0.2">
      <c r="A127" s="572">
        <v>120</v>
      </c>
      <c r="B127" s="577" t="s">
        <v>125</v>
      </c>
      <c r="C127" s="576" t="s">
        <v>126</v>
      </c>
      <c r="E127"/>
      <c r="F127"/>
      <c r="G127"/>
    </row>
    <row r="128" spans="1:7" ht="12.75" x14ac:dyDescent="0.2">
      <c r="A128" s="572">
        <v>121</v>
      </c>
      <c r="B128" s="577" t="s">
        <v>127</v>
      </c>
      <c r="C128" s="576" t="s">
        <v>128</v>
      </c>
      <c r="E128"/>
      <c r="F128"/>
      <c r="G128"/>
    </row>
    <row r="129" spans="1:7" ht="12.75" x14ac:dyDescent="0.2">
      <c r="A129" s="572">
        <v>122</v>
      </c>
      <c r="B129" s="577" t="s">
        <v>129</v>
      </c>
      <c r="C129" s="576" t="s">
        <v>130</v>
      </c>
      <c r="E129"/>
      <c r="F129"/>
      <c r="G129"/>
    </row>
    <row r="130" spans="1:7" ht="12.75" x14ac:dyDescent="0.2">
      <c r="A130" s="572">
        <v>123</v>
      </c>
      <c r="B130" s="578" t="s">
        <v>552</v>
      </c>
      <c r="C130" s="576" t="s">
        <v>132</v>
      </c>
      <c r="E130"/>
      <c r="F130"/>
      <c r="G130"/>
    </row>
    <row r="131" spans="1:7" ht="12.75" x14ac:dyDescent="0.2">
      <c r="A131" s="572">
        <v>124</v>
      </c>
      <c r="B131" s="577" t="s">
        <v>133</v>
      </c>
      <c r="C131" s="576" t="s">
        <v>134</v>
      </c>
      <c r="E131"/>
      <c r="F131"/>
      <c r="G131"/>
    </row>
    <row r="132" spans="1:7" ht="12.75" x14ac:dyDescent="0.2">
      <c r="A132" s="572">
        <v>125</v>
      </c>
      <c r="B132" s="577" t="s">
        <v>135</v>
      </c>
      <c r="C132" s="576" t="s">
        <v>136</v>
      </c>
      <c r="E132"/>
      <c r="F132"/>
      <c r="G132"/>
    </row>
    <row r="133" spans="1:7" ht="12.75" x14ac:dyDescent="0.2">
      <c r="A133" s="572">
        <v>126</v>
      </c>
      <c r="B133" s="577" t="s">
        <v>137</v>
      </c>
      <c r="C133" s="576" t="s">
        <v>138</v>
      </c>
      <c r="E133"/>
      <c r="F133"/>
      <c r="G133"/>
    </row>
    <row r="134" spans="1:7" ht="12.75" x14ac:dyDescent="0.2">
      <c r="A134" s="572">
        <v>127</v>
      </c>
      <c r="B134" s="578" t="s">
        <v>581</v>
      </c>
      <c r="C134" s="576" t="s">
        <v>140</v>
      </c>
      <c r="E134"/>
      <c r="F134"/>
      <c r="G134"/>
    </row>
    <row r="135" spans="1:7" ht="12.75" x14ac:dyDescent="0.2">
      <c r="A135" s="572">
        <v>128</v>
      </c>
      <c r="B135" s="577" t="s">
        <v>141</v>
      </c>
      <c r="C135" s="576" t="s">
        <v>142</v>
      </c>
      <c r="E135"/>
      <c r="F135"/>
      <c r="G135"/>
    </row>
    <row r="136" spans="1:7" ht="12.75" x14ac:dyDescent="0.2">
      <c r="A136" s="572">
        <v>129</v>
      </c>
      <c r="B136" s="577" t="s">
        <v>143</v>
      </c>
      <c r="C136" s="576" t="s">
        <v>144</v>
      </c>
      <c r="E136"/>
      <c r="F136"/>
      <c r="G136"/>
    </row>
    <row r="137" spans="1:7" ht="12.75" x14ac:dyDescent="0.2">
      <c r="A137" s="572">
        <v>130</v>
      </c>
      <c r="B137" s="577" t="s">
        <v>145</v>
      </c>
      <c r="C137" s="576" t="s">
        <v>146</v>
      </c>
      <c r="E137"/>
      <c r="F137"/>
      <c r="G137"/>
    </row>
    <row r="138" spans="1:7" ht="12.75" x14ac:dyDescent="0.2">
      <c r="A138" s="572">
        <v>131</v>
      </c>
      <c r="B138" s="577" t="s">
        <v>147</v>
      </c>
      <c r="C138" s="576" t="s">
        <v>148</v>
      </c>
      <c r="E138"/>
      <c r="F138"/>
      <c r="G138"/>
    </row>
    <row r="139" spans="1:7" ht="12.75" x14ac:dyDescent="0.2">
      <c r="A139" s="572">
        <v>132</v>
      </c>
      <c r="B139" s="577" t="s">
        <v>149</v>
      </c>
      <c r="C139" s="576" t="s">
        <v>150</v>
      </c>
      <c r="E139"/>
      <c r="F139"/>
      <c r="G139"/>
    </row>
    <row r="140" spans="1:7" ht="12.75" x14ac:dyDescent="0.2">
      <c r="A140" s="572">
        <v>133</v>
      </c>
      <c r="B140" s="577" t="s">
        <v>151</v>
      </c>
      <c r="C140" s="576" t="s">
        <v>152</v>
      </c>
      <c r="E140"/>
      <c r="F140"/>
      <c r="G140"/>
    </row>
    <row r="141" spans="1:7" ht="12.75" x14ac:dyDescent="0.2">
      <c r="A141" s="572">
        <v>134</v>
      </c>
      <c r="B141" s="577" t="s">
        <v>153</v>
      </c>
      <c r="C141" s="576" t="s">
        <v>154</v>
      </c>
      <c r="E141"/>
      <c r="F141"/>
      <c r="G141"/>
    </row>
    <row r="142" spans="1:7" ht="12.75" x14ac:dyDescent="0.2">
      <c r="A142" s="572">
        <v>135</v>
      </c>
      <c r="B142" s="577" t="s">
        <v>155</v>
      </c>
      <c r="C142" s="576" t="s">
        <v>156</v>
      </c>
      <c r="E142"/>
      <c r="F142"/>
      <c r="G142"/>
    </row>
    <row r="143" spans="1:7" ht="12.75" x14ac:dyDescent="0.2">
      <c r="A143" s="572">
        <v>136</v>
      </c>
      <c r="B143" s="577" t="s">
        <v>157</v>
      </c>
      <c r="C143" s="576" t="s">
        <v>158</v>
      </c>
      <c r="E143"/>
      <c r="F143"/>
      <c r="G143"/>
    </row>
    <row r="144" spans="1:7" ht="12.75" x14ac:dyDescent="0.2">
      <c r="A144" s="572">
        <v>137</v>
      </c>
      <c r="B144" s="578" t="s">
        <v>898</v>
      </c>
      <c r="C144" s="576" t="s">
        <v>160</v>
      </c>
      <c r="E144"/>
      <c r="F144"/>
      <c r="G144"/>
    </row>
    <row r="145" spans="1:7" ht="12.75" x14ac:dyDescent="0.2">
      <c r="A145" s="572">
        <v>138</v>
      </c>
      <c r="B145" s="578" t="s">
        <v>899</v>
      </c>
      <c r="C145" s="576" t="s">
        <v>162</v>
      </c>
      <c r="E145"/>
      <c r="F145"/>
      <c r="G145"/>
    </row>
    <row r="146" spans="1:7" ht="12.75" x14ac:dyDescent="0.2">
      <c r="A146" s="572">
        <v>139</v>
      </c>
      <c r="B146" s="577" t="s">
        <v>163</v>
      </c>
      <c r="C146" s="576" t="s">
        <v>164</v>
      </c>
      <c r="E146"/>
      <c r="F146"/>
      <c r="G146"/>
    </row>
    <row r="147" spans="1:7" ht="12.75" x14ac:dyDescent="0.2">
      <c r="A147" s="572">
        <v>140</v>
      </c>
      <c r="B147" s="577" t="s">
        <v>165</v>
      </c>
      <c r="C147" s="576" t="s">
        <v>166</v>
      </c>
      <c r="E147"/>
      <c r="F147"/>
      <c r="G147"/>
    </row>
    <row r="148" spans="1:7" ht="12.75" x14ac:dyDescent="0.2">
      <c r="A148" s="572">
        <v>141</v>
      </c>
      <c r="B148" s="577" t="s">
        <v>167</v>
      </c>
      <c r="C148" s="576" t="s">
        <v>168</v>
      </c>
      <c r="E148"/>
      <c r="F148"/>
      <c r="G148"/>
    </row>
    <row r="149" spans="1:7" ht="12.75" x14ac:dyDescent="0.2">
      <c r="A149" s="572">
        <v>142</v>
      </c>
      <c r="B149" s="578" t="s">
        <v>901</v>
      </c>
      <c r="C149" s="576" t="s">
        <v>170</v>
      </c>
      <c r="E149"/>
      <c r="F149"/>
      <c r="G149"/>
    </row>
    <row r="150" spans="1:7" ht="12.75" x14ac:dyDescent="0.2">
      <c r="A150" s="572">
        <v>143</v>
      </c>
      <c r="B150" s="578" t="s">
        <v>897</v>
      </c>
      <c r="C150" s="576" t="s">
        <v>172</v>
      </c>
      <c r="E150"/>
      <c r="F150"/>
      <c r="G150"/>
    </row>
    <row r="151" spans="1:7" ht="12.75" x14ac:dyDescent="0.2">
      <c r="A151" s="572">
        <v>144</v>
      </c>
      <c r="B151" s="577" t="s">
        <v>173</v>
      </c>
      <c r="C151" s="576" t="s">
        <v>174</v>
      </c>
      <c r="E151"/>
      <c r="F151"/>
      <c r="G151"/>
    </row>
    <row r="152" spans="1:7" ht="12.75" x14ac:dyDescent="0.2">
      <c r="A152" s="572">
        <v>145</v>
      </c>
      <c r="B152" s="577" t="s">
        <v>175</v>
      </c>
      <c r="C152" s="576" t="s">
        <v>176</v>
      </c>
      <c r="E152"/>
      <c r="F152"/>
      <c r="G152"/>
    </row>
    <row r="153" spans="1:7" ht="12.75" x14ac:dyDescent="0.2">
      <c r="A153" s="572">
        <v>146</v>
      </c>
      <c r="B153" s="577" t="s">
        <v>177</v>
      </c>
      <c r="C153" s="576" t="s">
        <v>178</v>
      </c>
      <c r="E153"/>
      <c r="F153"/>
      <c r="G153"/>
    </row>
    <row r="154" spans="1:7" ht="12.75" x14ac:dyDescent="0.2">
      <c r="A154" s="572">
        <v>147</v>
      </c>
      <c r="B154" s="577" t="s">
        <v>179</v>
      </c>
      <c r="C154" s="576" t="s">
        <v>180</v>
      </c>
      <c r="E154"/>
      <c r="F154"/>
      <c r="G154"/>
    </row>
    <row r="155" spans="1:7" ht="12.75" x14ac:dyDescent="0.2">
      <c r="A155" s="572">
        <v>148</v>
      </c>
      <c r="B155" s="577" t="s">
        <v>181</v>
      </c>
      <c r="C155" s="576" t="s">
        <v>182</v>
      </c>
      <c r="E155"/>
      <c r="F155"/>
      <c r="G155"/>
    </row>
    <row r="156" spans="1:7" ht="12.75" x14ac:dyDescent="0.2">
      <c r="A156" s="572">
        <v>149</v>
      </c>
      <c r="B156" s="577" t="s">
        <v>183</v>
      </c>
      <c r="C156" s="576" t="s">
        <v>184</v>
      </c>
      <c r="E156"/>
      <c r="F156"/>
      <c r="G156"/>
    </row>
    <row r="157" spans="1:7" ht="12.75" x14ac:dyDescent="0.2">
      <c r="A157" s="572">
        <v>150</v>
      </c>
      <c r="B157" s="578" t="s">
        <v>596</v>
      </c>
      <c r="C157" s="576" t="s">
        <v>186</v>
      </c>
      <c r="E157"/>
      <c r="F157"/>
      <c r="G157"/>
    </row>
    <row r="158" spans="1:7" ht="12.75" x14ac:dyDescent="0.2">
      <c r="A158" s="572">
        <v>151</v>
      </c>
      <c r="B158" s="577" t="s">
        <v>187</v>
      </c>
      <c r="C158" s="576" t="s">
        <v>188</v>
      </c>
      <c r="E158"/>
      <c r="F158"/>
      <c r="G158"/>
    </row>
    <row r="159" spans="1:7" ht="12.75" x14ac:dyDescent="0.2">
      <c r="A159" s="572">
        <v>152</v>
      </c>
      <c r="B159" s="577" t="s">
        <v>189</v>
      </c>
      <c r="C159" s="576" t="s">
        <v>190</v>
      </c>
      <c r="E159"/>
      <c r="F159"/>
      <c r="G159"/>
    </row>
    <row r="160" spans="1:7" ht="12.75" x14ac:dyDescent="0.2">
      <c r="A160" s="572">
        <v>153</v>
      </c>
      <c r="B160" s="577" t="s">
        <v>191</v>
      </c>
      <c r="C160" s="576" t="s">
        <v>192</v>
      </c>
      <c r="E160"/>
      <c r="F160"/>
      <c r="G160"/>
    </row>
    <row r="161" spans="1:7" ht="12.75" x14ac:dyDescent="0.2">
      <c r="A161" s="572">
        <v>154</v>
      </c>
      <c r="B161" s="577" t="s">
        <v>193</v>
      </c>
      <c r="C161" s="576" t="s">
        <v>194</v>
      </c>
      <c r="E161"/>
      <c r="F161"/>
      <c r="G161"/>
    </row>
    <row r="162" spans="1:7" ht="12.75" x14ac:dyDescent="0.2">
      <c r="A162" s="572">
        <v>155</v>
      </c>
      <c r="B162" s="577" t="s">
        <v>195</v>
      </c>
      <c r="C162" s="576" t="s">
        <v>196</v>
      </c>
      <c r="E162"/>
      <c r="F162"/>
      <c r="G162"/>
    </row>
    <row r="163" spans="1:7" ht="12.75" x14ac:dyDescent="0.2">
      <c r="A163" s="572">
        <v>156</v>
      </c>
      <c r="B163" s="578" t="s">
        <v>534</v>
      </c>
      <c r="C163" s="576" t="s">
        <v>198</v>
      </c>
      <c r="E163"/>
      <c r="F163"/>
      <c r="G163"/>
    </row>
    <row r="164" spans="1:7" ht="12.75" x14ac:dyDescent="0.2">
      <c r="A164" s="572">
        <v>157</v>
      </c>
      <c r="B164" s="577" t="s">
        <v>199</v>
      </c>
      <c r="C164" s="576" t="s">
        <v>200</v>
      </c>
      <c r="E164"/>
      <c r="F164"/>
      <c r="G164"/>
    </row>
    <row r="165" spans="1:7" ht="12.75" x14ac:dyDescent="0.2">
      <c r="A165" s="572">
        <v>158</v>
      </c>
      <c r="B165" s="577" t="s">
        <v>201</v>
      </c>
      <c r="C165" s="576" t="s">
        <v>202</v>
      </c>
      <c r="E165"/>
      <c r="F165"/>
      <c r="G165"/>
    </row>
    <row r="166" spans="1:7" ht="12.75" x14ac:dyDescent="0.2">
      <c r="A166" s="572">
        <v>159</v>
      </c>
      <c r="B166" s="577" t="s">
        <v>203</v>
      </c>
      <c r="C166" s="576" t="s">
        <v>204</v>
      </c>
      <c r="E166"/>
      <c r="F166"/>
      <c r="G166"/>
    </row>
    <row r="167" spans="1:7" ht="12.75" x14ac:dyDescent="0.2">
      <c r="A167" s="572">
        <v>160</v>
      </c>
      <c r="B167" s="577" t="s">
        <v>205</v>
      </c>
      <c r="C167" s="576" t="s">
        <v>206</v>
      </c>
      <c r="E167"/>
      <c r="F167"/>
      <c r="G167"/>
    </row>
    <row r="168" spans="1:7" ht="12.75" x14ac:dyDescent="0.2">
      <c r="A168" s="572">
        <v>161</v>
      </c>
      <c r="B168" s="577" t="s">
        <v>207</v>
      </c>
      <c r="C168" s="576" t="s">
        <v>208</v>
      </c>
      <c r="E168"/>
      <c r="F168"/>
      <c r="G168"/>
    </row>
    <row r="169" spans="1:7" ht="12.75" x14ac:dyDescent="0.2">
      <c r="A169" s="572">
        <v>162</v>
      </c>
      <c r="B169" s="578" t="s">
        <v>589</v>
      </c>
      <c r="C169" s="576" t="s">
        <v>210</v>
      </c>
      <c r="E169"/>
      <c r="F169"/>
      <c r="G169"/>
    </row>
    <row r="170" spans="1:7" ht="12.75" x14ac:dyDescent="0.2">
      <c r="A170" s="572">
        <v>163</v>
      </c>
      <c r="B170" s="577" t="s">
        <v>211</v>
      </c>
      <c r="C170" s="576" t="s">
        <v>212</v>
      </c>
      <c r="E170"/>
      <c r="F170"/>
      <c r="G170"/>
    </row>
    <row r="171" spans="1:7" ht="12.75" x14ac:dyDescent="0.2">
      <c r="A171" s="572">
        <v>164</v>
      </c>
      <c r="B171" s="577" t="s">
        <v>213</v>
      </c>
      <c r="C171" s="576" t="s">
        <v>214</v>
      </c>
      <c r="E171"/>
      <c r="F171"/>
      <c r="G171"/>
    </row>
    <row r="172" spans="1:7" ht="12.75" x14ac:dyDescent="0.2">
      <c r="A172" s="572">
        <v>165</v>
      </c>
      <c r="B172" s="577" t="s">
        <v>215</v>
      </c>
      <c r="C172" s="576" t="s">
        <v>216</v>
      </c>
      <c r="E172"/>
      <c r="F172"/>
      <c r="G172"/>
    </row>
    <row r="173" spans="1:7" ht="12.75" x14ac:dyDescent="0.2">
      <c r="A173" s="572">
        <v>166</v>
      </c>
      <c r="B173" s="577" t="s">
        <v>217</v>
      </c>
      <c r="C173" s="576" t="s">
        <v>218</v>
      </c>
      <c r="E173"/>
      <c r="F173"/>
      <c r="G173"/>
    </row>
    <row r="174" spans="1:7" ht="12.75" x14ac:dyDescent="0.2">
      <c r="A174" s="572">
        <v>167</v>
      </c>
      <c r="B174" s="577" t="s">
        <v>219</v>
      </c>
      <c r="C174" s="576" t="s">
        <v>220</v>
      </c>
      <c r="E174"/>
      <c r="F174"/>
      <c r="G174"/>
    </row>
    <row r="175" spans="1:7" ht="12.75" x14ac:dyDescent="0.2">
      <c r="A175" s="572">
        <v>168</v>
      </c>
      <c r="B175" s="577" t="s">
        <v>221</v>
      </c>
      <c r="C175" s="576" t="s">
        <v>222</v>
      </c>
      <c r="E175"/>
      <c r="F175"/>
      <c r="G175"/>
    </row>
    <row r="176" spans="1:7" ht="12.75" x14ac:dyDescent="0.2">
      <c r="A176" s="572">
        <v>169</v>
      </c>
      <c r="B176" s="578" t="s">
        <v>554</v>
      </c>
      <c r="C176" s="576" t="s">
        <v>224</v>
      </c>
      <c r="E176"/>
      <c r="F176"/>
      <c r="G176"/>
    </row>
    <row r="177" spans="1:48" ht="12.75" x14ac:dyDescent="0.2">
      <c r="A177" s="572">
        <v>170</v>
      </c>
      <c r="B177" s="578" t="s">
        <v>542</v>
      </c>
      <c r="C177" s="576" t="s">
        <v>226</v>
      </c>
      <c r="E177"/>
      <c r="F177"/>
      <c r="G177"/>
    </row>
    <row r="178" spans="1:48" ht="12.75" x14ac:dyDescent="0.2">
      <c r="A178" s="572">
        <v>171</v>
      </c>
      <c r="B178" s="577" t="s">
        <v>227</v>
      </c>
      <c r="C178" s="576" t="s">
        <v>228</v>
      </c>
      <c r="E178"/>
      <c r="F178"/>
      <c r="G178"/>
    </row>
    <row r="179" spans="1:48" ht="12.75" x14ac:dyDescent="0.2">
      <c r="A179" s="572">
        <v>172</v>
      </c>
      <c r="B179" s="577" t="s">
        <v>229</v>
      </c>
      <c r="C179" s="576" t="s">
        <v>230</v>
      </c>
      <c r="E179"/>
      <c r="F179"/>
      <c r="G179"/>
    </row>
    <row r="180" spans="1:48" ht="12.75" x14ac:dyDescent="0.2">
      <c r="A180" s="572">
        <v>173</v>
      </c>
      <c r="B180" s="577" t="s">
        <v>231</v>
      </c>
      <c r="C180" s="576" t="s">
        <v>232</v>
      </c>
      <c r="E180"/>
      <c r="F180"/>
      <c r="G180"/>
    </row>
    <row r="181" spans="1:48" ht="12.75" x14ac:dyDescent="0.2">
      <c r="A181" s="572">
        <v>174</v>
      </c>
      <c r="B181" s="578" t="s">
        <v>867</v>
      </c>
      <c r="C181" s="576" t="s">
        <v>233</v>
      </c>
      <c r="E181"/>
      <c r="F181"/>
      <c r="G181"/>
    </row>
    <row r="182" spans="1:48" s="623" customFormat="1" ht="12.75" x14ac:dyDescent="0.2">
      <c r="A182" s="572">
        <v>175</v>
      </c>
      <c r="B182" s="577" t="s">
        <v>234</v>
      </c>
      <c r="C182" s="576" t="s">
        <v>235</v>
      </c>
      <c r="D182" s="554"/>
      <c r="E182"/>
      <c r="F182"/>
      <c r="G182"/>
      <c r="H182" s="554"/>
      <c r="I182" s="554"/>
      <c r="J182" s="554"/>
      <c r="K182" s="554"/>
      <c r="L182" s="554"/>
      <c r="M182" s="554"/>
      <c r="N182" s="554"/>
      <c r="O182" s="554"/>
      <c r="P182" s="554"/>
      <c r="Q182" s="554"/>
      <c r="R182" s="554"/>
      <c r="S182" s="554"/>
      <c r="T182" s="554"/>
      <c r="U182" s="554"/>
      <c r="V182" s="554"/>
      <c r="W182" s="554"/>
      <c r="X182" s="554"/>
      <c r="Y182" s="554"/>
      <c r="Z182" s="554"/>
      <c r="AA182" s="554"/>
      <c r="AB182" s="554"/>
      <c r="AC182" s="554"/>
      <c r="AD182" s="554"/>
      <c r="AE182" s="554"/>
      <c r="AF182" s="554"/>
      <c r="AG182" s="554"/>
      <c r="AH182" s="554"/>
      <c r="AI182" s="554"/>
      <c r="AJ182" s="554"/>
      <c r="AK182" s="554"/>
      <c r="AL182" s="554"/>
      <c r="AM182" s="554"/>
      <c r="AN182" s="554"/>
      <c r="AO182" s="554"/>
      <c r="AP182" s="554"/>
      <c r="AQ182" s="554"/>
      <c r="AR182" s="554"/>
      <c r="AS182" s="554"/>
      <c r="AT182" s="554"/>
      <c r="AU182" s="554"/>
      <c r="AV182" s="555"/>
    </row>
    <row r="183" spans="1:48" ht="12.75" x14ac:dyDescent="0.2">
      <c r="A183" s="572">
        <v>176</v>
      </c>
      <c r="B183" s="577" t="s">
        <v>236</v>
      </c>
      <c r="C183" s="576" t="s">
        <v>237</v>
      </c>
      <c r="E183"/>
      <c r="F183"/>
      <c r="G183"/>
    </row>
    <row r="184" spans="1:48" ht="12.75" x14ac:dyDescent="0.2">
      <c r="A184" s="572">
        <v>177</v>
      </c>
      <c r="B184" s="577" t="s">
        <v>238</v>
      </c>
      <c r="C184" s="576" t="s">
        <v>239</v>
      </c>
      <c r="E184"/>
      <c r="F184"/>
      <c r="G184"/>
    </row>
    <row r="185" spans="1:48" ht="12.75" x14ac:dyDescent="0.2">
      <c r="A185" s="572">
        <v>178</v>
      </c>
      <c r="B185" s="577" t="s">
        <v>240</v>
      </c>
      <c r="C185" s="576" t="s">
        <v>241</v>
      </c>
      <c r="E185"/>
      <c r="F185"/>
      <c r="G185"/>
    </row>
    <row r="186" spans="1:48" ht="12.75" x14ac:dyDescent="0.2">
      <c r="A186" s="572">
        <v>179</v>
      </c>
      <c r="B186" s="578" t="s">
        <v>587</v>
      </c>
      <c r="C186" s="576" t="s">
        <v>243</v>
      </c>
      <c r="E186"/>
      <c r="F186"/>
      <c r="G186"/>
    </row>
    <row r="187" spans="1:48" ht="12.75" x14ac:dyDescent="0.2">
      <c r="A187" s="572">
        <v>180</v>
      </c>
      <c r="B187" s="577" t="s">
        <v>244</v>
      </c>
      <c r="C187" s="576" t="s">
        <v>245</v>
      </c>
      <c r="E187"/>
      <c r="F187"/>
      <c r="G187"/>
    </row>
    <row r="188" spans="1:48" ht="12.75" x14ac:dyDescent="0.2">
      <c r="A188" s="572">
        <v>181</v>
      </c>
      <c r="B188" s="577" t="s">
        <v>246</v>
      </c>
      <c r="C188" s="576" t="s">
        <v>247</v>
      </c>
      <c r="E188"/>
      <c r="F188"/>
      <c r="G188"/>
    </row>
    <row r="189" spans="1:48" ht="12.75" x14ac:dyDescent="0.2">
      <c r="A189" s="572">
        <v>182</v>
      </c>
      <c r="B189" s="578" t="s">
        <v>588</v>
      </c>
      <c r="C189" s="576" t="s">
        <v>249</v>
      </c>
      <c r="E189"/>
      <c r="F189"/>
      <c r="G189"/>
    </row>
    <row r="190" spans="1:48" ht="12.75" x14ac:dyDescent="0.2">
      <c r="A190" s="572">
        <v>183</v>
      </c>
      <c r="B190" s="577" t="s">
        <v>250</v>
      </c>
      <c r="C190" s="576" t="s">
        <v>251</v>
      </c>
      <c r="E190"/>
      <c r="F190"/>
      <c r="G190"/>
    </row>
    <row r="191" spans="1:48" ht="12.75" x14ac:dyDescent="0.2">
      <c r="A191" s="572">
        <v>184</v>
      </c>
      <c r="B191" s="578" t="s">
        <v>533</v>
      </c>
      <c r="C191" s="576" t="s">
        <v>253</v>
      </c>
      <c r="E191"/>
      <c r="F191"/>
      <c r="G191"/>
    </row>
    <row r="192" spans="1:48" ht="12.75" x14ac:dyDescent="0.2">
      <c r="A192" s="572">
        <v>185</v>
      </c>
      <c r="B192" s="577" t="s">
        <v>254</v>
      </c>
      <c r="C192" s="576" t="s">
        <v>255</v>
      </c>
      <c r="E192"/>
      <c r="F192"/>
      <c r="G192"/>
    </row>
    <row r="193" spans="1:48" ht="12.75" x14ac:dyDescent="0.2">
      <c r="A193" s="572">
        <v>186</v>
      </c>
      <c r="B193" s="577" t="s">
        <v>256</v>
      </c>
      <c r="C193" s="576" t="s">
        <v>257</v>
      </c>
      <c r="E193"/>
      <c r="F193"/>
      <c r="G193"/>
    </row>
    <row r="194" spans="1:48" ht="12.75" x14ac:dyDescent="0.2">
      <c r="A194" s="572">
        <v>187</v>
      </c>
      <c r="B194" s="577" t="s">
        <v>262</v>
      </c>
      <c r="C194" s="576" t="s">
        <v>263</v>
      </c>
      <c r="E194"/>
      <c r="F194"/>
      <c r="G194"/>
    </row>
    <row r="195" spans="1:48" ht="12.75" x14ac:dyDescent="0.2">
      <c r="A195" s="572">
        <v>188</v>
      </c>
      <c r="B195" s="577" t="s">
        <v>264</v>
      </c>
      <c r="C195" s="576" t="s">
        <v>265</v>
      </c>
      <c r="E195"/>
      <c r="F195"/>
      <c r="G195"/>
    </row>
    <row r="196" spans="1:48" ht="12.75" x14ac:dyDescent="0.2">
      <c r="A196" s="572">
        <v>189</v>
      </c>
      <c r="B196" s="577" t="s">
        <v>266</v>
      </c>
      <c r="C196" s="576" t="s">
        <v>267</v>
      </c>
      <c r="E196"/>
      <c r="F196"/>
      <c r="G196"/>
    </row>
    <row r="197" spans="1:48" ht="12.75" x14ac:dyDescent="0.2">
      <c r="A197" s="572">
        <v>190</v>
      </c>
      <c r="B197" s="577" t="s">
        <v>268</v>
      </c>
      <c r="C197" s="576" t="s">
        <v>269</v>
      </c>
      <c r="E197"/>
      <c r="F197"/>
      <c r="G197"/>
    </row>
    <row r="198" spans="1:48" ht="12.75" x14ac:dyDescent="0.2">
      <c r="A198" s="572">
        <v>191</v>
      </c>
      <c r="B198" s="578" t="s">
        <v>606</v>
      </c>
      <c r="C198" s="576" t="s">
        <v>271</v>
      </c>
      <c r="E198"/>
      <c r="F198"/>
      <c r="G198"/>
    </row>
    <row r="199" spans="1:48" ht="12.75" x14ac:dyDescent="0.2">
      <c r="A199" s="572">
        <v>192</v>
      </c>
      <c r="B199" s="577" t="s">
        <v>272</v>
      </c>
      <c r="C199" s="576" t="s">
        <v>273</v>
      </c>
      <c r="E199"/>
      <c r="F199"/>
      <c r="G199"/>
    </row>
    <row r="200" spans="1:48" ht="12.75" x14ac:dyDescent="0.2">
      <c r="A200" s="572">
        <v>193</v>
      </c>
      <c r="B200" s="577" t="s">
        <v>274</v>
      </c>
      <c r="C200" s="576" t="s">
        <v>275</v>
      </c>
      <c r="E200"/>
      <c r="F200"/>
      <c r="G200"/>
    </row>
    <row r="201" spans="1:48" ht="12.75" x14ac:dyDescent="0.2">
      <c r="A201" s="572">
        <v>194</v>
      </c>
      <c r="B201" s="577" t="s">
        <v>276</v>
      </c>
      <c r="C201" s="576" t="s">
        <v>277</v>
      </c>
      <c r="E201"/>
      <c r="F201"/>
      <c r="G201"/>
    </row>
    <row r="202" spans="1:48" ht="12.75" x14ac:dyDescent="0.2">
      <c r="A202" s="572">
        <v>195</v>
      </c>
      <c r="B202" s="577" t="s">
        <v>278</v>
      </c>
      <c r="C202" s="576" t="s">
        <v>279</v>
      </c>
      <c r="E202"/>
      <c r="F202"/>
      <c r="G202"/>
    </row>
    <row r="203" spans="1:48" s="623" customFormat="1" ht="12.75" x14ac:dyDescent="0.2">
      <c r="A203" s="572">
        <v>196</v>
      </c>
      <c r="B203" s="577" t="s">
        <v>280</v>
      </c>
      <c r="C203" s="576" t="s">
        <v>281</v>
      </c>
      <c r="D203" s="554"/>
      <c r="E203"/>
      <c r="F203"/>
      <c r="G203"/>
      <c r="H203" s="554"/>
      <c r="I203" s="554"/>
      <c r="J203" s="554"/>
      <c r="K203" s="554"/>
      <c r="L203" s="554"/>
      <c r="M203" s="554"/>
      <c r="N203" s="554"/>
      <c r="O203" s="554"/>
      <c r="P203" s="554"/>
      <c r="Q203" s="554"/>
      <c r="R203" s="554"/>
      <c r="S203" s="554"/>
      <c r="T203" s="554"/>
      <c r="U203" s="554"/>
      <c r="V203" s="554"/>
      <c r="W203" s="554"/>
      <c r="X203" s="554"/>
      <c r="Y203" s="554"/>
      <c r="Z203" s="554"/>
      <c r="AA203" s="554"/>
      <c r="AB203" s="554"/>
      <c r="AC203" s="554"/>
      <c r="AD203" s="554"/>
      <c r="AE203" s="554"/>
      <c r="AF203" s="554"/>
      <c r="AG203" s="554"/>
      <c r="AH203" s="554"/>
      <c r="AI203" s="554"/>
      <c r="AJ203" s="554"/>
      <c r="AK203" s="554"/>
      <c r="AL203" s="554"/>
      <c r="AM203" s="554"/>
      <c r="AN203" s="554"/>
      <c r="AO203" s="554"/>
      <c r="AP203" s="554"/>
      <c r="AQ203" s="554"/>
      <c r="AR203" s="554"/>
      <c r="AS203" s="554"/>
      <c r="AT203" s="554"/>
      <c r="AU203" s="554"/>
      <c r="AV203" s="555"/>
    </row>
    <row r="204" spans="1:48" ht="12.75" x14ac:dyDescent="0.2">
      <c r="A204" s="572">
        <v>197</v>
      </c>
      <c r="B204" s="578" t="s">
        <v>545</v>
      </c>
      <c r="C204" s="576" t="s">
        <v>283</v>
      </c>
      <c r="E204"/>
      <c r="F204"/>
      <c r="G204"/>
    </row>
    <row r="205" spans="1:48" ht="12.75" x14ac:dyDescent="0.2">
      <c r="A205" s="572">
        <v>198</v>
      </c>
      <c r="B205" s="578" t="s">
        <v>562</v>
      </c>
      <c r="C205" s="576" t="s">
        <v>285</v>
      </c>
      <c r="E205"/>
      <c r="F205"/>
      <c r="G205"/>
    </row>
    <row r="206" spans="1:48" ht="12.75" x14ac:dyDescent="0.2">
      <c r="A206" s="572">
        <v>199</v>
      </c>
      <c r="B206" s="578" t="s">
        <v>577</v>
      </c>
      <c r="C206" s="576" t="s">
        <v>287</v>
      </c>
      <c r="E206"/>
      <c r="F206"/>
      <c r="G206"/>
    </row>
    <row r="207" spans="1:48" ht="12.75" x14ac:dyDescent="0.2">
      <c r="A207" s="572">
        <v>200</v>
      </c>
      <c r="B207" s="577" t="s">
        <v>288</v>
      </c>
      <c r="C207" s="576" t="s">
        <v>289</v>
      </c>
      <c r="E207"/>
      <c r="F207"/>
      <c r="G207"/>
    </row>
    <row r="208" spans="1:48" ht="12.75" x14ac:dyDescent="0.2">
      <c r="A208" s="572">
        <v>201</v>
      </c>
      <c r="B208" s="578" t="s">
        <v>539</v>
      </c>
      <c r="C208" s="576" t="s">
        <v>291</v>
      </c>
      <c r="E208"/>
      <c r="F208"/>
      <c r="G208"/>
    </row>
    <row r="209" spans="1:7" ht="12.75" x14ac:dyDescent="0.2">
      <c r="A209" s="572">
        <v>202</v>
      </c>
      <c r="B209" s="577" t="s">
        <v>292</v>
      </c>
      <c r="C209" s="576" t="s">
        <v>293</v>
      </c>
      <c r="E209"/>
      <c r="F209"/>
      <c r="G209"/>
    </row>
    <row r="210" spans="1:7" ht="12.75" x14ac:dyDescent="0.2">
      <c r="A210" s="572">
        <v>203</v>
      </c>
      <c r="B210" s="578" t="s">
        <v>896</v>
      </c>
      <c r="C210" s="576" t="s">
        <v>295</v>
      </c>
      <c r="E210"/>
      <c r="F210"/>
      <c r="G210"/>
    </row>
    <row r="211" spans="1:7" ht="12.75" x14ac:dyDescent="0.2">
      <c r="A211" s="572">
        <v>204</v>
      </c>
      <c r="B211" s="577" t="s">
        <v>296</v>
      </c>
      <c r="C211" s="576" t="s">
        <v>297</v>
      </c>
      <c r="E211"/>
      <c r="F211"/>
      <c r="G211"/>
    </row>
    <row r="212" spans="1:7" ht="12.75" x14ac:dyDescent="0.2">
      <c r="A212" s="572">
        <v>205</v>
      </c>
      <c r="B212" s="577" t="s">
        <v>298</v>
      </c>
      <c r="C212" s="576" t="s">
        <v>299</v>
      </c>
      <c r="E212"/>
      <c r="F212"/>
      <c r="G212"/>
    </row>
    <row r="213" spans="1:7" ht="12.75" x14ac:dyDescent="0.2">
      <c r="A213" s="572">
        <v>206</v>
      </c>
      <c r="B213" s="577" t="s">
        <v>300</v>
      </c>
      <c r="C213" s="576" t="s">
        <v>301</v>
      </c>
      <c r="E213"/>
      <c r="F213"/>
      <c r="G213"/>
    </row>
    <row r="214" spans="1:7" ht="12.75" x14ac:dyDescent="0.2">
      <c r="A214" s="572">
        <v>207</v>
      </c>
      <c r="B214" s="577" t="s">
        <v>302</v>
      </c>
      <c r="C214" s="576" t="s">
        <v>303</v>
      </c>
      <c r="E214"/>
      <c r="F214"/>
      <c r="G214"/>
    </row>
    <row r="215" spans="1:7" ht="12.75" x14ac:dyDescent="0.2">
      <c r="A215" s="572">
        <v>208</v>
      </c>
      <c r="B215" s="577" t="s">
        <v>304</v>
      </c>
      <c r="C215" s="576" t="s">
        <v>305</v>
      </c>
      <c r="E215"/>
      <c r="F215"/>
      <c r="G215"/>
    </row>
    <row r="216" spans="1:7" ht="12.75" x14ac:dyDescent="0.2">
      <c r="A216" s="572">
        <v>209</v>
      </c>
      <c r="B216" s="577" t="s">
        <v>306</v>
      </c>
      <c r="C216" s="576" t="s">
        <v>307</v>
      </c>
      <c r="E216"/>
      <c r="F216"/>
      <c r="G216"/>
    </row>
    <row r="217" spans="1:7" ht="12.75" x14ac:dyDescent="0.2">
      <c r="A217" s="572">
        <v>210</v>
      </c>
      <c r="B217" s="577" t="s">
        <v>308</v>
      </c>
      <c r="C217" s="576" t="s">
        <v>309</v>
      </c>
      <c r="E217"/>
      <c r="F217"/>
      <c r="G217"/>
    </row>
    <row r="218" spans="1:7" ht="12.75" x14ac:dyDescent="0.2">
      <c r="A218" s="572">
        <v>211</v>
      </c>
      <c r="B218" s="577" t="s">
        <v>310</v>
      </c>
      <c r="C218" s="576" t="s">
        <v>311</v>
      </c>
      <c r="E218"/>
      <c r="F218"/>
      <c r="G218"/>
    </row>
    <row r="219" spans="1:7" ht="12.75" x14ac:dyDescent="0.2">
      <c r="A219" s="572">
        <v>212</v>
      </c>
      <c r="B219" s="577" t="s">
        <v>312</v>
      </c>
      <c r="C219" s="576" t="s">
        <v>313</v>
      </c>
      <c r="E219"/>
      <c r="F219"/>
      <c r="G219"/>
    </row>
    <row r="220" spans="1:7" ht="12.75" x14ac:dyDescent="0.2">
      <c r="A220" s="572">
        <v>213</v>
      </c>
      <c r="B220" s="577" t="s">
        <v>314</v>
      </c>
      <c r="C220" s="576" t="s">
        <v>315</v>
      </c>
      <c r="E220"/>
      <c r="F220"/>
      <c r="G220"/>
    </row>
    <row r="221" spans="1:7" ht="12.75" x14ac:dyDescent="0.2">
      <c r="A221" s="572">
        <v>214</v>
      </c>
      <c r="B221" s="577" t="s">
        <v>316</v>
      </c>
      <c r="C221" s="576" t="s">
        <v>317</v>
      </c>
      <c r="E221"/>
      <c r="F221"/>
      <c r="G221"/>
    </row>
    <row r="222" spans="1:7" ht="12.75" x14ac:dyDescent="0.2">
      <c r="A222" s="572">
        <v>215</v>
      </c>
      <c r="B222" s="577" t="s">
        <v>318</v>
      </c>
      <c r="C222" s="576" t="s">
        <v>319</v>
      </c>
      <c r="E222"/>
      <c r="F222"/>
      <c r="G222"/>
    </row>
    <row r="223" spans="1:7" ht="12.75" x14ac:dyDescent="0.2">
      <c r="A223" s="572">
        <v>216</v>
      </c>
      <c r="B223" s="577" t="s">
        <v>320</v>
      </c>
      <c r="C223" s="576" t="s">
        <v>321</v>
      </c>
      <c r="E223"/>
      <c r="F223"/>
      <c r="G223"/>
    </row>
    <row r="224" spans="1:7" ht="12.75" x14ac:dyDescent="0.2">
      <c r="A224" s="572">
        <v>217</v>
      </c>
      <c r="B224" s="577" t="s">
        <v>322</v>
      </c>
      <c r="C224" s="576" t="s">
        <v>323</v>
      </c>
      <c r="E224"/>
      <c r="F224"/>
      <c r="G224"/>
    </row>
    <row r="225" spans="1:48" ht="12.75" x14ac:dyDescent="0.2">
      <c r="A225" s="572">
        <v>218</v>
      </c>
      <c r="B225" s="578" t="s">
        <v>598</v>
      </c>
      <c r="C225" s="576" t="s">
        <v>325</v>
      </c>
      <c r="E225"/>
      <c r="F225"/>
      <c r="G225"/>
    </row>
    <row r="226" spans="1:48" ht="12.75" x14ac:dyDescent="0.2">
      <c r="A226" s="572">
        <v>219</v>
      </c>
      <c r="B226" s="577" t="s">
        <v>326</v>
      </c>
      <c r="C226" s="576" t="s">
        <v>327</v>
      </c>
      <c r="E226"/>
      <c r="F226"/>
      <c r="G226"/>
    </row>
    <row r="227" spans="1:48" ht="12.75" x14ac:dyDescent="0.2">
      <c r="A227" s="572">
        <v>220</v>
      </c>
      <c r="B227" s="577" t="s">
        <v>328</v>
      </c>
      <c r="C227" s="576" t="s">
        <v>329</v>
      </c>
      <c r="E227"/>
      <c r="F227"/>
      <c r="G227"/>
    </row>
    <row r="228" spans="1:48" ht="12.75" x14ac:dyDescent="0.2">
      <c r="A228" s="572">
        <v>221</v>
      </c>
      <c r="B228" s="577" t="s">
        <v>330</v>
      </c>
      <c r="C228" s="576" t="s">
        <v>331</v>
      </c>
      <c r="E228"/>
      <c r="F228"/>
      <c r="G228"/>
    </row>
    <row r="229" spans="1:48" ht="12.75" x14ac:dyDescent="0.2">
      <c r="A229" s="572">
        <v>222</v>
      </c>
      <c r="B229" s="577" t="s">
        <v>332</v>
      </c>
      <c r="C229" s="576" t="s">
        <v>333</v>
      </c>
      <c r="E229"/>
      <c r="F229"/>
      <c r="G229"/>
    </row>
    <row r="230" spans="1:48" ht="12.75" x14ac:dyDescent="0.2">
      <c r="A230" s="572">
        <v>223</v>
      </c>
      <c r="B230" s="577" t="s">
        <v>334</v>
      </c>
      <c r="C230" s="576" t="s">
        <v>335</v>
      </c>
      <c r="E230"/>
      <c r="F230"/>
      <c r="G230"/>
    </row>
    <row r="231" spans="1:48" ht="12.75" x14ac:dyDescent="0.2">
      <c r="A231" s="572">
        <v>224</v>
      </c>
      <c r="B231" s="577" t="s">
        <v>336</v>
      </c>
      <c r="C231" s="576" t="s">
        <v>337</v>
      </c>
      <c r="E231"/>
      <c r="F231"/>
      <c r="G231"/>
    </row>
    <row r="232" spans="1:48" s="623" customFormat="1" ht="12.75" x14ac:dyDescent="0.2">
      <c r="A232" s="572">
        <v>225</v>
      </c>
      <c r="B232" s="577" t="s">
        <v>338</v>
      </c>
      <c r="C232" s="576" t="s">
        <v>339</v>
      </c>
      <c r="D232" s="554"/>
      <c r="E232"/>
      <c r="F232"/>
      <c r="G232"/>
      <c r="H232" s="554"/>
      <c r="I232" s="554"/>
      <c r="J232" s="554"/>
      <c r="K232" s="554"/>
      <c r="L232" s="554"/>
      <c r="M232" s="554"/>
      <c r="N232" s="554"/>
      <c r="O232" s="554"/>
      <c r="P232" s="554"/>
      <c r="Q232" s="554"/>
      <c r="R232" s="554"/>
      <c r="S232" s="554"/>
      <c r="T232" s="554"/>
      <c r="U232" s="554"/>
      <c r="V232" s="554"/>
      <c r="W232" s="554"/>
      <c r="X232" s="554"/>
      <c r="Y232" s="554"/>
      <c r="Z232" s="554"/>
      <c r="AA232" s="554"/>
      <c r="AB232" s="554"/>
      <c r="AC232" s="554"/>
      <c r="AD232" s="554"/>
      <c r="AE232" s="554"/>
      <c r="AF232" s="554"/>
      <c r="AG232" s="554"/>
      <c r="AH232" s="554"/>
      <c r="AI232" s="554"/>
      <c r="AJ232" s="554"/>
      <c r="AK232" s="554"/>
      <c r="AL232" s="554"/>
      <c r="AM232" s="554"/>
      <c r="AN232" s="554"/>
      <c r="AO232" s="554"/>
      <c r="AP232" s="554"/>
      <c r="AQ232" s="554"/>
      <c r="AR232" s="554"/>
      <c r="AS232" s="554"/>
      <c r="AT232" s="554"/>
      <c r="AU232" s="554"/>
      <c r="AV232" s="555"/>
    </row>
    <row r="233" spans="1:48" ht="12.75" x14ac:dyDescent="0.2">
      <c r="A233" s="572">
        <v>226</v>
      </c>
      <c r="B233" s="577" t="s">
        <v>340</v>
      </c>
      <c r="C233" s="576" t="s">
        <v>341</v>
      </c>
      <c r="E233"/>
      <c r="F233"/>
      <c r="G233"/>
    </row>
    <row r="234" spans="1:48" ht="12.75" x14ac:dyDescent="0.2">
      <c r="A234" s="572">
        <v>227</v>
      </c>
      <c r="B234" s="577" t="s">
        <v>342</v>
      </c>
      <c r="C234" s="576" t="s">
        <v>343</v>
      </c>
      <c r="E234"/>
      <c r="F234"/>
      <c r="G234"/>
    </row>
    <row r="235" spans="1:48" ht="12.75" x14ac:dyDescent="0.2">
      <c r="A235" s="572">
        <v>228</v>
      </c>
      <c r="B235" s="577" t="s">
        <v>346</v>
      </c>
      <c r="C235" s="576" t="s">
        <v>347</v>
      </c>
      <c r="E235"/>
      <c r="F235"/>
      <c r="G235"/>
    </row>
    <row r="236" spans="1:48" ht="12.75" x14ac:dyDescent="0.2">
      <c r="A236" s="572">
        <v>229</v>
      </c>
      <c r="B236" s="578" t="s">
        <v>540</v>
      </c>
      <c r="C236" s="576" t="s">
        <v>349</v>
      </c>
      <c r="E236"/>
      <c r="F236"/>
      <c r="G236"/>
    </row>
    <row r="237" spans="1:48" ht="12.75" x14ac:dyDescent="0.2">
      <c r="A237" s="572">
        <v>230</v>
      </c>
      <c r="B237" s="577" t="s">
        <v>350</v>
      </c>
      <c r="C237" s="576" t="s">
        <v>351</v>
      </c>
      <c r="E237"/>
      <c r="F237"/>
      <c r="G237"/>
    </row>
    <row r="238" spans="1:48" s="645" customFormat="1" ht="12.75" x14ac:dyDescent="0.2">
      <c r="A238" s="641">
        <v>231</v>
      </c>
      <c r="B238" s="642" t="s">
        <v>1149</v>
      </c>
      <c r="C238" s="646" t="s">
        <v>1150</v>
      </c>
      <c r="D238" s="644"/>
      <c r="E238" s="680"/>
      <c r="F238" s="680"/>
      <c r="G238" s="680"/>
      <c r="H238" s="644"/>
      <c r="I238" s="644"/>
      <c r="J238" s="644"/>
      <c r="K238" s="644"/>
      <c r="L238" s="644"/>
      <c r="M238" s="644"/>
      <c r="N238" s="644"/>
      <c r="O238" s="644"/>
      <c r="P238" s="644"/>
      <c r="Q238" s="644"/>
      <c r="R238" s="644"/>
      <c r="S238" s="644"/>
      <c r="T238" s="644"/>
      <c r="U238" s="644"/>
      <c r="V238" s="644"/>
      <c r="W238" s="644"/>
      <c r="X238" s="644"/>
      <c r="Y238" s="644"/>
      <c r="Z238" s="644"/>
      <c r="AA238" s="644"/>
      <c r="AB238" s="644"/>
      <c r="AC238" s="644"/>
      <c r="AD238" s="644"/>
      <c r="AE238" s="644"/>
      <c r="AF238" s="644"/>
      <c r="AG238" s="644"/>
      <c r="AH238" s="644"/>
      <c r="AI238" s="644"/>
      <c r="AJ238" s="644"/>
      <c r="AK238" s="644"/>
      <c r="AL238" s="644"/>
      <c r="AM238" s="644"/>
      <c r="AN238" s="644"/>
      <c r="AO238" s="644"/>
      <c r="AP238" s="644"/>
      <c r="AQ238" s="644"/>
      <c r="AR238" s="644"/>
      <c r="AS238" s="644"/>
      <c r="AT238" s="644"/>
      <c r="AU238" s="644"/>
      <c r="AV238" s="644"/>
    </row>
    <row r="239" spans="1:48" ht="12.75" x14ac:dyDescent="0.2">
      <c r="A239" s="572">
        <v>232</v>
      </c>
      <c r="B239" s="577" t="s">
        <v>352</v>
      </c>
      <c r="C239" s="576" t="s">
        <v>353</v>
      </c>
      <c r="E239"/>
      <c r="F239"/>
      <c r="G239"/>
    </row>
    <row r="240" spans="1:48" ht="12.75" x14ac:dyDescent="0.2">
      <c r="A240" s="572">
        <v>233</v>
      </c>
      <c r="B240" s="577" t="s">
        <v>354</v>
      </c>
      <c r="C240" s="576" t="s">
        <v>355</v>
      </c>
      <c r="E240"/>
      <c r="F240"/>
      <c r="G240"/>
    </row>
    <row r="241" spans="1:48" ht="12.75" x14ac:dyDescent="0.2">
      <c r="A241" s="572">
        <v>234</v>
      </c>
      <c r="B241" s="577" t="s">
        <v>356</v>
      </c>
      <c r="C241" s="576" t="s">
        <v>357</v>
      </c>
      <c r="E241"/>
      <c r="F241"/>
      <c r="G241"/>
    </row>
    <row r="242" spans="1:48" ht="12.75" x14ac:dyDescent="0.2">
      <c r="A242" s="572">
        <v>235</v>
      </c>
      <c r="B242" s="578" t="s">
        <v>532</v>
      </c>
      <c r="C242" s="576" t="s">
        <v>359</v>
      </c>
      <c r="E242"/>
      <c r="F242"/>
      <c r="G242"/>
    </row>
    <row r="243" spans="1:48" ht="12.75" x14ac:dyDescent="0.2">
      <c r="A243" s="572">
        <v>236</v>
      </c>
      <c r="B243" s="577" t="s">
        <v>360</v>
      </c>
      <c r="C243" s="576" t="s">
        <v>361</v>
      </c>
      <c r="E243"/>
      <c r="F243"/>
      <c r="G243"/>
    </row>
    <row r="244" spans="1:48" ht="12.75" x14ac:dyDescent="0.2">
      <c r="A244" s="572">
        <v>237</v>
      </c>
      <c r="B244" s="577" t="s">
        <v>362</v>
      </c>
      <c r="C244" s="576" t="s">
        <v>363</v>
      </c>
      <c r="E244"/>
      <c r="F244"/>
      <c r="G244"/>
    </row>
    <row r="245" spans="1:48" ht="12.75" x14ac:dyDescent="0.2">
      <c r="A245" s="572">
        <v>238</v>
      </c>
      <c r="B245" s="577" t="s">
        <v>364</v>
      </c>
      <c r="C245" s="576" t="s">
        <v>365</v>
      </c>
      <c r="E245"/>
      <c r="F245"/>
      <c r="G245"/>
    </row>
    <row r="246" spans="1:48" ht="12.75" x14ac:dyDescent="0.2">
      <c r="A246" s="572">
        <v>239</v>
      </c>
      <c r="B246" s="577" t="s">
        <v>366</v>
      </c>
      <c r="C246" s="576" t="s">
        <v>367</v>
      </c>
      <c r="E246"/>
      <c r="F246"/>
      <c r="G246"/>
    </row>
    <row r="247" spans="1:48" ht="12.75" x14ac:dyDescent="0.2">
      <c r="A247" s="572">
        <v>240</v>
      </c>
      <c r="B247" s="577" t="s">
        <v>368</v>
      </c>
      <c r="C247" s="576" t="s">
        <v>369</v>
      </c>
      <c r="E247"/>
      <c r="F247"/>
      <c r="G247"/>
    </row>
    <row r="248" spans="1:48" ht="12.75" x14ac:dyDescent="0.2">
      <c r="A248" s="572">
        <v>241</v>
      </c>
      <c r="B248" s="577" t="s">
        <v>370</v>
      </c>
      <c r="C248" s="576" t="s">
        <v>371</v>
      </c>
      <c r="E248"/>
      <c r="F248"/>
      <c r="G248"/>
    </row>
    <row r="249" spans="1:48" ht="12.75" x14ac:dyDescent="0.2">
      <c r="A249" s="572">
        <v>242</v>
      </c>
      <c r="B249" s="577" t="s">
        <v>372</v>
      </c>
      <c r="C249" s="576" t="s">
        <v>373</v>
      </c>
      <c r="E249"/>
      <c r="F249"/>
      <c r="G249"/>
    </row>
    <row r="250" spans="1:48" ht="12.75" x14ac:dyDescent="0.2">
      <c r="A250" s="572">
        <v>243</v>
      </c>
      <c r="B250" s="577" t="s">
        <v>374</v>
      </c>
      <c r="C250" s="576" t="s">
        <v>375</v>
      </c>
      <c r="E250"/>
      <c r="F250"/>
      <c r="G250"/>
    </row>
    <row r="251" spans="1:48" ht="12.75" x14ac:dyDescent="0.2">
      <c r="A251" s="572">
        <v>244</v>
      </c>
      <c r="B251" s="577" t="s">
        <v>376</v>
      </c>
      <c r="C251" s="576" t="s">
        <v>377</v>
      </c>
      <c r="E251"/>
      <c r="F251"/>
      <c r="G251"/>
    </row>
    <row r="252" spans="1:48" ht="12.75" x14ac:dyDescent="0.2">
      <c r="A252" s="572">
        <v>245</v>
      </c>
      <c r="B252" s="577" t="s">
        <v>378</v>
      </c>
      <c r="C252" s="576" t="s">
        <v>379</v>
      </c>
      <c r="E252"/>
      <c r="F252"/>
      <c r="G252"/>
    </row>
    <row r="253" spans="1:48" ht="12.75" x14ac:dyDescent="0.2">
      <c r="A253" s="572">
        <v>246</v>
      </c>
      <c r="B253" s="577" t="s">
        <v>380</v>
      </c>
      <c r="C253" s="576" t="s">
        <v>381</v>
      </c>
      <c r="E253"/>
      <c r="F253"/>
      <c r="G253"/>
    </row>
    <row r="254" spans="1:48" ht="12.75" x14ac:dyDescent="0.2">
      <c r="A254" s="572">
        <v>247</v>
      </c>
      <c r="B254" s="578" t="s">
        <v>579</v>
      </c>
      <c r="C254" s="576" t="s">
        <v>383</v>
      </c>
      <c r="E254"/>
      <c r="F254"/>
      <c r="G254"/>
    </row>
    <row r="255" spans="1:48" s="623" customFormat="1" ht="12.75" x14ac:dyDescent="0.2">
      <c r="A255" s="572">
        <v>248</v>
      </c>
      <c r="B255" s="578" t="s">
        <v>572</v>
      </c>
      <c r="C255" s="576" t="s">
        <v>385</v>
      </c>
      <c r="D255" s="554"/>
      <c r="E255"/>
      <c r="F255"/>
      <c r="G255"/>
      <c r="H255" s="554"/>
      <c r="I255" s="554"/>
      <c r="J255" s="554"/>
      <c r="K255" s="554"/>
      <c r="L255" s="554"/>
      <c r="M255" s="554"/>
      <c r="N255" s="554"/>
      <c r="O255" s="554"/>
      <c r="P255" s="554"/>
      <c r="Q255" s="554"/>
      <c r="R255" s="554"/>
      <c r="S255" s="554"/>
      <c r="T255" s="554"/>
      <c r="U255" s="554"/>
      <c r="V255" s="554"/>
      <c r="W255" s="554"/>
      <c r="X255" s="554"/>
      <c r="Y255" s="554"/>
      <c r="Z255" s="554"/>
      <c r="AA255" s="554"/>
      <c r="AB255" s="554"/>
      <c r="AC255" s="554"/>
      <c r="AD255" s="554"/>
      <c r="AE255" s="554"/>
      <c r="AF255" s="554"/>
      <c r="AG255" s="554"/>
      <c r="AH255" s="554"/>
      <c r="AI255" s="554"/>
      <c r="AJ255" s="554"/>
      <c r="AK255" s="554"/>
      <c r="AL255" s="554"/>
      <c r="AM255" s="554"/>
      <c r="AN255" s="554"/>
      <c r="AO255" s="554"/>
      <c r="AP255" s="554"/>
      <c r="AQ255" s="554"/>
      <c r="AR255" s="554"/>
      <c r="AS255" s="554"/>
      <c r="AT255" s="554"/>
      <c r="AU255" s="554"/>
      <c r="AV255" s="555"/>
    </row>
    <row r="256" spans="1:48" ht="12.75" x14ac:dyDescent="0.2">
      <c r="A256" s="572">
        <v>249</v>
      </c>
      <c r="B256" s="577" t="s">
        <v>386</v>
      </c>
      <c r="C256" s="576" t="s">
        <v>387</v>
      </c>
      <c r="E256"/>
      <c r="F256"/>
      <c r="G256"/>
    </row>
    <row r="257" spans="1:48" ht="12.75" x14ac:dyDescent="0.2">
      <c r="A257" s="572">
        <v>250</v>
      </c>
      <c r="B257" s="577" t="s">
        <v>388</v>
      </c>
      <c r="C257" s="576" t="s">
        <v>389</v>
      </c>
      <c r="E257"/>
      <c r="F257"/>
      <c r="G257"/>
    </row>
    <row r="258" spans="1:48" ht="12.75" x14ac:dyDescent="0.2">
      <c r="A258" s="572">
        <v>251</v>
      </c>
      <c r="B258" s="577" t="s">
        <v>390</v>
      </c>
      <c r="C258" s="576" t="s">
        <v>391</v>
      </c>
      <c r="E258"/>
      <c r="F258"/>
      <c r="G258"/>
    </row>
    <row r="259" spans="1:48" ht="12.75" x14ac:dyDescent="0.2">
      <c r="A259" s="572">
        <v>252</v>
      </c>
      <c r="B259" s="578" t="s">
        <v>895</v>
      </c>
      <c r="C259" s="576" t="s">
        <v>395</v>
      </c>
      <c r="E259"/>
      <c r="F259"/>
      <c r="G259"/>
    </row>
    <row r="260" spans="1:48" ht="12.75" x14ac:dyDescent="0.2">
      <c r="A260" s="572">
        <v>253</v>
      </c>
      <c r="B260" s="577" t="s">
        <v>396</v>
      </c>
      <c r="C260" s="576" t="s">
        <v>397</v>
      </c>
      <c r="E260"/>
      <c r="F260"/>
      <c r="G260"/>
    </row>
    <row r="261" spans="1:48" ht="12.75" x14ac:dyDescent="0.2">
      <c r="A261" s="572">
        <v>254</v>
      </c>
      <c r="B261" s="577" t="s">
        <v>398</v>
      </c>
      <c r="C261" s="576" t="s">
        <v>399</v>
      </c>
      <c r="E261"/>
      <c r="F261"/>
      <c r="G261"/>
    </row>
    <row r="262" spans="1:48" ht="12.75" x14ac:dyDescent="0.2">
      <c r="A262" s="572">
        <v>255</v>
      </c>
      <c r="B262" s="577" t="s">
        <v>400</v>
      </c>
      <c r="C262" s="576" t="s">
        <v>401</v>
      </c>
      <c r="E262"/>
      <c r="F262"/>
      <c r="G262"/>
    </row>
    <row r="263" spans="1:48" ht="12.75" x14ac:dyDescent="0.2">
      <c r="A263" s="572">
        <v>256</v>
      </c>
      <c r="B263" s="577" t="s">
        <v>402</v>
      </c>
      <c r="C263" s="576" t="s">
        <v>403</v>
      </c>
      <c r="E263"/>
      <c r="F263"/>
      <c r="G263"/>
    </row>
    <row r="264" spans="1:48" s="623" customFormat="1" ht="12.75" x14ac:dyDescent="0.2">
      <c r="A264" s="572">
        <v>257</v>
      </c>
      <c r="B264" s="578" t="s">
        <v>555</v>
      </c>
      <c r="C264" s="576" t="s">
        <v>405</v>
      </c>
      <c r="D264" s="554"/>
      <c r="E264"/>
      <c r="F264"/>
      <c r="G264"/>
      <c r="H264" s="554"/>
      <c r="I264" s="554"/>
      <c r="J264" s="554"/>
      <c r="K264" s="554"/>
      <c r="L264" s="554"/>
      <c r="M264" s="554"/>
      <c r="N264" s="554"/>
      <c r="O264" s="554"/>
      <c r="P264" s="554"/>
      <c r="Q264" s="554"/>
      <c r="R264" s="554"/>
      <c r="S264" s="554"/>
      <c r="T264" s="554"/>
      <c r="U264" s="554"/>
      <c r="V264" s="554"/>
      <c r="W264" s="554"/>
      <c r="X264" s="554"/>
      <c r="Y264" s="554"/>
      <c r="Z264" s="554"/>
      <c r="AA264" s="554"/>
      <c r="AB264" s="554"/>
      <c r="AC264" s="554"/>
      <c r="AD264" s="554"/>
      <c r="AE264" s="554"/>
      <c r="AF264" s="554"/>
      <c r="AG264" s="554"/>
      <c r="AH264" s="554"/>
      <c r="AI264" s="554"/>
      <c r="AJ264" s="554"/>
      <c r="AK264" s="554"/>
      <c r="AL264" s="554"/>
      <c r="AM264" s="554"/>
      <c r="AN264" s="554"/>
      <c r="AO264" s="554"/>
      <c r="AP264" s="554"/>
      <c r="AQ264" s="554"/>
      <c r="AR264" s="554"/>
      <c r="AS264" s="554"/>
      <c r="AT264" s="554"/>
      <c r="AU264" s="554"/>
      <c r="AV264" s="555"/>
    </row>
    <row r="265" spans="1:48" ht="12.75" x14ac:dyDescent="0.2">
      <c r="A265" s="572">
        <v>258</v>
      </c>
      <c r="B265" s="578" t="s">
        <v>612</v>
      </c>
      <c r="C265" s="576" t="s">
        <v>407</v>
      </c>
      <c r="E265"/>
      <c r="F265"/>
      <c r="G265"/>
    </row>
    <row r="266" spans="1:48" ht="12.75" x14ac:dyDescent="0.2">
      <c r="A266" s="572">
        <v>259</v>
      </c>
      <c r="B266" s="577" t="s">
        <v>408</v>
      </c>
      <c r="C266" s="576" t="s">
        <v>409</v>
      </c>
      <c r="E266"/>
      <c r="F266"/>
      <c r="G266"/>
    </row>
    <row r="267" spans="1:48" ht="12.75" x14ac:dyDescent="0.2">
      <c r="A267" s="572">
        <v>260</v>
      </c>
      <c r="B267" s="577" t="s">
        <v>410</v>
      </c>
      <c r="C267" s="576" t="s">
        <v>411</v>
      </c>
      <c r="E267"/>
      <c r="F267"/>
      <c r="G267"/>
    </row>
    <row r="268" spans="1:48" ht="12.75" x14ac:dyDescent="0.2">
      <c r="A268" s="572">
        <v>261</v>
      </c>
      <c r="B268" s="577" t="s">
        <v>412</v>
      </c>
      <c r="C268" s="576" t="s">
        <v>413</v>
      </c>
      <c r="E268"/>
      <c r="F268"/>
      <c r="G268"/>
    </row>
    <row r="269" spans="1:48" ht="12.75" x14ac:dyDescent="0.2">
      <c r="A269" s="572">
        <v>262</v>
      </c>
      <c r="B269" s="577" t="s">
        <v>414</v>
      </c>
      <c r="C269" s="576" t="s">
        <v>415</v>
      </c>
      <c r="E269"/>
      <c r="F269"/>
      <c r="G269"/>
    </row>
    <row r="270" spans="1:48" ht="12.75" x14ac:dyDescent="0.2">
      <c r="A270" s="572">
        <v>263</v>
      </c>
      <c r="B270" s="577" t="s">
        <v>416</v>
      </c>
      <c r="C270" s="576" t="s">
        <v>417</v>
      </c>
      <c r="E270"/>
      <c r="F270"/>
      <c r="G270"/>
    </row>
    <row r="271" spans="1:48" ht="12.75" x14ac:dyDescent="0.2">
      <c r="A271" s="572">
        <v>264</v>
      </c>
      <c r="B271" s="577" t="s">
        <v>418</v>
      </c>
      <c r="C271" s="576" t="s">
        <v>419</v>
      </c>
      <c r="E271"/>
      <c r="F271"/>
      <c r="G271"/>
    </row>
    <row r="272" spans="1:48" s="623" customFormat="1" ht="12.75" x14ac:dyDescent="0.2">
      <c r="A272" s="572">
        <v>265</v>
      </c>
      <c r="B272" s="578" t="s">
        <v>619</v>
      </c>
      <c r="C272" s="576" t="s">
        <v>421</v>
      </c>
      <c r="D272" s="554"/>
      <c r="E272"/>
      <c r="F272"/>
      <c r="G272"/>
      <c r="H272" s="554"/>
      <c r="I272" s="554"/>
      <c r="J272" s="554"/>
      <c r="K272" s="554"/>
      <c r="L272" s="554"/>
      <c r="M272" s="554"/>
      <c r="N272" s="554"/>
      <c r="O272" s="554"/>
      <c r="P272" s="554"/>
      <c r="Q272" s="554"/>
      <c r="R272" s="554"/>
      <c r="S272" s="554"/>
      <c r="T272" s="554"/>
      <c r="U272" s="554"/>
      <c r="V272" s="554"/>
      <c r="W272" s="554"/>
      <c r="X272" s="554"/>
      <c r="Y272" s="554"/>
      <c r="Z272" s="554"/>
      <c r="AA272" s="554"/>
      <c r="AB272" s="554"/>
      <c r="AC272" s="554"/>
      <c r="AD272" s="554"/>
      <c r="AE272" s="554"/>
      <c r="AF272" s="554"/>
      <c r="AG272" s="554"/>
      <c r="AH272" s="554"/>
      <c r="AI272" s="554"/>
      <c r="AJ272" s="554"/>
      <c r="AK272" s="554"/>
      <c r="AL272" s="554"/>
      <c r="AM272" s="554"/>
      <c r="AN272" s="554"/>
      <c r="AO272" s="554"/>
      <c r="AP272" s="554"/>
      <c r="AQ272" s="554"/>
      <c r="AR272" s="554"/>
      <c r="AS272" s="554"/>
      <c r="AT272" s="554"/>
      <c r="AU272" s="554"/>
      <c r="AV272" s="555"/>
    </row>
    <row r="273" spans="1:7" ht="12.75" x14ac:dyDescent="0.2">
      <c r="A273" s="572">
        <v>266</v>
      </c>
      <c r="B273" s="577" t="s">
        <v>422</v>
      </c>
      <c r="C273" s="576" t="s">
        <v>423</v>
      </c>
      <c r="E273"/>
      <c r="F273"/>
      <c r="G273"/>
    </row>
    <row r="274" spans="1:7" ht="12.75" x14ac:dyDescent="0.2">
      <c r="A274" s="572">
        <v>267</v>
      </c>
      <c r="B274" s="577" t="s">
        <v>424</v>
      </c>
      <c r="C274" s="576" t="s">
        <v>425</v>
      </c>
      <c r="E274"/>
      <c r="F274"/>
      <c r="G274"/>
    </row>
    <row r="275" spans="1:7" ht="12.75" x14ac:dyDescent="0.2">
      <c r="A275" s="572">
        <v>268</v>
      </c>
      <c r="B275" s="577" t="s">
        <v>426</v>
      </c>
      <c r="C275" s="576" t="s">
        <v>427</v>
      </c>
      <c r="E275"/>
      <c r="F275"/>
      <c r="G275"/>
    </row>
    <row r="276" spans="1:7" ht="12.75" x14ac:dyDescent="0.2">
      <c r="A276" s="572">
        <v>269</v>
      </c>
      <c r="B276" s="577" t="s">
        <v>428</v>
      </c>
      <c r="C276" s="576" t="s">
        <v>429</v>
      </c>
      <c r="E276"/>
      <c r="F276"/>
      <c r="G276"/>
    </row>
    <row r="277" spans="1:7" ht="12.75" x14ac:dyDescent="0.2">
      <c r="A277" s="572">
        <v>270</v>
      </c>
      <c r="B277" s="578" t="s">
        <v>905</v>
      </c>
      <c r="C277" s="576" t="s">
        <v>431</v>
      </c>
      <c r="E277"/>
      <c r="F277"/>
      <c r="G277"/>
    </row>
    <row r="278" spans="1:7" ht="12.75" x14ac:dyDescent="0.2">
      <c r="A278" s="572">
        <v>271</v>
      </c>
      <c r="B278" s="577" t="s">
        <v>432</v>
      </c>
      <c r="C278" s="576" t="s">
        <v>433</v>
      </c>
      <c r="E278"/>
      <c r="F278"/>
      <c r="G278"/>
    </row>
    <row r="279" spans="1:7" ht="12.75" x14ac:dyDescent="0.2">
      <c r="A279" s="572">
        <v>272</v>
      </c>
      <c r="B279" s="577" t="s">
        <v>434</v>
      </c>
      <c r="C279" s="576" t="s">
        <v>435</v>
      </c>
      <c r="E279"/>
      <c r="F279"/>
      <c r="G279"/>
    </row>
    <row r="280" spans="1:7" ht="12.75" x14ac:dyDescent="0.2">
      <c r="A280" s="572">
        <v>273</v>
      </c>
      <c r="B280" s="577" t="s">
        <v>436</v>
      </c>
      <c r="C280" s="576" t="s">
        <v>437</v>
      </c>
      <c r="E280"/>
      <c r="F280"/>
      <c r="G280"/>
    </row>
    <row r="281" spans="1:7" ht="12.75" x14ac:dyDescent="0.2">
      <c r="A281" s="572">
        <v>274</v>
      </c>
      <c r="B281" s="577" t="s">
        <v>438</v>
      </c>
      <c r="C281" s="576" t="s">
        <v>439</v>
      </c>
      <c r="E281"/>
      <c r="F281"/>
      <c r="G281"/>
    </row>
    <row r="282" spans="1:7" ht="12.75" x14ac:dyDescent="0.2">
      <c r="A282" s="572">
        <v>275</v>
      </c>
      <c r="B282" s="577" t="s">
        <v>440</v>
      </c>
      <c r="C282" s="576" t="s">
        <v>441</v>
      </c>
      <c r="E282"/>
      <c r="F282"/>
      <c r="G282"/>
    </row>
    <row r="283" spans="1:7" ht="12.75" x14ac:dyDescent="0.2">
      <c r="A283" s="572">
        <v>276</v>
      </c>
      <c r="B283" s="578" t="s">
        <v>574</v>
      </c>
      <c r="C283" s="576" t="s">
        <v>443</v>
      </c>
      <c r="E283"/>
      <c r="F283"/>
      <c r="G283"/>
    </row>
    <row r="284" spans="1:7" ht="12.75" x14ac:dyDescent="0.2">
      <c r="A284" s="572">
        <v>277</v>
      </c>
      <c r="B284" s="577" t="s">
        <v>444</v>
      </c>
      <c r="C284" s="576" t="s">
        <v>445</v>
      </c>
      <c r="E284"/>
      <c r="F284"/>
      <c r="G284"/>
    </row>
    <row r="285" spans="1:7" ht="12.75" x14ac:dyDescent="0.2">
      <c r="A285" s="572">
        <v>278</v>
      </c>
      <c r="B285" s="578" t="s">
        <v>564</v>
      </c>
      <c r="C285" s="576" t="s">
        <v>447</v>
      </c>
      <c r="E285"/>
      <c r="F285"/>
      <c r="G285"/>
    </row>
    <row r="286" spans="1:7" ht="12.75" x14ac:dyDescent="0.2">
      <c r="A286" s="572">
        <v>279</v>
      </c>
      <c r="B286" s="577" t="s">
        <v>448</v>
      </c>
      <c r="C286" s="576" t="s">
        <v>449</v>
      </c>
      <c r="E286"/>
      <c r="F286"/>
      <c r="G286"/>
    </row>
    <row r="287" spans="1:7" ht="12.75" x14ac:dyDescent="0.2">
      <c r="A287" s="572">
        <v>280</v>
      </c>
      <c r="B287" s="577" t="s">
        <v>450</v>
      </c>
      <c r="C287" s="576" t="s">
        <v>451</v>
      </c>
      <c r="E287"/>
      <c r="F287"/>
      <c r="G287"/>
    </row>
    <row r="288" spans="1:7" ht="12.75" x14ac:dyDescent="0.2">
      <c r="A288" s="572">
        <v>281</v>
      </c>
      <c r="B288" s="577" t="s">
        <v>452</v>
      </c>
      <c r="C288" s="576" t="s">
        <v>453</v>
      </c>
      <c r="E288"/>
      <c r="F288"/>
      <c r="G288"/>
    </row>
    <row r="289" spans="1:48" ht="12.75" x14ac:dyDescent="0.2">
      <c r="A289" s="572">
        <v>282</v>
      </c>
      <c r="B289" s="577" t="s">
        <v>454</v>
      </c>
      <c r="C289" s="576" t="s">
        <v>455</v>
      </c>
      <c r="E289"/>
      <c r="F289"/>
      <c r="G289"/>
    </row>
    <row r="290" spans="1:48" ht="12.75" x14ac:dyDescent="0.2">
      <c r="A290" s="572">
        <v>283</v>
      </c>
      <c r="B290" s="577" t="s">
        <v>456</v>
      </c>
      <c r="C290" s="576" t="s">
        <v>457</v>
      </c>
      <c r="E290"/>
      <c r="F290"/>
      <c r="G290"/>
    </row>
    <row r="291" spans="1:48" ht="12.75" x14ac:dyDescent="0.2">
      <c r="A291" s="572">
        <v>284</v>
      </c>
      <c r="B291" s="577" t="s">
        <v>458</v>
      </c>
      <c r="C291" s="576" t="s">
        <v>459</v>
      </c>
      <c r="E291"/>
      <c r="F291"/>
      <c r="G291"/>
    </row>
    <row r="292" spans="1:48" ht="12.75" x14ac:dyDescent="0.2">
      <c r="A292" s="572">
        <v>285</v>
      </c>
      <c r="B292" s="577" t="s">
        <v>460</v>
      </c>
      <c r="C292" s="576" t="s">
        <v>461</v>
      </c>
      <c r="E292"/>
      <c r="F292"/>
      <c r="G292"/>
    </row>
    <row r="293" spans="1:48" ht="12.75" x14ac:dyDescent="0.2">
      <c r="A293" s="572">
        <v>286</v>
      </c>
      <c r="B293" s="577" t="s">
        <v>462</v>
      </c>
      <c r="C293" s="576" t="s">
        <v>463</v>
      </c>
      <c r="E293"/>
      <c r="F293"/>
      <c r="G293"/>
    </row>
    <row r="294" spans="1:48" ht="12.75" x14ac:dyDescent="0.2">
      <c r="A294" s="572">
        <v>287</v>
      </c>
      <c r="B294" s="577" t="s">
        <v>464</v>
      </c>
      <c r="C294" s="576" t="s">
        <v>465</v>
      </c>
      <c r="E294"/>
      <c r="F294"/>
      <c r="G294"/>
    </row>
    <row r="295" spans="1:48" s="623" customFormat="1" ht="12.75" x14ac:dyDescent="0.2">
      <c r="A295" s="572">
        <v>288</v>
      </c>
      <c r="B295" s="577" t="s">
        <v>466</v>
      </c>
      <c r="C295" s="576" t="s">
        <v>467</v>
      </c>
      <c r="D295" s="554"/>
      <c r="E295"/>
      <c r="F295"/>
      <c r="G295"/>
      <c r="H295" s="554"/>
      <c r="I295" s="554"/>
      <c r="J295" s="554"/>
      <c r="K295" s="554"/>
      <c r="L295" s="554"/>
      <c r="M295" s="554"/>
      <c r="N295" s="554"/>
      <c r="O295" s="554"/>
      <c r="P295" s="554"/>
      <c r="Q295" s="554"/>
      <c r="R295" s="554"/>
      <c r="S295" s="554"/>
      <c r="T295" s="554"/>
      <c r="U295" s="554"/>
      <c r="V295" s="554"/>
      <c r="W295" s="554"/>
      <c r="X295" s="554"/>
      <c r="Y295" s="554"/>
      <c r="Z295" s="554"/>
      <c r="AA295" s="554"/>
      <c r="AB295" s="554"/>
      <c r="AC295" s="554"/>
      <c r="AD295" s="554"/>
      <c r="AE295" s="554"/>
      <c r="AF295" s="554"/>
      <c r="AG295" s="554"/>
      <c r="AH295" s="554"/>
      <c r="AI295" s="554"/>
      <c r="AJ295" s="554"/>
      <c r="AK295" s="554"/>
      <c r="AL295" s="554"/>
      <c r="AM295" s="554"/>
      <c r="AN295" s="554"/>
      <c r="AO295" s="554"/>
      <c r="AP295" s="554"/>
      <c r="AQ295" s="554"/>
      <c r="AR295" s="554"/>
      <c r="AS295" s="554"/>
      <c r="AT295" s="554"/>
      <c r="AU295" s="554"/>
      <c r="AV295" s="555"/>
    </row>
    <row r="296" spans="1:48" ht="12.75" x14ac:dyDescent="0.2">
      <c r="A296" s="572">
        <v>289</v>
      </c>
      <c r="B296" s="578" t="s">
        <v>550</v>
      </c>
      <c r="C296" s="576" t="s">
        <v>469</v>
      </c>
      <c r="E296"/>
      <c r="F296"/>
      <c r="G296"/>
    </row>
    <row r="297" spans="1:48" ht="12.75" x14ac:dyDescent="0.2">
      <c r="A297" s="572">
        <v>290</v>
      </c>
      <c r="B297" s="577" t="s">
        <v>470</v>
      </c>
      <c r="C297" s="576" t="s">
        <v>471</v>
      </c>
      <c r="E297"/>
      <c r="F297"/>
      <c r="G297"/>
    </row>
    <row r="298" spans="1:48" ht="12.75" x14ac:dyDescent="0.2">
      <c r="A298" s="572">
        <v>291</v>
      </c>
      <c r="B298" s="577" t="s">
        <v>472</v>
      </c>
      <c r="C298" s="576" t="s">
        <v>473</v>
      </c>
      <c r="E298"/>
      <c r="F298"/>
      <c r="G298"/>
    </row>
    <row r="299" spans="1:48" ht="12.75" x14ac:dyDescent="0.2">
      <c r="A299" s="572">
        <v>292</v>
      </c>
      <c r="B299" s="577" t="s">
        <v>474</v>
      </c>
      <c r="C299" s="576" t="s">
        <v>475</v>
      </c>
      <c r="E299"/>
      <c r="F299"/>
      <c r="G299"/>
    </row>
    <row r="300" spans="1:48" ht="12.75" x14ac:dyDescent="0.2">
      <c r="A300" s="572">
        <v>293</v>
      </c>
      <c r="B300" s="577" t="s">
        <v>476</v>
      </c>
      <c r="C300" s="576" t="s">
        <v>477</v>
      </c>
      <c r="E300"/>
      <c r="F300"/>
      <c r="G300"/>
    </row>
    <row r="301" spans="1:48" s="623" customFormat="1" ht="12.75" x14ac:dyDescent="0.2">
      <c r="A301" s="572">
        <v>294</v>
      </c>
      <c r="B301" s="577" t="s">
        <v>478</v>
      </c>
      <c r="C301" s="576" t="s">
        <v>479</v>
      </c>
      <c r="D301" s="554"/>
      <c r="E301"/>
      <c r="F301"/>
      <c r="G301"/>
      <c r="H301" s="554"/>
      <c r="I301" s="554"/>
      <c r="J301" s="554"/>
      <c r="K301" s="554"/>
      <c r="L301" s="554"/>
      <c r="M301" s="554"/>
      <c r="N301" s="554"/>
      <c r="O301" s="554"/>
      <c r="P301" s="554"/>
      <c r="Q301" s="554"/>
      <c r="R301" s="554"/>
      <c r="S301" s="554"/>
      <c r="T301" s="554"/>
      <c r="U301" s="554"/>
      <c r="V301" s="554"/>
      <c r="W301" s="554"/>
      <c r="X301" s="554"/>
      <c r="Y301" s="554"/>
      <c r="Z301" s="554"/>
      <c r="AA301" s="554"/>
      <c r="AB301" s="554"/>
      <c r="AC301" s="554"/>
      <c r="AD301" s="554"/>
      <c r="AE301" s="554"/>
      <c r="AF301" s="554"/>
      <c r="AG301" s="554"/>
      <c r="AH301" s="554"/>
      <c r="AI301" s="554"/>
      <c r="AJ301" s="554"/>
      <c r="AK301" s="554"/>
      <c r="AL301" s="554"/>
      <c r="AM301" s="554"/>
      <c r="AN301" s="554"/>
      <c r="AO301" s="554"/>
      <c r="AP301" s="554"/>
      <c r="AQ301" s="554"/>
      <c r="AR301" s="554"/>
      <c r="AS301" s="554"/>
      <c r="AT301" s="554"/>
      <c r="AU301" s="554"/>
      <c r="AV301" s="555"/>
    </row>
    <row r="302" spans="1:48" ht="12.75" x14ac:dyDescent="0.2">
      <c r="A302" s="572">
        <v>295</v>
      </c>
      <c r="B302" s="577" t="s">
        <v>480</v>
      </c>
      <c r="C302" s="576" t="s">
        <v>481</v>
      </c>
      <c r="E302"/>
      <c r="F302"/>
      <c r="G302"/>
    </row>
    <row r="303" spans="1:48" ht="12.75" x14ac:dyDescent="0.2">
      <c r="A303" s="572">
        <v>296</v>
      </c>
      <c r="B303" s="578" t="s">
        <v>538</v>
      </c>
      <c r="C303" s="576" t="s">
        <v>483</v>
      </c>
      <c r="E303"/>
      <c r="F303"/>
      <c r="G303"/>
    </row>
    <row r="304" spans="1:48" ht="12.75" x14ac:dyDescent="0.2">
      <c r="A304" s="572">
        <v>297</v>
      </c>
      <c r="B304" s="577" t="s">
        <v>484</v>
      </c>
      <c r="C304" s="576" t="s">
        <v>485</v>
      </c>
      <c r="E304"/>
      <c r="F304"/>
      <c r="G304"/>
    </row>
    <row r="305" spans="1:48" ht="12.75" x14ac:dyDescent="0.2">
      <c r="A305" s="572">
        <v>298</v>
      </c>
      <c r="B305" s="577" t="s">
        <v>486</v>
      </c>
      <c r="C305" s="576" t="s">
        <v>487</v>
      </c>
      <c r="E305"/>
      <c r="F305"/>
      <c r="G305"/>
    </row>
    <row r="306" spans="1:48" s="623" customFormat="1" ht="12.75" x14ac:dyDescent="0.2">
      <c r="A306" s="572">
        <v>299</v>
      </c>
      <c r="B306" s="577" t="s">
        <v>488</v>
      </c>
      <c r="C306" s="576" t="s">
        <v>489</v>
      </c>
      <c r="D306" s="554"/>
      <c r="E306"/>
      <c r="F306"/>
      <c r="G306"/>
      <c r="H306" s="554"/>
      <c r="I306" s="554"/>
      <c r="J306" s="554"/>
      <c r="K306" s="554"/>
      <c r="L306" s="554"/>
      <c r="M306" s="554"/>
      <c r="N306" s="554"/>
      <c r="O306" s="554"/>
      <c r="P306" s="554"/>
      <c r="Q306" s="554"/>
      <c r="R306" s="554"/>
      <c r="S306" s="554"/>
      <c r="T306" s="554"/>
      <c r="U306" s="554"/>
      <c r="V306" s="554"/>
      <c r="W306" s="554"/>
      <c r="X306" s="554"/>
      <c r="Y306" s="554"/>
      <c r="Z306" s="554"/>
      <c r="AA306" s="554"/>
      <c r="AB306" s="554"/>
      <c r="AC306" s="554"/>
      <c r="AD306" s="554"/>
      <c r="AE306" s="554"/>
      <c r="AF306" s="554"/>
      <c r="AG306" s="554"/>
      <c r="AH306" s="554"/>
      <c r="AI306" s="554"/>
      <c r="AJ306" s="554"/>
      <c r="AK306" s="554"/>
      <c r="AL306" s="554"/>
      <c r="AM306" s="554"/>
      <c r="AN306" s="554"/>
      <c r="AO306" s="554"/>
      <c r="AP306" s="554"/>
      <c r="AQ306" s="554"/>
      <c r="AR306" s="554"/>
      <c r="AS306" s="554"/>
      <c r="AT306" s="554"/>
      <c r="AU306" s="554"/>
      <c r="AV306" s="555"/>
    </row>
    <row r="307" spans="1:48" ht="12.75" x14ac:dyDescent="0.2">
      <c r="A307" s="572">
        <v>300</v>
      </c>
      <c r="B307" s="577" t="s">
        <v>490</v>
      </c>
      <c r="C307" s="576" t="s">
        <v>491</v>
      </c>
      <c r="E307"/>
      <c r="F307"/>
      <c r="G307"/>
    </row>
    <row r="308" spans="1:48" s="645" customFormat="1" ht="12.75" x14ac:dyDescent="0.2">
      <c r="A308" s="641">
        <v>301</v>
      </c>
      <c r="B308" s="642" t="s">
        <v>1151</v>
      </c>
      <c r="C308" s="646" t="s">
        <v>1152</v>
      </c>
      <c r="D308" s="644"/>
      <c r="E308" s="680"/>
      <c r="F308" s="680"/>
      <c r="G308" s="680"/>
      <c r="H308" s="644"/>
      <c r="I308" s="644"/>
      <c r="J308" s="644"/>
      <c r="K308" s="644"/>
      <c r="L308" s="644"/>
      <c r="M308" s="644"/>
      <c r="N308" s="644"/>
      <c r="O308" s="644"/>
      <c r="P308" s="644"/>
      <c r="Q308" s="644"/>
      <c r="R308" s="644"/>
      <c r="S308" s="644"/>
      <c r="T308" s="644"/>
      <c r="U308" s="644"/>
      <c r="V308" s="644"/>
      <c r="W308" s="644"/>
      <c r="X308" s="644"/>
      <c r="Y308" s="644"/>
      <c r="Z308" s="644"/>
      <c r="AA308" s="644"/>
      <c r="AB308" s="644"/>
      <c r="AC308" s="644"/>
      <c r="AD308" s="644"/>
      <c r="AE308" s="644"/>
      <c r="AF308" s="644"/>
      <c r="AG308" s="644"/>
      <c r="AH308" s="644"/>
      <c r="AI308" s="644"/>
      <c r="AJ308" s="644"/>
      <c r="AK308" s="644"/>
      <c r="AL308" s="644"/>
      <c r="AM308" s="644"/>
      <c r="AN308" s="644"/>
      <c r="AO308" s="644"/>
      <c r="AP308" s="644"/>
      <c r="AQ308" s="644"/>
      <c r="AR308" s="644"/>
      <c r="AS308" s="644"/>
      <c r="AT308" s="644"/>
      <c r="AU308" s="644"/>
      <c r="AV308" s="644"/>
    </row>
    <row r="309" spans="1:48" ht="12.75" x14ac:dyDescent="0.2">
      <c r="A309" s="572">
        <v>302</v>
      </c>
      <c r="B309" s="577" t="s">
        <v>492</v>
      </c>
      <c r="C309" s="576" t="s">
        <v>493</v>
      </c>
      <c r="E309"/>
      <c r="F309"/>
      <c r="G309"/>
    </row>
    <row r="310" spans="1:48" ht="12.75" x14ac:dyDescent="0.2">
      <c r="A310" s="572">
        <v>303</v>
      </c>
      <c r="B310" s="577" t="s">
        <v>494</v>
      </c>
      <c r="C310" s="576" t="s">
        <v>495</v>
      </c>
      <c r="E310"/>
      <c r="F310"/>
      <c r="G310"/>
    </row>
    <row r="311" spans="1:48" ht="12.75" x14ac:dyDescent="0.2">
      <c r="A311" s="572">
        <v>304</v>
      </c>
      <c r="B311" s="577" t="s">
        <v>496</v>
      </c>
      <c r="C311" s="576" t="s">
        <v>497</v>
      </c>
      <c r="E311"/>
      <c r="F311"/>
      <c r="G311"/>
    </row>
    <row r="312" spans="1:48" ht="12.75" x14ac:dyDescent="0.2">
      <c r="A312" s="572">
        <v>305</v>
      </c>
      <c r="B312" s="577" t="s">
        <v>498</v>
      </c>
      <c r="C312" s="576" t="s">
        <v>499</v>
      </c>
      <c r="E312"/>
      <c r="F312"/>
      <c r="G312"/>
    </row>
    <row r="313" spans="1:48" ht="12.75" x14ac:dyDescent="0.2">
      <c r="A313" s="572">
        <v>306</v>
      </c>
      <c r="B313" s="578" t="s">
        <v>894</v>
      </c>
      <c r="C313" s="576" t="s">
        <v>501</v>
      </c>
      <c r="E313"/>
      <c r="F313"/>
      <c r="G313"/>
    </row>
    <row r="314" spans="1:48" ht="12.75" x14ac:dyDescent="0.2">
      <c r="A314" s="572">
        <v>307</v>
      </c>
      <c r="B314" s="577" t="s">
        <v>502</v>
      </c>
      <c r="C314" s="576" t="s">
        <v>503</v>
      </c>
      <c r="E314"/>
      <c r="F314"/>
      <c r="G314"/>
    </row>
    <row r="315" spans="1:48" ht="12.75" x14ac:dyDescent="0.2">
      <c r="A315" s="572">
        <v>308</v>
      </c>
      <c r="B315" s="577" t="s">
        <v>504</v>
      </c>
      <c r="C315" s="576" t="s">
        <v>505</v>
      </c>
      <c r="E315"/>
      <c r="F315"/>
      <c r="G315"/>
    </row>
    <row r="316" spans="1:48" ht="12.75" x14ac:dyDescent="0.2">
      <c r="A316" s="572">
        <v>309</v>
      </c>
      <c r="B316" s="578" t="s">
        <v>541</v>
      </c>
      <c r="C316" s="576" t="s">
        <v>507</v>
      </c>
      <c r="E316"/>
      <c r="F316"/>
      <c r="G316"/>
    </row>
    <row r="317" spans="1:48" ht="12.75" x14ac:dyDescent="0.2">
      <c r="A317" s="572">
        <v>310</v>
      </c>
      <c r="B317" s="577" t="s">
        <v>508</v>
      </c>
      <c r="C317" s="576" t="s">
        <v>509</v>
      </c>
      <c r="E317"/>
      <c r="F317"/>
      <c r="G317"/>
    </row>
    <row r="318" spans="1:48" ht="12.75" x14ac:dyDescent="0.2">
      <c r="A318" s="572">
        <v>311</v>
      </c>
      <c r="B318" s="577" t="s">
        <v>510</v>
      </c>
      <c r="C318" s="576" t="s">
        <v>511</v>
      </c>
      <c r="E318"/>
      <c r="F318"/>
      <c r="G318"/>
    </row>
    <row r="319" spans="1:48" ht="12.75" x14ac:dyDescent="0.2">
      <c r="A319" s="572">
        <v>312</v>
      </c>
      <c r="B319" s="577" t="s">
        <v>512</v>
      </c>
      <c r="C319" s="576" t="s">
        <v>513</v>
      </c>
      <c r="E319"/>
      <c r="F319"/>
      <c r="G319"/>
    </row>
    <row r="320" spans="1:48" ht="12.75" x14ac:dyDescent="0.2">
      <c r="A320" s="572">
        <v>313</v>
      </c>
      <c r="B320" s="577" t="s">
        <v>514</v>
      </c>
      <c r="C320" s="576" t="s">
        <v>515</v>
      </c>
      <c r="E320"/>
      <c r="F320"/>
      <c r="G320"/>
    </row>
    <row r="321" spans="1:48" s="583" customFormat="1" ht="12.75" x14ac:dyDescent="0.2">
      <c r="A321" s="572">
        <v>314</v>
      </c>
      <c r="B321" s="577" t="s">
        <v>516</v>
      </c>
      <c r="C321" s="576" t="s">
        <v>517</v>
      </c>
      <c r="D321" s="554"/>
      <c r="E321"/>
      <c r="F321"/>
      <c r="G321"/>
      <c r="H321" s="554"/>
      <c r="I321" s="554"/>
      <c r="J321" s="554"/>
      <c r="K321" s="554"/>
      <c r="L321" s="554"/>
      <c r="M321" s="554"/>
      <c r="N321" s="554"/>
      <c r="O321" s="554"/>
      <c r="P321" s="554"/>
      <c r="Q321" s="554"/>
      <c r="R321" s="554"/>
      <c r="S321" s="554"/>
      <c r="T321" s="554"/>
      <c r="U321" s="554"/>
      <c r="V321" s="554"/>
      <c r="W321" s="554"/>
      <c r="X321" s="554"/>
      <c r="Y321" s="554"/>
      <c r="Z321" s="554"/>
      <c r="AA321" s="554"/>
      <c r="AB321" s="554"/>
      <c r="AC321" s="554"/>
      <c r="AD321" s="554"/>
      <c r="AE321" s="554"/>
      <c r="AF321" s="554"/>
      <c r="AG321" s="554"/>
      <c r="AH321" s="554"/>
      <c r="AI321" s="554"/>
      <c r="AJ321" s="554"/>
      <c r="AK321" s="554"/>
      <c r="AL321" s="554"/>
      <c r="AM321" s="554"/>
      <c r="AN321" s="554"/>
      <c r="AO321" s="554"/>
      <c r="AP321" s="554"/>
      <c r="AQ321" s="554"/>
      <c r="AR321" s="554"/>
      <c r="AS321" s="554"/>
      <c r="AT321" s="554"/>
      <c r="AU321" s="554"/>
      <c r="AV321" s="555"/>
    </row>
    <row r="322" spans="1:48" s="583" customFormat="1" ht="12.75" x14ac:dyDescent="0.2">
      <c r="A322" s="572">
        <v>315</v>
      </c>
      <c r="B322" s="577" t="s">
        <v>518</v>
      </c>
      <c r="C322" s="576" t="s">
        <v>519</v>
      </c>
      <c r="D322" s="554"/>
      <c r="E322"/>
      <c r="F322"/>
      <c r="G322"/>
      <c r="H322" s="554"/>
      <c r="I322" s="554"/>
      <c r="J322" s="554"/>
      <c r="K322" s="554"/>
      <c r="L322" s="554"/>
      <c r="M322" s="554"/>
      <c r="N322" s="554"/>
      <c r="O322" s="554"/>
      <c r="P322" s="554"/>
      <c r="Q322" s="554"/>
      <c r="R322" s="554"/>
      <c r="S322" s="554"/>
      <c r="T322" s="554"/>
      <c r="U322" s="554"/>
      <c r="V322" s="554"/>
      <c r="W322" s="554"/>
      <c r="X322" s="554"/>
      <c r="Y322" s="554"/>
      <c r="Z322" s="554"/>
      <c r="AA322" s="554"/>
      <c r="AB322" s="554"/>
      <c r="AC322" s="554"/>
      <c r="AD322" s="554"/>
      <c r="AE322" s="554"/>
      <c r="AF322" s="554"/>
      <c r="AG322" s="554"/>
      <c r="AH322" s="554"/>
      <c r="AI322" s="554"/>
      <c r="AJ322" s="554"/>
      <c r="AK322" s="554"/>
      <c r="AL322" s="554"/>
      <c r="AM322" s="554"/>
      <c r="AN322" s="554"/>
      <c r="AO322" s="554"/>
      <c r="AP322" s="554"/>
      <c r="AQ322" s="554"/>
      <c r="AR322" s="554"/>
      <c r="AS322" s="554"/>
      <c r="AT322" s="554"/>
      <c r="AU322" s="554"/>
      <c r="AV322" s="555"/>
    </row>
    <row r="323" spans="1:48" s="583" customFormat="1" ht="12.75" x14ac:dyDescent="0.2">
      <c r="A323" s="572">
        <v>316</v>
      </c>
      <c r="B323" s="577" t="s">
        <v>520</v>
      </c>
      <c r="C323" s="576" t="s">
        <v>521</v>
      </c>
      <c r="D323" s="554"/>
      <c r="E323"/>
      <c r="F323"/>
      <c r="G323"/>
      <c r="H323" s="554"/>
      <c r="I323" s="554"/>
      <c r="J323" s="554"/>
      <c r="K323" s="554"/>
      <c r="L323" s="554"/>
      <c r="M323" s="554"/>
      <c r="N323" s="554"/>
      <c r="O323" s="554"/>
      <c r="P323" s="554"/>
      <c r="Q323" s="554"/>
      <c r="R323" s="554"/>
      <c r="S323" s="554"/>
      <c r="T323" s="554"/>
      <c r="U323" s="554"/>
      <c r="V323" s="554"/>
      <c r="W323" s="554"/>
      <c r="X323" s="554"/>
      <c r="Y323" s="554"/>
      <c r="Z323" s="554"/>
      <c r="AA323" s="554"/>
      <c r="AB323" s="554"/>
      <c r="AC323" s="554"/>
      <c r="AD323" s="554"/>
      <c r="AE323" s="554"/>
      <c r="AF323" s="554"/>
      <c r="AG323" s="554"/>
      <c r="AH323" s="554"/>
      <c r="AI323" s="554"/>
      <c r="AJ323" s="554"/>
      <c r="AK323" s="554"/>
      <c r="AL323" s="554"/>
      <c r="AM323" s="554"/>
      <c r="AN323" s="554"/>
      <c r="AO323" s="554"/>
      <c r="AP323" s="554"/>
      <c r="AQ323" s="554"/>
      <c r="AR323" s="554"/>
      <c r="AS323" s="554"/>
      <c r="AT323" s="554"/>
      <c r="AU323" s="554"/>
      <c r="AV323" s="555"/>
    </row>
    <row r="324" spans="1:48" s="583" customFormat="1" ht="13.5" thickBot="1" x14ac:dyDescent="0.25">
      <c r="A324" s="572">
        <v>317</v>
      </c>
      <c r="B324" s="581" t="s">
        <v>602</v>
      </c>
      <c r="C324" s="582" t="s">
        <v>523</v>
      </c>
      <c r="D324" s="554"/>
      <c r="E324"/>
      <c r="F324"/>
      <c r="G324"/>
      <c r="H324" s="554"/>
      <c r="I324" s="554"/>
      <c r="J324" s="554"/>
      <c r="K324" s="554"/>
      <c r="L324" s="554"/>
      <c r="M324" s="554"/>
      <c r="N324" s="554"/>
      <c r="O324" s="554"/>
      <c r="P324" s="554"/>
      <c r="Q324" s="554"/>
      <c r="R324" s="554"/>
      <c r="S324" s="554"/>
      <c r="T324" s="554"/>
      <c r="U324" s="554"/>
      <c r="V324" s="554"/>
      <c r="W324" s="554"/>
      <c r="X324" s="554"/>
      <c r="Y324" s="554"/>
      <c r="Z324" s="554"/>
      <c r="AA324" s="554"/>
      <c r="AB324" s="554"/>
      <c r="AC324" s="554"/>
      <c r="AD324" s="554"/>
      <c r="AE324" s="554"/>
      <c r="AF324" s="554"/>
      <c r="AG324" s="554"/>
      <c r="AH324" s="554"/>
      <c r="AI324" s="554"/>
      <c r="AJ324" s="554"/>
      <c r="AK324" s="554"/>
      <c r="AL324" s="554"/>
      <c r="AM324" s="554"/>
      <c r="AN324" s="554"/>
      <c r="AO324" s="554"/>
      <c r="AP324" s="554"/>
      <c r="AQ324" s="554"/>
      <c r="AR324" s="554"/>
      <c r="AS324" s="554"/>
      <c r="AT324" s="554"/>
      <c r="AU324" s="554"/>
      <c r="AV324" s="555"/>
    </row>
    <row r="325" spans="1:48" ht="13.5" thickBot="1" x14ac:dyDescent="0.25">
      <c r="A325" s="640">
        <v>318</v>
      </c>
      <c r="B325" s="818" t="s">
        <v>1230</v>
      </c>
      <c r="C325" s="692" t="s">
        <v>524</v>
      </c>
    </row>
    <row r="326" spans="1:48" s="583" customFormat="1" x14ac:dyDescent="0.2">
      <c r="A326" s="584"/>
      <c r="B326" s="584"/>
      <c r="C326" s="584"/>
    </row>
    <row r="327" spans="1:48" s="583" customFormat="1" x14ac:dyDescent="0.2">
      <c r="A327" s="584"/>
      <c r="B327" s="584"/>
      <c r="C327" s="584"/>
    </row>
    <row r="328" spans="1:48" s="583" customFormat="1" x14ac:dyDescent="0.2">
      <c r="A328" s="584"/>
      <c r="B328" s="584"/>
      <c r="C328" s="584"/>
    </row>
    <row r="329" spans="1:48" s="583" customFormat="1" x14ac:dyDescent="0.2">
      <c r="A329" s="584"/>
      <c r="B329" s="584"/>
      <c r="C329" s="584"/>
    </row>
    <row r="330" spans="1:48" s="583" customFormat="1" x14ac:dyDescent="0.2">
      <c r="A330" s="584"/>
      <c r="B330" s="584"/>
      <c r="C330" s="584"/>
    </row>
    <row r="331" spans="1:48" s="583" customFormat="1" x14ac:dyDescent="0.2">
      <c r="A331" s="584"/>
      <c r="B331" s="584"/>
      <c r="C331" s="584"/>
    </row>
    <row r="332" spans="1:48" s="583" customFormat="1" x14ac:dyDescent="0.2">
      <c r="A332" s="584"/>
      <c r="B332" s="584"/>
      <c r="C332" s="584"/>
    </row>
    <row r="333" spans="1:48" s="583" customFormat="1" x14ac:dyDescent="0.2">
      <c r="A333" s="584"/>
      <c r="B333" s="584"/>
      <c r="C333" s="584"/>
    </row>
    <row r="334" spans="1:48" s="583" customFormat="1" x14ac:dyDescent="0.2">
      <c r="A334" s="584"/>
      <c r="B334" s="584"/>
      <c r="C334" s="584"/>
    </row>
    <row r="335" spans="1:48" s="583" customFormat="1" x14ac:dyDescent="0.2">
      <c r="A335" s="584"/>
      <c r="B335" s="584"/>
      <c r="C335" s="584"/>
    </row>
    <row r="336" spans="1:48" s="583" customFormat="1" x14ac:dyDescent="0.2">
      <c r="A336" s="584"/>
      <c r="B336" s="584"/>
      <c r="C336" s="584"/>
    </row>
    <row r="337" spans="1:3" s="583" customFormat="1" x14ac:dyDescent="0.2">
      <c r="A337" s="584"/>
      <c r="B337" s="584"/>
      <c r="C337" s="584"/>
    </row>
    <row r="338" spans="1:3" s="583" customFormat="1" x14ac:dyDescent="0.2">
      <c r="A338" s="584"/>
      <c r="B338" s="584"/>
      <c r="C338" s="584"/>
    </row>
    <row r="339" spans="1:3" s="583" customFormat="1" x14ac:dyDescent="0.2">
      <c r="A339" s="584"/>
      <c r="B339" s="584"/>
      <c r="C339" s="584"/>
    </row>
    <row r="340" spans="1:3" s="583" customFormat="1" x14ac:dyDescent="0.2">
      <c r="A340" s="584"/>
      <c r="B340" s="584"/>
      <c r="C340" s="584"/>
    </row>
    <row r="341" spans="1:3" s="583" customFormat="1" x14ac:dyDescent="0.2">
      <c r="A341" s="584"/>
      <c r="B341" s="584"/>
      <c r="C341" s="584"/>
    </row>
    <row r="342" spans="1:3" s="583" customFormat="1" x14ac:dyDescent="0.2">
      <c r="A342" s="584"/>
      <c r="B342" s="584"/>
      <c r="C342" s="584"/>
    </row>
    <row r="343" spans="1:3" s="583" customFormat="1" x14ac:dyDescent="0.2">
      <c r="A343" s="584"/>
      <c r="B343" s="584"/>
      <c r="C343" s="584"/>
    </row>
    <row r="344" spans="1:3" s="583" customFormat="1" x14ac:dyDescent="0.2">
      <c r="A344" s="584"/>
      <c r="B344" s="584"/>
      <c r="C344" s="584"/>
    </row>
    <row r="345" spans="1:3" s="583" customFormat="1" x14ac:dyDescent="0.2">
      <c r="A345" s="584"/>
      <c r="B345" s="584"/>
      <c r="C345" s="584"/>
    </row>
    <row r="346" spans="1:3" s="583" customFormat="1" x14ac:dyDescent="0.2">
      <c r="A346" s="584"/>
      <c r="B346" s="584"/>
      <c r="C346" s="584"/>
    </row>
    <row r="347" spans="1:3" s="583" customFormat="1" x14ac:dyDescent="0.2">
      <c r="A347" s="584"/>
      <c r="B347" s="584"/>
      <c r="C347" s="584"/>
    </row>
    <row r="348" spans="1:3" s="583" customFormat="1" x14ac:dyDescent="0.2">
      <c r="A348" s="584"/>
      <c r="B348" s="584"/>
      <c r="C348" s="584"/>
    </row>
    <row r="349" spans="1:3" s="583" customFormat="1" x14ac:dyDescent="0.2">
      <c r="A349" s="584"/>
      <c r="B349" s="584"/>
      <c r="C349" s="584"/>
    </row>
    <row r="350" spans="1:3" s="583" customFormat="1" x14ac:dyDescent="0.2">
      <c r="A350" s="584"/>
      <c r="B350" s="584"/>
      <c r="C350" s="584"/>
    </row>
    <row r="351" spans="1:3" s="583" customFormat="1" x14ac:dyDescent="0.2">
      <c r="A351" s="584"/>
      <c r="B351" s="584"/>
      <c r="C351" s="584"/>
    </row>
    <row r="352" spans="1:3" s="583" customFormat="1" x14ac:dyDescent="0.2">
      <c r="A352" s="584"/>
      <c r="B352" s="584"/>
      <c r="C352" s="584"/>
    </row>
    <row r="353" spans="1:3" s="583" customFormat="1" x14ac:dyDescent="0.2">
      <c r="A353" s="584"/>
      <c r="B353" s="584"/>
      <c r="C353" s="584"/>
    </row>
    <row r="354" spans="1:3" s="583" customFormat="1" x14ac:dyDescent="0.2">
      <c r="A354" s="584"/>
      <c r="B354" s="584"/>
      <c r="C354" s="584"/>
    </row>
    <row r="355" spans="1:3" s="583" customFormat="1" x14ac:dyDescent="0.2">
      <c r="A355" s="584"/>
      <c r="B355" s="584"/>
      <c r="C355" s="584"/>
    </row>
    <row r="356" spans="1:3" s="583" customFormat="1" x14ac:dyDescent="0.2">
      <c r="A356" s="584"/>
      <c r="B356" s="584"/>
      <c r="C356" s="584"/>
    </row>
    <row r="357" spans="1:3" s="583" customFormat="1" x14ac:dyDescent="0.2">
      <c r="A357" s="584"/>
      <c r="B357" s="584"/>
      <c r="C357" s="584"/>
    </row>
    <row r="358" spans="1:3" s="583" customFormat="1" x14ac:dyDescent="0.2">
      <c r="A358" s="584"/>
      <c r="B358" s="584"/>
      <c r="C358" s="584"/>
    </row>
    <row r="359" spans="1:3" s="583" customFormat="1" x14ac:dyDescent="0.2">
      <c r="A359" s="584"/>
      <c r="B359" s="584"/>
      <c r="C359" s="584"/>
    </row>
    <row r="360" spans="1:3" s="583" customFormat="1" x14ac:dyDescent="0.2">
      <c r="A360" s="584"/>
      <c r="B360" s="584"/>
      <c r="C360" s="584"/>
    </row>
    <row r="361" spans="1:3" s="583" customFormat="1" x14ac:dyDescent="0.2">
      <c r="A361" s="584"/>
      <c r="B361" s="584"/>
      <c r="C361" s="584"/>
    </row>
    <row r="362" spans="1:3" s="583" customFormat="1" x14ac:dyDescent="0.2">
      <c r="A362" s="584"/>
      <c r="B362" s="584"/>
      <c r="C362" s="584"/>
    </row>
    <row r="363" spans="1:3" s="583" customFormat="1" x14ac:dyDescent="0.2">
      <c r="A363" s="584"/>
      <c r="B363" s="584"/>
      <c r="C363" s="584"/>
    </row>
    <row r="364" spans="1:3" s="583" customFormat="1" x14ac:dyDescent="0.2">
      <c r="A364" s="584"/>
      <c r="B364" s="584"/>
      <c r="C364" s="584"/>
    </row>
    <row r="365" spans="1:3" s="583" customFormat="1" x14ac:dyDescent="0.2">
      <c r="A365" s="584"/>
      <c r="B365" s="584"/>
      <c r="C365" s="584"/>
    </row>
    <row r="366" spans="1:3" s="583" customFormat="1" x14ac:dyDescent="0.2">
      <c r="A366" s="584"/>
      <c r="B366" s="584"/>
      <c r="C366" s="584"/>
    </row>
    <row r="367" spans="1:3" s="583" customFormat="1" x14ac:dyDescent="0.2">
      <c r="A367" s="584"/>
      <c r="B367" s="584"/>
      <c r="C367" s="584"/>
    </row>
    <row r="368" spans="1:3" s="583" customFormat="1" x14ac:dyDescent="0.2">
      <c r="A368" s="584"/>
      <c r="B368" s="584"/>
      <c r="C368" s="584"/>
    </row>
    <row r="369" spans="1:3" s="583" customFormat="1" x14ac:dyDescent="0.2">
      <c r="A369" s="584"/>
      <c r="B369" s="584"/>
      <c r="C369" s="584"/>
    </row>
    <row r="370" spans="1:3" s="583" customFormat="1" x14ac:dyDescent="0.2">
      <c r="A370" s="584"/>
      <c r="B370" s="584"/>
      <c r="C370" s="584"/>
    </row>
    <row r="371" spans="1:3" s="583" customFormat="1" x14ac:dyDescent="0.2">
      <c r="A371" s="584"/>
      <c r="B371" s="584"/>
      <c r="C371" s="584"/>
    </row>
    <row r="372" spans="1:3" s="583" customFormat="1" x14ac:dyDescent="0.2">
      <c r="A372" s="584"/>
      <c r="B372" s="584"/>
      <c r="C372" s="584"/>
    </row>
    <row r="373" spans="1:3" s="583" customFormat="1" x14ac:dyDescent="0.2">
      <c r="A373" s="584"/>
      <c r="B373" s="584"/>
      <c r="C373" s="584"/>
    </row>
    <row r="374" spans="1:3" s="583" customFormat="1" x14ac:dyDescent="0.2">
      <c r="A374" s="584"/>
      <c r="B374" s="584"/>
      <c r="C374" s="584"/>
    </row>
    <row r="375" spans="1:3" s="583" customFormat="1" x14ac:dyDescent="0.2">
      <c r="A375" s="584"/>
      <c r="B375" s="584"/>
      <c r="C375" s="584"/>
    </row>
    <row r="376" spans="1:3" s="583" customFormat="1" x14ac:dyDescent="0.2">
      <c r="A376" s="584"/>
      <c r="B376" s="584"/>
      <c r="C376" s="584"/>
    </row>
    <row r="377" spans="1:3" s="583" customFormat="1" x14ac:dyDescent="0.2">
      <c r="A377" s="584"/>
      <c r="B377" s="584"/>
      <c r="C377" s="584"/>
    </row>
    <row r="378" spans="1:3" s="583" customFormat="1" x14ac:dyDescent="0.2">
      <c r="A378" s="584"/>
      <c r="B378" s="584"/>
      <c r="C378" s="584"/>
    </row>
    <row r="379" spans="1:3" s="583" customFormat="1" x14ac:dyDescent="0.2">
      <c r="A379" s="584"/>
      <c r="B379" s="584"/>
      <c r="C379" s="584"/>
    </row>
    <row r="380" spans="1:3" s="583" customFormat="1" x14ac:dyDescent="0.2">
      <c r="A380" s="584"/>
      <c r="B380" s="584"/>
      <c r="C380" s="584"/>
    </row>
    <row r="381" spans="1:3" s="583" customFormat="1" x14ac:dyDescent="0.2">
      <c r="A381" s="584"/>
      <c r="B381" s="584"/>
      <c r="C381" s="584"/>
    </row>
    <row r="382" spans="1:3" s="583" customFormat="1" x14ac:dyDescent="0.2">
      <c r="A382" s="584"/>
      <c r="B382" s="584"/>
      <c r="C382" s="584"/>
    </row>
    <row r="383" spans="1:3" s="583" customFormat="1" x14ac:dyDescent="0.2">
      <c r="A383" s="584"/>
      <c r="B383" s="584"/>
      <c r="C383" s="584"/>
    </row>
    <row r="384" spans="1:3" s="583" customFormat="1" x14ac:dyDescent="0.2">
      <c r="A384" s="584"/>
      <c r="B384" s="584"/>
      <c r="C384" s="584"/>
    </row>
    <row r="385" spans="1:3" s="583" customFormat="1" x14ac:dyDescent="0.2">
      <c r="A385" s="584"/>
      <c r="B385" s="584"/>
      <c r="C385" s="584"/>
    </row>
    <row r="386" spans="1:3" s="583" customFormat="1" x14ac:dyDescent="0.2">
      <c r="A386" s="584"/>
      <c r="B386" s="584"/>
      <c r="C386" s="584"/>
    </row>
    <row r="387" spans="1:3" s="583" customFormat="1" x14ac:dyDescent="0.2">
      <c r="A387" s="584"/>
      <c r="B387" s="584"/>
      <c r="C387" s="584"/>
    </row>
    <row r="388" spans="1:3" s="583" customFormat="1" x14ac:dyDescent="0.2">
      <c r="A388" s="584"/>
      <c r="B388" s="584"/>
      <c r="C388" s="584"/>
    </row>
    <row r="389" spans="1:3" s="583" customFormat="1" x14ac:dyDescent="0.2">
      <c r="A389" s="584"/>
      <c r="B389" s="584"/>
      <c r="C389" s="584"/>
    </row>
    <row r="390" spans="1:3" s="583" customFormat="1" x14ac:dyDescent="0.2">
      <c r="A390" s="584"/>
      <c r="B390" s="584"/>
      <c r="C390" s="584"/>
    </row>
    <row r="391" spans="1:3" s="583" customFormat="1" x14ac:dyDescent="0.2">
      <c r="A391" s="584"/>
      <c r="B391" s="584"/>
      <c r="C391" s="584"/>
    </row>
    <row r="392" spans="1:3" s="583" customFormat="1" x14ac:dyDescent="0.2">
      <c r="A392" s="584"/>
      <c r="B392" s="584"/>
      <c r="C392" s="584"/>
    </row>
    <row r="393" spans="1:3" s="583" customFormat="1" x14ac:dyDescent="0.2">
      <c r="A393" s="584"/>
      <c r="B393" s="584"/>
      <c r="C393" s="584"/>
    </row>
    <row r="394" spans="1:3" s="583" customFormat="1" x14ac:dyDescent="0.2">
      <c r="A394" s="584"/>
      <c r="B394" s="584"/>
      <c r="C394" s="584"/>
    </row>
    <row r="395" spans="1:3" s="583" customFormat="1" x14ac:dyDescent="0.2">
      <c r="A395" s="584"/>
      <c r="B395" s="584"/>
      <c r="C395" s="584"/>
    </row>
    <row r="396" spans="1:3" s="583" customFormat="1" x14ac:dyDescent="0.2">
      <c r="A396" s="584"/>
      <c r="B396" s="584"/>
      <c r="C396" s="584"/>
    </row>
    <row r="397" spans="1:3" s="583" customFormat="1" x14ac:dyDescent="0.2">
      <c r="A397" s="584"/>
      <c r="B397" s="584"/>
      <c r="C397" s="584"/>
    </row>
    <row r="398" spans="1:3" s="583" customFormat="1" x14ac:dyDescent="0.2">
      <c r="A398" s="584"/>
      <c r="B398" s="584"/>
      <c r="C398" s="584"/>
    </row>
    <row r="399" spans="1:3" s="583" customFormat="1" x14ac:dyDescent="0.2">
      <c r="A399" s="584"/>
      <c r="B399" s="584"/>
      <c r="C399" s="584"/>
    </row>
    <row r="400" spans="1:3" s="583" customFormat="1" x14ac:dyDescent="0.2">
      <c r="A400" s="584"/>
      <c r="B400" s="584"/>
      <c r="C400" s="584"/>
    </row>
    <row r="401" spans="1:3" s="583" customFormat="1" x14ac:dyDescent="0.2">
      <c r="A401" s="584"/>
      <c r="B401" s="584"/>
      <c r="C401" s="584"/>
    </row>
    <row r="402" spans="1:3" s="583" customFormat="1" x14ac:dyDescent="0.2">
      <c r="A402" s="584"/>
      <c r="B402" s="584"/>
      <c r="C402" s="584"/>
    </row>
    <row r="403" spans="1:3" s="583" customFormat="1" x14ac:dyDescent="0.2">
      <c r="A403" s="584"/>
      <c r="B403" s="584"/>
      <c r="C403" s="584"/>
    </row>
    <row r="404" spans="1:3" s="583" customFormat="1" x14ac:dyDescent="0.2">
      <c r="A404" s="584"/>
      <c r="B404" s="584"/>
      <c r="C404" s="584"/>
    </row>
    <row r="405" spans="1:3" s="583" customFormat="1" x14ac:dyDescent="0.2">
      <c r="A405" s="584"/>
      <c r="B405" s="584"/>
      <c r="C405" s="584"/>
    </row>
    <row r="406" spans="1:3" s="583" customFormat="1" x14ac:dyDescent="0.2">
      <c r="A406" s="584"/>
      <c r="B406" s="584"/>
      <c r="C406" s="584"/>
    </row>
    <row r="407" spans="1:3" s="583" customFormat="1" x14ac:dyDescent="0.2">
      <c r="A407" s="584"/>
      <c r="B407" s="584"/>
      <c r="C407" s="584"/>
    </row>
    <row r="408" spans="1:3" s="583" customFormat="1" x14ac:dyDescent="0.2">
      <c r="A408" s="584"/>
      <c r="B408" s="584"/>
      <c r="C408" s="584"/>
    </row>
    <row r="409" spans="1:3" s="583" customFormat="1" x14ac:dyDescent="0.2">
      <c r="A409" s="584"/>
      <c r="B409" s="584"/>
      <c r="C409" s="584"/>
    </row>
    <row r="410" spans="1:3" s="583" customFormat="1" x14ac:dyDescent="0.2">
      <c r="A410" s="584"/>
      <c r="B410" s="584"/>
      <c r="C410" s="584"/>
    </row>
    <row r="411" spans="1:3" s="583" customFormat="1" x14ac:dyDescent="0.2">
      <c r="A411" s="584"/>
      <c r="B411" s="584"/>
      <c r="C411" s="584"/>
    </row>
    <row r="412" spans="1:3" s="583" customFormat="1" x14ac:dyDescent="0.2">
      <c r="A412" s="584"/>
      <c r="B412" s="584"/>
      <c r="C412" s="584"/>
    </row>
    <row r="413" spans="1:3" s="583" customFormat="1" x14ac:dyDescent="0.2">
      <c r="A413" s="584"/>
      <c r="B413" s="584"/>
      <c r="C413" s="584"/>
    </row>
    <row r="414" spans="1:3" s="583" customFormat="1" x14ac:dyDescent="0.2">
      <c r="A414" s="584"/>
      <c r="B414" s="584"/>
      <c r="C414" s="584"/>
    </row>
    <row r="415" spans="1:3" s="583" customFormat="1" x14ac:dyDescent="0.2">
      <c r="A415" s="584"/>
      <c r="B415" s="584"/>
      <c r="C415" s="584"/>
    </row>
    <row r="416" spans="1:3" s="583" customFormat="1" x14ac:dyDescent="0.2">
      <c r="A416" s="584"/>
      <c r="B416" s="584"/>
      <c r="C416" s="584"/>
    </row>
    <row r="417" spans="1:3" s="583" customFormat="1" x14ac:dyDescent="0.2">
      <c r="A417" s="584"/>
      <c r="B417" s="584"/>
      <c r="C417" s="584"/>
    </row>
    <row r="418" spans="1:3" s="583" customFormat="1" x14ac:dyDescent="0.2">
      <c r="A418" s="584"/>
      <c r="B418" s="584"/>
      <c r="C418" s="584"/>
    </row>
    <row r="419" spans="1:3" s="583" customFormat="1" x14ac:dyDescent="0.2">
      <c r="A419" s="584"/>
      <c r="B419" s="584"/>
      <c r="C419" s="584"/>
    </row>
    <row r="420" spans="1:3" s="583" customFormat="1" x14ac:dyDescent="0.2">
      <c r="A420" s="584"/>
      <c r="B420" s="584"/>
      <c r="C420" s="584"/>
    </row>
    <row r="421" spans="1:3" s="583" customFormat="1" x14ac:dyDescent="0.2">
      <c r="A421" s="584"/>
      <c r="B421" s="584"/>
      <c r="C421" s="584"/>
    </row>
    <row r="422" spans="1:3" s="583" customFormat="1" x14ac:dyDescent="0.2">
      <c r="A422" s="584"/>
      <c r="B422" s="584"/>
      <c r="C422" s="584"/>
    </row>
    <row r="423" spans="1:3" s="583" customFormat="1" x14ac:dyDescent="0.2">
      <c r="A423" s="584"/>
      <c r="B423" s="584"/>
      <c r="C423" s="584"/>
    </row>
    <row r="424" spans="1:3" s="583" customFormat="1" x14ac:dyDescent="0.2">
      <c r="A424" s="584"/>
      <c r="B424" s="584"/>
      <c r="C424" s="584"/>
    </row>
    <row r="425" spans="1:3" s="583" customFormat="1" x14ac:dyDescent="0.2">
      <c r="A425" s="584"/>
      <c r="B425" s="584"/>
      <c r="C425" s="584"/>
    </row>
    <row r="426" spans="1:3" s="583" customFormat="1" x14ac:dyDescent="0.2">
      <c r="A426" s="584"/>
      <c r="B426" s="584"/>
      <c r="C426" s="584"/>
    </row>
    <row r="427" spans="1:3" s="583" customFormat="1" x14ac:dyDescent="0.2">
      <c r="A427" s="584"/>
      <c r="B427" s="584"/>
      <c r="C427" s="584"/>
    </row>
    <row r="428" spans="1:3" s="583" customFormat="1" x14ac:dyDescent="0.2">
      <c r="A428" s="584"/>
      <c r="B428" s="584"/>
      <c r="C428" s="584"/>
    </row>
    <row r="429" spans="1:3" s="583" customFormat="1" x14ac:dyDescent="0.2">
      <c r="A429" s="584"/>
      <c r="B429" s="584"/>
      <c r="C429" s="584"/>
    </row>
    <row r="430" spans="1:3" s="583" customFormat="1" x14ac:dyDescent="0.2">
      <c r="A430" s="584"/>
      <c r="B430" s="584"/>
      <c r="C430" s="584"/>
    </row>
    <row r="431" spans="1:3" s="583" customFormat="1" x14ac:dyDescent="0.2">
      <c r="A431" s="584"/>
      <c r="B431" s="584"/>
      <c r="C431" s="584"/>
    </row>
    <row r="432" spans="1:3" s="583" customFormat="1" x14ac:dyDescent="0.2">
      <c r="A432" s="584"/>
      <c r="B432" s="584"/>
      <c r="C432" s="584"/>
    </row>
    <row r="433" spans="1:3" s="583" customFormat="1" x14ac:dyDescent="0.2">
      <c r="A433" s="584"/>
      <c r="B433" s="584"/>
      <c r="C433" s="584"/>
    </row>
    <row r="434" spans="1:3" s="583" customFormat="1" x14ac:dyDescent="0.2">
      <c r="A434" s="584"/>
      <c r="B434" s="584"/>
      <c r="C434" s="584"/>
    </row>
    <row r="435" spans="1:3" s="583" customFormat="1" x14ac:dyDescent="0.2">
      <c r="A435" s="584"/>
      <c r="B435" s="584"/>
      <c r="C435" s="584"/>
    </row>
    <row r="436" spans="1:3" s="583" customFormat="1" x14ac:dyDescent="0.2">
      <c r="A436" s="584"/>
      <c r="B436" s="584"/>
      <c r="C436" s="584"/>
    </row>
    <row r="437" spans="1:3" s="583" customFormat="1" x14ac:dyDescent="0.2">
      <c r="A437" s="584"/>
      <c r="B437" s="584"/>
      <c r="C437" s="584"/>
    </row>
    <row r="438" spans="1:3" s="583" customFormat="1" x14ac:dyDescent="0.2">
      <c r="A438" s="584"/>
      <c r="B438" s="584"/>
      <c r="C438" s="584"/>
    </row>
    <row r="439" spans="1:3" s="583" customFormat="1" x14ac:dyDescent="0.2">
      <c r="A439" s="584"/>
      <c r="B439" s="584"/>
      <c r="C439" s="584"/>
    </row>
    <row r="440" spans="1:3" s="583" customFormat="1" x14ac:dyDescent="0.2">
      <c r="A440" s="584"/>
      <c r="B440" s="584"/>
      <c r="C440" s="584"/>
    </row>
    <row r="441" spans="1:3" s="583" customFormat="1" x14ac:dyDescent="0.2">
      <c r="A441" s="584"/>
      <c r="B441" s="584"/>
      <c r="C441" s="584"/>
    </row>
    <row r="442" spans="1:3" s="583" customFormat="1" x14ac:dyDescent="0.2">
      <c r="A442" s="584"/>
      <c r="B442" s="584"/>
      <c r="C442" s="584"/>
    </row>
    <row r="443" spans="1:3" s="583" customFormat="1" x14ac:dyDescent="0.2">
      <c r="A443" s="584"/>
      <c r="B443" s="584"/>
      <c r="C443" s="584"/>
    </row>
    <row r="444" spans="1:3" s="583" customFormat="1" x14ac:dyDescent="0.2">
      <c r="A444" s="584"/>
      <c r="B444" s="584"/>
      <c r="C444" s="584"/>
    </row>
    <row r="445" spans="1:3" s="583" customFormat="1" x14ac:dyDescent="0.2">
      <c r="A445" s="584"/>
      <c r="B445" s="584"/>
      <c r="C445" s="584"/>
    </row>
    <row r="446" spans="1:3" s="583" customFormat="1" x14ac:dyDescent="0.2">
      <c r="A446" s="584"/>
      <c r="B446" s="584"/>
      <c r="C446" s="584"/>
    </row>
    <row r="447" spans="1:3" s="583" customFormat="1" x14ac:dyDescent="0.2">
      <c r="A447" s="584"/>
      <c r="B447" s="584"/>
      <c r="C447" s="584"/>
    </row>
    <row r="448" spans="1:3" s="583" customFormat="1" x14ac:dyDescent="0.2">
      <c r="A448" s="584"/>
      <c r="B448" s="584"/>
      <c r="C448" s="584"/>
    </row>
    <row r="449" spans="1:3" s="583" customFormat="1" x14ac:dyDescent="0.2">
      <c r="A449" s="584"/>
      <c r="B449" s="584"/>
      <c r="C449" s="584"/>
    </row>
    <row r="450" spans="1:3" s="583" customFormat="1" x14ac:dyDescent="0.2">
      <c r="A450" s="584"/>
      <c r="B450" s="584"/>
      <c r="C450" s="584"/>
    </row>
    <row r="451" spans="1:3" s="583" customFormat="1" x14ac:dyDescent="0.2">
      <c r="A451" s="584"/>
      <c r="B451" s="584"/>
      <c r="C451" s="584"/>
    </row>
    <row r="452" spans="1:3" s="583" customFormat="1" x14ac:dyDescent="0.2">
      <c r="A452" s="584"/>
      <c r="B452" s="584"/>
      <c r="C452" s="584"/>
    </row>
    <row r="453" spans="1:3" s="583" customFormat="1" x14ac:dyDescent="0.2">
      <c r="A453" s="584"/>
      <c r="B453" s="584"/>
      <c r="C453" s="584"/>
    </row>
    <row r="454" spans="1:3" s="583" customFormat="1" x14ac:dyDescent="0.2">
      <c r="A454" s="584"/>
      <c r="B454" s="584"/>
      <c r="C454" s="584"/>
    </row>
    <row r="455" spans="1:3" s="583" customFormat="1" x14ac:dyDescent="0.2">
      <c r="A455" s="584"/>
      <c r="B455" s="584"/>
      <c r="C455" s="584"/>
    </row>
    <row r="456" spans="1:3" s="583" customFormat="1" x14ac:dyDescent="0.2">
      <c r="A456" s="584"/>
      <c r="B456" s="584"/>
      <c r="C456" s="584"/>
    </row>
    <row r="457" spans="1:3" s="583" customFormat="1" x14ac:dyDescent="0.2">
      <c r="A457" s="584"/>
      <c r="B457" s="584"/>
      <c r="C457" s="584"/>
    </row>
    <row r="458" spans="1:3" s="583" customFormat="1" x14ac:dyDescent="0.2">
      <c r="A458" s="584"/>
      <c r="B458" s="584"/>
      <c r="C458" s="584"/>
    </row>
    <row r="459" spans="1:3" s="583" customFormat="1" x14ac:dyDescent="0.2">
      <c r="A459" s="584"/>
      <c r="B459" s="584"/>
      <c r="C459" s="584"/>
    </row>
    <row r="460" spans="1:3" s="583" customFormat="1" x14ac:dyDescent="0.2">
      <c r="A460" s="584"/>
      <c r="B460" s="584"/>
      <c r="C460" s="584"/>
    </row>
    <row r="461" spans="1:3" s="583" customFormat="1" x14ac:dyDescent="0.2">
      <c r="A461" s="584"/>
      <c r="B461" s="584"/>
      <c r="C461" s="584"/>
    </row>
    <row r="462" spans="1:3" s="583" customFormat="1" x14ac:dyDescent="0.2">
      <c r="A462" s="584"/>
      <c r="B462" s="584"/>
      <c r="C462" s="584"/>
    </row>
    <row r="463" spans="1:3" s="583" customFormat="1" x14ac:dyDescent="0.2">
      <c r="A463" s="584"/>
      <c r="B463" s="584"/>
      <c r="C463" s="584"/>
    </row>
    <row r="464" spans="1:3" s="583" customFormat="1" x14ac:dyDescent="0.2">
      <c r="A464" s="584"/>
      <c r="B464" s="584"/>
      <c r="C464" s="584"/>
    </row>
    <row r="465" spans="1:3" s="583" customFormat="1" x14ac:dyDescent="0.2">
      <c r="A465" s="584"/>
      <c r="B465" s="584"/>
      <c r="C465" s="584"/>
    </row>
    <row r="466" spans="1:3" s="583" customFormat="1" x14ac:dyDescent="0.2">
      <c r="A466" s="584"/>
      <c r="B466" s="584"/>
      <c r="C466" s="584"/>
    </row>
    <row r="467" spans="1:3" s="583" customFormat="1" x14ac:dyDescent="0.2">
      <c r="A467" s="584"/>
      <c r="B467" s="584"/>
      <c r="C467" s="584"/>
    </row>
    <row r="468" spans="1:3" s="583" customFormat="1" x14ac:dyDescent="0.2">
      <c r="A468" s="584"/>
      <c r="B468" s="584"/>
      <c r="C468" s="584"/>
    </row>
    <row r="469" spans="1:3" s="583" customFormat="1" x14ac:dyDescent="0.2">
      <c r="A469" s="584"/>
      <c r="B469" s="584"/>
      <c r="C469" s="584"/>
    </row>
    <row r="470" spans="1:3" s="583" customFormat="1" x14ac:dyDescent="0.2">
      <c r="A470" s="584"/>
      <c r="B470" s="584"/>
      <c r="C470" s="584"/>
    </row>
    <row r="471" spans="1:3" s="583" customFormat="1" x14ac:dyDescent="0.2">
      <c r="A471" s="584"/>
      <c r="B471" s="584"/>
      <c r="C471" s="584"/>
    </row>
    <row r="472" spans="1:3" s="583" customFormat="1" x14ac:dyDescent="0.2">
      <c r="A472" s="584"/>
      <c r="B472" s="584"/>
      <c r="C472" s="584"/>
    </row>
    <row r="473" spans="1:3" s="583" customFormat="1" x14ac:dyDescent="0.2">
      <c r="A473" s="584"/>
      <c r="B473" s="584"/>
      <c r="C473" s="584"/>
    </row>
    <row r="474" spans="1:3" s="583" customFormat="1" x14ac:dyDescent="0.2">
      <c r="A474" s="584"/>
      <c r="B474" s="584"/>
      <c r="C474" s="584"/>
    </row>
    <row r="475" spans="1:3" s="583" customFormat="1" x14ac:dyDescent="0.2">
      <c r="A475" s="584"/>
      <c r="B475" s="584"/>
      <c r="C475" s="584"/>
    </row>
    <row r="476" spans="1:3" s="583" customFormat="1" x14ac:dyDescent="0.2">
      <c r="A476" s="584"/>
      <c r="B476" s="584"/>
      <c r="C476" s="584"/>
    </row>
    <row r="477" spans="1:3" s="583" customFormat="1" x14ac:dyDescent="0.2">
      <c r="A477" s="584"/>
      <c r="B477" s="584"/>
      <c r="C477" s="584"/>
    </row>
    <row r="478" spans="1:3" s="583" customFormat="1" x14ac:dyDescent="0.2">
      <c r="A478" s="584"/>
      <c r="B478" s="584"/>
      <c r="C478" s="584"/>
    </row>
    <row r="479" spans="1:3" s="583" customFormat="1" x14ac:dyDescent="0.2">
      <c r="A479" s="584"/>
      <c r="B479" s="584"/>
      <c r="C479" s="584"/>
    </row>
    <row r="480" spans="1:3" s="583" customFormat="1" x14ac:dyDescent="0.2">
      <c r="A480" s="584"/>
      <c r="B480" s="584"/>
      <c r="C480" s="584"/>
    </row>
    <row r="481" spans="1:3" s="583" customFormat="1" x14ac:dyDescent="0.2">
      <c r="A481" s="584"/>
      <c r="B481" s="584"/>
      <c r="C481" s="584"/>
    </row>
    <row r="482" spans="1:3" s="583" customFormat="1" x14ac:dyDescent="0.2">
      <c r="A482" s="584"/>
      <c r="B482" s="584"/>
      <c r="C482" s="584"/>
    </row>
    <row r="483" spans="1:3" s="583" customFormat="1" x14ac:dyDescent="0.2">
      <c r="A483" s="584"/>
      <c r="B483" s="584"/>
      <c r="C483" s="584"/>
    </row>
    <row r="484" spans="1:3" s="583" customFormat="1" x14ac:dyDescent="0.2">
      <c r="A484" s="584"/>
      <c r="B484" s="584"/>
      <c r="C484" s="584"/>
    </row>
    <row r="485" spans="1:3" s="583" customFormat="1" x14ac:dyDescent="0.2">
      <c r="A485" s="584"/>
      <c r="B485" s="584"/>
      <c r="C485" s="584"/>
    </row>
    <row r="486" spans="1:3" s="583" customFormat="1" x14ac:dyDescent="0.2">
      <c r="A486" s="584"/>
      <c r="B486" s="584"/>
      <c r="C486" s="584"/>
    </row>
    <row r="487" spans="1:3" s="583" customFormat="1" x14ac:dyDescent="0.2">
      <c r="A487" s="584"/>
      <c r="B487" s="584"/>
      <c r="C487" s="584"/>
    </row>
    <row r="488" spans="1:3" s="583" customFormat="1" x14ac:dyDescent="0.2">
      <c r="A488" s="584"/>
      <c r="B488" s="584"/>
      <c r="C488" s="584"/>
    </row>
    <row r="489" spans="1:3" s="583" customFormat="1" x14ac:dyDescent="0.2">
      <c r="A489" s="584"/>
      <c r="B489" s="584"/>
      <c r="C489" s="584"/>
    </row>
    <row r="490" spans="1:3" s="583" customFormat="1" x14ac:dyDescent="0.2">
      <c r="A490" s="584"/>
      <c r="B490" s="584"/>
      <c r="C490" s="584"/>
    </row>
    <row r="491" spans="1:3" s="583" customFormat="1" x14ac:dyDescent="0.2">
      <c r="A491" s="584"/>
      <c r="B491" s="584"/>
      <c r="C491" s="584"/>
    </row>
    <row r="492" spans="1:3" s="583" customFormat="1" x14ac:dyDescent="0.2">
      <c r="A492" s="584"/>
      <c r="B492" s="584"/>
      <c r="C492" s="584"/>
    </row>
    <row r="493" spans="1:3" s="583" customFormat="1" x14ac:dyDescent="0.2">
      <c r="A493" s="584"/>
      <c r="B493" s="584"/>
      <c r="C493" s="584"/>
    </row>
    <row r="494" spans="1:3" s="583" customFormat="1" x14ac:dyDescent="0.2">
      <c r="A494" s="584"/>
      <c r="B494" s="584"/>
      <c r="C494" s="584"/>
    </row>
    <row r="495" spans="1:3" s="583" customFormat="1" x14ac:dyDescent="0.2">
      <c r="A495" s="584"/>
      <c r="B495" s="584"/>
      <c r="C495" s="584"/>
    </row>
    <row r="496" spans="1:3" s="583" customFormat="1" x14ac:dyDescent="0.2">
      <c r="A496" s="584"/>
      <c r="B496" s="584"/>
      <c r="C496" s="584"/>
    </row>
    <row r="497" spans="1:3" s="583" customFormat="1" x14ac:dyDescent="0.2">
      <c r="A497" s="584"/>
      <c r="B497" s="584"/>
      <c r="C497" s="584"/>
    </row>
    <row r="498" spans="1:3" s="583" customFormat="1" x14ac:dyDescent="0.2">
      <c r="A498" s="584"/>
      <c r="B498" s="584"/>
      <c r="C498" s="584"/>
    </row>
    <row r="499" spans="1:3" s="583" customFormat="1" x14ac:dyDescent="0.2">
      <c r="A499" s="584"/>
      <c r="B499" s="584"/>
      <c r="C499" s="584"/>
    </row>
    <row r="500" spans="1:3" s="583" customFormat="1" x14ac:dyDescent="0.2">
      <c r="A500" s="584"/>
      <c r="B500" s="584"/>
      <c r="C500" s="584"/>
    </row>
    <row r="501" spans="1:3" s="583" customFormat="1" x14ac:dyDescent="0.2">
      <c r="A501" s="584"/>
      <c r="B501" s="584"/>
      <c r="C501" s="584"/>
    </row>
    <row r="502" spans="1:3" s="583" customFormat="1" x14ac:dyDescent="0.2">
      <c r="A502" s="584"/>
      <c r="B502" s="584"/>
      <c r="C502" s="584"/>
    </row>
    <row r="503" spans="1:3" s="583" customFormat="1" x14ac:dyDescent="0.2">
      <c r="A503" s="584"/>
      <c r="B503" s="584"/>
      <c r="C503" s="584"/>
    </row>
    <row r="504" spans="1:3" s="583" customFormat="1" x14ac:dyDescent="0.2">
      <c r="A504" s="584"/>
      <c r="B504" s="584"/>
      <c r="C504" s="584"/>
    </row>
    <row r="505" spans="1:3" s="583" customFormat="1" x14ac:dyDescent="0.2">
      <c r="A505" s="584"/>
      <c r="B505" s="584"/>
      <c r="C505" s="584"/>
    </row>
    <row r="506" spans="1:3" s="583" customFormat="1" x14ac:dyDescent="0.2">
      <c r="A506" s="584"/>
      <c r="B506" s="584"/>
      <c r="C506" s="584"/>
    </row>
    <row r="507" spans="1:3" s="583" customFormat="1" x14ac:dyDescent="0.2">
      <c r="A507" s="584"/>
      <c r="B507" s="584"/>
      <c r="C507" s="584"/>
    </row>
    <row r="508" spans="1:3" s="583" customFormat="1" x14ac:dyDescent="0.2">
      <c r="A508" s="584"/>
      <c r="B508" s="584"/>
      <c r="C508" s="584"/>
    </row>
    <row r="509" spans="1:3" s="583" customFormat="1" x14ac:dyDescent="0.2">
      <c r="A509" s="584"/>
      <c r="B509" s="584"/>
      <c r="C509" s="584"/>
    </row>
    <row r="510" spans="1:3" s="583" customFormat="1" x14ac:dyDescent="0.2">
      <c r="A510" s="584"/>
      <c r="B510" s="584"/>
      <c r="C510" s="584"/>
    </row>
    <row r="511" spans="1:3" s="583" customFormat="1" x14ac:dyDescent="0.2">
      <c r="A511" s="584"/>
      <c r="B511" s="584"/>
      <c r="C511" s="584"/>
    </row>
    <row r="512" spans="1:3" s="583" customFormat="1" x14ac:dyDescent="0.2">
      <c r="A512" s="584"/>
      <c r="B512" s="584"/>
      <c r="C512" s="584"/>
    </row>
    <row r="513" spans="1:3" s="583" customFormat="1" x14ac:dyDescent="0.2">
      <c r="A513" s="584"/>
      <c r="B513" s="584"/>
      <c r="C513" s="584"/>
    </row>
    <row r="514" spans="1:3" s="583" customFormat="1" x14ac:dyDescent="0.2">
      <c r="A514" s="584"/>
      <c r="B514" s="584"/>
      <c r="C514" s="584"/>
    </row>
    <row r="515" spans="1:3" s="583" customFormat="1" x14ac:dyDescent="0.2">
      <c r="A515" s="584"/>
      <c r="B515" s="584"/>
      <c r="C515" s="584"/>
    </row>
    <row r="516" spans="1:3" s="583" customFormat="1" x14ac:dyDescent="0.2">
      <c r="A516" s="584"/>
      <c r="B516" s="584"/>
      <c r="C516" s="584"/>
    </row>
    <row r="517" spans="1:3" s="583" customFormat="1" x14ac:dyDescent="0.2">
      <c r="A517" s="584"/>
      <c r="B517" s="584"/>
      <c r="C517" s="584"/>
    </row>
    <row r="518" spans="1:3" s="583" customFormat="1" x14ac:dyDescent="0.2">
      <c r="A518" s="584"/>
      <c r="B518" s="584"/>
      <c r="C518" s="584"/>
    </row>
    <row r="519" spans="1:3" s="583" customFormat="1" x14ac:dyDescent="0.2">
      <c r="A519" s="584"/>
      <c r="B519" s="584"/>
      <c r="C519" s="584"/>
    </row>
    <row r="520" spans="1:3" s="583" customFormat="1" x14ac:dyDescent="0.2">
      <c r="A520" s="584"/>
      <c r="B520" s="584"/>
      <c r="C520" s="584"/>
    </row>
    <row r="521" spans="1:3" s="583" customFormat="1" x14ac:dyDescent="0.2">
      <c r="A521" s="584"/>
      <c r="B521" s="584"/>
      <c r="C521" s="584"/>
    </row>
    <row r="522" spans="1:3" s="583" customFormat="1" x14ac:dyDescent="0.2">
      <c r="A522" s="584"/>
      <c r="B522" s="584"/>
      <c r="C522" s="584"/>
    </row>
    <row r="523" spans="1:3" s="583" customFormat="1" x14ac:dyDescent="0.2">
      <c r="A523" s="584"/>
      <c r="B523" s="584"/>
      <c r="C523" s="584"/>
    </row>
    <row r="524" spans="1:3" s="583" customFormat="1" x14ac:dyDescent="0.2">
      <c r="A524" s="584"/>
      <c r="B524" s="584"/>
      <c r="C524" s="584"/>
    </row>
    <row r="525" spans="1:3" s="583" customFormat="1" x14ac:dyDescent="0.2">
      <c r="A525" s="584"/>
      <c r="B525" s="584"/>
      <c r="C525" s="584"/>
    </row>
    <row r="526" spans="1:3" s="583" customFormat="1" x14ac:dyDescent="0.2">
      <c r="A526" s="584"/>
      <c r="B526" s="584"/>
      <c r="C526" s="584"/>
    </row>
    <row r="527" spans="1:3" s="583" customFormat="1" x14ac:dyDescent="0.2">
      <c r="A527" s="584"/>
      <c r="B527" s="584"/>
      <c r="C527" s="584"/>
    </row>
    <row r="528" spans="1:3" s="583" customFormat="1" x14ac:dyDescent="0.2">
      <c r="A528" s="584"/>
      <c r="B528" s="584"/>
      <c r="C528" s="584"/>
    </row>
    <row r="529" spans="1:3" s="583" customFormat="1" x14ac:dyDescent="0.2">
      <c r="A529" s="584"/>
      <c r="B529" s="584"/>
      <c r="C529" s="584"/>
    </row>
    <row r="530" spans="1:3" s="583" customFormat="1" x14ac:dyDescent="0.2">
      <c r="A530" s="584"/>
      <c r="B530" s="584"/>
      <c r="C530" s="584"/>
    </row>
    <row r="531" spans="1:3" s="583" customFormat="1" x14ac:dyDescent="0.2">
      <c r="A531" s="584"/>
      <c r="B531" s="584"/>
      <c r="C531" s="584"/>
    </row>
    <row r="532" spans="1:3" s="583" customFormat="1" x14ac:dyDescent="0.2">
      <c r="A532" s="584"/>
      <c r="B532" s="584"/>
      <c r="C532" s="584"/>
    </row>
    <row r="533" spans="1:3" s="583" customFormat="1" x14ac:dyDescent="0.2">
      <c r="A533" s="584"/>
      <c r="B533" s="584"/>
      <c r="C533" s="584"/>
    </row>
    <row r="534" spans="1:3" s="583" customFormat="1" x14ac:dyDescent="0.2">
      <c r="A534" s="584"/>
      <c r="B534" s="584"/>
      <c r="C534" s="584"/>
    </row>
    <row r="535" spans="1:3" s="583" customFormat="1" x14ac:dyDescent="0.2">
      <c r="A535" s="584"/>
      <c r="B535" s="584"/>
      <c r="C535" s="584"/>
    </row>
    <row r="536" spans="1:3" s="583" customFormat="1" x14ac:dyDescent="0.2">
      <c r="A536" s="584"/>
      <c r="B536" s="584"/>
      <c r="C536" s="584"/>
    </row>
    <row r="537" spans="1:3" s="583" customFormat="1" x14ac:dyDescent="0.2">
      <c r="A537" s="584"/>
      <c r="B537" s="584"/>
      <c r="C537" s="584"/>
    </row>
    <row r="538" spans="1:3" s="583" customFormat="1" x14ac:dyDescent="0.2">
      <c r="A538" s="584"/>
      <c r="B538" s="584"/>
      <c r="C538" s="584"/>
    </row>
    <row r="539" spans="1:3" s="583" customFormat="1" x14ac:dyDescent="0.2">
      <c r="A539" s="584"/>
      <c r="B539" s="584"/>
      <c r="C539" s="584"/>
    </row>
    <row r="540" spans="1:3" s="583" customFormat="1" x14ac:dyDescent="0.2">
      <c r="A540" s="584"/>
      <c r="B540" s="584"/>
      <c r="C540" s="584"/>
    </row>
    <row r="541" spans="1:3" s="583" customFormat="1" x14ac:dyDescent="0.2">
      <c r="A541" s="584"/>
      <c r="B541" s="584"/>
      <c r="C541" s="584"/>
    </row>
    <row r="542" spans="1:3" s="583" customFormat="1" x14ac:dyDescent="0.2">
      <c r="A542" s="584"/>
      <c r="B542" s="584"/>
      <c r="C542" s="584"/>
    </row>
    <row r="543" spans="1:3" s="583" customFormat="1" x14ac:dyDescent="0.2">
      <c r="A543" s="584"/>
      <c r="B543" s="584"/>
      <c r="C543" s="584"/>
    </row>
    <row r="544" spans="1:3" s="583" customFormat="1" x14ac:dyDescent="0.2">
      <c r="A544" s="584"/>
      <c r="B544" s="584"/>
      <c r="C544" s="584"/>
    </row>
    <row r="545" spans="1:3" s="583" customFormat="1" x14ac:dyDescent="0.2">
      <c r="A545" s="584"/>
      <c r="B545" s="584"/>
      <c r="C545" s="584"/>
    </row>
    <row r="546" spans="1:3" s="583" customFormat="1" x14ac:dyDescent="0.2">
      <c r="A546" s="584"/>
      <c r="B546" s="584"/>
      <c r="C546" s="584"/>
    </row>
    <row r="547" spans="1:3" s="583" customFormat="1" x14ac:dyDescent="0.2">
      <c r="A547" s="584"/>
      <c r="B547" s="584"/>
      <c r="C547" s="584"/>
    </row>
    <row r="548" spans="1:3" s="583" customFormat="1" x14ac:dyDescent="0.2">
      <c r="A548" s="584"/>
      <c r="B548" s="584"/>
      <c r="C548" s="584"/>
    </row>
    <row r="549" spans="1:3" s="583" customFormat="1" x14ac:dyDescent="0.2">
      <c r="A549" s="584"/>
      <c r="B549" s="584"/>
      <c r="C549" s="584"/>
    </row>
    <row r="550" spans="1:3" s="583" customFormat="1" x14ac:dyDescent="0.2">
      <c r="A550" s="584"/>
      <c r="B550" s="584"/>
      <c r="C550" s="584"/>
    </row>
    <row r="551" spans="1:3" s="583" customFormat="1" x14ac:dyDescent="0.2">
      <c r="A551" s="584"/>
      <c r="B551" s="584"/>
      <c r="C551" s="584"/>
    </row>
    <row r="552" spans="1:3" s="583" customFormat="1" x14ac:dyDescent="0.2">
      <c r="A552" s="584"/>
      <c r="B552" s="584"/>
      <c r="C552" s="584"/>
    </row>
    <row r="553" spans="1:3" s="583" customFormat="1" x14ac:dyDescent="0.2">
      <c r="A553" s="584"/>
      <c r="B553" s="584"/>
      <c r="C553" s="584"/>
    </row>
    <row r="554" spans="1:3" s="583" customFormat="1" x14ac:dyDescent="0.2">
      <c r="A554" s="584"/>
      <c r="B554" s="584"/>
      <c r="C554" s="584"/>
    </row>
    <row r="555" spans="1:3" s="583" customFormat="1" x14ac:dyDescent="0.2">
      <c r="A555" s="584"/>
      <c r="B555" s="584"/>
      <c r="C555" s="584"/>
    </row>
    <row r="556" spans="1:3" s="583" customFormat="1" x14ac:dyDescent="0.2">
      <c r="A556" s="584"/>
      <c r="B556" s="584"/>
      <c r="C556" s="584"/>
    </row>
    <row r="557" spans="1:3" s="583" customFormat="1" x14ac:dyDescent="0.2">
      <c r="A557" s="584"/>
      <c r="B557" s="584"/>
      <c r="C557" s="584"/>
    </row>
    <row r="558" spans="1:3" s="583" customFormat="1" x14ac:dyDescent="0.2">
      <c r="A558" s="584"/>
      <c r="B558" s="584"/>
      <c r="C558" s="584"/>
    </row>
    <row r="559" spans="1:3" s="583" customFormat="1" x14ac:dyDescent="0.2">
      <c r="A559" s="584"/>
      <c r="B559" s="584"/>
      <c r="C559" s="584"/>
    </row>
    <row r="560" spans="1:3" s="583" customFormat="1" x14ac:dyDescent="0.2">
      <c r="A560" s="584"/>
      <c r="B560" s="584"/>
      <c r="C560" s="584"/>
    </row>
    <row r="561" spans="1:47" s="583" customFormat="1" x14ac:dyDescent="0.2">
      <c r="A561" s="584"/>
      <c r="B561" s="584"/>
      <c r="C561" s="584"/>
    </row>
    <row r="562" spans="1:47" s="583" customFormat="1" x14ac:dyDescent="0.2">
      <c r="A562" s="584"/>
      <c r="B562" s="584"/>
      <c r="C562" s="584"/>
    </row>
    <row r="563" spans="1:47" s="583" customFormat="1" x14ac:dyDescent="0.2">
      <c r="A563" s="584"/>
      <c r="B563" s="584"/>
      <c r="C563" s="584"/>
    </row>
    <row r="564" spans="1:47" s="583" customFormat="1" x14ac:dyDescent="0.2">
      <c r="A564" s="584"/>
      <c r="B564" s="584"/>
      <c r="C564" s="584"/>
    </row>
    <row r="565" spans="1:47" s="586" customFormat="1" x14ac:dyDescent="0.2">
      <c r="A565" s="585"/>
      <c r="B565" s="585"/>
      <c r="C565" s="585"/>
      <c r="D565" s="583"/>
      <c r="E565" s="583"/>
      <c r="F565" s="583"/>
      <c r="G565" s="583"/>
      <c r="H565" s="583"/>
      <c r="I565" s="583"/>
      <c r="J565" s="583"/>
      <c r="K565" s="583"/>
      <c r="L565" s="583"/>
      <c r="M565" s="583"/>
      <c r="N565" s="583"/>
      <c r="O565" s="583"/>
      <c r="P565" s="583"/>
      <c r="Q565" s="583"/>
      <c r="R565" s="583"/>
      <c r="S565" s="583"/>
      <c r="T565" s="583"/>
      <c r="U565" s="583"/>
      <c r="V565" s="583"/>
      <c r="W565" s="583"/>
      <c r="X565" s="583"/>
      <c r="Y565" s="583"/>
      <c r="Z565" s="583"/>
      <c r="AA565" s="583"/>
      <c r="AB565" s="583"/>
      <c r="AC565" s="583"/>
      <c r="AD565" s="583"/>
      <c r="AE565" s="583"/>
      <c r="AF565" s="583"/>
      <c r="AG565" s="583"/>
      <c r="AH565" s="583"/>
      <c r="AI565" s="583"/>
      <c r="AJ565" s="583"/>
      <c r="AK565" s="583"/>
      <c r="AL565" s="583"/>
      <c r="AM565" s="583"/>
      <c r="AN565" s="583"/>
      <c r="AO565" s="583"/>
      <c r="AP565" s="583"/>
      <c r="AQ565" s="583"/>
      <c r="AR565" s="583"/>
      <c r="AS565" s="583"/>
      <c r="AT565" s="583"/>
      <c r="AU565" s="583"/>
    </row>
    <row r="566" spans="1:47" s="586" customFormat="1" x14ac:dyDescent="0.2">
      <c r="A566" s="585"/>
      <c r="B566" s="585"/>
      <c r="C566" s="585"/>
      <c r="D566" s="583"/>
      <c r="E566" s="583"/>
      <c r="F566" s="583"/>
      <c r="G566" s="583"/>
      <c r="H566" s="583"/>
      <c r="I566" s="583"/>
      <c r="J566" s="583"/>
      <c r="K566" s="583"/>
      <c r="L566" s="583"/>
      <c r="M566" s="583"/>
      <c r="N566" s="583"/>
      <c r="O566" s="583"/>
      <c r="P566" s="583"/>
      <c r="Q566" s="583"/>
      <c r="R566" s="583"/>
      <c r="S566" s="583"/>
      <c r="T566" s="583"/>
      <c r="U566" s="583"/>
      <c r="V566" s="583"/>
      <c r="W566" s="583"/>
      <c r="X566" s="583"/>
      <c r="Y566" s="583"/>
      <c r="Z566" s="583"/>
      <c r="AA566" s="583"/>
      <c r="AB566" s="583"/>
      <c r="AC566" s="583"/>
      <c r="AD566" s="583"/>
      <c r="AE566" s="583"/>
      <c r="AF566" s="583"/>
      <c r="AG566" s="583"/>
      <c r="AH566" s="583"/>
      <c r="AI566" s="583"/>
      <c r="AJ566" s="583"/>
      <c r="AK566" s="583"/>
      <c r="AL566" s="583"/>
      <c r="AM566" s="583"/>
      <c r="AN566" s="583"/>
      <c r="AO566" s="583"/>
      <c r="AP566" s="583"/>
      <c r="AQ566" s="583"/>
      <c r="AR566" s="583"/>
      <c r="AS566" s="583"/>
      <c r="AT566" s="583"/>
      <c r="AU566" s="583"/>
    </row>
    <row r="567" spans="1:47" s="586" customFormat="1" x14ac:dyDescent="0.2">
      <c r="A567" s="585"/>
      <c r="B567" s="585"/>
      <c r="C567" s="585"/>
      <c r="D567" s="583"/>
      <c r="E567" s="583"/>
      <c r="F567" s="583"/>
      <c r="G567" s="583"/>
      <c r="H567" s="583"/>
      <c r="I567" s="583"/>
      <c r="J567" s="583"/>
      <c r="K567" s="583"/>
      <c r="L567" s="583"/>
      <c r="M567" s="583"/>
      <c r="N567" s="583"/>
      <c r="O567" s="583"/>
      <c r="P567" s="583"/>
      <c r="Q567" s="583"/>
      <c r="R567" s="583"/>
      <c r="S567" s="583"/>
      <c r="T567" s="583"/>
      <c r="U567" s="583"/>
      <c r="V567" s="583"/>
      <c r="W567" s="583"/>
      <c r="X567" s="583"/>
      <c r="Y567" s="583"/>
      <c r="Z567" s="583"/>
      <c r="AA567" s="583"/>
      <c r="AB567" s="583"/>
      <c r="AC567" s="583"/>
      <c r="AD567" s="583"/>
      <c r="AE567" s="583"/>
      <c r="AF567" s="583"/>
      <c r="AG567" s="583"/>
      <c r="AH567" s="583"/>
      <c r="AI567" s="583"/>
      <c r="AJ567" s="583"/>
      <c r="AK567" s="583"/>
      <c r="AL567" s="583"/>
      <c r="AM567" s="583"/>
      <c r="AN567" s="583"/>
      <c r="AO567" s="583"/>
      <c r="AP567" s="583"/>
      <c r="AQ567" s="583"/>
      <c r="AR567" s="583"/>
      <c r="AS567" s="583"/>
      <c r="AT567" s="583"/>
      <c r="AU567" s="583"/>
    </row>
    <row r="568" spans="1:47" s="586" customFormat="1" x14ac:dyDescent="0.2">
      <c r="A568" s="585"/>
      <c r="B568" s="585"/>
      <c r="C568" s="585"/>
      <c r="D568" s="583"/>
      <c r="E568" s="583"/>
      <c r="F568" s="583"/>
      <c r="G568" s="583"/>
      <c r="H568" s="583"/>
      <c r="I568" s="583"/>
      <c r="J568" s="583"/>
      <c r="K568" s="583"/>
      <c r="L568" s="583"/>
      <c r="M568" s="583"/>
      <c r="N568" s="583"/>
      <c r="O568" s="583"/>
      <c r="P568" s="583"/>
      <c r="Q568" s="583"/>
      <c r="R568" s="583"/>
      <c r="S568" s="583"/>
      <c r="T568" s="583"/>
      <c r="U568" s="583"/>
      <c r="V568" s="583"/>
      <c r="W568" s="583"/>
      <c r="X568" s="583"/>
      <c r="Y568" s="583"/>
      <c r="Z568" s="583"/>
      <c r="AA568" s="583"/>
      <c r="AB568" s="583"/>
      <c r="AC568" s="583"/>
      <c r="AD568" s="583"/>
      <c r="AE568" s="583"/>
      <c r="AF568" s="583"/>
      <c r="AG568" s="583"/>
      <c r="AH568" s="583"/>
      <c r="AI568" s="583"/>
      <c r="AJ568" s="583"/>
      <c r="AK568" s="583"/>
      <c r="AL568" s="583"/>
      <c r="AM568" s="583"/>
      <c r="AN568" s="583"/>
      <c r="AO568" s="583"/>
      <c r="AP568" s="583"/>
      <c r="AQ568" s="583"/>
      <c r="AR568" s="583"/>
      <c r="AS568" s="583"/>
      <c r="AT568" s="583"/>
      <c r="AU568" s="583"/>
    </row>
    <row r="569" spans="1:47" s="586" customFormat="1" x14ac:dyDescent="0.2">
      <c r="A569" s="585"/>
      <c r="B569" s="585"/>
      <c r="C569" s="585"/>
      <c r="D569" s="583"/>
      <c r="E569" s="583"/>
      <c r="F569" s="583"/>
      <c r="G569" s="583"/>
      <c r="H569" s="583"/>
      <c r="I569" s="583"/>
      <c r="J569" s="583"/>
      <c r="K569" s="583"/>
      <c r="L569" s="583"/>
      <c r="M569" s="583"/>
      <c r="N569" s="583"/>
      <c r="O569" s="583"/>
      <c r="P569" s="583"/>
      <c r="Q569" s="583"/>
      <c r="R569" s="583"/>
      <c r="S569" s="583"/>
      <c r="T569" s="583"/>
      <c r="U569" s="583"/>
      <c r="V569" s="583"/>
      <c r="W569" s="583"/>
      <c r="X569" s="583"/>
      <c r="Y569" s="583"/>
      <c r="Z569" s="583"/>
      <c r="AA569" s="583"/>
      <c r="AB569" s="583"/>
      <c r="AC569" s="583"/>
      <c r="AD569" s="583"/>
      <c r="AE569" s="583"/>
      <c r="AF569" s="583"/>
      <c r="AG569" s="583"/>
      <c r="AH569" s="583"/>
      <c r="AI569" s="583"/>
      <c r="AJ569" s="583"/>
      <c r="AK569" s="583"/>
      <c r="AL569" s="583"/>
      <c r="AM569" s="583"/>
      <c r="AN569" s="583"/>
      <c r="AO569" s="583"/>
      <c r="AP569" s="583"/>
      <c r="AQ569" s="583"/>
      <c r="AR569" s="583"/>
      <c r="AS569" s="583"/>
      <c r="AT569" s="583"/>
      <c r="AU569" s="583"/>
    </row>
    <row r="570" spans="1:47" s="586" customFormat="1" x14ac:dyDescent="0.2">
      <c r="A570" s="585"/>
      <c r="B570" s="585"/>
      <c r="C570" s="585"/>
      <c r="D570" s="583"/>
      <c r="E570" s="583"/>
      <c r="F570" s="583"/>
      <c r="G570" s="583"/>
      <c r="H570" s="583"/>
      <c r="I570" s="583"/>
      <c r="J570" s="583"/>
      <c r="K570" s="583"/>
      <c r="L570" s="583"/>
      <c r="M570" s="583"/>
      <c r="N570" s="583"/>
      <c r="O570" s="583"/>
      <c r="P570" s="583"/>
      <c r="Q570" s="583"/>
      <c r="R570" s="583"/>
      <c r="S570" s="583"/>
      <c r="T570" s="583"/>
      <c r="U570" s="583"/>
      <c r="V570" s="583"/>
      <c r="W570" s="583"/>
      <c r="X570" s="583"/>
      <c r="Y570" s="583"/>
      <c r="Z570" s="583"/>
      <c r="AA570" s="583"/>
      <c r="AB570" s="583"/>
      <c r="AC570" s="583"/>
      <c r="AD570" s="583"/>
      <c r="AE570" s="583"/>
      <c r="AF570" s="583"/>
      <c r="AG570" s="583"/>
      <c r="AH570" s="583"/>
      <c r="AI570" s="583"/>
      <c r="AJ570" s="583"/>
      <c r="AK570" s="583"/>
      <c r="AL570" s="583"/>
      <c r="AM570" s="583"/>
      <c r="AN570" s="583"/>
      <c r="AO570" s="583"/>
      <c r="AP570" s="583"/>
      <c r="AQ570" s="583"/>
      <c r="AR570" s="583"/>
      <c r="AS570" s="583"/>
      <c r="AT570" s="583"/>
      <c r="AU570" s="583"/>
    </row>
    <row r="571" spans="1:47" s="586" customFormat="1" x14ac:dyDescent="0.2">
      <c r="A571" s="585"/>
      <c r="B571" s="585"/>
      <c r="C571" s="585"/>
      <c r="D571" s="583"/>
      <c r="E571" s="583"/>
      <c r="F571" s="583"/>
      <c r="G571" s="583"/>
      <c r="H571" s="583"/>
      <c r="I571" s="583"/>
      <c r="J571" s="583"/>
      <c r="K571" s="583"/>
      <c r="L571" s="583"/>
      <c r="M571" s="583"/>
      <c r="N571" s="583"/>
      <c r="O571" s="583"/>
      <c r="P571" s="583"/>
      <c r="Q571" s="583"/>
      <c r="R571" s="583"/>
      <c r="S571" s="583"/>
      <c r="T571" s="583"/>
      <c r="U571" s="583"/>
      <c r="V571" s="583"/>
      <c r="W571" s="583"/>
      <c r="X571" s="583"/>
      <c r="Y571" s="583"/>
      <c r="Z571" s="583"/>
      <c r="AA571" s="583"/>
      <c r="AB571" s="583"/>
      <c r="AC571" s="583"/>
      <c r="AD571" s="583"/>
      <c r="AE571" s="583"/>
      <c r="AF571" s="583"/>
      <c r="AG571" s="583"/>
      <c r="AH571" s="583"/>
      <c r="AI571" s="583"/>
      <c r="AJ571" s="583"/>
      <c r="AK571" s="583"/>
      <c r="AL571" s="583"/>
      <c r="AM571" s="583"/>
      <c r="AN571" s="583"/>
      <c r="AO571" s="583"/>
      <c r="AP571" s="583"/>
      <c r="AQ571" s="583"/>
      <c r="AR571" s="583"/>
      <c r="AS571" s="583"/>
      <c r="AT571" s="583"/>
      <c r="AU571" s="583"/>
    </row>
    <row r="572" spans="1:47" s="586" customFormat="1" x14ac:dyDescent="0.2">
      <c r="A572" s="585"/>
      <c r="B572" s="585"/>
      <c r="C572" s="585"/>
      <c r="D572" s="583"/>
      <c r="E572" s="583"/>
      <c r="F572" s="583"/>
      <c r="G572" s="583"/>
      <c r="H572" s="583"/>
      <c r="I572" s="583"/>
      <c r="J572" s="583"/>
      <c r="K572" s="583"/>
      <c r="L572" s="583"/>
      <c r="M572" s="583"/>
      <c r="N572" s="583"/>
      <c r="O572" s="583"/>
      <c r="P572" s="583"/>
      <c r="Q572" s="583"/>
      <c r="R572" s="583"/>
      <c r="S572" s="583"/>
      <c r="T572" s="583"/>
      <c r="U572" s="583"/>
      <c r="V572" s="583"/>
      <c r="W572" s="583"/>
      <c r="X572" s="583"/>
      <c r="Y572" s="583"/>
      <c r="Z572" s="583"/>
      <c r="AA572" s="583"/>
      <c r="AB572" s="583"/>
      <c r="AC572" s="583"/>
      <c r="AD572" s="583"/>
      <c r="AE572" s="583"/>
      <c r="AF572" s="583"/>
      <c r="AG572" s="583"/>
      <c r="AH572" s="583"/>
      <c r="AI572" s="583"/>
      <c r="AJ572" s="583"/>
      <c r="AK572" s="583"/>
      <c r="AL572" s="583"/>
      <c r="AM572" s="583"/>
      <c r="AN572" s="583"/>
      <c r="AO572" s="583"/>
      <c r="AP572" s="583"/>
      <c r="AQ572" s="583"/>
      <c r="AR572" s="583"/>
      <c r="AS572" s="583"/>
      <c r="AT572" s="583"/>
      <c r="AU572" s="583"/>
    </row>
    <row r="573" spans="1:47" s="586" customFormat="1" x14ac:dyDescent="0.2">
      <c r="A573" s="585"/>
      <c r="B573" s="585"/>
      <c r="C573" s="585"/>
      <c r="D573" s="583"/>
      <c r="E573" s="583"/>
      <c r="F573" s="583"/>
      <c r="G573" s="583"/>
      <c r="H573" s="583"/>
      <c r="I573" s="583"/>
      <c r="J573" s="583"/>
      <c r="K573" s="583"/>
      <c r="L573" s="583"/>
      <c r="M573" s="583"/>
      <c r="N573" s="583"/>
      <c r="O573" s="583"/>
      <c r="P573" s="583"/>
      <c r="Q573" s="583"/>
      <c r="R573" s="583"/>
      <c r="S573" s="583"/>
      <c r="T573" s="583"/>
      <c r="U573" s="583"/>
      <c r="V573" s="583"/>
      <c r="W573" s="583"/>
      <c r="X573" s="583"/>
      <c r="Y573" s="583"/>
      <c r="Z573" s="583"/>
      <c r="AA573" s="583"/>
      <c r="AB573" s="583"/>
      <c r="AC573" s="583"/>
      <c r="AD573" s="583"/>
      <c r="AE573" s="583"/>
      <c r="AF573" s="583"/>
      <c r="AG573" s="583"/>
      <c r="AH573" s="583"/>
      <c r="AI573" s="583"/>
      <c r="AJ573" s="583"/>
      <c r="AK573" s="583"/>
      <c r="AL573" s="583"/>
      <c r="AM573" s="583"/>
      <c r="AN573" s="583"/>
      <c r="AO573" s="583"/>
      <c r="AP573" s="583"/>
      <c r="AQ573" s="583"/>
      <c r="AR573" s="583"/>
      <c r="AS573" s="583"/>
      <c r="AT573" s="583"/>
      <c r="AU573" s="583"/>
    </row>
    <row r="574" spans="1:47" s="586" customFormat="1" x14ac:dyDescent="0.2">
      <c r="A574" s="585"/>
      <c r="B574" s="585"/>
      <c r="C574" s="585"/>
      <c r="D574" s="583"/>
      <c r="E574" s="583"/>
      <c r="F574" s="583"/>
      <c r="G574" s="583"/>
      <c r="H574" s="583"/>
      <c r="I574" s="583"/>
      <c r="J574" s="583"/>
      <c r="K574" s="583"/>
      <c r="L574" s="583"/>
      <c r="M574" s="583"/>
      <c r="N574" s="583"/>
      <c r="O574" s="583"/>
      <c r="P574" s="583"/>
      <c r="Q574" s="583"/>
      <c r="R574" s="583"/>
      <c r="S574" s="583"/>
      <c r="T574" s="583"/>
      <c r="U574" s="583"/>
      <c r="V574" s="583"/>
      <c r="W574" s="583"/>
      <c r="X574" s="583"/>
      <c r="Y574" s="583"/>
      <c r="Z574" s="583"/>
      <c r="AA574" s="583"/>
      <c r="AB574" s="583"/>
      <c r="AC574" s="583"/>
      <c r="AD574" s="583"/>
      <c r="AE574" s="583"/>
      <c r="AF574" s="583"/>
      <c r="AG574" s="583"/>
      <c r="AH574" s="583"/>
      <c r="AI574" s="583"/>
      <c r="AJ574" s="583"/>
      <c r="AK574" s="583"/>
      <c r="AL574" s="583"/>
      <c r="AM574" s="583"/>
      <c r="AN574" s="583"/>
      <c r="AO574" s="583"/>
      <c r="AP574" s="583"/>
      <c r="AQ574" s="583"/>
      <c r="AR574" s="583"/>
      <c r="AS574" s="583"/>
      <c r="AT574" s="583"/>
      <c r="AU574" s="583"/>
    </row>
    <row r="575" spans="1:47" s="586" customFormat="1" x14ac:dyDescent="0.2">
      <c r="A575" s="585"/>
      <c r="B575" s="585"/>
      <c r="C575" s="585"/>
      <c r="D575" s="583"/>
      <c r="E575" s="583"/>
      <c r="F575" s="583"/>
      <c r="G575" s="583"/>
      <c r="H575" s="583"/>
      <c r="I575" s="583"/>
      <c r="J575" s="583"/>
      <c r="K575" s="583"/>
      <c r="L575" s="583"/>
      <c r="M575" s="583"/>
      <c r="N575" s="583"/>
      <c r="O575" s="583"/>
      <c r="P575" s="583"/>
      <c r="Q575" s="583"/>
      <c r="R575" s="583"/>
      <c r="S575" s="583"/>
      <c r="T575" s="583"/>
      <c r="U575" s="583"/>
      <c r="V575" s="583"/>
      <c r="W575" s="583"/>
      <c r="X575" s="583"/>
      <c r="Y575" s="583"/>
      <c r="Z575" s="583"/>
      <c r="AA575" s="583"/>
      <c r="AB575" s="583"/>
      <c r="AC575" s="583"/>
      <c r="AD575" s="583"/>
      <c r="AE575" s="583"/>
      <c r="AF575" s="583"/>
      <c r="AG575" s="583"/>
      <c r="AH575" s="583"/>
      <c r="AI575" s="583"/>
      <c r="AJ575" s="583"/>
      <c r="AK575" s="583"/>
      <c r="AL575" s="583"/>
      <c r="AM575" s="583"/>
      <c r="AN575" s="583"/>
      <c r="AO575" s="583"/>
      <c r="AP575" s="583"/>
      <c r="AQ575" s="583"/>
      <c r="AR575" s="583"/>
      <c r="AS575" s="583"/>
      <c r="AT575" s="583"/>
      <c r="AU575" s="583"/>
    </row>
    <row r="576" spans="1:47" s="586" customFormat="1" x14ac:dyDescent="0.2">
      <c r="A576" s="585"/>
      <c r="B576" s="585"/>
      <c r="C576" s="585"/>
      <c r="D576" s="583"/>
      <c r="E576" s="583"/>
      <c r="F576" s="583"/>
      <c r="G576" s="583"/>
      <c r="H576" s="583"/>
      <c r="I576" s="583"/>
      <c r="J576" s="583"/>
      <c r="K576" s="583"/>
      <c r="L576" s="583"/>
      <c r="M576" s="583"/>
      <c r="N576" s="583"/>
      <c r="O576" s="583"/>
      <c r="P576" s="583"/>
      <c r="Q576" s="583"/>
      <c r="R576" s="583"/>
      <c r="S576" s="583"/>
      <c r="T576" s="583"/>
      <c r="U576" s="583"/>
      <c r="V576" s="583"/>
      <c r="W576" s="583"/>
      <c r="X576" s="583"/>
      <c r="Y576" s="583"/>
      <c r="Z576" s="583"/>
      <c r="AA576" s="583"/>
      <c r="AB576" s="583"/>
      <c r="AC576" s="583"/>
      <c r="AD576" s="583"/>
      <c r="AE576" s="583"/>
      <c r="AF576" s="583"/>
      <c r="AG576" s="583"/>
      <c r="AH576" s="583"/>
      <c r="AI576" s="583"/>
      <c r="AJ576" s="583"/>
      <c r="AK576" s="583"/>
      <c r="AL576" s="583"/>
      <c r="AM576" s="583"/>
      <c r="AN576" s="583"/>
      <c r="AO576" s="583"/>
      <c r="AP576" s="583"/>
      <c r="AQ576" s="583"/>
      <c r="AR576" s="583"/>
      <c r="AS576" s="583"/>
      <c r="AT576" s="583"/>
      <c r="AU576" s="583"/>
    </row>
    <row r="577" spans="1:47" s="586" customFormat="1" x14ac:dyDescent="0.2">
      <c r="A577" s="585"/>
      <c r="B577" s="585"/>
      <c r="C577" s="585"/>
      <c r="D577" s="583"/>
      <c r="E577" s="583"/>
      <c r="F577" s="583"/>
      <c r="G577" s="583"/>
      <c r="H577" s="583"/>
      <c r="I577" s="583"/>
      <c r="J577" s="583"/>
      <c r="K577" s="583"/>
      <c r="L577" s="583"/>
      <c r="M577" s="583"/>
      <c r="N577" s="583"/>
      <c r="O577" s="583"/>
      <c r="P577" s="583"/>
      <c r="Q577" s="583"/>
      <c r="R577" s="583"/>
      <c r="S577" s="583"/>
      <c r="T577" s="583"/>
      <c r="U577" s="583"/>
      <c r="V577" s="583"/>
      <c r="W577" s="583"/>
      <c r="X577" s="583"/>
      <c r="Y577" s="583"/>
      <c r="Z577" s="583"/>
      <c r="AA577" s="583"/>
      <c r="AB577" s="583"/>
      <c r="AC577" s="583"/>
      <c r="AD577" s="583"/>
      <c r="AE577" s="583"/>
      <c r="AF577" s="583"/>
      <c r="AG577" s="583"/>
      <c r="AH577" s="583"/>
      <c r="AI577" s="583"/>
      <c r="AJ577" s="583"/>
      <c r="AK577" s="583"/>
      <c r="AL577" s="583"/>
      <c r="AM577" s="583"/>
      <c r="AN577" s="583"/>
      <c r="AO577" s="583"/>
      <c r="AP577" s="583"/>
      <c r="AQ577" s="583"/>
      <c r="AR577" s="583"/>
      <c r="AS577" s="583"/>
      <c r="AT577" s="583"/>
      <c r="AU577" s="583"/>
    </row>
    <row r="578" spans="1:47" s="586" customFormat="1" x14ac:dyDescent="0.2">
      <c r="A578" s="585"/>
      <c r="B578" s="585"/>
      <c r="C578" s="585"/>
      <c r="D578" s="583"/>
      <c r="E578" s="583"/>
      <c r="F578" s="583"/>
      <c r="G578" s="583"/>
      <c r="H578" s="583"/>
      <c r="I578" s="583"/>
      <c r="J578" s="583"/>
      <c r="K578" s="583"/>
      <c r="L578" s="583"/>
      <c r="M578" s="583"/>
      <c r="N578" s="583"/>
      <c r="O578" s="583"/>
      <c r="P578" s="583"/>
      <c r="Q578" s="583"/>
      <c r="R578" s="583"/>
      <c r="S578" s="583"/>
      <c r="T578" s="583"/>
      <c r="U578" s="583"/>
      <c r="V578" s="583"/>
      <c r="W578" s="583"/>
      <c r="X578" s="583"/>
      <c r="Y578" s="583"/>
      <c r="Z578" s="583"/>
      <c r="AA578" s="583"/>
      <c r="AB578" s="583"/>
      <c r="AC578" s="583"/>
      <c r="AD578" s="583"/>
      <c r="AE578" s="583"/>
      <c r="AF578" s="583"/>
      <c r="AG578" s="583"/>
      <c r="AH578" s="583"/>
      <c r="AI578" s="583"/>
      <c r="AJ578" s="583"/>
      <c r="AK578" s="583"/>
      <c r="AL578" s="583"/>
      <c r="AM578" s="583"/>
      <c r="AN578" s="583"/>
      <c r="AO578" s="583"/>
      <c r="AP578" s="583"/>
      <c r="AQ578" s="583"/>
      <c r="AR578" s="583"/>
      <c r="AS578" s="583"/>
      <c r="AT578" s="583"/>
      <c r="AU578" s="583"/>
    </row>
    <row r="579" spans="1:47" s="586" customFormat="1" x14ac:dyDescent="0.2">
      <c r="A579" s="585"/>
      <c r="B579" s="585"/>
      <c r="C579" s="585"/>
      <c r="D579" s="583"/>
      <c r="E579" s="583"/>
      <c r="F579" s="583"/>
      <c r="G579" s="583"/>
      <c r="H579" s="583"/>
      <c r="I579" s="583"/>
      <c r="J579" s="583"/>
      <c r="K579" s="583"/>
      <c r="L579" s="583"/>
      <c r="M579" s="583"/>
      <c r="N579" s="583"/>
      <c r="O579" s="583"/>
      <c r="P579" s="583"/>
      <c r="Q579" s="583"/>
      <c r="R579" s="583"/>
      <c r="S579" s="583"/>
      <c r="T579" s="583"/>
      <c r="U579" s="583"/>
      <c r="V579" s="583"/>
      <c r="W579" s="583"/>
      <c r="X579" s="583"/>
      <c r="Y579" s="583"/>
      <c r="Z579" s="583"/>
      <c r="AA579" s="583"/>
      <c r="AB579" s="583"/>
      <c r="AC579" s="583"/>
      <c r="AD579" s="583"/>
      <c r="AE579" s="583"/>
      <c r="AF579" s="583"/>
      <c r="AG579" s="583"/>
      <c r="AH579" s="583"/>
      <c r="AI579" s="583"/>
      <c r="AJ579" s="583"/>
      <c r="AK579" s="583"/>
      <c r="AL579" s="583"/>
      <c r="AM579" s="583"/>
      <c r="AN579" s="583"/>
      <c r="AO579" s="583"/>
      <c r="AP579" s="583"/>
      <c r="AQ579" s="583"/>
      <c r="AR579" s="583"/>
      <c r="AS579" s="583"/>
      <c r="AT579" s="583"/>
      <c r="AU579" s="583"/>
    </row>
    <row r="580" spans="1:47" s="586" customFormat="1" x14ac:dyDescent="0.2">
      <c r="A580" s="585"/>
      <c r="B580" s="585"/>
      <c r="C580" s="585"/>
      <c r="D580" s="583"/>
      <c r="E580" s="583"/>
      <c r="F580" s="583"/>
      <c r="G580" s="583"/>
      <c r="H580" s="583"/>
      <c r="I580" s="583"/>
      <c r="J580" s="583"/>
      <c r="K580" s="583"/>
      <c r="L580" s="583"/>
      <c r="M580" s="583"/>
      <c r="N580" s="583"/>
      <c r="O580" s="583"/>
      <c r="P580" s="583"/>
      <c r="Q580" s="583"/>
      <c r="R580" s="583"/>
      <c r="S580" s="583"/>
      <c r="T580" s="583"/>
      <c r="U580" s="583"/>
      <c r="V580" s="583"/>
      <c r="W580" s="583"/>
      <c r="X580" s="583"/>
      <c r="Y580" s="583"/>
      <c r="Z580" s="583"/>
      <c r="AA580" s="583"/>
      <c r="AB580" s="583"/>
      <c r="AC580" s="583"/>
      <c r="AD580" s="583"/>
      <c r="AE580" s="583"/>
      <c r="AF580" s="583"/>
      <c r="AG580" s="583"/>
      <c r="AH580" s="583"/>
      <c r="AI580" s="583"/>
      <c r="AJ580" s="583"/>
      <c r="AK580" s="583"/>
      <c r="AL580" s="583"/>
      <c r="AM580" s="583"/>
      <c r="AN580" s="583"/>
      <c r="AO580" s="583"/>
      <c r="AP580" s="583"/>
      <c r="AQ580" s="583"/>
      <c r="AR580" s="583"/>
      <c r="AS580" s="583"/>
      <c r="AT580" s="583"/>
      <c r="AU580" s="583"/>
    </row>
    <row r="581" spans="1:47" s="586" customFormat="1" x14ac:dyDescent="0.2">
      <c r="A581" s="585"/>
      <c r="B581" s="585"/>
      <c r="C581" s="585"/>
      <c r="D581" s="583"/>
      <c r="E581" s="583"/>
      <c r="F581" s="583"/>
      <c r="G581" s="583"/>
      <c r="H581" s="583"/>
      <c r="I581" s="583"/>
      <c r="J581" s="583"/>
      <c r="K581" s="583"/>
      <c r="L581" s="583"/>
      <c r="M581" s="583"/>
      <c r="N581" s="583"/>
      <c r="O581" s="583"/>
      <c r="P581" s="583"/>
      <c r="Q581" s="583"/>
      <c r="R581" s="583"/>
      <c r="S581" s="583"/>
      <c r="T581" s="583"/>
      <c r="U581" s="583"/>
      <c r="V581" s="583"/>
      <c r="W581" s="583"/>
      <c r="X581" s="583"/>
      <c r="Y581" s="583"/>
      <c r="Z581" s="583"/>
      <c r="AA581" s="583"/>
      <c r="AB581" s="583"/>
      <c r="AC581" s="583"/>
      <c r="AD581" s="583"/>
      <c r="AE581" s="583"/>
      <c r="AF581" s="583"/>
      <c r="AG581" s="583"/>
      <c r="AH581" s="583"/>
      <c r="AI581" s="583"/>
      <c r="AJ581" s="583"/>
      <c r="AK581" s="583"/>
      <c r="AL581" s="583"/>
      <c r="AM581" s="583"/>
      <c r="AN581" s="583"/>
      <c r="AO581" s="583"/>
      <c r="AP581" s="583"/>
      <c r="AQ581" s="583"/>
      <c r="AR581" s="583"/>
      <c r="AS581" s="583"/>
      <c r="AT581" s="583"/>
      <c r="AU581" s="583"/>
    </row>
    <row r="582" spans="1:47" s="586" customFormat="1" x14ac:dyDescent="0.2">
      <c r="A582" s="585"/>
      <c r="B582" s="585"/>
      <c r="C582" s="585"/>
      <c r="D582" s="583"/>
      <c r="E582" s="583"/>
      <c r="F582" s="583"/>
      <c r="G582" s="583"/>
      <c r="H582" s="583"/>
      <c r="I582" s="583"/>
      <c r="J582" s="583"/>
      <c r="K582" s="583"/>
      <c r="L582" s="583"/>
      <c r="M582" s="583"/>
      <c r="N582" s="583"/>
      <c r="O582" s="583"/>
      <c r="P582" s="583"/>
      <c r="Q582" s="583"/>
      <c r="R582" s="583"/>
      <c r="S582" s="583"/>
      <c r="T582" s="583"/>
      <c r="U582" s="583"/>
      <c r="V582" s="583"/>
      <c r="W582" s="583"/>
      <c r="X582" s="583"/>
      <c r="Y582" s="583"/>
      <c r="Z582" s="583"/>
      <c r="AA582" s="583"/>
      <c r="AB582" s="583"/>
      <c r="AC582" s="583"/>
      <c r="AD582" s="583"/>
      <c r="AE582" s="583"/>
      <c r="AF582" s="583"/>
      <c r="AG582" s="583"/>
      <c r="AH582" s="583"/>
      <c r="AI582" s="583"/>
      <c r="AJ582" s="583"/>
      <c r="AK582" s="583"/>
      <c r="AL582" s="583"/>
      <c r="AM582" s="583"/>
      <c r="AN582" s="583"/>
      <c r="AO582" s="583"/>
      <c r="AP582" s="583"/>
      <c r="AQ582" s="583"/>
      <c r="AR582" s="583"/>
      <c r="AS582" s="583"/>
      <c r="AT582" s="583"/>
      <c r="AU582" s="583"/>
    </row>
    <row r="583" spans="1:47" s="586" customFormat="1" x14ac:dyDescent="0.2">
      <c r="A583" s="585"/>
      <c r="B583" s="585"/>
      <c r="C583" s="585"/>
      <c r="D583" s="583"/>
      <c r="E583" s="583"/>
      <c r="F583" s="583"/>
      <c r="G583" s="583"/>
      <c r="H583" s="583"/>
      <c r="I583" s="583"/>
      <c r="J583" s="583"/>
      <c r="K583" s="583"/>
      <c r="L583" s="583"/>
      <c r="M583" s="583"/>
      <c r="N583" s="583"/>
      <c r="O583" s="583"/>
      <c r="P583" s="583"/>
      <c r="Q583" s="583"/>
      <c r="R583" s="583"/>
      <c r="S583" s="583"/>
      <c r="T583" s="583"/>
      <c r="U583" s="583"/>
      <c r="V583" s="583"/>
      <c r="W583" s="583"/>
      <c r="X583" s="583"/>
      <c r="Y583" s="583"/>
      <c r="Z583" s="583"/>
      <c r="AA583" s="583"/>
      <c r="AB583" s="583"/>
      <c r="AC583" s="583"/>
      <c r="AD583" s="583"/>
      <c r="AE583" s="583"/>
      <c r="AF583" s="583"/>
      <c r="AG583" s="583"/>
      <c r="AH583" s="583"/>
      <c r="AI583" s="583"/>
      <c r="AJ583" s="583"/>
      <c r="AK583" s="583"/>
      <c r="AL583" s="583"/>
      <c r="AM583" s="583"/>
      <c r="AN583" s="583"/>
      <c r="AO583" s="583"/>
      <c r="AP583" s="583"/>
      <c r="AQ583" s="583"/>
      <c r="AR583" s="583"/>
      <c r="AS583" s="583"/>
      <c r="AT583" s="583"/>
      <c r="AU583" s="583"/>
    </row>
    <row r="584" spans="1:47" s="586" customFormat="1" x14ac:dyDescent="0.2">
      <c r="A584" s="585"/>
      <c r="B584" s="585"/>
      <c r="C584" s="585"/>
      <c r="D584" s="583"/>
      <c r="E584" s="583"/>
      <c r="F584" s="583"/>
      <c r="G584" s="583"/>
      <c r="H584" s="583"/>
      <c r="I584" s="583"/>
      <c r="J584" s="583"/>
      <c r="K584" s="583"/>
      <c r="L584" s="583"/>
      <c r="M584" s="583"/>
      <c r="N584" s="583"/>
      <c r="O584" s="583"/>
      <c r="P584" s="583"/>
      <c r="Q584" s="583"/>
      <c r="R584" s="583"/>
      <c r="S584" s="583"/>
      <c r="T584" s="583"/>
      <c r="U584" s="583"/>
      <c r="V584" s="583"/>
      <c r="W584" s="583"/>
      <c r="X584" s="583"/>
      <c r="Y584" s="583"/>
      <c r="Z584" s="583"/>
      <c r="AA584" s="583"/>
      <c r="AB584" s="583"/>
      <c r="AC584" s="583"/>
      <c r="AD584" s="583"/>
      <c r="AE584" s="583"/>
      <c r="AF584" s="583"/>
      <c r="AG584" s="583"/>
      <c r="AH584" s="583"/>
      <c r="AI584" s="583"/>
      <c r="AJ584" s="583"/>
      <c r="AK584" s="583"/>
      <c r="AL584" s="583"/>
      <c r="AM584" s="583"/>
      <c r="AN584" s="583"/>
      <c r="AO584" s="583"/>
      <c r="AP584" s="583"/>
      <c r="AQ584" s="583"/>
      <c r="AR584" s="583"/>
      <c r="AS584" s="583"/>
      <c r="AT584" s="583"/>
      <c r="AU584" s="583"/>
    </row>
    <row r="585" spans="1:47" s="586" customFormat="1" x14ac:dyDescent="0.2">
      <c r="A585" s="585"/>
      <c r="B585" s="585"/>
      <c r="C585" s="585"/>
      <c r="D585" s="583"/>
      <c r="E585" s="583"/>
      <c r="F585" s="583"/>
      <c r="G585" s="583"/>
      <c r="H585" s="583"/>
      <c r="I585" s="583"/>
      <c r="J585" s="583"/>
      <c r="K585" s="583"/>
      <c r="L585" s="583"/>
      <c r="M585" s="583"/>
      <c r="N585" s="583"/>
      <c r="O585" s="583"/>
      <c r="P585" s="583"/>
      <c r="Q585" s="583"/>
      <c r="R585" s="583"/>
      <c r="S585" s="583"/>
      <c r="T585" s="583"/>
      <c r="U585" s="583"/>
      <c r="V585" s="583"/>
      <c r="W585" s="583"/>
      <c r="X585" s="583"/>
      <c r="Y585" s="583"/>
      <c r="Z585" s="583"/>
      <c r="AA585" s="583"/>
      <c r="AB585" s="583"/>
      <c r="AC585" s="583"/>
      <c r="AD585" s="583"/>
      <c r="AE585" s="583"/>
      <c r="AF585" s="583"/>
      <c r="AG585" s="583"/>
      <c r="AH585" s="583"/>
      <c r="AI585" s="583"/>
      <c r="AJ585" s="583"/>
      <c r="AK585" s="583"/>
      <c r="AL585" s="583"/>
      <c r="AM585" s="583"/>
      <c r="AN585" s="583"/>
      <c r="AO585" s="583"/>
      <c r="AP585" s="583"/>
      <c r="AQ585" s="583"/>
      <c r="AR585" s="583"/>
      <c r="AS585" s="583"/>
      <c r="AT585" s="583"/>
      <c r="AU585" s="583"/>
    </row>
    <row r="586" spans="1:47" s="586" customFormat="1" x14ac:dyDescent="0.2">
      <c r="A586" s="585"/>
      <c r="B586" s="585"/>
      <c r="C586" s="585"/>
      <c r="D586" s="583"/>
      <c r="E586" s="583"/>
      <c r="F586" s="583"/>
      <c r="G586" s="583"/>
      <c r="H586" s="583"/>
      <c r="I586" s="583"/>
      <c r="J586" s="583"/>
      <c r="K586" s="583"/>
      <c r="L586" s="583"/>
      <c r="M586" s="583"/>
      <c r="N586" s="583"/>
      <c r="O586" s="583"/>
      <c r="P586" s="583"/>
      <c r="Q586" s="583"/>
      <c r="R586" s="583"/>
      <c r="S586" s="583"/>
      <c r="T586" s="583"/>
      <c r="U586" s="583"/>
      <c r="V586" s="583"/>
      <c r="W586" s="583"/>
      <c r="X586" s="583"/>
      <c r="Y586" s="583"/>
      <c r="Z586" s="583"/>
      <c r="AA586" s="583"/>
      <c r="AB586" s="583"/>
      <c r="AC586" s="583"/>
      <c r="AD586" s="583"/>
      <c r="AE586" s="583"/>
      <c r="AF586" s="583"/>
      <c r="AG586" s="583"/>
      <c r="AH586" s="583"/>
      <c r="AI586" s="583"/>
      <c r="AJ586" s="583"/>
      <c r="AK586" s="583"/>
      <c r="AL586" s="583"/>
      <c r="AM586" s="583"/>
      <c r="AN586" s="583"/>
      <c r="AO586" s="583"/>
      <c r="AP586" s="583"/>
      <c r="AQ586" s="583"/>
      <c r="AR586" s="583"/>
      <c r="AS586" s="583"/>
      <c r="AT586" s="583"/>
      <c r="AU586" s="583"/>
    </row>
    <row r="587" spans="1:47" s="586" customFormat="1" x14ac:dyDescent="0.2">
      <c r="A587" s="585"/>
      <c r="B587" s="585"/>
      <c r="C587" s="585"/>
      <c r="D587" s="583"/>
      <c r="E587" s="583"/>
      <c r="F587" s="583"/>
      <c r="G587" s="583"/>
      <c r="H587" s="583"/>
      <c r="I587" s="583"/>
      <c r="J587" s="583"/>
      <c r="K587" s="583"/>
      <c r="L587" s="583"/>
      <c r="M587" s="583"/>
      <c r="N587" s="583"/>
      <c r="O587" s="583"/>
      <c r="P587" s="583"/>
      <c r="Q587" s="583"/>
      <c r="R587" s="583"/>
      <c r="S587" s="583"/>
      <c r="T587" s="583"/>
      <c r="U587" s="583"/>
      <c r="V587" s="583"/>
      <c r="W587" s="583"/>
      <c r="X587" s="583"/>
      <c r="Y587" s="583"/>
      <c r="Z587" s="583"/>
      <c r="AA587" s="583"/>
      <c r="AB587" s="583"/>
      <c r="AC587" s="583"/>
      <c r="AD587" s="583"/>
      <c r="AE587" s="583"/>
      <c r="AF587" s="583"/>
      <c r="AG587" s="583"/>
      <c r="AH587" s="583"/>
      <c r="AI587" s="583"/>
      <c r="AJ587" s="583"/>
      <c r="AK587" s="583"/>
      <c r="AL587" s="583"/>
      <c r="AM587" s="583"/>
      <c r="AN587" s="583"/>
      <c r="AO587" s="583"/>
      <c r="AP587" s="583"/>
      <c r="AQ587" s="583"/>
      <c r="AR587" s="583"/>
      <c r="AS587" s="583"/>
      <c r="AT587" s="583"/>
      <c r="AU587" s="583"/>
    </row>
    <row r="588" spans="1:47" s="586" customFormat="1" x14ac:dyDescent="0.2">
      <c r="A588" s="585"/>
      <c r="B588" s="585"/>
      <c r="C588" s="585"/>
      <c r="D588" s="583"/>
      <c r="E588" s="583"/>
      <c r="F588" s="583"/>
      <c r="G588" s="583"/>
      <c r="H588" s="583"/>
      <c r="I588" s="583"/>
      <c r="J588" s="583"/>
      <c r="K588" s="583"/>
      <c r="L588" s="583"/>
      <c r="M588" s="583"/>
      <c r="N588" s="583"/>
      <c r="O588" s="583"/>
      <c r="P588" s="583"/>
      <c r="Q588" s="583"/>
      <c r="R588" s="583"/>
      <c r="S588" s="583"/>
      <c r="T588" s="583"/>
      <c r="U588" s="583"/>
      <c r="V588" s="583"/>
      <c r="W588" s="583"/>
      <c r="X588" s="583"/>
      <c r="Y588" s="583"/>
      <c r="Z588" s="583"/>
      <c r="AA588" s="583"/>
      <c r="AB588" s="583"/>
      <c r="AC588" s="583"/>
      <c r="AD588" s="583"/>
      <c r="AE588" s="583"/>
      <c r="AF588" s="583"/>
      <c r="AG588" s="583"/>
      <c r="AH588" s="583"/>
      <c r="AI588" s="583"/>
      <c r="AJ588" s="583"/>
      <c r="AK588" s="583"/>
      <c r="AL588" s="583"/>
      <c r="AM588" s="583"/>
      <c r="AN588" s="583"/>
      <c r="AO588" s="583"/>
      <c r="AP588" s="583"/>
      <c r="AQ588" s="583"/>
      <c r="AR588" s="583"/>
      <c r="AS588" s="583"/>
      <c r="AT588" s="583"/>
      <c r="AU588" s="583"/>
    </row>
    <row r="589" spans="1:47" s="586" customFormat="1" x14ac:dyDescent="0.2">
      <c r="A589" s="585"/>
      <c r="B589" s="585"/>
      <c r="C589" s="585"/>
      <c r="D589" s="583"/>
      <c r="E589" s="583"/>
      <c r="F589" s="583"/>
      <c r="G589" s="583"/>
      <c r="H589" s="583"/>
      <c r="I589" s="583"/>
      <c r="J589" s="583"/>
      <c r="K589" s="583"/>
      <c r="L589" s="583"/>
      <c r="M589" s="583"/>
      <c r="N589" s="583"/>
      <c r="O589" s="583"/>
      <c r="P589" s="583"/>
      <c r="Q589" s="583"/>
      <c r="R589" s="583"/>
      <c r="S589" s="583"/>
      <c r="T589" s="583"/>
      <c r="U589" s="583"/>
      <c r="V589" s="583"/>
      <c r="W589" s="583"/>
      <c r="X589" s="583"/>
      <c r="Y589" s="583"/>
      <c r="Z589" s="583"/>
      <c r="AA589" s="583"/>
      <c r="AB589" s="583"/>
      <c r="AC589" s="583"/>
      <c r="AD589" s="583"/>
      <c r="AE589" s="583"/>
      <c r="AF589" s="583"/>
      <c r="AG589" s="583"/>
      <c r="AH589" s="583"/>
      <c r="AI589" s="583"/>
      <c r="AJ589" s="583"/>
      <c r="AK589" s="583"/>
      <c r="AL589" s="583"/>
      <c r="AM589" s="583"/>
      <c r="AN589" s="583"/>
      <c r="AO589" s="583"/>
      <c r="AP589" s="583"/>
      <c r="AQ589" s="583"/>
      <c r="AR589" s="583"/>
      <c r="AS589" s="583"/>
      <c r="AT589" s="583"/>
      <c r="AU589" s="583"/>
    </row>
    <row r="590" spans="1:47" s="586" customFormat="1" x14ac:dyDescent="0.2">
      <c r="A590" s="585"/>
      <c r="B590" s="585"/>
      <c r="C590" s="585"/>
      <c r="D590" s="583"/>
      <c r="E590" s="583"/>
      <c r="F590" s="583"/>
      <c r="G590" s="583"/>
      <c r="H590" s="583"/>
      <c r="I590" s="583"/>
      <c r="J590" s="583"/>
      <c r="K590" s="583"/>
      <c r="L590" s="583"/>
      <c r="M590" s="583"/>
      <c r="N590" s="583"/>
      <c r="O590" s="583"/>
      <c r="P590" s="583"/>
      <c r="Q590" s="583"/>
      <c r="R590" s="583"/>
      <c r="S590" s="583"/>
      <c r="T590" s="583"/>
      <c r="U590" s="583"/>
      <c r="V590" s="583"/>
      <c r="W590" s="583"/>
      <c r="X590" s="583"/>
      <c r="Y590" s="583"/>
      <c r="Z590" s="583"/>
      <c r="AA590" s="583"/>
      <c r="AB590" s="583"/>
      <c r="AC590" s="583"/>
      <c r="AD590" s="583"/>
      <c r="AE590" s="583"/>
      <c r="AF590" s="583"/>
      <c r="AG590" s="583"/>
      <c r="AH590" s="583"/>
      <c r="AI590" s="583"/>
      <c r="AJ590" s="583"/>
      <c r="AK590" s="583"/>
      <c r="AL590" s="583"/>
      <c r="AM590" s="583"/>
      <c r="AN590" s="583"/>
      <c r="AO590" s="583"/>
      <c r="AP590" s="583"/>
      <c r="AQ590" s="583"/>
      <c r="AR590" s="583"/>
      <c r="AS590" s="583"/>
      <c r="AT590" s="583"/>
      <c r="AU590" s="583"/>
    </row>
    <row r="591" spans="1:47" s="586" customFormat="1" x14ac:dyDescent="0.2">
      <c r="A591" s="585"/>
      <c r="B591" s="585"/>
      <c r="C591" s="585"/>
      <c r="D591" s="583"/>
      <c r="E591" s="583"/>
      <c r="F591" s="583"/>
      <c r="G591" s="583"/>
      <c r="H591" s="583"/>
      <c r="I591" s="583"/>
      <c r="J591" s="583"/>
      <c r="K591" s="583"/>
      <c r="L591" s="583"/>
      <c r="M591" s="583"/>
      <c r="N591" s="583"/>
      <c r="O591" s="583"/>
      <c r="P591" s="583"/>
      <c r="Q591" s="583"/>
      <c r="R591" s="583"/>
      <c r="S591" s="583"/>
      <c r="T591" s="583"/>
      <c r="U591" s="583"/>
      <c r="V591" s="583"/>
      <c r="W591" s="583"/>
      <c r="X591" s="583"/>
      <c r="Y591" s="583"/>
      <c r="Z591" s="583"/>
      <c r="AA591" s="583"/>
      <c r="AB591" s="583"/>
      <c r="AC591" s="583"/>
      <c r="AD591" s="583"/>
      <c r="AE591" s="583"/>
      <c r="AF591" s="583"/>
      <c r="AG591" s="583"/>
      <c r="AH591" s="583"/>
      <c r="AI591" s="583"/>
      <c r="AJ591" s="583"/>
      <c r="AK591" s="583"/>
      <c r="AL591" s="583"/>
      <c r="AM591" s="583"/>
      <c r="AN591" s="583"/>
      <c r="AO591" s="583"/>
      <c r="AP591" s="583"/>
      <c r="AQ591" s="583"/>
      <c r="AR591" s="583"/>
      <c r="AS591" s="583"/>
      <c r="AT591" s="583"/>
      <c r="AU591" s="583"/>
    </row>
    <row r="592" spans="1:47" s="586" customFormat="1" x14ac:dyDescent="0.2">
      <c r="A592" s="585"/>
      <c r="B592" s="585"/>
      <c r="C592" s="585"/>
      <c r="D592" s="583"/>
      <c r="E592" s="583"/>
      <c r="F592" s="583"/>
      <c r="G592" s="583"/>
      <c r="H592" s="583"/>
      <c r="I592" s="583"/>
      <c r="J592" s="583"/>
      <c r="K592" s="583"/>
      <c r="L592" s="583"/>
      <c r="M592" s="583"/>
      <c r="N592" s="583"/>
      <c r="O592" s="583"/>
      <c r="P592" s="583"/>
      <c r="Q592" s="583"/>
      <c r="R592" s="583"/>
      <c r="S592" s="583"/>
      <c r="T592" s="583"/>
      <c r="U592" s="583"/>
      <c r="V592" s="583"/>
      <c r="W592" s="583"/>
      <c r="X592" s="583"/>
      <c r="Y592" s="583"/>
      <c r="Z592" s="583"/>
      <c r="AA592" s="583"/>
      <c r="AB592" s="583"/>
      <c r="AC592" s="583"/>
      <c r="AD592" s="583"/>
      <c r="AE592" s="583"/>
      <c r="AF592" s="583"/>
      <c r="AG592" s="583"/>
      <c r="AH592" s="583"/>
      <c r="AI592" s="583"/>
      <c r="AJ592" s="583"/>
      <c r="AK592" s="583"/>
      <c r="AL592" s="583"/>
      <c r="AM592" s="583"/>
      <c r="AN592" s="583"/>
      <c r="AO592" s="583"/>
      <c r="AP592" s="583"/>
      <c r="AQ592" s="583"/>
      <c r="AR592" s="583"/>
      <c r="AS592" s="583"/>
      <c r="AT592" s="583"/>
      <c r="AU592" s="583"/>
    </row>
    <row r="593" spans="1:47" s="586" customFormat="1" x14ac:dyDescent="0.2">
      <c r="A593" s="585"/>
      <c r="B593" s="585"/>
      <c r="C593" s="585"/>
      <c r="D593" s="583"/>
      <c r="E593" s="583"/>
      <c r="F593" s="583"/>
      <c r="G593" s="583"/>
      <c r="H593" s="583"/>
      <c r="I593" s="583"/>
      <c r="J593" s="583"/>
      <c r="K593" s="583"/>
      <c r="L593" s="583"/>
      <c r="M593" s="583"/>
      <c r="N593" s="583"/>
      <c r="O593" s="583"/>
      <c r="P593" s="583"/>
      <c r="Q593" s="583"/>
      <c r="R593" s="583"/>
      <c r="S593" s="583"/>
      <c r="T593" s="583"/>
      <c r="U593" s="583"/>
      <c r="V593" s="583"/>
      <c r="W593" s="583"/>
      <c r="X593" s="583"/>
      <c r="Y593" s="583"/>
      <c r="Z593" s="583"/>
      <c r="AA593" s="583"/>
      <c r="AB593" s="583"/>
      <c r="AC593" s="583"/>
      <c r="AD593" s="583"/>
      <c r="AE593" s="583"/>
      <c r="AF593" s="583"/>
      <c r="AG593" s="583"/>
      <c r="AH593" s="583"/>
      <c r="AI593" s="583"/>
      <c r="AJ593" s="583"/>
      <c r="AK593" s="583"/>
      <c r="AL593" s="583"/>
      <c r="AM593" s="583"/>
      <c r="AN593" s="583"/>
      <c r="AO593" s="583"/>
      <c r="AP593" s="583"/>
      <c r="AQ593" s="583"/>
      <c r="AR593" s="583"/>
      <c r="AS593" s="583"/>
      <c r="AT593" s="583"/>
      <c r="AU593" s="583"/>
    </row>
    <row r="594" spans="1:47" s="586" customFormat="1" x14ac:dyDescent="0.2">
      <c r="A594" s="585"/>
      <c r="B594" s="585"/>
      <c r="C594" s="585"/>
      <c r="D594" s="583"/>
      <c r="E594" s="583"/>
      <c r="F594" s="583"/>
      <c r="G594" s="583"/>
      <c r="H594" s="583"/>
      <c r="I594" s="583"/>
      <c r="J594" s="583"/>
      <c r="K594" s="583"/>
      <c r="L594" s="583"/>
      <c r="M594" s="583"/>
      <c r="N594" s="583"/>
      <c r="O594" s="583"/>
      <c r="P594" s="583"/>
      <c r="Q594" s="583"/>
      <c r="R594" s="583"/>
      <c r="S594" s="583"/>
      <c r="T594" s="583"/>
      <c r="U594" s="583"/>
      <c r="V594" s="583"/>
      <c r="W594" s="583"/>
      <c r="X594" s="583"/>
      <c r="Y594" s="583"/>
      <c r="Z594" s="583"/>
      <c r="AA594" s="583"/>
      <c r="AB594" s="583"/>
      <c r="AC594" s="583"/>
      <c r="AD594" s="583"/>
      <c r="AE594" s="583"/>
      <c r="AF594" s="583"/>
      <c r="AG594" s="583"/>
      <c r="AH594" s="583"/>
      <c r="AI594" s="583"/>
      <c r="AJ594" s="583"/>
      <c r="AK594" s="583"/>
      <c r="AL594" s="583"/>
      <c r="AM594" s="583"/>
      <c r="AN594" s="583"/>
      <c r="AO594" s="583"/>
      <c r="AP594" s="583"/>
      <c r="AQ594" s="583"/>
      <c r="AR594" s="583"/>
      <c r="AS594" s="583"/>
      <c r="AT594" s="583"/>
      <c r="AU594" s="583"/>
    </row>
    <row r="595" spans="1:47" s="586" customFormat="1" x14ac:dyDescent="0.2">
      <c r="A595" s="585"/>
      <c r="B595" s="585"/>
      <c r="C595" s="585"/>
      <c r="D595" s="583"/>
      <c r="E595" s="583"/>
      <c r="F595" s="583"/>
      <c r="G595" s="583"/>
      <c r="H595" s="583"/>
      <c r="I595" s="583"/>
      <c r="J595" s="583"/>
      <c r="K595" s="583"/>
      <c r="L595" s="583"/>
      <c r="M595" s="583"/>
      <c r="N595" s="583"/>
      <c r="O595" s="583"/>
      <c r="P595" s="583"/>
      <c r="Q595" s="583"/>
      <c r="R595" s="583"/>
      <c r="S595" s="583"/>
      <c r="T595" s="583"/>
      <c r="U595" s="583"/>
      <c r="V595" s="583"/>
      <c r="W595" s="583"/>
      <c r="X595" s="583"/>
      <c r="Y595" s="583"/>
      <c r="Z595" s="583"/>
      <c r="AA595" s="583"/>
      <c r="AB595" s="583"/>
      <c r="AC595" s="583"/>
      <c r="AD595" s="583"/>
      <c r="AE595" s="583"/>
      <c r="AF595" s="583"/>
      <c r="AG595" s="583"/>
      <c r="AH595" s="583"/>
      <c r="AI595" s="583"/>
      <c r="AJ595" s="583"/>
      <c r="AK595" s="583"/>
      <c r="AL595" s="583"/>
      <c r="AM595" s="583"/>
      <c r="AN595" s="583"/>
      <c r="AO595" s="583"/>
      <c r="AP595" s="583"/>
      <c r="AQ595" s="583"/>
      <c r="AR595" s="583"/>
      <c r="AS595" s="583"/>
      <c r="AT595" s="583"/>
      <c r="AU595" s="583"/>
    </row>
    <row r="596" spans="1:47" s="586" customFormat="1" x14ac:dyDescent="0.2">
      <c r="A596" s="585"/>
      <c r="B596" s="585"/>
      <c r="C596" s="585"/>
      <c r="D596" s="583"/>
      <c r="E596" s="583"/>
      <c r="F596" s="583"/>
      <c r="G596" s="583"/>
      <c r="H596" s="583"/>
      <c r="I596" s="583"/>
      <c r="J596" s="583"/>
      <c r="K596" s="583"/>
      <c r="L596" s="583"/>
      <c r="M596" s="583"/>
      <c r="N596" s="583"/>
      <c r="O596" s="583"/>
      <c r="P596" s="583"/>
      <c r="Q596" s="583"/>
      <c r="R596" s="583"/>
      <c r="S596" s="583"/>
      <c r="T596" s="583"/>
      <c r="U596" s="583"/>
      <c r="V596" s="583"/>
      <c r="W596" s="583"/>
      <c r="X596" s="583"/>
      <c r="Y596" s="583"/>
      <c r="Z596" s="583"/>
      <c r="AA596" s="583"/>
      <c r="AB596" s="583"/>
      <c r="AC596" s="583"/>
      <c r="AD596" s="583"/>
      <c r="AE596" s="583"/>
      <c r="AF596" s="583"/>
      <c r="AG596" s="583"/>
      <c r="AH596" s="583"/>
      <c r="AI596" s="583"/>
      <c r="AJ596" s="583"/>
      <c r="AK596" s="583"/>
      <c r="AL596" s="583"/>
      <c r="AM596" s="583"/>
      <c r="AN596" s="583"/>
      <c r="AO596" s="583"/>
      <c r="AP596" s="583"/>
      <c r="AQ596" s="583"/>
      <c r="AR596" s="583"/>
      <c r="AS596" s="583"/>
      <c r="AT596" s="583"/>
      <c r="AU596" s="583"/>
    </row>
    <row r="597" spans="1:47" s="586" customFormat="1" x14ac:dyDescent="0.2">
      <c r="A597" s="585"/>
      <c r="B597" s="585"/>
      <c r="C597" s="585"/>
      <c r="D597" s="583"/>
      <c r="E597" s="583"/>
      <c r="F597" s="583"/>
      <c r="G597" s="583"/>
      <c r="H597" s="583"/>
      <c r="I597" s="583"/>
      <c r="J597" s="583"/>
      <c r="K597" s="583"/>
      <c r="L597" s="583"/>
      <c r="M597" s="583"/>
      <c r="N597" s="583"/>
      <c r="O597" s="583"/>
      <c r="P597" s="583"/>
      <c r="Q597" s="583"/>
      <c r="R597" s="583"/>
      <c r="S597" s="583"/>
      <c r="T597" s="583"/>
      <c r="U597" s="583"/>
      <c r="V597" s="583"/>
      <c r="W597" s="583"/>
      <c r="X597" s="583"/>
      <c r="Y597" s="583"/>
      <c r="Z597" s="583"/>
      <c r="AA597" s="583"/>
      <c r="AB597" s="583"/>
      <c r="AC597" s="583"/>
      <c r="AD597" s="583"/>
      <c r="AE597" s="583"/>
      <c r="AF597" s="583"/>
      <c r="AG597" s="583"/>
      <c r="AH597" s="583"/>
      <c r="AI597" s="583"/>
      <c r="AJ597" s="583"/>
      <c r="AK597" s="583"/>
      <c r="AL597" s="583"/>
      <c r="AM597" s="583"/>
      <c r="AN597" s="583"/>
      <c r="AO597" s="583"/>
      <c r="AP597" s="583"/>
      <c r="AQ597" s="583"/>
      <c r="AR597" s="583"/>
      <c r="AS597" s="583"/>
      <c r="AT597" s="583"/>
      <c r="AU597" s="583"/>
    </row>
    <row r="598" spans="1:47" s="586" customFormat="1" x14ac:dyDescent="0.2">
      <c r="A598" s="585"/>
      <c r="B598" s="585"/>
      <c r="C598" s="585"/>
      <c r="D598" s="583"/>
      <c r="E598" s="583"/>
      <c r="F598" s="583"/>
      <c r="G598" s="583"/>
      <c r="H598" s="583"/>
      <c r="I598" s="583"/>
      <c r="J598" s="583"/>
      <c r="K598" s="583"/>
      <c r="L598" s="583"/>
      <c r="M598" s="583"/>
      <c r="N598" s="583"/>
      <c r="O598" s="583"/>
      <c r="P598" s="583"/>
      <c r="Q598" s="583"/>
      <c r="R598" s="583"/>
      <c r="S598" s="583"/>
      <c r="T598" s="583"/>
      <c r="U598" s="583"/>
      <c r="V598" s="583"/>
      <c r="W598" s="583"/>
      <c r="X598" s="583"/>
      <c r="Y598" s="583"/>
      <c r="Z598" s="583"/>
      <c r="AA598" s="583"/>
      <c r="AB598" s="583"/>
      <c r="AC598" s="583"/>
      <c r="AD598" s="583"/>
      <c r="AE598" s="583"/>
      <c r="AF598" s="583"/>
      <c r="AG598" s="583"/>
      <c r="AH598" s="583"/>
      <c r="AI598" s="583"/>
      <c r="AJ598" s="583"/>
      <c r="AK598" s="583"/>
      <c r="AL598" s="583"/>
      <c r="AM598" s="583"/>
      <c r="AN598" s="583"/>
      <c r="AO598" s="583"/>
      <c r="AP598" s="583"/>
      <c r="AQ598" s="583"/>
      <c r="AR598" s="583"/>
      <c r="AS598" s="583"/>
      <c r="AT598" s="583"/>
      <c r="AU598" s="583"/>
    </row>
    <row r="599" spans="1:47" s="586" customFormat="1" x14ac:dyDescent="0.2">
      <c r="A599" s="585"/>
      <c r="B599" s="585"/>
      <c r="C599" s="585"/>
      <c r="D599" s="583"/>
      <c r="E599" s="583"/>
      <c r="F599" s="583"/>
      <c r="G599" s="583"/>
      <c r="H599" s="583"/>
      <c r="I599" s="583"/>
      <c r="J599" s="583"/>
      <c r="K599" s="583"/>
      <c r="L599" s="583"/>
      <c r="M599" s="583"/>
      <c r="N599" s="583"/>
      <c r="O599" s="583"/>
      <c r="P599" s="583"/>
      <c r="Q599" s="583"/>
      <c r="R599" s="583"/>
      <c r="S599" s="583"/>
      <c r="T599" s="583"/>
      <c r="U599" s="583"/>
      <c r="V599" s="583"/>
      <c r="W599" s="583"/>
      <c r="X599" s="583"/>
      <c r="Y599" s="583"/>
      <c r="Z599" s="583"/>
      <c r="AA599" s="583"/>
      <c r="AB599" s="583"/>
      <c r="AC599" s="583"/>
      <c r="AD599" s="583"/>
      <c r="AE599" s="583"/>
      <c r="AF599" s="583"/>
      <c r="AG599" s="583"/>
      <c r="AH599" s="583"/>
      <c r="AI599" s="583"/>
      <c r="AJ599" s="583"/>
      <c r="AK599" s="583"/>
      <c r="AL599" s="583"/>
      <c r="AM599" s="583"/>
      <c r="AN599" s="583"/>
      <c r="AO599" s="583"/>
      <c r="AP599" s="583"/>
      <c r="AQ599" s="583"/>
      <c r="AR599" s="583"/>
      <c r="AS599" s="583"/>
      <c r="AT599" s="583"/>
      <c r="AU599" s="583"/>
    </row>
    <row r="600" spans="1:47" s="586" customFormat="1" x14ac:dyDescent="0.2">
      <c r="A600" s="585"/>
      <c r="B600" s="585"/>
      <c r="C600" s="585"/>
      <c r="D600" s="583"/>
      <c r="E600" s="583"/>
      <c r="F600" s="583"/>
      <c r="G600" s="583"/>
      <c r="H600" s="583"/>
      <c r="I600" s="583"/>
      <c r="J600" s="583"/>
      <c r="K600" s="583"/>
      <c r="L600" s="583"/>
      <c r="M600" s="583"/>
      <c r="N600" s="583"/>
      <c r="O600" s="583"/>
      <c r="P600" s="583"/>
      <c r="Q600" s="583"/>
      <c r="R600" s="583"/>
      <c r="S600" s="583"/>
      <c r="T600" s="583"/>
      <c r="U600" s="583"/>
      <c r="V600" s="583"/>
      <c r="W600" s="583"/>
      <c r="X600" s="583"/>
      <c r="Y600" s="583"/>
      <c r="Z600" s="583"/>
      <c r="AA600" s="583"/>
      <c r="AB600" s="583"/>
      <c r="AC600" s="583"/>
      <c r="AD600" s="583"/>
      <c r="AE600" s="583"/>
      <c r="AF600" s="583"/>
      <c r="AG600" s="583"/>
      <c r="AH600" s="583"/>
      <c r="AI600" s="583"/>
      <c r="AJ600" s="583"/>
      <c r="AK600" s="583"/>
      <c r="AL600" s="583"/>
      <c r="AM600" s="583"/>
      <c r="AN600" s="583"/>
      <c r="AO600" s="583"/>
      <c r="AP600" s="583"/>
      <c r="AQ600" s="583"/>
      <c r="AR600" s="583"/>
      <c r="AS600" s="583"/>
      <c r="AT600" s="583"/>
      <c r="AU600" s="583"/>
    </row>
    <row r="601" spans="1:47" s="586" customFormat="1" x14ac:dyDescent="0.2">
      <c r="A601" s="585"/>
      <c r="B601" s="585"/>
      <c r="C601" s="585"/>
      <c r="D601" s="583"/>
      <c r="E601" s="583"/>
      <c r="F601" s="583"/>
      <c r="G601" s="583"/>
      <c r="H601" s="583"/>
      <c r="I601" s="583"/>
      <c r="J601" s="583"/>
      <c r="K601" s="583"/>
      <c r="L601" s="583"/>
      <c r="M601" s="583"/>
      <c r="N601" s="583"/>
      <c r="O601" s="583"/>
      <c r="P601" s="583"/>
      <c r="Q601" s="583"/>
      <c r="R601" s="583"/>
      <c r="S601" s="583"/>
      <c r="T601" s="583"/>
      <c r="U601" s="583"/>
      <c r="V601" s="583"/>
      <c r="W601" s="583"/>
      <c r="X601" s="583"/>
      <c r="Y601" s="583"/>
      <c r="Z601" s="583"/>
      <c r="AA601" s="583"/>
      <c r="AB601" s="583"/>
      <c r="AC601" s="583"/>
      <c r="AD601" s="583"/>
      <c r="AE601" s="583"/>
      <c r="AF601" s="583"/>
      <c r="AG601" s="583"/>
      <c r="AH601" s="583"/>
      <c r="AI601" s="583"/>
      <c r="AJ601" s="583"/>
      <c r="AK601" s="583"/>
      <c r="AL601" s="583"/>
      <c r="AM601" s="583"/>
      <c r="AN601" s="583"/>
      <c r="AO601" s="583"/>
      <c r="AP601" s="583"/>
      <c r="AQ601" s="583"/>
      <c r="AR601" s="583"/>
      <c r="AS601" s="583"/>
      <c r="AT601" s="583"/>
      <c r="AU601" s="583"/>
    </row>
    <row r="602" spans="1:47" s="586" customFormat="1" x14ac:dyDescent="0.2">
      <c r="A602" s="585"/>
      <c r="B602" s="585"/>
      <c r="C602" s="585"/>
      <c r="D602" s="583"/>
      <c r="E602" s="583"/>
      <c r="F602" s="583"/>
      <c r="G602" s="583"/>
      <c r="H602" s="583"/>
      <c r="I602" s="583"/>
      <c r="J602" s="583"/>
      <c r="K602" s="583"/>
      <c r="L602" s="583"/>
      <c r="M602" s="583"/>
      <c r="N602" s="583"/>
      <c r="O602" s="583"/>
      <c r="P602" s="583"/>
      <c r="Q602" s="583"/>
      <c r="R602" s="583"/>
      <c r="S602" s="583"/>
      <c r="T602" s="583"/>
      <c r="U602" s="583"/>
      <c r="V602" s="583"/>
      <c r="W602" s="583"/>
      <c r="X602" s="583"/>
      <c r="Y602" s="583"/>
      <c r="Z602" s="583"/>
      <c r="AA602" s="583"/>
      <c r="AB602" s="583"/>
      <c r="AC602" s="583"/>
      <c r="AD602" s="583"/>
      <c r="AE602" s="583"/>
      <c r="AF602" s="583"/>
      <c r="AG602" s="583"/>
      <c r="AH602" s="583"/>
      <c r="AI602" s="583"/>
      <c r="AJ602" s="583"/>
      <c r="AK602" s="583"/>
      <c r="AL602" s="583"/>
      <c r="AM602" s="583"/>
      <c r="AN602" s="583"/>
      <c r="AO602" s="583"/>
      <c r="AP602" s="583"/>
      <c r="AQ602" s="583"/>
      <c r="AR602" s="583"/>
      <c r="AS602" s="583"/>
      <c r="AT602" s="583"/>
      <c r="AU602" s="583"/>
    </row>
    <row r="603" spans="1:47" s="586" customFormat="1" x14ac:dyDescent="0.2">
      <c r="A603" s="585"/>
      <c r="B603" s="585"/>
      <c r="C603" s="585"/>
      <c r="D603" s="583"/>
      <c r="E603" s="583"/>
      <c r="F603" s="583"/>
      <c r="G603" s="583"/>
      <c r="H603" s="583"/>
      <c r="I603" s="583"/>
      <c r="J603" s="583"/>
      <c r="K603" s="583"/>
      <c r="L603" s="583"/>
      <c r="M603" s="583"/>
      <c r="N603" s="583"/>
      <c r="O603" s="583"/>
      <c r="P603" s="583"/>
      <c r="Q603" s="583"/>
      <c r="R603" s="583"/>
      <c r="S603" s="583"/>
      <c r="T603" s="583"/>
      <c r="U603" s="583"/>
      <c r="V603" s="583"/>
      <c r="W603" s="583"/>
      <c r="X603" s="583"/>
      <c r="Y603" s="583"/>
      <c r="Z603" s="583"/>
      <c r="AA603" s="583"/>
      <c r="AB603" s="583"/>
      <c r="AC603" s="583"/>
      <c r="AD603" s="583"/>
      <c r="AE603" s="583"/>
      <c r="AF603" s="583"/>
      <c r="AG603" s="583"/>
      <c r="AH603" s="583"/>
      <c r="AI603" s="583"/>
      <c r="AJ603" s="583"/>
      <c r="AK603" s="583"/>
      <c r="AL603" s="583"/>
      <c r="AM603" s="583"/>
      <c r="AN603" s="583"/>
      <c r="AO603" s="583"/>
      <c r="AP603" s="583"/>
      <c r="AQ603" s="583"/>
      <c r="AR603" s="583"/>
      <c r="AS603" s="583"/>
      <c r="AT603" s="583"/>
      <c r="AU603" s="583"/>
    </row>
    <row r="604" spans="1:47" s="586" customFormat="1" x14ac:dyDescent="0.2">
      <c r="A604" s="585"/>
      <c r="B604" s="585"/>
      <c r="C604" s="585"/>
      <c r="D604" s="583"/>
      <c r="E604" s="583"/>
      <c r="F604" s="583"/>
      <c r="G604" s="583"/>
      <c r="H604" s="583"/>
      <c r="I604" s="583"/>
      <c r="J604" s="583"/>
      <c r="K604" s="583"/>
      <c r="L604" s="583"/>
      <c r="M604" s="583"/>
      <c r="N604" s="583"/>
      <c r="O604" s="583"/>
      <c r="P604" s="583"/>
      <c r="Q604" s="583"/>
      <c r="R604" s="583"/>
      <c r="S604" s="583"/>
      <c r="T604" s="583"/>
      <c r="U604" s="583"/>
      <c r="V604" s="583"/>
      <c r="W604" s="583"/>
      <c r="X604" s="583"/>
      <c r="Y604" s="583"/>
      <c r="Z604" s="583"/>
      <c r="AA604" s="583"/>
      <c r="AB604" s="583"/>
      <c r="AC604" s="583"/>
      <c r="AD604" s="583"/>
      <c r="AE604" s="583"/>
      <c r="AF604" s="583"/>
      <c r="AG604" s="583"/>
      <c r="AH604" s="583"/>
      <c r="AI604" s="583"/>
      <c r="AJ604" s="583"/>
      <c r="AK604" s="583"/>
      <c r="AL604" s="583"/>
      <c r="AM604" s="583"/>
      <c r="AN604" s="583"/>
      <c r="AO604" s="583"/>
      <c r="AP604" s="583"/>
      <c r="AQ604" s="583"/>
      <c r="AR604" s="583"/>
      <c r="AS604" s="583"/>
      <c r="AT604" s="583"/>
      <c r="AU604" s="583"/>
    </row>
    <row r="605" spans="1:47" s="586" customFormat="1" x14ac:dyDescent="0.2">
      <c r="A605" s="585"/>
      <c r="B605" s="585"/>
      <c r="C605" s="585"/>
      <c r="D605" s="583"/>
      <c r="E605" s="583"/>
      <c r="F605" s="583"/>
      <c r="G605" s="583"/>
      <c r="H605" s="583"/>
      <c r="I605" s="583"/>
      <c r="J605" s="583"/>
      <c r="K605" s="583"/>
      <c r="L605" s="583"/>
      <c r="M605" s="583"/>
      <c r="N605" s="583"/>
      <c r="O605" s="583"/>
      <c r="P605" s="583"/>
      <c r="Q605" s="583"/>
      <c r="R605" s="583"/>
      <c r="S605" s="583"/>
      <c r="T605" s="583"/>
      <c r="U605" s="583"/>
      <c r="V605" s="583"/>
      <c r="W605" s="583"/>
      <c r="X605" s="583"/>
      <c r="Y605" s="583"/>
      <c r="Z605" s="583"/>
      <c r="AA605" s="583"/>
      <c r="AB605" s="583"/>
      <c r="AC605" s="583"/>
      <c r="AD605" s="583"/>
      <c r="AE605" s="583"/>
      <c r="AF605" s="583"/>
      <c r="AG605" s="583"/>
      <c r="AH605" s="583"/>
      <c r="AI605" s="583"/>
      <c r="AJ605" s="583"/>
      <c r="AK605" s="583"/>
      <c r="AL605" s="583"/>
      <c r="AM605" s="583"/>
      <c r="AN605" s="583"/>
      <c r="AO605" s="583"/>
      <c r="AP605" s="583"/>
      <c r="AQ605" s="583"/>
      <c r="AR605" s="583"/>
      <c r="AS605" s="583"/>
      <c r="AT605" s="583"/>
      <c r="AU605" s="583"/>
    </row>
    <row r="606" spans="1:47" s="586" customFormat="1" x14ac:dyDescent="0.2">
      <c r="A606" s="585"/>
      <c r="B606" s="585"/>
      <c r="C606" s="585"/>
      <c r="D606" s="583"/>
      <c r="E606" s="583"/>
      <c r="F606" s="583"/>
      <c r="G606" s="583"/>
      <c r="H606" s="583"/>
      <c r="I606" s="583"/>
      <c r="J606" s="583"/>
      <c r="K606" s="583"/>
      <c r="L606" s="583"/>
      <c r="M606" s="583"/>
      <c r="N606" s="583"/>
      <c r="O606" s="583"/>
      <c r="P606" s="583"/>
      <c r="Q606" s="583"/>
      <c r="R606" s="583"/>
      <c r="S606" s="583"/>
      <c r="T606" s="583"/>
      <c r="U606" s="583"/>
      <c r="V606" s="583"/>
      <c r="W606" s="583"/>
      <c r="X606" s="583"/>
      <c r="Y606" s="583"/>
      <c r="Z606" s="583"/>
      <c r="AA606" s="583"/>
      <c r="AB606" s="583"/>
      <c r="AC606" s="583"/>
      <c r="AD606" s="583"/>
      <c r="AE606" s="583"/>
      <c r="AF606" s="583"/>
      <c r="AG606" s="583"/>
      <c r="AH606" s="583"/>
      <c r="AI606" s="583"/>
      <c r="AJ606" s="583"/>
      <c r="AK606" s="583"/>
      <c r="AL606" s="583"/>
      <c r="AM606" s="583"/>
      <c r="AN606" s="583"/>
      <c r="AO606" s="583"/>
      <c r="AP606" s="583"/>
      <c r="AQ606" s="583"/>
      <c r="AR606" s="583"/>
      <c r="AS606" s="583"/>
      <c r="AT606" s="583"/>
      <c r="AU606" s="583"/>
    </row>
    <row r="607" spans="1:47" s="586" customFormat="1" x14ac:dyDescent="0.2">
      <c r="A607" s="585"/>
      <c r="B607" s="585"/>
      <c r="C607" s="585"/>
      <c r="D607" s="583"/>
      <c r="E607" s="583"/>
      <c r="F607" s="583"/>
      <c r="G607" s="583"/>
      <c r="H607" s="583"/>
      <c r="I607" s="583"/>
      <c r="J607" s="583"/>
      <c r="K607" s="583"/>
      <c r="L607" s="583"/>
      <c r="M607" s="583"/>
      <c r="N607" s="583"/>
      <c r="O607" s="583"/>
      <c r="P607" s="583"/>
      <c r="Q607" s="583"/>
      <c r="R607" s="583"/>
      <c r="S607" s="583"/>
      <c r="T607" s="583"/>
      <c r="U607" s="583"/>
      <c r="V607" s="583"/>
      <c r="W607" s="583"/>
      <c r="X607" s="583"/>
      <c r="Y607" s="583"/>
      <c r="Z607" s="583"/>
      <c r="AA607" s="583"/>
      <c r="AB607" s="583"/>
      <c r="AC607" s="583"/>
      <c r="AD607" s="583"/>
      <c r="AE607" s="583"/>
      <c r="AF607" s="583"/>
      <c r="AG607" s="583"/>
      <c r="AH607" s="583"/>
      <c r="AI607" s="583"/>
      <c r="AJ607" s="583"/>
      <c r="AK607" s="583"/>
      <c r="AL607" s="583"/>
      <c r="AM607" s="583"/>
      <c r="AN607" s="583"/>
      <c r="AO607" s="583"/>
      <c r="AP607" s="583"/>
      <c r="AQ607" s="583"/>
      <c r="AR607" s="583"/>
      <c r="AS607" s="583"/>
      <c r="AT607" s="583"/>
      <c r="AU607" s="583"/>
    </row>
    <row r="608" spans="1:47" s="586" customFormat="1" x14ac:dyDescent="0.2">
      <c r="A608" s="585"/>
      <c r="B608" s="585"/>
      <c r="C608" s="585"/>
      <c r="D608" s="583"/>
      <c r="E608" s="583"/>
      <c r="F608" s="583"/>
      <c r="G608" s="583"/>
      <c r="H608" s="583"/>
      <c r="I608" s="583"/>
      <c r="J608" s="583"/>
      <c r="K608" s="583"/>
      <c r="L608" s="583"/>
      <c r="M608" s="583"/>
      <c r="N608" s="583"/>
      <c r="O608" s="583"/>
      <c r="P608" s="583"/>
      <c r="Q608" s="583"/>
      <c r="R608" s="583"/>
      <c r="S608" s="583"/>
      <c r="T608" s="583"/>
      <c r="U608" s="583"/>
      <c r="V608" s="583"/>
      <c r="W608" s="583"/>
      <c r="X608" s="583"/>
      <c r="Y608" s="583"/>
      <c r="Z608" s="583"/>
      <c r="AA608" s="583"/>
      <c r="AB608" s="583"/>
      <c r="AC608" s="583"/>
      <c r="AD608" s="583"/>
      <c r="AE608" s="583"/>
      <c r="AF608" s="583"/>
      <c r="AG608" s="583"/>
      <c r="AH608" s="583"/>
      <c r="AI608" s="583"/>
      <c r="AJ608" s="583"/>
      <c r="AK608" s="583"/>
      <c r="AL608" s="583"/>
      <c r="AM608" s="583"/>
      <c r="AN608" s="583"/>
      <c r="AO608" s="583"/>
      <c r="AP608" s="583"/>
      <c r="AQ608" s="583"/>
      <c r="AR608" s="583"/>
      <c r="AS608" s="583"/>
      <c r="AT608" s="583"/>
      <c r="AU608" s="583"/>
    </row>
    <row r="609" spans="1:47" s="586" customFormat="1" x14ac:dyDescent="0.2">
      <c r="A609" s="585"/>
      <c r="B609" s="585"/>
      <c r="C609" s="585"/>
      <c r="D609" s="583"/>
      <c r="E609" s="583"/>
      <c r="F609" s="583"/>
      <c r="G609" s="583"/>
      <c r="H609" s="583"/>
      <c r="I609" s="583"/>
      <c r="J609" s="583"/>
      <c r="K609" s="583"/>
      <c r="L609" s="583"/>
      <c r="M609" s="583"/>
      <c r="N609" s="583"/>
      <c r="O609" s="583"/>
      <c r="P609" s="583"/>
      <c r="Q609" s="583"/>
      <c r="R609" s="583"/>
      <c r="S609" s="583"/>
      <c r="T609" s="583"/>
      <c r="U609" s="583"/>
      <c r="V609" s="583"/>
      <c r="W609" s="583"/>
      <c r="X609" s="583"/>
      <c r="Y609" s="583"/>
      <c r="Z609" s="583"/>
      <c r="AA609" s="583"/>
      <c r="AB609" s="583"/>
      <c r="AC609" s="583"/>
      <c r="AD609" s="583"/>
      <c r="AE609" s="583"/>
      <c r="AF609" s="583"/>
      <c r="AG609" s="583"/>
      <c r="AH609" s="583"/>
      <c r="AI609" s="583"/>
      <c r="AJ609" s="583"/>
      <c r="AK609" s="583"/>
      <c r="AL609" s="583"/>
      <c r="AM609" s="583"/>
      <c r="AN609" s="583"/>
      <c r="AO609" s="583"/>
      <c r="AP609" s="583"/>
      <c r="AQ609" s="583"/>
      <c r="AR609" s="583"/>
      <c r="AS609" s="583"/>
      <c r="AT609" s="583"/>
      <c r="AU609" s="583"/>
    </row>
    <row r="610" spans="1:47" s="586" customFormat="1" x14ac:dyDescent="0.2">
      <c r="A610" s="585"/>
      <c r="B610" s="585"/>
      <c r="C610" s="585"/>
      <c r="D610" s="583"/>
      <c r="E610" s="583"/>
      <c r="F610" s="583"/>
      <c r="G610" s="583"/>
      <c r="H610" s="583"/>
      <c r="I610" s="583"/>
      <c r="J610" s="583"/>
      <c r="K610" s="583"/>
      <c r="L610" s="583"/>
      <c r="M610" s="583"/>
      <c r="N610" s="583"/>
      <c r="O610" s="583"/>
      <c r="P610" s="583"/>
      <c r="Q610" s="583"/>
      <c r="R610" s="583"/>
      <c r="S610" s="583"/>
      <c r="T610" s="583"/>
      <c r="U610" s="583"/>
      <c r="V610" s="583"/>
      <c r="W610" s="583"/>
      <c r="X610" s="583"/>
      <c r="Y610" s="583"/>
      <c r="Z610" s="583"/>
      <c r="AA610" s="583"/>
      <c r="AB610" s="583"/>
      <c r="AC610" s="583"/>
      <c r="AD610" s="583"/>
      <c r="AE610" s="583"/>
      <c r="AF610" s="583"/>
      <c r="AG610" s="583"/>
      <c r="AH610" s="583"/>
      <c r="AI610" s="583"/>
      <c r="AJ610" s="583"/>
      <c r="AK610" s="583"/>
      <c r="AL610" s="583"/>
      <c r="AM610" s="583"/>
      <c r="AN610" s="583"/>
      <c r="AO610" s="583"/>
      <c r="AP610" s="583"/>
      <c r="AQ610" s="583"/>
      <c r="AR610" s="583"/>
      <c r="AS610" s="583"/>
      <c r="AT610" s="583"/>
      <c r="AU610" s="583"/>
    </row>
    <row r="611" spans="1:47" s="586" customFormat="1" x14ac:dyDescent="0.2">
      <c r="A611" s="585"/>
      <c r="B611" s="585"/>
      <c r="C611" s="585"/>
      <c r="D611" s="583"/>
      <c r="E611" s="583"/>
      <c r="F611" s="583"/>
      <c r="G611" s="583"/>
      <c r="H611" s="583"/>
      <c r="I611" s="583"/>
      <c r="J611" s="583"/>
      <c r="K611" s="583"/>
      <c r="L611" s="583"/>
      <c r="M611" s="583"/>
      <c r="N611" s="583"/>
      <c r="O611" s="583"/>
      <c r="P611" s="583"/>
      <c r="Q611" s="583"/>
      <c r="R611" s="583"/>
      <c r="S611" s="583"/>
      <c r="T611" s="583"/>
      <c r="U611" s="583"/>
      <c r="V611" s="583"/>
      <c r="W611" s="583"/>
      <c r="X611" s="583"/>
      <c r="Y611" s="583"/>
      <c r="Z611" s="583"/>
      <c r="AA611" s="583"/>
      <c r="AB611" s="583"/>
      <c r="AC611" s="583"/>
      <c r="AD611" s="583"/>
      <c r="AE611" s="583"/>
      <c r="AF611" s="583"/>
      <c r="AG611" s="583"/>
      <c r="AH611" s="583"/>
      <c r="AI611" s="583"/>
      <c r="AJ611" s="583"/>
      <c r="AK611" s="583"/>
      <c r="AL611" s="583"/>
      <c r="AM611" s="583"/>
      <c r="AN611" s="583"/>
      <c r="AO611" s="583"/>
      <c r="AP611" s="583"/>
      <c r="AQ611" s="583"/>
      <c r="AR611" s="583"/>
      <c r="AS611" s="583"/>
      <c r="AT611" s="583"/>
      <c r="AU611" s="583"/>
    </row>
    <row r="612" spans="1:47" s="586" customFormat="1" x14ac:dyDescent="0.2">
      <c r="A612" s="585"/>
      <c r="B612" s="585"/>
      <c r="C612" s="585"/>
      <c r="D612" s="583"/>
      <c r="E612" s="583"/>
      <c r="F612" s="583"/>
      <c r="G612" s="583"/>
      <c r="H612" s="583"/>
      <c r="I612" s="583"/>
      <c r="J612" s="583"/>
      <c r="K612" s="583"/>
      <c r="L612" s="583"/>
      <c r="M612" s="583"/>
      <c r="N612" s="583"/>
      <c r="O612" s="583"/>
      <c r="P612" s="583"/>
      <c r="Q612" s="583"/>
      <c r="R612" s="583"/>
      <c r="S612" s="583"/>
      <c r="T612" s="583"/>
      <c r="U612" s="583"/>
      <c r="V612" s="583"/>
      <c r="W612" s="583"/>
      <c r="X612" s="583"/>
      <c r="Y612" s="583"/>
      <c r="Z612" s="583"/>
      <c r="AA612" s="583"/>
      <c r="AB612" s="583"/>
      <c r="AC612" s="583"/>
      <c r="AD612" s="583"/>
      <c r="AE612" s="583"/>
      <c r="AF612" s="583"/>
      <c r="AG612" s="583"/>
      <c r="AH612" s="583"/>
      <c r="AI612" s="583"/>
      <c r="AJ612" s="583"/>
      <c r="AK612" s="583"/>
      <c r="AL612" s="583"/>
      <c r="AM612" s="583"/>
      <c r="AN612" s="583"/>
      <c r="AO612" s="583"/>
      <c r="AP612" s="583"/>
      <c r="AQ612" s="583"/>
      <c r="AR612" s="583"/>
      <c r="AS612" s="583"/>
      <c r="AT612" s="583"/>
      <c r="AU612" s="583"/>
    </row>
    <row r="613" spans="1:47" s="586" customFormat="1" x14ac:dyDescent="0.2">
      <c r="A613" s="585"/>
      <c r="B613" s="585"/>
      <c r="C613" s="585"/>
      <c r="D613" s="583"/>
      <c r="E613" s="583"/>
      <c r="F613" s="583"/>
      <c r="G613" s="583"/>
      <c r="H613" s="583"/>
      <c r="I613" s="583"/>
      <c r="J613" s="583"/>
      <c r="K613" s="583"/>
      <c r="L613" s="583"/>
      <c r="M613" s="583"/>
      <c r="N613" s="583"/>
      <c r="O613" s="583"/>
      <c r="P613" s="583"/>
      <c r="Q613" s="583"/>
      <c r="R613" s="583"/>
      <c r="S613" s="583"/>
      <c r="T613" s="583"/>
      <c r="U613" s="583"/>
      <c r="V613" s="583"/>
      <c r="W613" s="583"/>
      <c r="X613" s="583"/>
      <c r="Y613" s="583"/>
      <c r="Z613" s="583"/>
      <c r="AA613" s="583"/>
      <c r="AB613" s="583"/>
      <c r="AC613" s="583"/>
      <c r="AD613" s="583"/>
      <c r="AE613" s="583"/>
      <c r="AF613" s="583"/>
      <c r="AG613" s="583"/>
      <c r="AH613" s="583"/>
      <c r="AI613" s="583"/>
      <c r="AJ613" s="583"/>
      <c r="AK613" s="583"/>
      <c r="AL613" s="583"/>
      <c r="AM613" s="583"/>
      <c r="AN613" s="583"/>
      <c r="AO613" s="583"/>
      <c r="AP613" s="583"/>
      <c r="AQ613" s="583"/>
      <c r="AR613" s="583"/>
      <c r="AS613" s="583"/>
      <c r="AT613" s="583"/>
      <c r="AU613" s="583"/>
    </row>
    <row r="614" spans="1:47" s="586" customFormat="1" x14ac:dyDescent="0.2">
      <c r="A614" s="585"/>
      <c r="B614" s="585"/>
      <c r="C614" s="585"/>
      <c r="D614" s="583"/>
      <c r="E614" s="583"/>
      <c r="F614" s="583"/>
      <c r="G614" s="583"/>
      <c r="H614" s="583"/>
      <c r="I614" s="583"/>
      <c r="J614" s="583"/>
      <c r="K614" s="583"/>
      <c r="L614" s="583"/>
      <c r="M614" s="583"/>
      <c r="N614" s="583"/>
      <c r="O614" s="583"/>
      <c r="P614" s="583"/>
      <c r="Q614" s="583"/>
      <c r="R614" s="583"/>
      <c r="S614" s="583"/>
      <c r="T614" s="583"/>
      <c r="U614" s="583"/>
      <c r="V614" s="583"/>
      <c r="W614" s="583"/>
      <c r="X614" s="583"/>
      <c r="Y614" s="583"/>
      <c r="Z614" s="583"/>
      <c r="AA614" s="583"/>
      <c r="AB614" s="583"/>
      <c r="AC614" s="583"/>
      <c r="AD614" s="583"/>
      <c r="AE614" s="583"/>
      <c r="AF614" s="583"/>
      <c r="AG614" s="583"/>
      <c r="AH614" s="583"/>
      <c r="AI614" s="583"/>
      <c r="AJ614" s="583"/>
      <c r="AK614" s="583"/>
      <c r="AL614" s="583"/>
      <c r="AM614" s="583"/>
      <c r="AN614" s="583"/>
      <c r="AO614" s="583"/>
      <c r="AP614" s="583"/>
      <c r="AQ614" s="583"/>
      <c r="AR614" s="583"/>
      <c r="AS614" s="583"/>
      <c r="AT614" s="583"/>
      <c r="AU614" s="583"/>
    </row>
    <row r="615" spans="1:47" s="586" customFormat="1" x14ac:dyDescent="0.2">
      <c r="A615" s="585"/>
      <c r="B615" s="585"/>
      <c r="C615" s="585"/>
      <c r="D615" s="583"/>
      <c r="E615" s="583"/>
      <c r="F615" s="583"/>
      <c r="G615" s="583"/>
      <c r="H615" s="583"/>
      <c r="I615" s="583"/>
      <c r="J615" s="583"/>
      <c r="K615" s="583"/>
      <c r="L615" s="583"/>
      <c r="M615" s="583"/>
      <c r="N615" s="583"/>
      <c r="O615" s="583"/>
      <c r="P615" s="583"/>
      <c r="Q615" s="583"/>
      <c r="R615" s="583"/>
      <c r="S615" s="583"/>
      <c r="T615" s="583"/>
      <c r="U615" s="583"/>
      <c r="V615" s="583"/>
      <c r="W615" s="583"/>
      <c r="X615" s="583"/>
      <c r="Y615" s="583"/>
      <c r="Z615" s="583"/>
      <c r="AA615" s="583"/>
      <c r="AB615" s="583"/>
      <c r="AC615" s="583"/>
      <c r="AD615" s="583"/>
      <c r="AE615" s="583"/>
      <c r="AF615" s="583"/>
      <c r="AG615" s="583"/>
      <c r="AH615" s="583"/>
      <c r="AI615" s="583"/>
      <c r="AJ615" s="583"/>
      <c r="AK615" s="583"/>
      <c r="AL615" s="583"/>
      <c r="AM615" s="583"/>
      <c r="AN615" s="583"/>
      <c r="AO615" s="583"/>
      <c r="AP615" s="583"/>
      <c r="AQ615" s="583"/>
      <c r="AR615" s="583"/>
      <c r="AS615" s="583"/>
      <c r="AT615" s="583"/>
      <c r="AU615" s="583"/>
    </row>
    <row r="616" spans="1:47" s="586" customFormat="1" x14ac:dyDescent="0.2">
      <c r="A616" s="585"/>
      <c r="B616" s="585"/>
      <c r="C616" s="585"/>
      <c r="D616" s="583"/>
      <c r="E616" s="583"/>
      <c r="F616" s="583"/>
      <c r="G616" s="583"/>
      <c r="H616" s="583"/>
      <c r="I616" s="583"/>
      <c r="J616" s="583"/>
      <c r="K616" s="583"/>
      <c r="L616" s="583"/>
      <c r="M616" s="583"/>
      <c r="N616" s="583"/>
      <c r="O616" s="583"/>
      <c r="P616" s="583"/>
      <c r="Q616" s="583"/>
      <c r="R616" s="583"/>
      <c r="S616" s="583"/>
      <c r="T616" s="583"/>
      <c r="U616" s="583"/>
      <c r="V616" s="583"/>
      <c r="W616" s="583"/>
      <c r="X616" s="583"/>
      <c r="Y616" s="583"/>
      <c r="Z616" s="583"/>
      <c r="AA616" s="583"/>
      <c r="AB616" s="583"/>
      <c r="AC616" s="583"/>
      <c r="AD616" s="583"/>
      <c r="AE616" s="583"/>
      <c r="AF616" s="583"/>
      <c r="AG616" s="583"/>
      <c r="AH616" s="583"/>
      <c r="AI616" s="583"/>
      <c r="AJ616" s="583"/>
      <c r="AK616" s="583"/>
      <c r="AL616" s="583"/>
      <c r="AM616" s="583"/>
      <c r="AN616" s="583"/>
      <c r="AO616" s="583"/>
      <c r="AP616" s="583"/>
      <c r="AQ616" s="583"/>
      <c r="AR616" s="583"/>
      <c r="AS616" s="583"/>
      <c r="AT616" s="583"/>
      <c r="AU616" s="583"/>
    </row>
    <row r="617" spans="1:47" s="586" customFormat="1" x14ac:dyDescent="0.2">
      <c r="A617" s="585"/>
      <c r="B617" s="585"/>
      <c r="C617" s="585"/>
      <c r="D617" s="583"/>
      <c r="E617" s="583"/>
      <c r="F617" s="583"/>
      <c r="G617" s="583"/>
      <c r="H617" s="583"/>
      <c r="I617" s="583"/>
      <c r="J617" s="583"/>
      <c r="K617" s="583"/>
      <c r="L617" s="583"/>
      <c r="M617" s="583"/>
      <c r="N617" s="583"/>
      <c r="O617" s="583"/>
      <c r="P617" s="583"/>
      <c r="Q617" s="583"/>
      <c r="R617" s="583"/>
      <c r="S617" s="583"/>
      <c r="T617" s="583"/>
      <c r="U617" s="583"/>
      <c r="V617" s="583"/>
      <c r="W617" s="583"/>
      <c r="X617" s="583"/>
      <c r="Y617" s="583"/>
      <c r="Z617" s="583"/>
      <c r="AA617" s="583"/>
      <c r="AB617" s="583"/>
      <c r="AC617" s="583"/>
      <c r="AD617" s="583"/>
      <c r="AE617" s="583"/>
      <c r="AF617" s="583"/>
      <c r="AG617" s="583"/>
      <c r="AH617" s="583"/>
      <c r="AI617" s="583"/>
      <c r="AJ617" s="583"/>
      <c r="AK617" s="583"/>
      <c r="AL617" s="583"/>
      <c r="AM617" s="583"/>
      <c r="AN617" s="583"/>
      <c r="AO617" s="583"/>
      <c r="AP617" s="583"/>
      <c r="AQ617" s="583"/>
      <c r="AR617" s="583"/>
      <c r="AS617" s="583"/>
      <c r="AT617" s="583"/>
      <c r="AU617" s="583"/>
    </row>
    <row r="618" spans="1:47" s="586" customFormat="1" x14ac:dyDescent="0.2">
      <c r="A618" s="585"/>
      <c r="B618" s="585"/>
      <c r="C618" s="585"/>
      <c r="D618" s="583"/>
      <c r="E618" s="583"/>
      <c r="F618" s="583"/>
      <c r="G618" s="583"/>
      <c r="H618" s="583"/>
      <c r="I618" s="583"/>
      <c r="J618" s="583"/>
      <c r="K618" s="583"/>
      <c r="L618" s="583"/>
      <c r="M618" s="583"/>
      <c r="N618" s="583"/>
      <c r="O618" s="583"/>
      <c r="P618" s="583"/>
      <c r="Q618" s="583"/>
      <c r="R618" s="583"/>
      <c r="S618" s="583"/>
      <c r="T618" s="583"/>
      <c r="U618" s="583"/>
      <c r="V618" s="583"/>
      <c r="W618" s="583"/>
      <c r="X618" s="583"/>
      <c r="Y618" s="583"/>
      <c r="Z618" s="583"/>
      <c r="AA618" s="583"/>
      <c r="AB618" s="583"/>
      <c r="AC618" s="583"/>
      <c r="AD618" s="583"/>
      <c r="AE618" s="583"/>
      <c r="AF618" s="583"/>
      <c r="AG618" s="583"/>
      <c r="AH618" s="583"/>
      <c r="AI618" s="583"/>
      <c r="AJ618" s="583"/>
      <c r="AK618" s="583"/>
      <c r="AL618" s="583"/>
      <c r="AM618" s="583"/>
      <c r="AN618" s="583"/>
      <c r="AO618" s="583"/>
      <c r="AP618" s="583"/>
      <c r="AQ618" s="583"/>
      <c r="AR618" s="583"/>
      <c r="AS618" s="583"/>
      <c r="AT618" s="583"/>
      <c r="AU618" s="583"/>
    </row>
    <row r="619" spans="1:47" s="586" customFormat="1" x14ac:dyDescent="0.2">
      <c r="A619" s="585"/>
      <c r="B619" s="585"/>
      <c r="C619" s="585"/>
      <c r="D619" s="583"/>
      <c r="E619" s="583"/>
      <c r="F619" s="583"/>
      <c r="G619" s="583"/>
      <c r="H619" s="583"/>
      <c r="I619" s="583"/>
      <c r="J619" s="583"/>
      <c r="K619" s="583"/>
      <c r="L619" s="583"/>
      <c r="M619" s="583"/>
      <c r="N619" s="583"/>
      <c r="O619" s="583"/>
      <c r="P619" s="583"/>
      <c r="Q619" s="583"/>
      <c r="R619" s="583"/>
      <c r="S619" s="583"/>
      <c r="T619" s="583"/>
      <c r="U619" s="583"/>
      <c r="V619" s="583"/>
      <c r="W619" s="583"/>
      <c r="X619" s="583"/>
      <c r="Y619" s="583"/>
      <c r="Z619" s="583"/>
      <c r="AA619" s="583"/>
      <c r="AB619" s="583"/>
      <c r="AC619" s="583"/>
      <c r="AD619" s="583"/>
      <c r="AE619" s="583"/>
      <c r="AF619" s="583"/>
      <c r="AG619" s="583"/>
      <c r="AH619" s="583"/>
      <c r="AI619" s="583"/>
      <c r="AJ619" s="583"/>
      <c r="AK619" s="583"/>
      <c r="AL619" s="583"/>
      <c r="AM619" s="583"/>
      <c r="AN619" s="583"/>
      <c r="AO619" s="583"/>
      <c r="AP619" s="583"/>
      <c r="AQ619" s="583"/>
      <c r="AR619" s="583"/>
      <c r="AS619" s="583"/>
      <c r="AT619" s="583"/>
      <c r="AU619" s="583"/>
    </row>
    <row r="620" spans="1:47" s="586" customFormat="1" x14ac:dyDescent="0.2">
      <c r="A620" s="585"/>
      <c r="B620" s="585"/>
      <c r="C620" s="585"/>
      <c r="D620" s="583"/>
      <c r="E620" s="583"/>
      <c r="F620" s="583"/>
      <c r="G620" s="583"/>
      <c r="H620" s="583"/>
      <c r="I620" s="583"/>
      <c r="J620" s="583"/>
      <c r="K620" s="583"/>
      <c r="L620" s="583"/>
      <c r="M620" s="583"/>
      <c r="N620" s="583"/>
      <c r="O620" s="583"/>
      <c r="P620" s="583"/>
      <c r="Q620" s="583"/>
      <c r="R620" s="583"/>
      <c r="S620" s="583"/>
      <c r="T620" s="583"/>
      <c r="U620" s="583"/>
      <c r="V620" s="583"/>
      <c r="W620" s="583"/>
      <c r="X620" s="583"/>
      <c r="Y620" s="583"/>
      <c r="Z620" s="583"/>
      <c r="AA620" s="583"/>
      <c r="AB620" s="583"/>
      <c r="AC620" s="583"/>
      <c r="AD620" s="583"/>
      <c r="AE620" s="583"/>
      <c r="AF620" s="583"/>
      <c r="AG620" s="583"/>
      <c r="AH620" s="583"/>
      <c r="AI620" s="583"/>
      <c r="AJ620" s="583"/>
      <c r="AK620" s="583"/>
      <c r="AL620" s="583"/>
      <c r="AM620" s="583"/>
      <c r="AN620" s="583"/>
      <c r="AO620" s="583"/>
      <c r="AP620" s="583"/>
      <c r="AQ620" s="583"/>
      <c r="AR620" s="583"/>
      <c r="AS620" s="583"/>
      <c r="AT620" s="583"/>
      <c r="AU620" s="583"/>
    </row>
    <row r="621" spans="1:47" s="586" customFormat="1" x14ac:dyDescent="0.2">
      <c r="A621" s="585"/>
      <c r="B621" s="585"/>
      <c r="C621" s="585"/>
      <c r="D621" s="583"/>
      <c r="E621" s="583"/>
      <c r="F621" s="583"/>
      <c r="G621" s="583"/>
      <c r="H621" s="583"/>
      <c r="I621" s="583"/>
      <c r="J621" s="583"/>
      <c r="K621" s="583"/>
      <c r="L621" s="583"/>
      <c r="M621" s="583"/>
      <c r="N621" s="583"/>
      <c r="O621" s="583"/>
      <c r="P621" s="583"/>
      <c r="Q621" s="583"/>
      <c r="R621" s="583"/>
      <c r="S621" s="583"/>
      <c r="T621" s="583"/>
      <c r="U621" s="583"/>
      <c r="V621" s="583"/>
      <c r="W621" s="583"/>
      <c r="X621" s="583"/>
      <c r="Y621" s="583"/>
      <c r="Z621" s="583"/>
      <c r="AA621" s="583"/>
      <c r="AB621" s="583"/>
      <c r="AC621" s="583"/>
      <c r="AD621" s="583"/>
      <c r="AE621" s="583"/>
      <c r="AF621" s="583"/>
      <c r="AG621" s="583"/>
      <c r="AH621" s="583"/>
      <c r="AI621" s="583"/>
      <c r="AJ621" s="583"/>
      <c r="AK621" s="583"/>
      <c r="AL621" s="583"/>
      <c r="AM621" s="583"/>
      <c r="AN621" s="583"/>
      <c r="AO621" s="583"/>
      <c r="AP621" s="583"/>
      <c r="AQ621" s="583"/>
      <c r="AR621" s="583"/>
      <c r="AS621" s="583"/>
      <c r="AT621" s="583"/>
      <c r="AU621" s="583"/>
    </row>
    <row r="622" spans="1:47" s="586" customFormat="1" x14ac:dyDescent="0.2">
      <c r="A622" s="585"/>
      <c r="B622" s="585"/>
      <c r="C622" s="585"/>
      <c r="D622" s="583"/>
      <c r="E622" s="583"/>
      <c r="F622" s="583"/>
      <c r="G622" s="583"/>
      <c r="H622" s="583"/>
      <c r="I622" s="583"/>
      <c r="J622" s="583"/>
      <c r="K622" s="583"/>
      <c r="L622" s="583"/>
      <c r="M622" s="583"/>
      <c r="N622" s="583"/>
      <c r="O622" s="583"/>
      <c r="P622" s="583"/>
      <c r="Q622" s="583"/>
      <c r="R622" s="583"/>
      <c r="S622" s="583"/>
      <c r="T622" s="583"/>
      <c r="U622" s="583"/>
      <c r="V622" s="583"/>
      <c r="W622" s="583"/>
      <c r="X622" s="583"/>
      <c r="Y622" s="583"/>
      <c r="Z622" s="583"/>
      <c r="AA622" s="583"/>
      <c r="AB622" s="583"/>
      <c r="AC622" s="583"/>
      <c r="AD622" s="583"/>
      <c r="AE622" s="583"/>
      <c r="AF622" s="583"/>
      <c r="AG622" s="583"/>
      <c r="AH622" s="583"/>
      <c r="AI622" s="583"/>
      <c r="AJ622" s="583"/>
      <c r="AK622" s="583"/>
      <c r="AL622" s="583"/>
      <c r="AM622" s="583"/>
      <c r="AN622" s="583"/>
      <c r="AO622" s="583"/>
      <c r="AP622" s="583"/>
      <c r="AQ622" s="583"/>
      <c r="AR622" s="583"/>
      <c r="AS622" s="583"/>
      <c r="AT622" s="583"/>
      <c r="AU622" s="583"/>
    </row>
    <row r="623" spans="1:47" s="586" customFormat="1" x14ac:dyDescent="0.2">
      <c r="A623" s="585"/>
      <c r="B623" s="585"/>
      <c r="C623" s="585"/>
      <c r="D623" s="583"/>
      <c r="E623" s="583"/>
      <c r="F623" s="583"/>
      <c r="G623" s="583"/>
      <c r="H623" s="583"/>
      <c r="I623" s="583"/>
      <c r="J623" s="583"/>
      <c r="K623" s="583"/>
      <c r="L623" s="583"/>
      <c r="M623" s="583"/>
      <c r="N623" s="583"/>
      <c r="O623" s="583"/>
      <c r="P623" s="583"/>
      <c r="Q623" s="583"/>
      <c r="R623" s="583"/>
      <c r="S623" s="583"/>
      <c r="T623" s="583"/>
      <c r="U623" s="583"/>
      <c r="V623" s="583"/>
      <c r="W623" s="583"/>
      <c r="X623" s="583"/>
      <c r="Y623" s="583"/>
      <c r="Z623" s="583"/>
      <c r="AA623" s="583"/>
      <c r="AB623" s="583"/>
      <c r="AC623" s="583"/>
      <c r="AD623" s="583"/>
      <c r="AE623" s="583"/>
      <c r="AF623" s="583"/>
      <c r="AG623" s="583"/>
      <c r="AH623" s="583"/>
      <c r="AI623" s="583"/>
      <c r="AJ623" s="583"/>
      <c r="AK623" s="583"/>
      <c r="AL623" s="583"/>
      <c r="AM623" s="583"/>
      <c r="AN623" s="583"/>
      <c r="AO623" s="583"/>
      <c r="AP623" s="583"/>
      <c r="AQ623" s="583"/>
      <c r="AR623" s="583"/>
      <c r="AS623" s="583"/>
      <c r="AT623" s="583"/>
      <c r="AU623" s="583"/>
    </row>
    <row r="624" spans="1:47" s="586" customFormat="1" x14ac:dyDescent="0.2">
      <c r="A624" s="585"/>
      <c r="B624" s="585"/>
      <c r="C624" s="585"/>
      <c r="D624" s="583"/>
      <c r="E624" s="583"/>
      <c r="F624" s="583"/>
      <c r="G624" s="583"/>
      <c r="H624" s="583"/>
      <c r="I624" s="583"/>
      <c r="J624" s="583"/>
      <c r="K624" s="583"/>
      <c r="L624" s="583"/>
      <c r="M624" s="583"/>
      <c r="N624" s="583"/>
      <c r="O624" s="583"/>
      <c r="P624" s="583"/>
      <c r="Q624" s="583"/>
      <c r="R624" s="583"/>
      <c r="S624" s="583"/>
      <c r="T624" s="583"/>
      <c r="U624" s="583"/>
      <c r="V624" s="583"/>
      <c r="W624" s="583"/>
      <c r="X624" s="583"/>
      <c r="Y624" s="583"/>
      <c r="Z624" s="583"/>
      <c r="AA624" s="583"/>
      <c r="AB624" s="583"/>
      <c r="AC624" s="583"/>
      <c r="AD624" s="583"/>
      <c r="AE624" s="583"/>
      <c r="AF624" s="583"/>
      <c r="AG624" s="583"/>
      <c r="AH624" s="583"/>
      <c r="AI624" s="583"/>
      <c r="AJ624" s="583"/>
      <c r="AK624" s="583"/>
      <c r="AL624" s="583"/>
      <c r="AM624" s="583"/>
      <c r="AN624" s="583"/>
      <c r="AO624" s="583"/>
      <c r="AP624" s="583"/>
      <c r="AQ624" s="583"/>
      <c r="AR624" s="583"/>
      <c r="AS624" s="583"/>
      <c r="AT624" s="583"/>
      <c r="AU624" s="583"/>
    </row>
    <row r="625" spans="1:47" s="586" customFormat="1" x14ac:dyDescent="0.2">
      <c r="A625" s="585"/>
      <c r="B625" s="585"/>
      <c r="C625" s="585"/>
      <c r="D625" s="583"/>
      <c r="E625" s="583"/>
      <c r="F625" s="583"/>
      <c r="G625" s="583"/>
      <c r="H625" s="583"/>
      <c r="I625" s="583"/>
      <c r="J625" s="583"/>
      <c r="K625" s="583"/>
      <c r="L625" s="583"/>
      <c r="M625" s="583"/>
      <c r="N625" s="583"/>
      <c r="O625" s="583"/>
      <c r="P625" s="583"/>
      <c r="Q625" s="583"/>
      <c r="R625" s="583"/>
      <c r="S625" s="583"/>
      <c r="T625" s="583"/>
      <c r="U625" s="583"/>
      <c r="V625" s="583"/>
      <c r="W625" s="583"/>
      <c r="X625" s="583"/>
      <c r="Y625" s="583"/>
      <c r="Z625" s="583"/>
      <c r="AA625" s="583"/>
      <c r="AB625" s="583"/>
      <c r="AC625" s="583"/>
      <c r="AD625" s="583"/>
      <c r="AE625" s="583"/>
      <c r="AF625" s="583"/>
      <c r="AG625" s="583"/>
      <c r="AH625" s="583"/>
      <c r="AI625" s="583"/>
      <c r="AJ625" s="583"/>
      <c r="AK625" s="583"/>
      <c r="AL625" s="583"/>
      <c r="AM625" s="583"/>
      <c r="AN625" s="583"/>
      <c r="AO625" s="583"/>
      <c r="AP625" s="583"/>
      <c r="AQ625" s="583"/>
      <c r="AR625" s="583"/>
      <c r="AS625" s="583"/>
      <c r="AT625" s="583"/>
      <c r="AU625" s="583"/>
    </row>
    <row r="626" spans="1:47" s="586" customFormat="1" x14ac:dyDescent="0.2">
      <c r="A626" s="585"/>
      <c r="B626" s="585"/>
      <c r="C626" s="585"/>
      <c r="D626" s="583"/>
      <c r="E626" s="583"/>
      <c r="F626" s="583"/>
      <c r="G626" s="583"/>
      <c r="H626" s="583"/>
      <c r="I626" s="583"/>
      <c r="J626" s="583"/>
      <c r="K626" s="583"/>
      <c r="L626" s="583"/>
      <c r="M626" s="583"/>
      <c r="N626" s="583"/>
      <c r="O626" s="583"/>
      <c r="P626" s="583"/>
      <c r="Q626" s="583"/>
      <c r="R626" s="583"/>
      <c r="S626" s="583"/>
      <c r="T626" s="583"/>
      <c r="U626" s="583"/>
      <c r="V626" s="583"/>
      <c r="W626" s="583"/>
      <c r="X626" s="583"/>
      <c r="Y626" s="583"/>
      <c r="Z626" s="583"/>
      <c r="AA626" s="583"/>
      <c r="AB626" s="583"/>
      <c r="AC626" s="583"/>
      <c r="AD626" s="583"/>
      <c r="AE626" s="583"/>
      <c r="AF626" s="583"/>
      <c r="AG626" s="583"/>
      <c r="AH626" s="583"/>
      <c r="AI626" s="583"/>
      <c r="AJ626" s="583"/>
      <c r="AK626" s="583"/>
      <c r="AL626" s="583"/>
      <c r="AM626" s="583"/>
      <c r="AN626" s="583"/>
      <c r="AO626" s="583"/>
      <c r="AP626" s="583"/>
      <c r="AQ626" s="583"/>
      <c r="AR626" s="583"/>
      <c r="AS626" s="583"/>
      <c r="AT626" s="583"/>
      <c r="AU626" s="583"/>
    </row>
    <row r="627" spans="1:47" s="586" customFormat="1" x14ac:dyDescent="0.2">
      <c r="A627" s="585"/>
      <c r="B627" s="585"/>
      <c r="C627" s="585"/>
      <c r="D627" s="583"/>
      <c r="E627" s="583"/>
      <c r="F627" s="583"/>
      <c r="G627" s="583"/>
      <c r="H627" s="583"/>
      <c r="I627" s="583"/>
      <c r="J627" s="583"/>
      <c r="K627" s="583"/>
      <c r="L627" s="583"/>
      <c r="M627" s="583"/>
      <c r="N627" s="583"/>
      <c r="O627" s="583"/>
      <c r="P627" s="583"/>
      <c r="Q627" s="583"/>
      <c r="R627" s="583"/>
      <c r="S627" s="583"/>
      <c r="T627" s="583"/>
      <c r="U627" s="583"/>
      <c r="V627" s="583"/>
      <c r="W627" s="583"/>
      <c r="X627" s="583"/>
      <c r="Y627" s="583"/>
      <c r="Z627" s="583"/>
      <c r="AA627" s="583"/>
      <c r="AB627" s="583"/>
      <c r="AC627" s="583"/>
      <c r="AD627" s="583"/>
      <c r="AE627" s="583"/>
      <c r="AF627" s="583"/>
      <c r="AG627" s="583"/>
      <c r="AH627" s="583"/>
      <c r="AI627" s="583"/>
      <c r="AJ627" s="583"/>
      <c r="AK627" s="583"/>
      <c r="AL627" s="583"/>
      <c r="AM627" s="583"/>
      <c r="AN627" s="583"/>
      <c r="AO627" s="583"/>
      <c r="AP627" s="583"/>
      <c r="AQ627" s="583"/>
      <c r="AR627" s="583"/>
      <c r="AS627" s="583"/>
      <c r="AT627" s="583"/>
      <c r="AU627" s="583"/>
    </row>
    <row r="628" spans="1:47" s="586" customFormat="1" x14ac:dyDescent="0.2">
      <c r="A628" s="585"/>
      <c r="B628" s="585"/>
      <c r="C628" s="585"/>
      <c r="D628" s="583"/>
      <c r="E628" s="583"/>
      <c r="F628" s="583"/>
      <c r="G628" s="583"/>
      <c r="H628" s="583"/>
      <c r="I628" s="583"/>
      <c r="J628" s="583"/>
      <c r="K628" s="583"/>
      <c r="L628" s="583"/>
      <c r="M628" s="583"/>
      <c r="N628" s="583"/>
      <c r="O628" s="583"/>
      <c r="P628" s="583"/>
      <c r="Q628" s="583"/>
      <c r="R628" s="583"/>
      <c r="S628" s="583"/>
      <c r="T628" s="583"/>
      <c r="U628" s="583"/>
      <c r="V628" s="583"/>
      <c r="W628" s="583"/>
      <c r="X628" s="583"/>
      <c r="Y628" s="583"/>
      <c r="Z628" s="583"/>
      <c r="AA628" s="583"/>
      <c r="AB628" s="583"/>
      <c r="AC628" s="583"/>
      <c r="AD628" s="583"/>
      <c r="AE628" s="583"/>
      <c r="AF628" s="583"/>
      <c r="AG628" s="583"/>
      <c r="AH628" s="583"/>
      <c r="AI628" s="583"/>
      <c r="AJ628" s="583"/>
      <c r="AK628" s="583"/>
      <c r="AL628" s="583"/>
      <c r="AM628" s="583"/>
      <c r="AN628" s="583"/>
      <c r="AO628" s="583"/>
      <c r="AP628" s="583"/>
      <c r="AQ628" s="583"/>
      <c r="AR628" s="583"/>
      <c r="AS628" s="583"/>
      <c r="AT628" s="583"/>
      <c r="AU628" s="583"/>
    </row>
    <row r="629" spans="1:47" s="586" customFormat="1" x14ac:dyDescent="0.2">
      <c r="A629" s="585"/>
      <c r="B629" s="585"/>
      <c r="C629" s="585"/>
      <c r="D629" s="583"/>
      <c r="E629" s="583"/>
      <c r="F629" s="583"/>
      <c r="G629" s="583"/>
      <c r="H629" s="583"/>
      <c r="I629" s="583"/>
      <c r="J629" s="583"/>
      <c r="K629" s="583"/>
      <c r="L629" s="583"/>
      <c r="M629" s="583"/>
      <c r="N629" s="583"/>
      <c r="O629" s="583"/>
      <c r="P629" s="583"/>
      <c r="Q629" s="583"/>
      <c r="R629" s="583"/>
      <c r="S629" s="583"/>
      <c r="T629" s="583"/>
      <c r="U629" s="583"/>
      <c r="V629" s="583"/>
      <c r="W629" s="583"/>
      <c r="X629" s="583"/>
      <c r="Y629" s="583"/>
      <c r="Z629" s="583"/>
      <c r="AA629" s="583"/>
      <c r="AB629" s="583"/>
      <c r="AC629" s="583"/>
      <c r="AD629" s="583"/>
      <c r="AE629" s="583"/>
      <c r="AF629" s="583"/>
      <c r="AG629" s="583"/>
      <c r="AH629" s="583"/>
      <c r="AI629" s="583"/>
      <c r="AJ629" s="583"/>
      <c r="AK629" s="583"/>
      <c r="AL629" s="583"/>
      <c r="AM629" s="583"/>
      <c r="AN629" s="583"/>
      <c r="AO629" s="583"/>
      <c r="AP629" s="583"/>
      <c r="AQ629" s="583"/>
      <c r="AR629" s="583"/>
      <c r="AS629" s="583"/>
      <c r="AT629" s="583"/>
      <c r="AU629" s="583"/>
    </row>
    <row r="630" spans="1:47" s="586" customFormat="1" x14ac:dyDescent="0.2">
      <c r="A630" s="585"/>
      <c r="B630" s="585"/>
      <c r="C630" s="585"/>
      <c r="D630" s="583"/>
      <c r="E630" s="583"/>
      <c r="F630" s="583"/>
      <c r="G630" s="583"/>
      <c r="H630" s="583"/>
      <c r="I630" s="583"/>
      <c r="J630" s="583"/>
      <c r="K630" s="583"/>
      <c r="L630" s="583"/>
      <c r="M630" s="583"/>
      <c r="N630" s="583"/>
      <c r="O630" s="583"/>
      <c r="P630" s="583"/>
      <c r="Q630" s="583"/>
      <c r="R630" s="583"/>
      <c r="S630" s="583"/>
      <c r="T630" s="583"/>
      <c r="U630" s="583"/>
      <c r="V630" s="583"/>
      <c r="W630" s="583"/>
      <c r="X630" s="583"/>
      <c r="Y630" s="583"/>
      <c r="Z630" s="583"/>
      <c r="AA630" s="583"/>
      <c r="AB630" s="583"/>
      <c r="AC630" s="583"/>
      <c r="AD630" s="583"/>
      <c r="AE630" s="583"/>
      <c r="AF630" s="583"/>
      <c r="AG630" s="583"/>
      <c r="AH630" s="583"/>
      <c r="AI630" s="583"/>
      <c r="AJ630" s="583"/>
      <c r="AK630" s="583"/>
      <c r="AL630" s="583"/>
      <c r="AM630" s="583"/>
      <c r="AN630" s="583"/>
      <c r="AO630" s="583"/>
      <c r="AP630" s="583"/>
      <c r="AQ630" s="583"/>
      <c r="AR630" s="583"/>
      <c r="AS630" s="583"/>
      <c r="AT630" s="583"/>
      <c r="AU630" s="583"/>
    </row>
    <row r="631" spans="1:47" s="586" customFormat="1" x14ac:dyDescent="0.2">
      <c r="A631" s="585"/>
      <c r="B631" s="585"/>
      <c r="C631" s="585"/>
      <c r="D631" s="583"/>
      <c r="E631" s="583"/>
      <c r="F631" s="583"/>
      <c r="G631" s="583"/>
      <c r="H631" s="583"/>
      <c r="I631" s="583"/>
      <c r="J631" s="583"/>
      <c r="K631" s="583"/>
      <c r="L631" s="583"/>
      <c r="M631" s="583"/>
      <c r="N631" s="583"/>
      <c r="O631" s="583"/>
      <c r="P631" s="583"/>
      <c r="Q631" s="583"/>
      <c r="R631" s="583"/>
      <c r="S631" s="583"/>
      <c r="T631" s="583"/>
      <c r="U631" s="583"/>
      <c r="V631" s="583"/>
      <c r="W631" s="583"/>
      <c r="X631" s="583"/>
      <c r="Y631" s="583"/>
      <c r="Z631" s="583"/>
      <c r="AA631" s="583"/>
      <c r="AB631" s="583"/>
      <c r="AC631" s="583"/>
      <c r="AD631" s="583"/>
      <c r="AE631" s="583"/>
      <c r="AF631" s="583"/>
      <c r="AG631" s="583"/>
      <c r="AH631" s="583"/>
      <c r="AI631" s="583"/>
      <c r="AJ631" s="583"/>
      <c r="AK631" s="583"/>
      <c r="AL631" s="583"/>
      <c r="AM631" s="583"/>
      <c r="AN631" s="583"/>
      <c r="AO631" s="583"/>
      <c r="AP631" s="583"/>
      <c r="AQ631" s="583"/>
      <c r="AR631" s="583"/>
      <c r="AS631" s="583"/>
      <c r="AT631" s="583"/>
      <c r="AU631" s="583"/>
    </row>
    <row r="632" spans="1:47" s="586" customFormat="1" x14ac:dyDescent="0.2">
      <c r="A632" s="585"/>
      <c r="B632" s="585"/>
      <c r="C632" s="585"/>
      <c r="D632" s="583"/>
      <c r="E632" s="583"/>
      <c r="F632" s="583"/>
      <c r="G632" s="583"/>
      <c r="H632" s="583"/>
      <c r="I632" s="583"/>
      <c r="J632" s="583"/>
      <c r="K632" s="583"/>
      <c r="L632" s="583"/>
      <c r="M632" s="583"/>
      <c r="N632" s="583"/>
      <c r="O632" s="583"/>
      <c r="P632" s="583"/>
      <c r="Q632" s="583"/>
      <c r="R632" s="583"/>
      <c r="S632" s="583"/>
      <c r="T632" s="583"/>
      <c r="U632" s="583"/>
      <c r="V632" s="583"/>
      <c r="W632" s="583"/>
      <c r="X632" s="583"/>
      <c r="Y632" s="583"/>
      <c r="Z632" s="583"/>
      <c r="AA632" s="583"/>
      <c r="AB632" s="583"/>
      <c r="AC632" s="583"/>
      <c r="AD632" s="583"/>
      <c r="AE632" s="583"/>
      <c r="AF632" s="583"/>
      <c r="AG632" s="583"/>
      <c r="AH632" s="583"/>
      <c r="AI632" s="583"/>
      <c r="AJ632" s="583"/>
      <c r="AK632" s="583"/>
      <c r="AL632" s="583"/>
      <c r="AM632" s="583"/>
      <c r="AN632" s="583"/>
      <c r="AO632" s="583"/>
      <c r="AP632" s="583"/>
      <c r="AQ632" s="583"/>
      <c r="AR632" s="583"/>
      <c r="AS632" s="583"/>
      <c r="AT632" s="583"/>
      <c r="AU632" s="583"/>
    </row>
    <row r="633" spans="1:47" s="586" customFormat="1" x14ac:dyDescent="0.2">
      <c r="A633" s="585"/>
      <c r="B633" s="585"/>
      <c r="C633" s="585"/>
      <c r="D633" s="583"/>
      <c r="E633" s="583"/>
      <c r="F633" s="583"/>
      <c r="G633" s="583"/>
      <c r="H633" s="583"/>
      <c r="I633" s="583"/>
      <c r="J633" s="583"/>
      <c r="K633" s="583"/>
      <c r="L633" s="583"/>
      <c r="M633" s="583"/>
      <c r="N633" s="583"/>
      <c r="O633" s="583"/>
      <c r="P633" s="583"/>
      <c r="Q633" s="583"/>
      <c r="R633" s="583"/>
      <c r="S633" s="583"/>
      <c r="T633" s="583"/>
      <c r="U633" s="583"/>
      <c r="V633" s="583"/>
      <c r="W633" s="583"/>
      <c r="X633" s="583"/>
      <c r="Y633" s="583"/>
      <c r="Z633" s="583"/>
      <c r="AA633" s="583"/>
      <c r="AB633" s="583"/>
      <c r="AC633" s="583"/>
      <c r="AD633" s="583"/>
      <c r="AE633" s="583"/>
      <c r="AF633" s="583"/>
      <c r="AG633" s="583"/>
      <c r="AH633" s="583"/>
      <c r="AI633" s="583"/>
      <c r="AJ633" s="583"/>
      <c r="AK633" s="583"/>
      <c r="AL633" s="583"/>
      <c r="AM633" s="583"/>
      <c r="AN633" s="583"/>
      <c r="AO633" s="583"/>
      <c r="AP633" s="583"/>
      <c r="AQ633" s="583"/>
      <c r="AR633" s="583"/>
      <c r="AS633" s="583"/>
      <c r="AT633" s="583"/>
      <c r="AU633" s="583"/>
    </row>
    <row r="634" spans="1:47" s="586" customFormat="1" x14ac:dyDescent="0.2">
      <c r="A634" s="585"/>
      <c r="B634" s="585"/>
      <c r="C634" s="585"/>
      <c r="D634" s="583"/>
      <c r="E634" s="583"/>
      <c r="F634" s="583"/>
      <c r="G634" s="583"/>
      <c r="H634" s="583"/>
      <c r="I634" s="583"/>
      <c r="J634" s="583"/>
      <c r="K634" s="583"/>
      <c r="L634" s="583"/>
      <c r="M634" s="583"/>
      <c r="N634" s="583"/>
      <c r="O634" s="583"/>
      <c r="P634" s="583"/>
      <c r="Q634" s="583"/>
      <c r="R634" s="583"/>
      <c r="S634" s="583"/>
      <c r="T634" s="583"/>
      <c r="U634" s="583"/>
      <c r="V634" s="583"/>
      <c r="W634" s="583"/>
      <c r="X634" s="583"/>
      <c r="Y634" s="583"/>
      <c r="Z634" s="583"/>
      <c r="AA634" s="583"/>
      <c r="AB634" s="583"/>
      <c r="AC634" s="583"/>
      <c r="AD634" s="583"/>
      <c r="AE634" s="583"/>
      <c r="AF634" s="583"/>
      <c r="AG634" s="583"/>
      <c r="AH634" s="583"/>
      <c r="AI634" s="583"/>
      <c r="AJ634" s="583"/>
      <c r="AK634" s="583"/>
      <c r="AL634" s="583"/>
      <c r="AM634" s="583"/>
      <c r="AN634" s="583"/>
      <c r="AO634" s="583"/>
      <c r="AP634" s="583"/>
      <c r="AQ634" s="583"/>
      <c r="AR634" s="583"/>
      <c r="AS634" s="583"/>
      <c r="AT634" s="583"/>
      <c r="AU634" s="583"/>
    </row>
    <row r="635" spans="1:47" s="586" customFormat="1" x14ac:dyDescent="0.2">
      <c r="A635" s="585"/>
      <c r="B635" s="585"/>
      <c r="C635" s="585"/>
      <c r="D635" s="583"/>
      <c r="E635" s="583"/>
      <c r="F635" s="583"/>
      <c r="G635" s="583"/>
      <c r="H635" s="583"/>
      <c r="I635" s="583"/>
      <c r="J635" s="583"/>
      <c r="K635" s="583"/>
      <c r="L635" s="583"/>
      <c r="M635" s="583"/>
      <c r="N635" s="583"/>
      <c r="O635" s="583"/>
      <c r="P635" s="583"/>
      <c r="Q635" s="583"/>
      <c r="R635" s="583"/>
      <c r="S635" s="583"/>
      <c r="T635" s="583"/>
      <c r="U635" s="583"/>
      <c r="V635" s="583"/>
      <c r="W635" s="583"/>
      <c r="X635" s="583"/>
      <c r="Y635" s="583"/>
      <c r="Z635" s="583"/>
      <c r="AA635" s="583"/>
      <c r="AB635" s="583"/>
      <c r="AC635" s="583"/>
      <c r="AD635" s="583"/>
      <c r="AE635" s="583"/>
      <c r="AF635" s="583"/>
      <c r="AG635" s="583"/>
      <c r="AH635" s="583"/>
      <c r="AI635" s="583"/>
      <c r="AJ635" s="583"/>
      <c r="AK635" s="583"/>
      <c r="AL635" s="583"/>
      <c r="AM635" s="583"/>
      <c r="AN635" s="583"/>
      <c r="AO635" s="583"/>
      <c r="AP635" s="583"/>
      <c r="AQ635" s="583"/>
      <c r="AR635" s="583"/>
      <c r="AS635" s="583"/>
      <c r="AT635" s="583"/>
      <c r="AU635" s="583"/>
    </row>
    <row r="636" spans="1:47" s="586" customFormat="1" x14ac:dyDescent="0.2">
      <c r="A636" s="585"/>
      <c r="B636" s="585"/>
      <c r="C636" s="585"/>
      <c r="D636" s="583"/>
      <c r="E636" s="583"/>
      <c r="F636" s="583"/>
      <c r="G636" s="583"/>
      <c r="H636" s="583"/>
      <c r="I636" s="583"/>
      <c r="J636" s="583"/>
      <c r="K636" s="583"/>
      <c r="L636" s="583"/>
      <c r="M636" s="583"/>
      <c r="N636" s="583"/>
      <c r="O636" s="583"/>
      <c r="P636" s="583"/>
      <c r="Q636" s="583"/>
      <c r="R636" s="583"/>
      <c r="S636" s="583"/>
      <c r="T636" s="583"/>
      <c r="U636" s="583"/>
      <c r="V636" s="583"/>
      <c r="W636" s="583"/>
      <c r="X636" s="583"/>
      <c r="Y636" s="583"/>
      <c r="Z636" s="583"/>
      <c r="AA636" s="583"/>
      <c r="AB636" s="583"/>
      <c r="AC636" s="583"/>
      <c r="AD636" s="583"/>
      <c r="AE636" s="583"/>
      <c r="AF636" s="583"/>
      <c r="AG636" s="583"/>
      <c r="AH636" s="583"/>
      <c r="AI636" s="583"/>
      <c r="AJ636" s="583"/>
      <c r="AK636" s="583"/>
      <c r="AL636" s="583"/>
      <c r="AM636" s="583"/>
      <c r="AN636" s="583"/>
      <c r="AO636" s="583"/>
      <c r="AP636" s="583"/>
      <c r="AQ636" s="583"/>
      <c r="AR636" s="583"/>
      <c r="AS636" s="583"/>
      <c r="AT636" s="583"/>
      <c r="AU636" s="583"/>
    </row>
    <row r="637" spans="1:47" s="586" customFormat="1" x14ac:dyDescent="0.2">
      <c r="A637" s="585"/>
      <c r="B637" s="585"/>
      <c r="C637" s="585"/>
      <c r="D637" s="583"/>
      <c r="E637" s="583"/>
      <c r="F637" s="583"/>
      <c r="G637" s="583"/>
      <c r="H637" s="583"/>
      <c r="I637" s="583"/>
      <c r="J637" s="583"/>
      <c r="K637" s="583"/>
      <c r="L637" s="583"/>
      <c r="M637" s="583"/>
      <c r="N637" s="583"/>
      <c r="O637" s="583"/>
      <c r="P637" s="583"/>
      <c r="Q637" s="583"/>
      <c r="R637" s="583"/>
      <c r="S637" s="583"/>
      <c r="T637" s="583"/>
      <c r="U637" s="583"/>
      <c r="V637" s="583"/>
      <c r="W637" s="583"/>
      <c r="X637" s="583"/>
      <c r="Y637" s="583"/>
      <c r="Z637" s="583"/>
      <c r="AA637" s="583"/>
      <c r="AB637" s="583"/>
      <c r="AC637" s="583"/>
      <c r="AD637" s="583"/>
      <c r="AE637" s="583"/>
      <c r="AF637" s="583"/>
      <c r="AG637" s="583"/>
      <c r="AH637" s="583"/>
      <c r="AI637" s="583"/>
      <c r="AJ637" s="583"/>
      <c r="AK637" s="583"/>
      <c r="AL637" s="583"/>
      <c r="AM637" s="583"/>
      <c r="AN637" s="583"/>
      <c r="AO637" s="583"/>
      <c r="AP637" s="583"/>
      <c r="AQ637" s="583"/>
      <c r="AR637" s="583"/>
      <c r="AS637" s="583"/>
      <c r="AT637" s="583"/>
      <c r="AU637" s="583"/>
    </row>
    <row r="638" spans="1:47" s="586" customFormat="1" x14ac:dyDescent="0.2">
      <c r="A638" s="585"/>
      <c r="B638" s="585"/>
      <c r="C638" s="585"/>
      <c r="D638" s="583"/>
      <c r="E638" s="583"/>
      <c r="F638" s="583"/>
      <c r="G638" s="583"/>
      <c r="H638" s="583"/>
      <c r="I638" s="583"/>
      <c r="J638" s="583"/>
      <c r="K638" s="583"/>
      <c r="L638" s="583"/>
      <c r="M638" s="583"/>
      <c r="N638" s="583"/>
      <c r="O638" s="583"/>
      <c r="P638" s="583"/>
      <c r="Q638" s="583"/>
      <c r="R638" s="583"/>
      <c r="S638" s="583"/>
      <c r="T638" s="583"/>
      <c r="U638" s="583"/>
      <c r="V638" s="583"/>
      <c r="W638" s="583"/>
      <c r="X638" s="583"/>
      <c r="Y638" s="583"/>
      <c r="Z638" s="583"/>
      <c r="AA638" s="583"/>
      <c r="AB638" s="583"/>
      <c r="AC638" s="583"/>
      <c r="AD638" s="583"/>
      <c r="AE638" s="583"/>
      <c r="AF638" s="583"/>
      <c r="AG638" s="583"/>
      <c r="AH638" s="583"/>
      <c r="AI638" s="583"/>
      <c r="AJ638" s="583"/>
      <c r="AK638" s="583"/>
      <c r="AL638" s="583"/>
      <c r="AM638" s="583"/>
      <c r="AN638" s="583"/>
      <c r="AO638" s="583"/>
      <c r="AP638" s="583"/>
      <c r="AQ638" s="583"/>
      <c r="AR638" s="583"/>
      <c r="AS638" s="583"/>
      <c r="AT638" s="583"/>
      <c r="AU638" s="583"/>
    </row>
    <row r="639" spans="1:47" s="586" customFormat="1" x14ac:dyDescent="0.2">
      <c r="A639" s="585"/>
      <c r="B639" s="585"/>
      <c r="C639" s="585"/>
      <c r="D639" s="583"/>
      <c r="E639" s="583"/>
      <c r="F639" s="583"/>
      <c r="G639" s="583"/>
      <c r="H639" s="583"/>
      <c r="I639" s="583"/>
      <c r="J639" s="583"/>
      <c r="K639" s="583"/>
      <c r="L639" s="583"/>
      <c r="M639" s="583"/>
      <c r="N639" s="583"/>
      <c r="O639" s="583"/>
      <c r="P639" s="583"/>
      <c r="Q639" s="583"/>
      <c r="R639" s="583"/>
      <c r="S639" s="583"/>
      <c r="T639" s="583"/>
      <c r="U639" s="583"/>
      <c r="V639" s="583"/>
      <c r="W639" s="583"/>
      <c r="X639" s="583"/>
      <c r="Y639" s="583"/>
      <c r="Z639" s="583"/>
      <c r="AA639" s="583"/>
      <c r="AB639" s="583"/>
      <c r="AC639" s="583"/>
      <c r="AD639" s="583"/>
      <c r="AE639" s="583"/>
      <c r="AF639" s="583"/>
      <c r="AG639" s="583"/>
      <c r="AH639" s="583"/>
      <c r="AI639" s="583"/>
      <c r="AJ639" s="583"/>
      <c r="AK639" s="583"/>
      <c r="AL639" s="583"/>
      <c r="AM639" s="583"/>
      <c r="AN639" s="583"/>
      <c r="AO639" s="583"/>
      <c r="AP639" s="583"/>
      <c r="AQ639" s="583"/>
      <c r="AR639" s="583"/>
      <c r="AS639" s="583"/>
      <c r="AT639" s="583"/>
      <c r="AU639" s="583"/>
    </row>
    <row r="640" spans="1:47" s="586" customFormat="1" x14ac:dyDescent="0.2">
      <c r="A640" s="585"/>
      <c r="B640" s="585"/>
      <c r="C640" s="585"/>
      <c r="D640" s="583"/>
      <c r="E640" s="583"/>
      <c r="F640" s="583"/>
      <c r="G640" s="583"/>
      <c r="H640" s="583"/>
      <c r="I640" s="583"/>
      <c r="J640" s="583"/>
      <c r="K640" s="583"/>
      <c r="L640" s="583"/>
      <c r="M640" s="583"/>
      <c r="N640" s="583"/>
      <c r="O640" s="583"/>
      <c r="P640" s="583"/>
      <c r="Q640" s="583"/>
      <c r="R640" s="583"/>
      <c r="S640" s="583"/>
      <c r="T640" s="583"/>
      <c r="U640" s="583"/>
      <c r="V640" s="583"/>
      <c r="W640" s="583"/>
      <c r="X640" s="583"/>
      <c r="Y640" s="583"/>
      <c r="Z640" s="583"/>
      <c r="AA640" s="583"/>
      <c r="AB640" s="583"/>
      <c r="AC640" s="583"/>
      <c r="AD640" s="583"/>
      <c r="AE640" s="583"/>
      <c r="AF640" s="583"/>
      <c r="AG640" s="583"/>
      <c r="AH640" s="583"/>
      <c r="AI640" s="583"/>
      <c r="AJ640" s="583"/>
      <c r="AK640" s="583"/>
      <c r="AL640" s="583"/>
      <c r="AM640" s="583"/>
      <c r="AN640" s="583"/>
      <c r="AO640" s="583"/>
      <c r="AP640" s="583"/>
      <c r="AQ640" s="583"/>
      <c r="AR640" s="583"/>
      <c r="AS640" s="583"/>
      <c r="AT640" s="583"/>
      <c r="AU640" s="583"/>
    </row>
    <row r="641" spans="1:47" s="586" customFormat="1" x14ac:dyDescent="0.2">
      <c r="A641" s="585"/>
      <c r="B641" s="585"/>
      <c r="C641" s="585"/>
      <c r="D641" s="583"/>
      <c r="E641" s="583"/>
      <c r="F641" s="583"/>
      <c r="G641" s="583"/>
      <c r="H641" s="583"/>
      <c r="I641" s="583"/>
      <c r="J641" s="583"/>
      <c r="K641" s="583"/>
      <c r="L641" s="583"/>
      <c r="M641" s="583"/>
      <c r="N641" s="583"/>
      <c r="O641" s="583"/>
      <c r="P641" s="583"/>
      <c r="Q641" s="583"/>
      <c r="R641" s="583"/>
      <c r="S641" s="583"/>
      <c r="T641" s="583"/>
      <c r="U641" s="583"/>
      <c r="V641" s="583"/>
      <c r="W641" s="583"/>
      <c r="X641" s="583"/>
      <c r="Y641" s="583"/>
      <c r="Z641" s="583"/>
      <c r="AA641" s="583"/>
      <c r="AB641" s="583"/>
      <c r="AC641" s="583"/>
      <c r="AD641" s="583"/>
      <c r="AE641" s="583"/>
      <c r="AF641" s="583"/>
      <c r="AG641" s="583"/>
      <c r="AH641" s="583"/>
      <c r="AI641" s="583"/>
      <c r="AJ641" s="583"/>
      <c r="AK641" s="583"/>
      <c r="AL641" s="583"/>
      <c r="AM641" s="583"/>
      <c r="AN641" s="583"/>
      <c r="AO641" s="583"/>
      <c r="AP641" s="583"/>
      <c r="AQ641" s="583"/>
      <c r="AR641" s="583"/>
      <c r="AS641" s="583"/>
      <c r="AT641" s="583"/>
      <c r="AU641" s="583"/>
    </row>
    <row r="642" spans="1:47" s="586" customFormat="1" x14ac:dyDescent="0.2">
      <c r="A642" s="585"/>
      <c r="B642" s="585"/>
      <c r="C642" s="585"/>
      <c r="D642" s="583"/>
      <c r="E642" s="583"/>
      <c r="F642" s="583"/>
      <c r="G642" s="583"/>
      <c r="H642" s="583"/>
      <c r="I642" s="583"/>
      <c r="J642" s="583"/>
      <c r="K642" s="583"/>
      <c r="L642" s="583"/>
      <c r="M642" s="583"/>
      <c r="N642" s="583"/>
      <c r="O642" s="583"/>
      <c r="P642" s="583"/>
      <c r="Q642" s="583"/>
      <c r="R642" s="583"/>
      <c r="S642" s="583"/>
      <c r="T642" s="583"/>
      <c r="U642" s="583"/>
      <c r="V642" s="583"/>
      <c r="W642" s="583"/>
      <c r="X642" s="583"/>
      <c r="Y642" s="583"/>
      <c r="Z642" s="583"/>
      <c r="AA642" s="583"/>
      <c r="AB642" s="583"/>
      <c r="AC642" s="583"/>
      <c r="AD642" s="583"/>
      <c r="AE642" s="583"/>
      <c r="AF642" s="583"/>
      <c r="AG642" s="583"/>
      <c r="AH642" s="583"/>
      <c r="AI642" s="583"/>
      <c r="AJ642" s="583"/>
      <c r="AK642" s="583"/>
      <c r="AL642" s="583"/>
      <c r="AM642" s="583"/>
      <c r="AN642" s="583"/>
      <c r="AO642" s="583"/>
      <c r="AP642" s="583"/>
      <c r="AQ642" s="583"/>
      <c r="AR642" s="583"/>
      <c r="AS642" s="583"/>
      <c r="AT642" s="583"/>
      <c r="AU642" s="583"/>
    </row>
    <row r="643" spans="1:47" s="586" customFormat="1" x14ac:dyDescent="0.2">
      <c r="A643" s="585"/>
      <c r="B643" s="585"/>
      <c r="C643" s="585"/>
      <c r="D643" s="583"/>
      <c r="E643" s="583"/>
      <c r="F643" s="583"/>
      <c r="G643" s="583"/>
      <c r="H643" s="583"/>
      <c r="I643" s="583"/>
      <c r="J643" s="583"/>
      <c r="K643" s="583"/>
      <c r="L643" s="583"/>
      <c r="M643" s="583"/>
      <c r="N643" s="583"/>
      <c r="O643" s="583"/>
      <c r="P643" s="583"/>
      <c r="Q643" s="583"/>
      <c r="R643" s="583"/>
      <c r="S643" s="583"/>
      <c r="T643" s="583"/>
      <c r="U643" s="583"/>
      <c r="V643" s="583"/>
      <c r="W643" s="583"/>
      <c r="X643" s="583"/>
      <c r="Y643" s="583"/>
      <c r="Z643" s="583"/>
      <c r="AA643" s="583"/>
      <c r="AB643" s="583"/>
      <c r="AC643" s="583"/>
      <c r="AD643" s="583"/>
      <c r="AE643" s="583"/>
      <c r="AF643" s="583"/>
      <c r="AG643" s="583"/>
      <c r="AH643" s="583"/>
      <c r="AI643" s="583"/>
      <c r="AJ643" s="583"/>
      <c r="AK643" s="583"/>
      <c r="AL643" s="583"/>
      <c r="AM643" s="583"/>
      <c r="AN643" s="583"/>
      <c r="AO643" s="583"/>
      <c r="AP643" s="583"/>
      <c r="AQ643" s="583"/>
      <c r="AR643" s="583"/>
      <c r="AS643" s="583"/>
      <c r="AT643" s="583"/>
      <c r="AU643" s="583"/>
    </row>
    <row r="644" spans="1:47" s="586" customFormat="1" x14ac:dyDescent="0.2">
      <c r="A644" s="585"/>
      <c r="B644" s="585"/>
      <c r="C644" s="585"/>
      <c r="D644" s="583"/>
      <c r="E644" s="583"/>
      <c r="F644" s="583"/>
      <c r="G644" s="583"/>
      <c r="H644" s="583"/>
      <c r="I644" s="583"/>
      <c r="J644" s="583"/>
      <c r="K644" s="583"/>
      <c r="L644" s="583"/>
      <c r="M644" s="583"/>
      <c r="N644" s="583"/>
      <c r="O644" s="583"/>
      <c r="P644" s="583"/>
      <c r="Q644" s="583"/>
      <c r="R644" s="583"/>
      <c r="S644" s="583"/>
      <c r="T644" s="583"/>
      <c r="U644" s="583"/>
      <c r="V644" s="583"/>
      <c r="W644" s="583"/>
      <c r="X644" s="583"/>
      <c r="Y644" s="583"/>
      <c r="Z644" s="583"/>
      <c r="AA644" s="583"/>
      <c r="AB644" s="583"/>
      <c r="AC644" s="583"/>
      <c r="AD644" s="583"/>
      <c r="AE644" s="583"/>
      <c r="AF644" s="583"/>
      <c r="AG644" s="583"/>
      <c r="AH644" s="583"/>
      <c r="AI644" s="583"/>
      <c r="AJ644" s="583"/>
      <c r="AK644" s="583"/>
      <c r="AL644" s="583"/>
      <c r="AM644" s="583"/>
      <c r="AN644" s="583"/>
      <c r="AO644" s="583"/>
      <c r="AP644" s="583"/>
      <c r="AQ644" s="583"/>
      <c r="AR644" s="583"/>
      <c r="AS644" s="583"/>
      <c r="AT644" s="583"/>
      <c r="AU644" s="583"/>
    </row>
    <row r="645" spans="1:47" s="586" customFormat="1" x14ac:dyDescent="0.2">
      <c r="A645" s="585"/>
      <c r="B645" s="585"/>
      <c r="C645" s="585"/>
      <c r="D645" s="583"/>
      <c r="E645" s="583"/>
      <c r="F645" s="583"/>
      <c r="G645" s="583"/>
      <c r="H645" s="583"/>
      <c r="I645" s="583"/>
      <c r="J645" s="583"/>
      <c r="K645" s="583"/>
      <c r="L645" s="583"/>
      <c r="M645" s="583"/>
      <c r="N645" s="583"/>
      <c r="O645" s="583"/>
      <c r="P645" s="583"/>
      <c r="Q645" s="583"/>
      <c r="R645" s="583"/>
      <c r="S645" s="583"/>
      <c r="T645" s="583"/>
      <c r="U645" s="583"/>
      <c r="V645" s="583"/>
      <c r="W645" s="583"/>
      <c r="X645" s="583"/>
      <c r="Y645" s="583"/>
      <c r="Z645" s="583"/>
      <c r="AA645" s="583"/>
      <c r="AB645" s="583"/>
      <c r="AC645" s="583"/>
      <c r="AD645" s="583"/>
      <c r="AE645" s="583"/>
      <c r="AF645" s="583"/>
      <c r="AG645" s="583"/>
      <c r="AH645" s="583"/>
      <c r="AI645" s="583"/>
      <c r="AJ645" s="583"/>
      <c r="AK645" s="583"/>
      <c r="AL645" s="583"/>
      <c r="AM645" s="583"/>
      <c r="AN645" s="583"/>
      <c r="AO645" s="583"/>
      <c r="AP645" s="583"/>
      <c r="AQ645" s="583"/>
      <c r="AR645" s="583"/>
      <c r="AS645" s="583"/>
      <c r="AT645" s="583"/>
      <c r="AU645" s="583"/>
    </row>
    <row r="646" spans="1:47" s="586" customFormat="1" x14ac:dyDescent="0.2">
      <c r="A646" s="585"/>
      <c r="B646" s="585"/>
      <c r="C646" s="585"/>
      <c r="D646" s="583"/>
      <c r="E646" s="583"/>
      <c r="F646" s="583"/>
      <c r="G646" s="583"/>
      <c r="H646" s="583"/>
      <c r="I646" s="583"/>
      <c r="J646" s="583"/>
      <c r="K646" s="583"/>
      <c r="L646" s="583"/>
      <c r="M646" s="583"/>
      <c r="N646" s="583"/>
      <c r="O646" s="583"/>
      <c r="P646" s="583"/>
      <c r="Q646" s="583"/>
      <c r="R646" s="583"/>
      <c r="S646" s="583"/>
      <c r="T646" s="583"/>
      <c r="U646" s="583"/>
      <c r="V646" s="583"/>
      <c r="W646" s="583"/>
      <c r="X646" s="583"/>
      <c r="Y646" s="583"/>
      <c r="Z646" s="583"/>
      <c r="AA646" s="583"/>
      <c r="AB646" s="583"/>
      <c r="AC646" s="583"/>
      <c r="AD646" s="583"/>
      <c r="AE646" s="583"/>
      <c r="AF646" s="583"/>
      <c r="AG646" s="583"/>
      <c r="AH646" s="583"/>
      <c r="AI646" s="583"/>
      <c r="AJ646" s="583"/>
      <c r="AK646" s="583"/>
      <c r="AL646" s="583"/>
      <c r="AM646" s="583"/>
      <c r="AN646" s="583"/>
      <c r="AO646" s="583"/>
      <c r="AP646" s="583"/>
      <c r="AQ646" s="583"/>
      <c r="AR646" s="583"/>
      <c r="AS646" s="583"/>
      <c r="AT646" s="583"/>
      <c r="AU646" s="583"/>
    </row>
    <row r="647" spans="1:47" s="586" customFormat="1" x14ac:dyDescent="0.2">
      <c r="A647" s="585"/>
      <c r="B647" s="585"/>
      <c r="C647" s="585"/>
      <c r="D647" s="583"/>
      <c r="E647" s="583"/>
      <c r="F647" s="583"/>
      <c r="G647" s="583"/>
      <c r="H647" s="583"/>
      <c r="I647" s="583"/>
      <c r="J647" s="583"/>
      <c r="K647" s="583"/>
      <c r="L647" s="583"/>
      <c r="M647" s="583"/>
      <c r="N647" s="583"/>
      <c r="O647" s="583"/>
      <c r="P647" s="583"/>
      <c r="Q647" s="583"/>
      <c r="R647" s="583"/>
      <c r="S647" s="583"/>
      <c r="T647" s="583"/>
      <c r="U647" s="583"/>
      <c r="V647" s="583"/>
      <c r="W647" s="583"/>
      <c r="X647" s="583"/>
      <c r="Y647" s="583"/>
      <c r="Z647" s="583"/>
      <c r="AA647" s="583"/>
      <c r="AB647" s="583"/>
      <c r="AC647" s="583"/>
      <c r="AD647" s="583"/>
      <c r="AE647" s="583"/>
      <c r="AF647" s="583"/>
      <c r="AG647" s="583"/>
      <c r="AH647" s="583"/>
      <c r="AI647" s="583"/>
      <c r="AJ647" s="583"/>
      <c r="AK647" s="583"/>
      <c r="AL647" s="583"/>
      <c r="AM647" s="583"/>
      <c r="AN647" s="583"/>
      <c r="AO647" s="583"/>
      <c r="AP647" s="583"/>
      <c r="AQ647" s="583"/>
      <c r="AR647" s="583"/>
      <c r="AS647" s="583"/>
      <c r="AT647" s="583"/>
      <c r="AU647" s="583"/>
    </row>
    <row r="648" spans="1:47" s="586" customFormat="1" x14ac:dyDescent="0.2">
      <c r="A648" s="585"/>
      <c r="B648" s="585"/>
      <c r="C648" s="585"/>
      <c r="D648" s="583"/>
      <c r="E648" s="583"/>
      <c r="F648" s="583"/>
      <c r="G648" s="583"/>
      <c r="H648" s="583"/>
      <c r="I648" s="583"/>
      <c r="J648" s="583"/>
      <c r="K648" s="583"/>
      <c r="L648" s="583"/>
      <c r="M648" s="583"/>
      <c r="N648" s="583"/>
      <c r="O648" s="583"/>
      <c r="P648" s="583"/>
      <c r="Q648" s="583"/>
      <c r="R648" s="583"/>
      <c r="S648" s="583"/>
      <c r="T648" s="583"/>
      <c r="U648" s="583"/>
      <c r="V648" s="583"/>
      <c r="W648" s="583"/>
      <c r="X648" s="583"/>
      <c r="Y648" s="583"/>
      <c r="Z648" s="583"/>
      <c r="AA648" s="583"/>
      <c r="AB648" s="583"/>
      <c r="AC648" s="583"/>
      <c r="AD648" s="583"/>
      <c r="AE648" s="583"/>
      <c r="AF648" s="583"/>
      <c r="AG648" s="583"/>
      <c r="AH648" s="583"/>
      <c r="AI648" s="583"/>
      <c r="AJ648" s="583"/>
      <c r="AK648" s="583"/>
      <c r="AL648" s="583"/>
      <c r="AM648" s="583"/>
      <c r="AN648" s="583"/>
      <c r="AO648" s="583"/>
      <c r="AP648" s="583"/>
      <c r="AQ648" s="583"/>
      <c r="AR648" s="583"/>
      <c r="AS648" s="583"/>
      <c r="AT648" s="583"/>
      <c r="AU648" s="583"/>
    </row>
    <row r="649" spans="1:47" s="586" customFormat="1" x14ac:dyDescent="0.2">
      <c r="A649" s="585"/>
      <c r="B649" s="585"/>
      <c r="C649" s="585"/>
      <c r="D649" s="583"/>
      <c r="E649" s="583"/>
      <c r="F649" s="583"/>
      <c r="G649" s="583"/>
      <c r="H649" s="583"/>
      <c r="I649" s="583"/>
      <c r="J649" s="583"/>
      <c r="K649" s="583"/>
      <c r="L649" s="583"/>
      <c r="M649" s="583"/>
      <c r="N649" s="583"/>
      <c r="O649" s="583"/>
      <c r="P649" s="583"/>
      <c r="Q649" s="583"/>
      <c r="R649" s="583"/>
      <c r="S649" s="583"/>
      <c r="T649" s="583"/>
      <c r="U649" s="583"/>
      <c r="V649" s="583"/>
      <c r="W649" s="583"/>
      <c r="X649" s="583"/>
      <c r="Y649" s="583"/>
      <c r="Z649" s="583"/>
      <c r="AA649" s="583"/>
      <c r="AB649" s="583"/>
      <c r="AC649" s="583"/>
      <c r="AD649" s="583"/>
      <c r="AE649" s="583"/>
      <c r="AF649" s="583"/>
      <c r="AG649" s="583"/>
      <c r="AH649" s="583"/>
      <c r="AI649" s="583"/>
      <c r="AJ649" s="583"/>
      <c r="AK649" s="583"/>
      <c r="AL649" s="583"/>
      <c r="AM649" s="583"/>
      <c r="AN649" s="583"/>
      <c r="AO649" s="583"/>
      <c r="AP649" s="583"/>
      <c r="AQ649" s="583"/>
      <c r="AR649" s="583"/>
      <c r="AS649" s="583"/>
      <c r="AT649" s="583"/>
      <c r="AU649" s="583"/>
    </row>
    <row r="650" spans="1:47" s="586" customFormat="1" x14ac:dyDescent="0.2">
      <c r="A650" s="585"/>
      <c r="B650" s="585"/>
      <c r="C650" s="585"/>
      <c r="D650" s="583"/>
      <c r="E650" s="583"/>
      <c r="F650" s="583"/>
      <c r="G650" s="583"/>
      <c r="H650" s="583"/>
      <c r="I650" s="583"/>
      <c r="J650" s="583"/>
      <c r="K650" s="583"/>
      <c r="L650" s="583"/>
      <c r="M650" s="583"/>
      <c r="N650" s="583"/>
      <c r="O650" s="583"/>
      <c r="P650" s="583"/>
      <c r="Q650" s="583"/>
      <c r="R650" s="583"/>
      <c r="S650" s="583"/>
      <c r="T650" s="583"/>
      <c r="U650" s="583"/>
      <c r="V650" s="583"/>
      <c r="W650" s="583"/>
      <c r="X650" s="583"/>
      <c r="Y650" s="583"/>
      <c r="Z650" s="583"/>
      <c r="AA650" s="583"/>
      <c r="AB650" s="583"/>
      <c r="AC650" s="583"/>
      <c r="AD650" s="583"/>
      <c r="AE650" s="583"/>
      <c r="AF650" s="583"/>
      <c r="AG650" s="583"/>
      <c r="AH650" s="583"/>
      <c r="AI650" s="583"/>
      <c r="AJ650" s="583"/>
      <c r="AK650" s="583"/>
      <c r="AL650" s="583"/>
      <c r="AM650" s="583"/>
      <c r="AN650" s="583"/>
      <c r="AO650" s="583"/>
      <c r="AP650" s="583"/>
      <c r="AQ650" s="583"/>
      <c r="AR650" s="583"/>
      <c r="AS650" s="583"/>
      <c r="AT650" s="583"/>
      <c r="AU650" s="583"/>
    </row>
    <row r="651" spans="1:47" s="586" customFormat="1" x14ac:dyDescent="0.2">
      <c r="A651" s="585"/>
      <c r="B651" s="585"/>
      <c r="C651" s="585"/>
      <c r="D651" s="583"/>
      <c r="E651" s="583"/>
      <c r="F651" s="583"/>
      <c r="G651" s="583"/>
      <c r="H651" s="583"/>
      <c r="I651" s="583"/>
      <c r="J651" s="583"/>
      <c r="K651" s="583"/>
      <c r="L651" s="583"/>
      <c r="M651" s="583"/>
      <c r="N651" s="583"/>
      <c r="O651" s="583"/>
      <c r="P651" s="583"/>
      <c r="Q651" s="583"/>
      <c r="R651" s="583"/>
      <c r="S651" s="583"/>
      <c r="T651" s="583"/>
      <c r="U651" s="583"/>
      <c r="V651" s="583"/>
      <c r="W651" s="583"/>
      <c r="X651" s="583"/>
      <c r="Y651" s="583"/>
      <c r="Z651" s="583"/>
      <c r="AA651" s="583"/>
      <c r="AB651" s="583"/>
      <c r="AC651" s="583"/>
      <c r="AD651" s="583"/>
      <c r="AE651" s="583"/>
      <c r="AF651" s="583"/>
      <c r="AG651" s="583"/>
      <c r="AH651" s="583"/>
      <c r="AI651" s="583"/>
      <c r="AJ651" s="583"/>
      <c r="AK651" s="583"/>
      <c r="AL651" s="583"/>
      <c r="AM651" s="583"/>
      <c r="AN651" s="583"/>
      <c r="AO651" s="583"/>
      <c r="AP651" s="583"/>
      <c r="AQ651" s="583"/>
      <c r="AR651" s="583"/>
      <c r="AS651" s="583"/>
      <c r="AT651" s="583"/>
      <c r="AU651" s="583"/>
    </row>
    <row r="652" spans="1:47" s="586" customFormat="1" x14ac:dyDescent="0.2">
      <c r="A652" s="585"/>
      <c r="B652" s="585"/>
      <c r="C652" s="585"/>
      <c r="D652" s="583"/>
      <c r="E652" s="583"/>
      <c r="F652" s="583"/>
      <c r="G652" s="583"/>
      <c r="H652" s="583"/>
      <c r="I652" s="583"/>
      <c r="J652" s="583"/>
      <c r="K652" s="583"/>
      <c r="L652" s="583"/>
      <c r="M652" s="583"/>
      <c r="N652" s="583"/>
      <c r="O652" s="583"/>
      <c r="P652" s="583"/>
      <c r="Q652" s="583"/>
      <c r="R652" s="583"/>
      <c r="S652" s="583"/>
      <c r="T652" s="583"/>
      <c r="U652" s="583"/>
      <c r="V652" s="583"/>
      <c r="W652" s="583"/>
      <c r="X652" s="583"/>
      <c r="Y652" s="583"/>
      <c r="Z652" s="583"/>
      <c r="AA652" s="583"/>
      <c r="AB652" s="583"/>
      <c r="AC652" s="583"/>
      <c r="AD652" s="583"/>
      <c r="AE652" s="583"/>
      <c r="AF652" s="583"/>
      <c r="AG652" s="583"/>
      <c r="AH652" s="583"/>
      <c r="AI652" s="583"/>
      <c r="AJ652" s="583"/>
      <c r="AK652" s="583"/>
      <c r="AL652" s="583"/>
      <c r="AM652" s="583"/>
      <c r="AN652" s="583"/>
      <c r="AO652" s="583"/>
      <c r="AP652" s="583"/>
      <c r="AQ652" s="583"/>
      <c r="AR652" s="583"/>
      <c r="AS652" s="583"/>
      <c r="AT652" s="583"/>
      <c r="AU652" s="583"/>
    </row>
    <row r="653" spans="1:47" s="586" customFormat="1" x14ac:dyDescent="0.2">
      <c r="A653" s="585"/>
      <c r="B653" s="585"/>
      <c r="C653" s="585"/>
      <c r="D653" s="583"/>
      <c r="E653" s="583"/>
      <c r="F653" s="583"/>
      <c r="G653" s="583"/>
      <c r="H653" s="583"/>
      <c r="I653" s="583"/>
      <c r="J653" s="583"/>
      <c r="K653" s="583"/>
      <c r="L653" s="583"/>
      <c r="M653" s="583"/>
      <c r="N653" s="583"/>
      <c r="O653" s="583"/>
      <c r="P653" s="583"/>
      <c r="Q653" s="583"/>
      <c r="R653" s="583"/>
      <c r="S653" s="583"/>
      <c r="T653" s="583"/>
      <c r="U653" s="583"/>
      <c r="V653" s="583"/>
      <c r="W653" s="583"/>
      <c r="X653" s="583"/>
      <c r="Y653" s="583"/>
      <c r="Z653" s="583"/>
      <c r="AA653" s="583"/>
      <c r="AB653" s="583"/>
      <c r="AC653" s="583"/>
      <c r="AD653" s="583"/>
      <c r="AE653" s="583"/>
      <c r="AF653" s="583"/>
      <c r="AG653" s="583"/>
      <c r="AH653" s="583"/>
      <c r="AI653" s="583"/>
      <c r="AJ653" s="583"/>
      <c r="AK653" s="583"/>
      <c r="AL653" s="583"/>
      <c r="AM653" s="583"/>
      <c r="AN653" s="583"/>
      <c r="AO653" s="583"/>
      <c r="AP653" s="583"/>
      <c r="AQ653" s="583"/>
      <c r="AR653" s="583"/>
      <c r="AS653" s="583"/>
      <c r="AT653" s="583"/>
      <c r="AU653" s="583"/>
    </row>
    <row r="654" spans="1:47" s="586" customFormat="1" x14ac:dyDescent="0.2">
      <c r="A654" s="585"/>
      <c r="B654" s="585"/>
      <c r="C654" s="585"/>
      <c r="D654" s="583"/>
      <c r="E654" s="583"/>
      <c r="F654" s="583"/>
      <c r="G654" s="583"/>
      <c r="H654" s="583"/>
      <c r="I654" s="583"/>
      <c r="J654" s="583"/>
      <c r="K654" s="583"/>
      <c r="L654" s="583"/>
      <c r="M654" s="583"/>
      <c r="N654" s="583"/>
      <c r="O654" s="583"/>
      <c r="P654" s="583"/>
      <c r="Q654" s="583"/>
      <c r="R654" s="583"/>
      <c r="S654" s="583"/>
      <c r="T654" s="583"/>
      <c r="U654" s="583"/>
      <c r="V654" s="583"/>
      <c r="W654" s="583"/>
      <c r="X654" s="583"/>
      <c r="Y654" s="583"/>
      <c r="Z654" s="583"/>
      <c r="AA654" s="583"/>
      <c r="AB654" s="583"/>
      <c r="AC654" s="583"/>
      <c r="AD654" s="583"/>
      <c r="AE654" s="583"/>
      <c r="AF654" s="583"/>
      <c r="AG654" s="583"/>
      <c r="AH654" s="583"/>
      <c r="AI654" s="583"/>
      <c r="AJ654" s="583"/>
      <c r="AK654" s="583"/>
      <c r="AL654" s="583"/>
      <c r="AM654" s="583"/>
      <c r="AN654" s="583"/>
      <c r="AO654" s="583"/>
      <c r="AP654" s="583"/>
      <c r="AQ654" s="583"/>
      <c r="AR654" s="583"/>
      <c r="AS654" s="583"/>
      <c r="AT654" s="583"/>
      <c r="AU654" s="583"/>
    </row>
    <row r="655" spans="1:47" s="586" customFormat="1" x14ac:dyDescent="0.2">
      <c r="A655" s="585"/>
      <c r="B655" s="585"/>
      <c r="C655" s="585"/>
      <c r="D655" s="583"/>
      <c r="E655" s="583"/>
      <c r="F655" s="583"/>
      <c r="G655" s="583"/>
      <c r="H655" s="583"/>
      <c r="I655" s="583"/>
      <c r="J655" s="583"/>
      <c r="K655" s="583"/>
      <c r="L655" s="583"/>
      <c r="M655" s="583"/>
      <c r="N655" s="583"/>
      <c r="O655" s="583"/>
      <c r="P655" s="583"/>
      <c r="Q655" s="583"/>
      <c r="R655" s="583"/>
      <c r="S655" s="583"/>
      <c r="T655" s="583"/>
      <c r="U655" s="583"/>
      <c r="V655" s="583"/>
      <c r="W655" s="583"/>
      <c r="X655" s="583"/>
      <c r="Y655" s="583"/>
      <c r="Z655" s="583"/>
      <c r="AA655" s="583"/>
      <c r="AB655" s="583"/>
      <c r="AC655" s="583"/>
      <c r="AD655" s="583"/>
      <c r="AE655" s="583"/>
      <c r="AF655" s="583"/>
      <c r="AG655" s="583"/>
      <c r="AH655" s="583"/>
      <c r="AI655" s="583"/>
      <c r="AJ655" s="583"/>
      <c r="AK655" s="583"/>
      <c r="AL655" s="583"/>
      <c r="AM655" s="583"/>
      <c r="AN655" s="583"/>
      <c r="AO655" s="583"/>
      <c r="AP655" s="583"/>
      <c r="AQ655" s="583"/>
      <c r="AR655" s="583"/>
      <c r="AS655" s="583"/>
      <c r="AT655" s="583"/>
      <c r="AU655" s="583"/>
    </row>
    <row r="656" spans="1:47" s="586" customFormat="1" x14ac:dyDescent="0.2">
      <c r="A656" s="585"/>
      <c r="B656" s="585"/>
      <c r="C656" s="585"/>
      <c r="D656" s="583"/>
      <c r="E656" s="583"/>
      <c r="F656" s="583"/>
      <c r="G656" s="583"/>
      <c r="H656" s="583"/>
      <c r="I656" s="583"/>
      <c r="J656" s="583"/>
      <c r="K656" s="583"/>
      <c r="L656" s="583"/>
      <c r="M656" s="583"/>
      <c r="N656" s="583"/>
      <c r="O656" s="583"/>
      <c r="P656" s="583"/>
      <c r="Q656" s="583"/>
      <c r="R656" s="583"/>
      <c r="S656" s="583"/>
      <c r="T656" s="583"/>
      <c r="U656" s="583"/>
      <c r="V656" s="583"/>
      <c r="W656" s="583"/>
      <c r="X656" s="583"/>
      <c r="Y656" s="583"/>
      <c r="Z656" s="583"/>
      <c r="AA656" s="583"/>
      <c r="AB656" s="583"/>
      <c r="AC656" s="583"/>
      <c r="AD656" s="583"/>
      <c r="AE656" s="583"/>
      <c r="AF656" s="583"/>
      <c r="AG656" s="583"/>
      <c r="AH656" s="583"/>
      <c r="AI656" s="583"/>
      <c r="AJ656" s="583"/>
      <c r="AK656" s="583"/>
      <c r="AL656" s="583"/>
      <c r="AM656" s="583"/>
      <c r="AN656" s="583"/>
      <c r="AO656" s="583"/>
      <c r="AP656" s="583"/>
      <c r="AQ656" s="583"/>
      <c r="AR656" s="583"/>
      <c r="AS656" s="583"/>
      <c r="AT656" s="583"/>
      <c r="AU656" s="583"/>
    </row>
    <row r="657" spans="1:47" s="586" customFormat="1" x14ac:dyDescent="0.2">
      <c r="A657" s="585"/>
      <c r="B657" s="585"/>
      <c r="C657" s="585"/>
      <c r="D657" s="583"/>
      <c r="E657" s="583"/>
      <c r="F657" s="583"/>
      <c r="G657" s="583"/>
      <c r="H657" s="583"/>
      <c r="I657" s="583"/>
      <c r="J657" s="583"/>
      <c r="K657" s="583"/>
      <c r="L657" s="583"/>
      <c r="M657" s="583"/>
      <c r="N657" s="583"/>
      <c r="O657" s="583"/>
      <c r="P657" s="583"/>
      <c r="Q657" s="583"/>
      <c r="R657" s="583"/>
      <c r="S657" s="583"/>
      <c r="T657" s="583"/>
      <c r="U657" s="583"/>
      <c r="V657" s="583"/>
      <c r="W657" s="583"/>
      <c r="X657" s="583"/>
      <c r="Y657" s="583"/>
      <c r="Z657" s="583"/>
      <c r="AA657" s="583"/>
      <c r="AB657" s="583"/>
      <c r="AC657" s="583"/>
      <c r="AD657" s="583"/>
      <c r="AE657" s="583"/>
      <c r="AF657" s="583"/>
      <c r="AG657" s="583"/>
      <c r="AH657" s="583"/>
      <c r="AI657" s="583"/>
      <c r="AJ657" s="583"/>
      <c r="AK657" s="583"/>
      <c r="AL657" s="583"/>
      <c r="AM657" s="583"/>
      <c r="AN657" s="583"/>
      <c r="AO657" s="583"/>
      <c r="AP657" s="583"/>
      <c r="AQ657" s="583"/>
      <c r="AR657" s="583"/>
      <c r="AS657" s="583"/>
      <c r="AT657" s="583"/>
      <c r="AU657" s="583"/>
    </row>
    <row r="658" spans="1:47" s="586" customFormat="1" x14ac:dyDescent="0.2">
      <c r="A658" s="585"/>
      <c r="B658" s="585"/>
      <c r="C658" s="585"/>
      <c r="D658" s="583"/>
      <c r="E658" s="583"/>
      <c r="F658" s="583"/>
      <c r="G658" s="583"/>
      <c r="H658" s="583"/>
      <c r="I658" s="583"/>
      <c r="J658" s="583"/>
      <c r="K658" s="583"/>
      <c r="L658" s="583"/>
      <c r="M658" s="583"/>
      <c r="N658" s="583"/>
      <c r="O658" s="583"/>
      <c r="P658" s="583"/>
      <c r="Q658" s="583"/>
      <c r="R658" s="583"/>
      <c r="S658" s="583"/>
      <c r="T658" s="583"/>
      <c r="U658" s="583"/>
      <c r="V658" s="583"/>
      <c r="W658" s="583"/>
      <c r="X658" s="583"/>
      <c r="Y658" s="583"/>
      <c r="Z658" s="583"/>
      <c r="AA658" s="583"/>
      <c r="AB658" s="583"/>
      <c r="AC658" s="583"/>
      <c r="AD658" s="583"/>
      <c r="AE658" s="583"/>
      <c r="AF658" s="583"/>
      <c r="AG658" s="583"/>
      <c r="AH658" s="583"/>
      <c r="AI658" s="583"/>
      <c r="AJ658" s="583"/>
      <c r="AK658" s="583"/>
      <c r="AL658" s="583"/>
      <c r="AM658" s="583"/>
      <c r="AN658" s="583"/>
      <c r="AO658" s="583"/>
      <c r="AP658" s="583"/>
      <c r="AQ658" s="583"/>
      <c r="AR658" s="583"/>
      <c r="AS658" s="583"/>
      <c r="AT658" s="583"/>
      <c r="AU658" s="583"/>
    </row>
    <row r="659" spans="1:47" s="586" customFormat="1" x14ac:dyDescent="0.2">
      <c r="A659" s="585"/>
      <c r="B659" s="585"/>
      <c r="C659" s="585"/>
      <c r="D659" s="583"/>
      <c r="E659" s="583"/>
      <c r="F659" s="583"/>
      <c r="G659" s="583"/>
      <c r="H659" s="583"/>
      <c r="I659" s="583"/>
      <c r="J659" s="583"/>
      <c r="K659" s="583"/>
      <c r="L659" s="583"/>
      <c r="M659" s="583"/>
      <c r="N659" s="583"/>
      <c r="O659" s="583"/>
      <c r="P659" s="583"/>
      <c r="Q659" s="583"/>
      <c r="R659" s="583"/>
      <c r="S659" s="583"/>
      <c r="T659" s="583"/>
      <c r="U659" s="583"/>
      <c r="V659" s="583"/>
      <c r="W659" s="583"/>
      <c r="X659" s="583"/>
      <c r="Y659" s="583"/>
      <c r="Z659" s="583"/>
      <c r="AA659" s="583"/>
      <c r="AB659" s="583"/>
      <c r="AC659" s="583"/>
      <c r="AD659" s="583"/>
      <c r="AE659" s="583"/>
      <c r="AF659" s="583"/>
      <c r="AG659" s="583"/>
      <c r="AH659" s="583"/>
      <c r="AI659" s="583"/>
      <c r="AJ659" s="583"/>
      <c r="AK659" s="583"/>
      <c r="AL659" s="583"/>
      <c r="AM659" s="583"/>
      <c r="AN659" s="583"/>
      <c r="AO659" s="583"/>
      <c r="AP659" s="583"/>
      <c r="AQ659" s="583"/>
      <c r="AR659" s="583"/>
      <c r="AS659" s="583"/>
      <c r="AT659" s="583"/>
      <c r="AU659" s="583"/>
    </row>
    <row r="660" spans="1:47" s="586" customFormat="1" x14ac:dyDescent="0.2">
      <c r="A660" s="585"/>
      <c r="B660" s="585"/>
      <c r="C660" s="585"/>
      <c r="D660" s="583"/>
      <c r="E660" s="583"/>
      <c r="F660" s="583"/>
      <c r="G660" s="583"/>
      <c r="H660" s="583"/>
      <c r="I660" s="583"/>
      <c r="J660" s="583"/>
      <c r="K660" s="583"/>
      <c r="L660" s="583"/>
      <c r="M660" s="583"/>
      <c r="N660" s="583"/>
      <c r="O660" s="583"/>
      <c r="P660" s="583"/>
      <c r="Q660" s="583"/>
      <c r="R660" s="583"/>
      <c r="S660" s="583"/>
      <c r="T660" s="583"/>
      <c r="U660" s="583"/>
      <c r="V660" s="583"/>
      <c r="W660" s="583"/>
      <c r="X660" s="583"/>
      <c r="Y660" s="583"/>
      <c r="Z660" s="583"/>
      <c r="AA660" s="583"/>
      <c r="AB660" s="583"/>
      <c r="AC660" s="583"/>
      <c r="AD660" s="583"/>
      <c r="AE660" s="583"/>
      <c r="AF660" s="583"/>
      <c r="AG660" s="583"/>
      <c r="AH660" s="583"/>
      <c r="AI660" s="583"/>
      <c r="AJ660" s="583"/>
      <c r="AK660" s="583"/>
      <c r="AL660" s="583"/>
      <c r="AM660" s="583"/>
      <c r="AN660" s="583"/>
      <c r="AO660" s="583"/>
      <c r="AP660" s="583"/>
      <c r="AQ660" s="583"/>
      <c r="AR660" s="583"/>
      <c r="AS660" s="583"/>
      <c r="AT660" s="583"/>
      <c r="AU660" s="583"/>
    </row>
    <row r="661" spans="1:47" s="586" customFormat="1" x14ac:dyDescent="0.2">
      <c r="A661" s="585"/>
      <c r="B661" s="585"/>
      <c r="C661" s="585"/>
      <c r="D661" s="583"/>
      <c r="E661" s="583"/>
      <c r="F661" s="583"/>
      <c r="G661" s="583"/>
      <c r="H661" s="583"/>
      <c r="I661" s="583"/>
      <c r="J661" s="583"/>
      <c r="K661" s="583"/>
      <c r="L661" s="583"/>
      <c r="M661" s="583"/>
      <c r="N661" s="583"/>
      <c r="O661" s="583"/>
      <c r="P661" s="583"/>
      <c r="Q661" s="583"/>
      <c r="R661" s="583"/>
      <c r="S661" s="583"/>
      <c r="T661" s="583"/>
      <c r="U661" s="583"/>
      <c r="V661" s="583"/>
      <c r="W661" s="583"/>
      <c r="X661" s="583"/>
      <c r="Y661" s="583"/>
      <c r="Z661" s="583"/>
      <c r="AA661" s="583"/>
      <c r="AB661" s="583"/>
      <c r="AC661" s="583"/>
      <c r="AD661" s="583"/>
      <c r="AE661" s="583"/>
      <c r="AF661" s="583"/>
      <c r="AG661" s="583"/>
      <c r="AH661" s="583"/>
      <c r="AI661" s="583"/>
      <c r="AJ661" s="583"/>
      <c r="AK661" s="583"/>
      <c r="AL661" s="583"/>
      <c r="AM661" s="583"/>
      <c r="AN661" s="583"/>
      <c r="AO661" s="583"/>
      <c r="AP661" s="583"/>
      <c r="AQ661" s="583"/>
      <c r="AR661" s="583"/>
      <c r="AS661" s="583"/>
      <c r="AT661" s="583"/>
      <c r="AU661" s="583"/>
    </row>
    <row r="662" spans="1:47" s="586" customFormat="1" x14ac:dyDescent="0.2">
      <c r="A662" s="585"/>
      <c r="B662" s="585"/>
      <c r="C662" s="585"/>
      <c r="D662" s="583"/>
      <c r="E662" s="583"/>
      <c r="F662" s="583"/>
      <c r="G662" s="583"/>
      <c r="H662" s="583"/>
      <c r="I662" s="583"/>
      <c r="J662" s="583"/>
      <c r="K662" s="583"/>
      <c r="L662" s="583"/>
      <c r="M662" s="583"/>
      <c r="N662" s="583"/>
      <c r="O662" s="583"/>
      <c r="P662" s="583"/>
      <c r="Q662" s="583"/>
      <c r="R662" s="583"/>
      <c r="S662" s="583"/>
      <c r="T662" s="583"/>
      <c r="U662" s="583"/>
      <c r="V662" s="583"/>
      <c r="W662" s="583"/>
      <c r="X662" s="583"/>
      <c r="Y662" s="583"/>
      <c r="Z662" s="583"/>
      <c r="AA662" s="583"/>
      <c r="AB662" s="583"/>
      <c r="AC662" s="583"/>
      <c r="AD662" s="583"/>
      <c r="AE662" s="583"/>
      <c r="AF662" s="583"/>
      <c r="AG662" s="583"/>
      <c r="AH662" s="583"/>
      <c r="AI662" s="583"/>
      <c r="AJ662" s="583"/>
      <c r="AK662" s="583"/>
      <c r="AL662" s="583"/>
      <c r="AM662" s="583"/>
      <c r="AN662" s="583"/>
      <c r="AO662" s="583"/>
      <c r="AP662" s="583"/>
      <c r="AQ662" s="583"/>
      <c r="AR662" s="583"/>
      <c r="AS662" s="583"/>
      <c r="AT662" s="583"/>
      <c r="AU662" s="583"/>
    </row>
    <row r="663" spans="1:47" s="586" customFormat="1" x14ac:dyDescent="0.2">
      <c r="A663" s="585"/>
      <c r="B663" s="585"/>
      <c r="C663" s="585"/>
      <c r="D663" s="583"/>
      <c r="E663" s="583"/>
      <c r="F663" s="583"/>
      <c r="G663" s="583"/>
      <c r="H663" s="583"/>
      <c r="I663" s="583"/>
      <c r="J663" s="583"/>
      <c r="K663" s="583"/>
      <c r="L663" s="583"/>
      <c r="M663" s="583"/>
      <c r="N663" s="583"/>
      <c r="O663" s="583"/>
      <c r="P663" s="583"/>
      <c r="Q663" s="583"/>
      <c r="R663" s="583"/>
      <c r="S663" s="583"/>
      <c r="T663" s="583"/>
      <c r="U663" s="583"/>
      <c r="V663" s="583"/>
      <c r="W663" s="583"/>
      <c r="X663" s="583"/>
      <c r="Y663" s="583"/>
      <c r="Z663" s="583"/>
      <c r="AA663" s="583"/>
      <c r="AB663" s="583"/>
      <c r="AC663" s="583"/>
      <c r="AD663" s="583"/>
      <c r="AE663" s="583"/>
      <c r="AF663" s="583"/>
      <c r="AG663" s="583"/>
      <c r="AH663" s="583"/>
      <c r="AI663" s="583"/>
      <c r="AJ663" s="583"/>
      <c r="AK663" s="583"/>
      <c r="AL663" s="583"/>
      <c r="AM663" s="583"/>
      <c r="AN663" s="583"/>
      <c r="AO663" s="583"/>
      <c r="AP663" s="583"/>
      <c r="AQ663" s="583"/>
      <c r="AR663" s="583"/>
      <c r="AS663" s="583"/>
      <c r="AT663" s="583"/>
      <c r="AU663" s="583"/>
    </row>
    <row r="664" spans="1:47" s="586" customFormat="1" x14ac:dyDescent="0.2">
      <c r="A664" s="585"/>
      <c r="B664" s="585"/>
      <c r="C664" s="585"/>
      <c r="D664" s="583"/>
      <c r="E664" s="583"/>
      <c r="F664" s="583"/>
      <c r="G664" s="583"/>
      <c r="H664" s="583"/>
      <c r="I664" s="583"/>
      <c r="J664" s="583"/>
      <c r="K664" s="583"/>
      <c r="L664" s="583"/>
      <c r="M664" s="583"/>
      <c r="N664" s="583"/>
      <c r="O664" s="583"/>
      <c r="P664" s="583"/>
      <c r="Q664" s="583"/>
      <c r="R664" s="583"/>
      <c r="S664" s="583"/>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row>
    <row r="665" spans="1:47" s="586" customFormat="1" x14ac:dyDescent="0.2">
      <c r="A665" s="585"/>
      <c r="B665" s="585"/>
      <c r="C665" s="585"/>
      <c r="D665" s="583"/>
      <c r="E665" s="583"/>
      <c r="F665" s="583"/>
      <c r="G665" s="583"/>
      <c r="H665" s="583"/>
      <c r="I665" s="583"/>
      <c r="J665" s="583"/>
      <c r="K665" s="583"/>
      <c r="L665" s="583"/>
      <c r="M665" s="583"/>
      <c r="N665" s="583"/>
      <c r="O665" s="583"/>
      <c r="P665" s="583"/>
      <c r="Q665" s="583"/>
      <c r="R665" s="583"/>
      <c r="S665" s="583"/>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row>
    <row r="666" spans="1:47" s="586" customFormat="1" x14ac:dyDescent="0.2">
      <c r="A666" s="585"/>
      <c r="B666" s="585"/>
      <c r="C666" s="585"/>
      <c r="D666" s="583"/>
      <c r="E666" s="583"/>
      <c r="F666" s="583"/>
      <c r="G666" s="583"/>
      <c r="H666" s="583"/>
      <c r="I666" s="583"/>
      <c r="J666" s="583"/>
      <c r="K666" s="583"/>
      <c r="L666" s="583"/>
      <c r="M666" s="583"/>
      <c r="N666" s="583"/>
      <c r="O666" s="583"/>
      <c r="P666" s="583"/>
      <c r="Q666" s="583"/>
      <c r="R666" s="583"/>
      <c r="S666" s="583"/>
      <c r="T666" s="583"/>
      <c r="U666" s="583"/>
      <c r="V666" s="583"/>
      <c r="W666" s="583"/>
      <c r="X666" s="583"/>
      <c r="Y666" s="583"/>
      <c r="Z666" s="583"/>
      <c r="AA666" s="583"/>
      <c r="AB666" s="583"/>
      <c r="AC666" s="583"/>
      <c r="AD666" s="583"/>
      <c r="AE666" s="583"/>
      <c r="AF666" s="583"/>
      <c r="AG666" s="583"/>
      <c r="AH666" s="583"/>
      <c r="AI666" s="583"/>
      <c r="AJ666" s="583"/>
      <c r="AK666" s="583"/>
      <c r="AL666" s="583"/>
      <c r="AM666" s="583"/>
      <c r="AN666" s="583"/>
      <c r="AO666" s="583"/>
      <c r="AP666" s="583"/>
      <c r="AQ666" s="583"/>
      <c r="AR666" s="583"/>
      <c r="AS666" s="583"/>
      <c r="AT666" s="583"/>
      <c r="AU666" s="583"/>
    </row>
    <row r="667" spans="1:47" s="586" customFormat="1" x14ac:dyDescent="0.2">
      <c r="A667" s="585"/>
      <c r="B667" s="585"/>
      <c r="C667" s="585"/>
      <c r="D667" s="583"/>
      <c r="E667" s="583"/>
      <c r="F667" s="583"/>
      <c r="G667" s="583"/>
      <c r="H667" s="583"/>
      <c r="I667" s="583"/>
      <c r="J667" s="583"/>
      <c r="K667" s="583"/>
      <c r="L667" s="583"/>
      <c r="M667" s="583"/>
      <c r="N667" s="583"/>
      <c r="O667" s="583"/>
      <c r="P667" s="583"/>
      <c r="Q667" s="583"/>
      <c r="R667" s="583"/>
      <c r="S667" s="583"/>
      <c r="T667" s="583"/>
      <c r="U667" s="583"/>
      <c r="V667" s="583"/>
      <c r="W667" s="583"/>
      <c r="X667" s="583"/>
      <c r="Y667" s="583"/>
      <c r="Z667" s="583"/>
      <c r="AA667" s="583"/>
      <c r="AB667" s="583"/>
      <c r="AC667" s="583"/>
      <c r="AD667" s="583"/>
      <c r="AE667" s="583"/>
      <c r="AF667" s="583"/>
      <c r="AG667" s="583"/>
      <c r="AH667" s="583"/>
      <c r="AI667" s="583"/>
      <c r="AJ667" s="583"/>
      <c r="AK667" s="583"/>
      <c r="AL667" s="583"/>
      <c r="AM667" s="583"/>
      <c r="AN667" s="583"/>
      <c r="AO667" s="583"/>
      <c r="AP667" s="583"/>
      <c r="AQ667" s="583"/>
      <c r="AR667" s="583"/>
      <c r="AS667" s="583"/>
      <c r="AT667" s="583"/>
      <c r="AU667" s="583"/>
    </row>
    <row r="668" spans="1:47" s="586" customFormat="1" x14ac:dyDescent="0.2">
      <c r="A668" s="585"/>
      <c r="B668" s="585"/>
      <c r="C668" s="585"/>
      <c r="D668" s="583"/>
      <c r="E668" s="583"/>
      <c r="F668" s="583"/>
      <c r="G668" s="583"/>
      <c r="H668" s="583"/>
      <c r="I668" s="583"/>
      <c r="J668" s="583"/>
      <c r="K668" s="583"/>
      <c r="L668" s="583"/>
      <c r="M668" s="583"/>
      <c r="N668" s="583"/>
      <c r="O668" s="583"/>
      <c r="P668" s="583"/>
      <c r="Q668" s="583"/>
      <c r="R668" s="583"/>
      <c r="S668" s="583"/>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row>
    <row r="669" spans="1:47" s="586" customFormat="1" x14ac:dyDescent="0.2">
      <c r="A669" s="585"/>
      <c r="B669" s="585"/>
      <c r="C669" s="585"/>
      <c r="D669" s="583"/>
      <c r="E669" s="583"/>
      <c r="F669" s="583"/>
      <c r="G669" s="583"/>
      <c r="H669" s="583"/>
      <c r="I669" s="583"/>
      <c r="J669" s="583"/>
      <c r="K669" s="583"/>
      <c r="L669" s="583"/>
      <c r="M669" s="583"/>
      <c r="N669" s="583"/>
      <c r="O669" s="583"/>
      <c r="P669" s="583"/>
      <c r="Q669" s="583"/>
      <c r="R669" s="583"/>
      <c r="S669" s="583"/>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row>
    <row r="670" spans="1:47" s="586" customFormat="1" x14ac:dyDescent="0.2">
      <c r="A670" s="585"/>
      <c r="B670" s="585"/>
      <c r="C670" s="585"/>
      <c r="D670" s="583"/>
      <c r="E670" s="583"/>
      <c r="F670" s="583"/>
      <c r="G670" s="583"/>
      <c r="H670" s="583"/>
      <c r="I670" s="583"/>
      <c r="J670" s="583"/>
      <c r="K670" s="583"/>
      <c r="L670" s="583"/>
      <c r="M670" s="583"/>
      <c r="N670" s="583"/>
      <c r="O670" s="583"/>
      <c r="P670" s="583"/>
      <c r="Q670" s="583"/>
      <c r="R670" s="583"/>
      <c r="S670" s="583"/>
      <c r="T670" s="583"/>
      <c r="U670" s="583"/>
      <c r="V670" s="583"/>
      <c r="W670" s="583"/>
      <c r="X670" s="583"/>
      <c r="Y670" s="583"/>
      <c r="Z670" s="583"/>
      <c r="AA670" s="583"/>
      <c r="AB670" s="583"/>
      <c r="AC670" s="583"/>
      <c r="AD670" s="583"/>
      <c r="AE670" s="583"/>
      <c r="AF670" s="583"/>
      <c r="AG670" s="583"/>
      <c r="AH670" s="583"/>
      <c r="AI670" s="583"/>
      <c r="AJ670" s="583"/>
      <c r="AK670" s="583"/>
      <c r="AL670" s="583"/>
      <c r="AM670" s="583"/>
      <c r="AN670" s="583"/>
      <c r="AO670" s="583"/>
      <c r="AP670" s="583"/>
      <c r="AQ670" s="583"/>
      <c r="AR670" s="583"/>
      <c r="AS670" s="583"/>
      <c r="AT670" s="583"/>
      <c r="AU670" s="583"/>
    </row>
    <row r="671" spans="1:47" s="586" customFormat="1" x14ac:dyDescent="0.2">
      <c r="A671" s="585"/>
      <c r="B671" s="585"/>
      <c r="C671" s="585"/>
      <c r="D671" s="583"/>
      <c r="E671" s="583"/>
      <c r="F671" s="583"/>
      <c r="G671" s="583"/>
      <c r="H671" s="583"/>
      <c r="I671" s="583"/>
      <c r="J671" s="583"/>
      <c r="K671" s="583"/>
      <c r="L671" s="583"/>
      <c r="M671" s="583"/>
      <c r="N671" s="583"/>
      <c r="O671" s="583"/>
      <c r="P671" s="583"/>
      <c r="Q671" s="583"/>
      <c r="R671" s="583"/>
      <c r="S671" s="583"/>
      <c r="T671" s="583"/>
      <c r="U671" s="583"/>
      <c r="V671" s="583"/>
      <c r="W671" s="583"/>
      <c r="X671" s="583"/>
      <c r="Y671" s="583"/>
      <c r="Z671" s="583"/>
      <c r="AA671" s="583"/>
      <c r="AB671" s="583"/>
      <c r="AC671" s="583"/>
      <c r="AD671" s="583"/>
      <c r="AE671" s="583"/>
      <c r="AF671" s="583"/>
      <c r="AG671" s="583"/>
      <c r="AH671" s="583"/>
      <c r="AI671" s="583"/>
      <c r="AJ671" s="583"/>
      <c r="AK671" s="583"/>
      <c r="AL671" s="583"/>
      <c r="AM671" s="583"/>
      <c r="AN671" s="583"/>
      <c r="AO671" s="583"/>
      <c r="AP671" s="583"/>
      <c r="AQ671" s="583"/>
      <c r="AR671" s="583"/>
      <c r="AS671" s="583"/>
      <c r="AT671" s="583"/>
      <c r="AU671" s="583"/>
    </row>
    <row r="672" spans="1:47" s="586" customFormat="1" x14ac:dyDescent="0.2">
      <c r="A672" s="585"/>
      <c r="B672" s="585"/>
      <c r="C672" s="585"/>
      <c r="D672" s="583"/>
      <c r="E672" s="583"/>
      <c r="F672" s="583"/>
      <c r="G672" s="583"/>
      <c r="H672" s="583"/>
      <c r="I672" s="583"/>
      <c r="J672" s="583"/>
      <c r="K672" s="583"/>
      <c r="L672" s="583"/>
      <c r="M672" s="583"/>
      <c r="N672" s="583"/>
      <c r="O672" s="583"/>
      <c r="P672" s="583"/>
      <c r="Q672" s="583"/>
      <c r="R672" s="583"/>
      <c r="S672" s="583"/>
      <c r="T672" s="583"/>
      <c r="U672" s="583"/>
      <c r="V672" s="583"/>
      <c r="W672" s="583"/>
      <c r="X672" s="583"/>
      <c r="Y672" s="583"/>
      <c r="Z672" s="583"/>
      <c r="AA672" s="583"/>
      <c r="AB672" s="583"/>
      <c r="AC672" s="583"/>
      <c r="AD672" s="583"/>
      <c r="AE672" s="583"/>
      <c r="AF672" s="583"/>
      <c r="AG672" s="583"/>
      <c r="AH672" s="583"/>
      <c r="AI672" s="583"/>
      <c r="AJ672" s="583"/>
      <c r="AK672" s="583"/>
      <c r="AL672" s="583"/>
      <c r="AM672" s="583"/>
      <c r="AN672" s="583"/>
      <c r="AO672" s="583"/>
      <c r="AP672" s="583"/>
      <c r="AQ672" s="583"/>
      <c r="AR672" s="583"/>
      <c r="AS672" s="583"/>
      <c r="AT672" s="583"/>
      <c r="AU672" s="583"/>
    </row>
    <row r="673" spans="1:47" s="586" customFormat="1" x14ac:dyDescent="0.2">
      <c r="A673" s="585"/>
      <c r="B673" s="585"/>
      <c r="C673" s="585"/>
      <c r="D673" s="583"/>
      <c r="E673" s="583"/>
      <c r="F673" s="583"/>
      <c r="G673" s="583"/>
      <c r="H673" s="583"/>
      <c r="I673" s="583"/>
      <c r="J673" s="583"/>
      <c r="K673" s="583"/>
      <c r="L673" s="583"/>
      <c r="M673" s="583"/>
      <c r="N673" s="583"/>
      <c r="O673" s="583"/>
      <c r="P673" s="583"/>
      <c r="Q673" s="583"/>
      <c r="R673" s="583"/>
      <c r="S673" s="583"/>
      <c r="T673" s="583"/>
      <c r="U673" s="583"/>
      <c r="V673" s="583"/>
      <c r="W673" s="583"/>
      <c r="X673" s="583"/>
      <c r="Y673" s="583"/>
      <c r="Z673" s="583"/>
      <c r="AA673" s="583"/>
      <c r="AB673" s="583"/>
      <c r="AC673" s="583"/>
      <c r="AD673" s="583"/>
      <c r="AE673" s="583"/>
      <c r="AF673" s="583"/>
      <c r="AG673" s="583"/>
      <c r="AH673" s="583"/>
      <c r="AI673" s="583"/>
      <c r="AJ673" s="583"/>
      <c r="AK673" s="583"/>
      <c r="AL673" s="583"/>
      <c r="AM673" s="583"/>
      <c r="AN673" s="583"/>
      <c r="AO673" s="583"/>
      <c r="AP673" s="583"/>
      <c r="AQ673" s="583"/>
      <c r="AR673" s="583"/>
      <c r="AS673" s="583"/>
      <c r="AT673" s="583"/>
      <c r="AU673" s="583"/>
    </row>
    <row r="674" spans="1:47" s="586" customFormat="1" x14ac:dyDescent="0.2">
      <c r="A674" s="585"/>
      <c r="B674" s="585"/>
      <c r="C674" s="585"/>
      <c r="D674" s="583"/>
      <c r="E674" s="583"/>
      <c r="F674" s="583"/>
      <c r="G674" s="583"/>
      <c r="H674" s="583"/>
      <c r="I674" s="583"/>
      <c r="J674" s="583"/>
      <c r="K674" s="583"/>
      <c r="L674" s="583"/>
      <c r="M674" s="583"/>
      <c r="N674" s="583"/>
      <c r="O674" s="583"/>
      <c r="P674" s="583"/>
      <c r="Q674" s="583"/>
      <c r="R674" s="583"/>
      <c r="S674" s="583"/>
      <c r="T674" s="583"/>
      <c r="U674" s="583"/>
      <c r="V674" s="583"/>
      <c r="W674" s="583"/>
      <c r="X674" s="583"/>
      <c r="Y674" s="583"/>
      <c r="Z674" s="583"/>
      <c r="AA674" s="583"/>
      <c r="AB674" s="583"/>
      <c r="AC674" s="583"/>
      <c r="AD674" s="583"/>
      <c r="AE674" s="583"/>
      <c r="AF674" s="583"/>
      <c r="AG674" s="583"/>
      <c r="AH674" s="583"/>
      <c r="AI674" s="583"/>
      <c r="AJ674" s="583"/>
      <c r="AK674" s="583"/>
      <c r="AL674" s="583"/>
      <c r="AM674" s="583"/>
      <c r="AN674" s="583"/>
      <c r="AO674" s="583"/>
      <c r="AP674" s="583"/>
      <c r="AQ674" s="583"/>
      <c r="AR674" s="583"/>
      <c r="AS674" s="583"/>
      <c r="AT674" s="583"/>
      <c r="AU674" s="583"/>
    </row>
    <row r="675" spans="1:47" s="586" customFormat="1" x14ac:dyDescent="0.2">
      <c r="A675" s="585"/>
      <c r="B675" s="585"/>
      <c r="C675" s="585"/>
      <c r="D675" s="583"/>
      <c r="E675" s="583"/>
      <c r="F675" s="583"/>
      <c r="G675" s="583"/>
      <c r="H675" s="583"/>
      <c r="I675" s="583"/>
      <c r="J675" s="583"/>
      <c r="K675" s="583"/>
      <c r="L675" s="583"/>
      <c r="M675" s="583"/>
      <c r="N675" s="583"/>
      <c r="O675" s="583"/>
      <c r="P675" s="583"/>
      <c r="Q675" s="583"/>
      <c r="R675" s="583"/>
      <c r="S675" s="583"/>
      <c r="T675" s="583"/>
      <c r="U675" s="583"/>
      <c r="V675" s="583"/>
      <c r="W675" s="583"/>
      <c r="X675" s="583"/>
      <c r="Y675" s="583"/>
      <c r="Z675" s="583"/>
      <c r="AA675" s="583"/>
      <c r="AB675" s="583"/>
      <c r="AC675" s="583"/>
      <c r="AD675" s="583"/>
      <c r="AE675" s="583"/>
      <c r="AF675" s="583"/>
      <c r="AG675" s="583"/>
      <c r="AH675" s="583"/>
      <c r="AI675" s="583"/>
      <c r="AJ675" s="583"/>
      <c r="AK675" s="583"/>
      <c r="AL675" s="583"/>
      <c r="AM675" s="583"/>
      <c r="AN675" s="583"/>
      <c r="AO675" s="583"/>
      <c r="AP675" s="583"/>
      <c r="AQ675" s="583"/>
      <c r="AR675" s="583"/>
      <c r="AS675" s="583"/>
      <c r="AT675" s="583"/>
      <c r="AU675" s="583"/>
    </row>
    <row r="676" spans="1:47" s="586" customFormat="1" x14ac:dyDescent="0.2">
      <c r="A676" s="585"/>
      <c r="B676" s="585"/>
      <c r="C676" s="585"/>
      <c r="D676" s="583"/>
      <c r="E676" s="583"/>
      <c r="F676" s="583"/>
      <c r="G676" s="583"/>
      <c r="H676" s="583"/>
      <c r="I676" s="583"/>
      <c r="J676" s="583"/>
      <c r="K676" s="583"/>
      <c r="L676" s="583"/>
      <c r="M676" s="583"/>
      <c r="N676" s="583"/>
      <c r="O676" s="583"/>
      <c r="P676" s="583"/>
      <c r="Q676" s="583"/>
      <c r="R676" s="583"/>
      <c r="S676" s="583"/>
      <c r="T676" s="583"/>
      <c r="U676" s="583"/>
      <c r="V676" s="583"/>
      <c r="W676" s="583"/>
      <c r="X676" s="583"/>
      <c r="Y676" s="583"/>
      <c r="Z676" s="583"/>
      <c r="AA676" s="583"/>
      <c r="AB676" s="583"/>
      <c r="AC676" s="583"/>
      <c r="AD676" s="583"/>
      <c r="AE676" s="583"/>
      <c r="AF676" s="583"/>
      <c r="AG676" s="583"/>
      <c r="AH676" s="583"/>
      <c r="AI676" s="583"/>
      <c r="AJ676" s="583"/>
      <c r="AK676" s="583"/>
      <c r="AL676" s="583"/>
      <c r="AM676" s="583"/>
      <c r="AN676" s="583"/>
      <c r="AO676" s="583"/>
      <c r="AP676" s="583"/>
      <c r="AQ676" s="583"/>
      <c r="AR676" s="583"/>
      <c r="AS676" s="583"/>
      <c r="AT676" s="583"/>
      <c r="AU676" s="583"/>
    </row>
    <row r="677" spans="1:47" s="586" customFormat="1" x14ac:dyDescent="0.2">
      <c r="A677" s="585"/>
      <c r="B677" s="585"/>
      <c r="C677" s="585"/>
      <c r="D677" s="583"/>
      <c r="E677" s="583"/>
      <c r="F677" s="583"/>
      <c r="G677" s="583"/>
      <c r="H677" s="583"/>
      <c r="I677" s="583"/>
      <c r="J677" s="583"/>
      <c r="K677" s="583"/>
      <c r="L677" s="583"/>
      <c r="M677" s="583"/>
      <c r="N677" s="583"/>
      <c r="O677" s="583"/>
      <c r="P677" s="583"/>
      <c r="Q677" s="583"/>
      <c r="R677" s="583"/>
      <c r="S677" s="583"/>
      <c r="T677" s="583"/>
      <c r="U677" s="583"/>
      <c r="V677" s="583"/>
      <c r="W677" s="583"/>
      <c r="X677" s="583"/>
      <c r="Y677" s="583"/>
      <c r="Z677" s="583"/>
      <c r="AA677" s="583"/>
      <c r="AB677" s="583"/>
      <c r="AC677" s="583"/>
      <c r="AD677" s="583"/>
      <c r="AE677" s="583"/>
      <c r="AF677" s="583"/>
      <c r="AG677" s="583"/>
      <c r="AH677" s="583"/>
      <c r="AI677" s="583"/>
      <c r="AJ677" s="583"/>
      <c r="AK677" s="583"/>
      <c r="AL677" s="583"/>
      <c r="AM677" s="583"/>
      <c r="AN677" s="583"/>
      <c r="AO677" s="583"/>
      <c r="AP677" s="583"/>
      <c r="AQ677" s="583"/>
      <c r="AR677" s="583"/>
      <c r="AS677" s="583"/>
      <c r="AT677" s="583"/>
      <c r="AU677" s="583"/>
    </row>
    <row r="678" spans="1:47" s="586" customFormat="1" x14ac:dyDescent="0.2">
      <c r="A678" s="585"/>
      <c r="B678" s="585"/>
      <c r="C678" s="585"/>
      <c r="D678" s="583"/>
      <c r="E678" s="583"/>
      <c r="F678" s="583"/>
      <c r="G678" s="583"/>
      <c r="H678" s="583"/>
      <c r="I678" s="583"/>
      <c r="J678" s="583"/>
      <c r="K678" s="583"/>
      <c r="L678" s="583"/>
      <c r="M678" s="583"/>
      <c r="N678" s="583"/>
      <c r="O678" s="583"/>
      <c r="P678" s="583"/>
      <c r="Q678" s="583"/>
      <c r="R678" s="583"/>
      <c r="S678" s="583"/>
      <c r="T678" s="583"/>
      <c r="U678" s="583"/>
      <c r="V678" s="583"/>
      <c r="W678" s="583"/>
      <c r="X678" s="583"/>
      <c r="Y678" s="583"/>
      <c r="Z678" s="583"/>
      <c r="AA678" s="583"/>
      <c r="AB678" s="583"/>
      <c r="AC678" s="583"/>
      <c r="AD678" s="583"/>
      <c r="AE678" s="583"/>
      <c r="AF678" s="583"/>
      <c r="AG678" s="583"/>
      <c r="AH678" s="583"/>
      <c r="AI678" s="583"/>
      <c r="AJ678" s="583"/>
      <c r="AK678" s="583"/>
      <c r="AL678" s="583"/>
      <c r="AM678" s="583"/>
      <c r="AN678" s="583"/>
      <c r="AO678" s="583"/>
      <c r="AP678" s="583"/>
      <c r="AQ678" s="583"/>
      <c r="AR678" s="583"/>
      <c r="AS678" s="583"/>
      <c r="AT678" s="583"/>
      <c r="AU678" s="583"/>
    </row>
    <row r="679" spans="1:47" s="586" customFormat="1" x14ac:dyDescent="0.2">
      <c r="A679" s="585"/>
      <c r="B679" s="585"/>
      <c r="C679" s="585"/>
      <c r="D679" s="583"/>
      <c r="E679" s="583"/>
      <c r="F679" s="583"/>
      <c r="G679" s="583"/>
      <c r="H679" s="583"/>
      <c r="I679" s="583"/>
      <c r="J679" s="583"/>
      <c r="K679" s="583"/>
      <c r="L679" s="583"/>
      <c r="M679" s="583"/>
      <c r="N679" s="583"/>
      <c r="O679" s="583"/>
      <c r="P679" s="583"/>
      <c r="Q679" s="583"/>
      <c r="R679" s="583"/>
      <c r="S679" s="583"/>
      <c r="T679" s="583"/>
      <c r="U679" s="583"/>
      <c r="V679" s="583"/>
      <c r="W679" s="583"/>
      <c r="X679" s="583"/>
      <c r="Y679" s="583"/>
      <c r="Z679" s="583"/>
      <c r="AA679" s="583"/>
      <c r="AB679" s="583"/>
      <c r="AC679" s="583"/>
      <c r="AD679" s="583"/>
      <c r="AE679" s="583"/>
      <c r="AF679" s="583"/>
      <c r="AG679" s="583"/>
      <c r="AH679" s="583"/>
      <c r="AI679" s="583"/>
      <c r="AJ679" s="583"/>
      <c r="AK679" s="583"/>
      <c r="AL679" s="583"/>
      <c r="AM679" s="583"/>
      <c r="AN679" s="583"/>
      <c r="AO679" s="583"/>
      <c r="AP679" s="583"/>
      <c r="AQ679" s="583"/>
      <c r="AR679" s="583"/>
      <c r="AS679" s="583"/>
      <c r="AT679" s="583"/>
      <c r="AU679" s="583"/>
    </row>
    <row r="680" spans="1:47" s="586" customFormat="1" x14ac:dyDescent="0.2">
      <c r="A680" s="585"/>
      <c r="B680" s="585"/>
      <c r="C680" s="585"/>
      <c r="D680" s="583"/>
      <c r="E680" s="583"/>
      <c r="F680" s="583"/>
      <c r="G680" s="583"/>
      <c r="H680" s="583"/>
      <c r="I680" s="583"/>
      <c r="J680" s="583"/>
      <c r="K680" s="583"/>
      <c r="L680" s="583"/>
      <c r="M680" s="583"/>
      <c r="N680" s="583"/>
      <c r="O680" s="583"/>
      <c r="P680" s="583"/>
      <c r="Q680" s="583"/>
      <c r="R680" s="583"/>
      <c r="S680" s="583"/>
      <c r="T680" s="583"/>
      <c r="U680" s="583"/>
      <c r="V680" s="583"/>
      <c r="W680" s="583"/>
      <c r="X680" s="583"/>
      <c r="Y680" s="583"/>
      <c r="Z680" s="583"/>
      <c r="AA680" s="583"/>
      <c r="AB680" s="583"/>
      <c r="AC680" s="583"/>
      <c r="AD680" s="583"/>
      <c r="AE680" s="583"/>
      <c r="AF680" s="583"/>
      <c r="AG680" s="583"/>
      <c r="AH680" s="583"/>
      <c r="AI680" s="583"/>
      <c r="AJ680" s="583"/>
      <c r="AK680" s="583"/>
      <c r="AL680" s="583"/>
      <c r="AM680" s="583"/>
      <c r="AN680" s="583"/>
      <c r="AO680" s="583"/>
      <c r="AP680" s="583"/>
      <c r="AQ680" s="583"/>
      <c r="AR680" s="583"/>
      <c r="AS680" s="583"/>
      <c r="AT680" s="583"/>
      <c r="AU680" s="583"/>
    </row>
    <row r="681" spans="1:47" s="586" customFormat="1" x14ac:dyDescent="0.2">
      <c r="A681" s="585"/>
      <c r="B681" s="585"/>
      <c r="C681" s="585"/>
      <c r="D681" s="583"/>
      <c r="E681" s="583"/>
      <c r="F681" s="583"/>
      <c r="G681" s="583"/>
      <c r="H681" s="583"/>
      <c r="I681" s="583"/>
      <c r="J681" s="583"/>
      <c r="K681" s="583"/>
      <c r="L681" s="583"/>
      <c r="M681" s="583"/>
      <c r="N681" s="583"/>
      <c r="O681" s="583"/>
      <c r="P681" s="583"/>
      <c r="Q681" s="583"/>
      <c r="R681" s="583"/>
      <c r="S681" s="583"/>
      <c r="T681" s="583"/>
      <c r="U681" s="583"/>
      <c r="V681" s="583"/>
      <c r="W681" s="583"/>
      <c r="X681" s="583"/>
      <c r="Y681" s="583"/>
      <c r="Z681" s="583"/>
      <c r="AA681" s="583"/>
      <c r="AB681" s="583"/>
      <c r="AC681" s="583"/>
      <c r="AD681" s="583"/>
      <c r="AE681" s="583"/>
      <c r="AF681" s="583"/>
      <c r="AG681" s="583"/>
      <c r="AH681" s="583"/>
      <c r="AI681" s="583"/>
      <c r="AJ681" s="583"/>
      <c r="AK681" s="583"/>
      <c r="AL681" s="583"/>
      <c r="AM681" s="583"/>
      <c r="AN681" s="583"/>
      <c r="AO681" s="583"/>
      <c r="AP681" s="583"/>
      <c r="AQ681" s="583"/>
      <c r="AR681" s="583"/>
      <c r="AS681" s="583"/>
      <c r="AT681" s="583"/>
      <c r="AU681" s="583"/>
    </row>
    <row r="682" spans="1:47" s="586" customFormat="1" x14ac:dyDescent="0.2">
      <c r="A682" s="585"/>
      <c r="B682" s="585"/>
      <c r="C682" s="585"/>
      <c r="D682" s="583"/>
      <c r="E682" s="583"/>
      <c r="F682" s="583"/>
      <c r="G682" s="583"/>
      <c r="H682" s="583"/>
      <c r="I682" s="583"/>
      <c r="J682" s="583"/>
      <c r="K682" s="583"/>
      <c r="L682" s="583"/>
      <c r="M682" s="583"/>
      <c r="N682" s="583"/>
      <c r="O682" s="583"/>
      <c r="P682" s="583"/>
      <c r="Q682" s="583"/>
      <c r="R682" s="583"/>
      <c r="S682" s="583"/>
      <c r="T682" s="583"/>
      <c r="U682" s="583"/>
      <c r="V682" s="583"/>
      <c r="W682" s="583"/>
      <c r="X682" s="583"/>
      <c r="Y682" s="583"/>
      <c r="Z682" s="583"/>
      <c r="AA682" s="583"/>
      <c r="AB682" s="583"/>
      <c r="AC682" s="583"/>
      <c r="AD682" s="583"/>
      <c r="AE682" s="583"/>
      <c r="AF682" s="583"/>
      <c r="AG682" s="583"/>
      <c r="AH682" s="583"/>
      <c r="AI682" s="583"/>
      <c r="AJ682" s="583"/>
      <c r="AK682" s="583"/>
      <c r="AL682" s="583"/>
      <c r="AM682" s="583"/>
      <c r="AN682" s="583"/>
      <c r="AO682" s="583"/>
      <c r="AP682" s="583"/>
      <c r="AQ682" s="583"/>
      <c r="AR682" s="583"/>
      <c r="AS682" s="583"/>
      <c r="AT682" s="583"/>
      <c r="AU682" s="583"/>
    </row>
    <row r="683" spans="1:47" s="586" customFormat="1" x14ac:dyDescent="0.2">
      <c r="A683" s="585"/>
      <c r="B683" s="585"/>
      <c r="C683" s="585"/>
      <c r="D683" s="583"/>
      <c r="E683" s="583"/>
      <c r="F683" s="583"/>
      <c r="G683" s="583"/>
      <c r="H683" s="583"/>
      <c r="I683" s="583"/>
      <c r="J683" s="583"/>
      <c r="K683" s="583"/>
      <c r="L683" s="583"/>
      <c r="M683" s="583"/>
      <c r="N683" s="583"/>
      <c r="O683" s="583"/>
      <c r="P683" s="583"/>
      <c r="Q683" s="583"/>
      <c r="R683" s="583"/>
      <c r="S683" s="583"/>
      <c r="T683" s="583"/>
      <c r="U683" s="583"/>
      <c r="V683" s="583"/>
      <c r="W683" s="583"/>
      <c r="X683" s="583"/>
      <c r="Y683" s="583"/>
      <c r="Z683" s="583"/>
      <c r="AA683" s="583"/>
      <c r="AB683" s="583"/>
      <c r="AC683" s="583"/>
      <c r="AD683" s="583"/>
      <c r="AE683" s="583"/>
      <c r="AF683" s="583"/>
      <c r="AG683" s="583"/>
      <c r="AH683" s="583"/>
      <c r="AI683" s="583"/>
      <c r="AJ683" s="583"/>
      <c r="AK683" s="583"/>
      <c r="AL683" s="583"/>
      <c r="AM683" s="583"/>
      <c r="AN683" s="583"/>
      <c r="AO683" s="583"/>
      <c r="AP683" s="583"/>
      <c r="AQ683" s="583"/>
      <c r="AR683" s="583"/>
      <c r="AS683" s="583"/>
      <c r="AT683" s="583"/>
      <c r="AU683" s="583"/>
    </row>
    <row r="684" spans="1:47" s="586" customFormat="1" x14ac:dyDescent="0.2">
      <c r="A684" s="585"/>
      <c r="B684" s="585"/>
      <c r="C684" s="585"/>
      <c r="D684" s="583"/>
      <c r="E684" s="583"/>
      <c r="F684" s="583"/>
      <c r="G684" s="583"/>
      <c r="H684" s="583"/>
      <c r="I684" s="583"/>
      <c r="J684" s="583"/>
      <c r="K684" s="583"/>
      <c r="L684" s="583"/>
      <c r="M684" s="583"/>
      <c r="N684" s="583"/>
      <c r="O684" s="583"/>
      <c r="P684" s="583"/>
      <c r="Q684" s="583"/>
      <c r="R684" s="583"/>
      <c r="S684" s="583"/>
      <c r="T684" s="583"/>
      <c r="U684" s="583"/>
      <c r="V684" s="583"/>
      <c r="W684" s="583"/>
      <c r="X684" s="583"/>
      <c r="Y684" s="583"/>
      <c r="Z684" s="583"/>
      <c r="AA684" s="583"/>
      <c r="AB684" s="583"/>
      <c r="AC684" s="583"/>
      <c r="AD684" s="583"/>
      <c r="AE684" s="583"/>
      <c r="AF684" s="583"/>
      <c r="AG684" s="583"/>
      <c r="AH684" s="583"/>
      <c r="AI684" s="583"/>
      <c r="AJ684" s="583"/>
      <c r="AK684" s="583"/>
      <c r="AL684" s="583"/>
      <c r="AM684" s="583"/>
      <c r="AN684" s="583"/>
      <c r="AO684" s="583"/>
      <c r="AP684" s="583"/>
      <c r="AQ684" s="583"/>
      <c r="AR684" s="583"/>
      <c r="AS684" s="583"/>
      <c r="AT684" s="583"/>
      <c r="AU684" s="583"/>
    </row>
    <row r="685" spans="1:47" s="586" customFormat="1" x14ac:dyDescent="0.2">
      <c r="A685" s="585"/>
      <c r="B685" s="585"/>
      <c r="C685" s="585"/>
      <c r="D685" s="583"/>
      <c r="E685" s="583"/>
      <c r="F685" s="583"/>
      <c r="G685" s="583"/>
      <c r="H685" s="583"/>
      <c r="I685" s="583"/>
      <c r="J685" s="583"/>
      <c r="K685" s="583"/>
      <c r="L685" s="583"/>
      <c r="M685" s="583"/>
      <c r="N685" s="583"/>
      <c r="O685" s="583"/>
      <c r="P685" s="583"/>
      <c r="Q685" s="583"/>
      <c r="R685" s="583"/>
      <c r="S685" s="583"/>
      <c r="T685" s="583"/>
      <c r="U685" s="583"/>
      <c r="V685" s="583"/>
      <c r="W685" s="583"/>
      <c r="X685" s="583"/>
      <c r="Y685" s="583"/>
      <c r="Z685" s="583"/>
      <c r="AA685" s="583"/>
      <c r="AB685" s="583"/>
      <c r="AC685" s="583"/>
      <c r="AD685" s="583"/>
      <c r="AE685" s="583"/>
      <c r="AF685" s="583"/>
      <c r="AG685" s="583"/>
      <c r="AH685" s="583"/>
      <c r="AI685" s="583"/>
      <c r="AJ685" s="583"/>
      <c r="AK685" s="583"/>
      <c r="AL685" s="583"/>
      <c r="AM685" s="583"/>
      <c r="AN685" s="583"/>
      <c r="AO685" s="583"/>
      <c r="AP685" s="583"/>
      <c r="AQ685" s="583"/>
      <c r="AR685" s="583"/>
      <c r="AS685" s="583"/>
      <c r="AT685" s="583"/>
      <c r="AU685" s="583"/>
    </row>
    <row r="686" spans="1:47" s="586" customFormat="1" x14ac:dyDescent="0.2">
      <c r="A686" s="585"/>
      <c r="B686" s="585"/>
      <c r="C686" s="585"/>
      <c r="D686" s="583"/>
      <c r="E686" s="583"/>
      <c r="F686" s="583"/>
      <c r="G686" s="583"/>
      <c r="H686" s="583"/>
      <c r="I686" s="583"/>
      <c r="J686" s="583"/>
      <c r="K686" s="583"/>
      <c r="L686" s="583"/>
      <c r="M686" s="583"/>
      <c r="N686" s="583"/>
      <c r="O686" s="583"/>
      <c r="P686" s="583"/>
      <c r="Q686" s="583"/>
      <c r="R686" s="583"/>
      <c r="S686" s="583"/>
      <c r="T686" s="583"/>
      <c r="U686" s="583"/>
      <c r="V686" s="583"/>
      <c r="W686" s="583"/>
      <c r="X686" s="583"/>
      <c r="Y686" s="583"/>
      <c r="Z686" s="583"/>
      <c r="AA686" s="583"/>
      <c r="AB686" s="583"/>
      <c r="AC686" s="583"/>
      <c r="AD686" s="583"/>
      <c r="AE686" s="583"/>
      <c r="AF686" s="583"/>
      <c r="AG686" s="583"/>
      <c r="AH686" s="583"/>
      <c r="AI686" s="583"/>
      <c r="AJ686" s="583"/>
      <c r="AK686" s="583"/>
      <c r="AL686" s="583"/>
      <c r="AM686" s="583"/>
      <c r="AN686" s="583"/>
      <c r="AO686" s="583"/>
      <c r="AP686" s="583"/>
      <c r="AQ686" s="583"/>
      <c r="AR686" s="583"/>
      <c r="AS686" s="583"/>
      <c r="AT686" s="583"/>
      <c r="AU686" s="583"/>
    </row>
    <row r="687" spans="1:47" s="586" customFormat="1" x14ac:dyDescent="0.2">
      <c r="A687" s="585"/>
      <c r="B687" s="585"/>
      <c r="C687" s="585"/>
      <c r="D687" s="583"/>
      <c r="E687" s="583"/>
      <c r="F687" s="583"/>
      <c r="G687" s="583"/>
      <c r="H687" s="583"/>
      <c r="I687" s="583"/>
      <c r="J687" s="583"/>
      <c r="K687" s="583"/>
      <c r="L687" s="583"/>
      <c r="M687" s="583"/>
      <c r="N687" s="583"/>
      <c r="O687" s="583"/>
      <c r="P687" s="583"/>
      <c r="Q687" s="583"/>
      <c r="R687" s="583"/>
      <c r="S687" s="583"/>
      <c r="T687" s="583"/>
      <c r="U687" s="583"/>
      <c r="V687" s="583"/>
      <c r="W687" s="583"/>
      <c r="X687" s="583"/>
      <c r="Y687" s="583"/>
      <c r="Z687" s="583"/>
      <c r="AA687" s="583"/>
      <c r="AB687" s="583"/>
      <c r="AC687" s="583"/>
      <c r="AD687" s="583"/>
      <c r="AE687" s="583"/>
      <c r="AF687" s="583"/>
      <c r="AG687" s="583"/>
      <c r="AH687" s="583"/>
      <c r="AI687" s="583"/>
      <c r="AJ687" s="583"/>
      <c r="AK687" s="583"/>
      <c r="AL687" s="583"/>
      <c r="AM687" s="583"/>
      <c r="AN687" s="583"/>
      <c r="AO687" s="583"/>
      <c r="AP687" s="583"/>
      <c r="AQ687" s="583"/>
      <c r="AR687" s="583"/>
      <c r="AS687" s="583"/>
      <c r="AT687" s="583"/>
      <c r="AU687" s="583"/>
    </row>
    <row r="688" spans="1:47" s="586" customFormat="1" x14ac:dyDescent="0.2">
      <c r="A688" s="585"/>
      <c r="B688" s="585"/>
      <c r="C688" s="585"/>
      <c r="D688" s="583"/>
      <c r="E688" s="583"/>
      <c r="F688" s="583"/>
      <c r="G688" s="583"/>
      <c r="H688" s="583"/>
      <c r="I688" s="583"/>
      <c r="J688" s="583"/>
      <c r="K688" s="583"/>
      <c r="L688" s="583"/>
      <c r="M688" s="583"/>
      <c r="N688" s="583"/>
      <c r="O688" s="583"/>
      <c r="P688" s="583"/>
      <c r="Q688" s="583"/>
      <c r="R688" s="583"/>
      <c r="S688" s="583"/>
      <c r="T688" s="583"/>
      <c r="U688" s="583"/>
      <c r="V688" s="583"/>
      <c r="W688" s="583"/>
      <c r="X688" s="583"/>
      <c r="Y688" s="583"/>
      <c r="Z688" s="583"/>
      <c r="AA688" s="583"/>
      <c r="AB688" s="583"/>
      <c r="AC688" s="583"/>
      <c r="AD688" s="583"/>
      <c r="AE688" s="583"/>
      <c r="AF688" s="583"/>
      <c r="AG688" s="583"/>
      <c r="AH688" s="583"/>
      <c r="AI688" s="583"/>
      <c r="AJ688" s="583"/>
      <c r="AK688" s="583"/>
      <c r="AL688" s="583"/>
      <c r="AM688" s="583"/>
      <c r="AN688" s="583"/>
      <c r="AO688" s="583"/>
      <c r="AP688" s="583"/>
      <c r="AQ688" s="583"/>
      <c r="AR688" s="583"/>
      <c r="AS688" s="583"/>
      <c r="AT688" s="583"/>
      <c r="AU688" s="583"/>
    </row>
    <row r="689" spans="1:47" s="586" customFormat="1" x14ac:dyDescent="0.2">
      <c r="A689" s="585"/>
      <c r="B689" s="585"/>
      <c r="C689" s="585"/>
      <c r="D689" s="583"/>
      <c r="E689" s="583"/>
      <c r="F689" s="583"/>
      <c r="G689" s="583"/>
      <c r="H689" s="583"/>
      <c r="I689" s="583"/>
      <c r="J689" s="583"/>
      <c r="K689" s="583"/>
      <c r="L689" s="583"/>
      <c r="M689" s="583"/>
      <c r="N689" s="583"/>
      <c r="O689" s="583"/>
      <c r="P689" s="583"/>
      <c r="Q689" s="583"/>
      <c r="R689" s="583"/>
      <c r="S689" s="583"/>
      <c r="T689" s="583"/>
      <c r="U689" s="583"/>
      <c r="V689" s="583"/>
      <c r="W689" s="583"/>
      <c r="X689" s="583"/>
      <c r="Y689" s="583"/>
      <c r="Z689" s="583"/>
      <c r="AA689" s="583"/>
      <c r="AB689" s="583"/>
      <c r="AC689" s="583"/>
      <c r="AD689" s="583"/>
      <c r="AE689" s="583"/>
      <c r="AF689" s="583"/>
      <c r="AG689" s="583"/>
      <c r="AH689" s="583"/>
      <c r="AI689" s="583"/>
      <c r="AJ689" s="583"/>
      <c r="AK689" s="583"/>
      <c r="AL689" s="583"/>
      <c r="AM689" s="583"/>
      <c r="AN689" s="583"/>
      <c r="AO689" s="583"/>
      <c r="AP689" s="583"/>
      <c r="AQ689" s="583"/>
      <c r="AR689" s="583"/>
      <c r="AS689" s="583"/>
      <c r="AT689" s="583"/>
      <c r="AU689" s="583"/>
    </row>
    <row r="690" spans="1:47" s="586" customFormat="1" x14ac:dyDescent="0.2">
      <c r="A690" s="585"/>
      <c r="B690" s="585"/>
      <c r="C690" s="585"/>
      <c r="D690" s="583"/>
      <c r="E690" s="583"/>
      <c r="F690" s="583"/>
      <c r="G690" s="583"/>
      <c r="H690" s="583"/>
      <c r="I690" s="583"/>
      <c r="J690" s="583"/>
      <c r="K690" s="583"/>
      <c r="L690" s="583"/>
      <c r="M690" s="583"/>
      <c r="N690" s="583"/>
      <c r="O690" s="583"/>
      <c r="P690" s="583"/>
      <c r="Q690" s="583"/>
      <c r="R690" s="583"/>
      <c r="S690" s="583"/>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row>
    <row r="691" spans="1:47" s="586" customFormat="1" x14ac:dyDescent="0.2">
      <c r="A691" s="585"/>
      <c r="B691" s="585"/>
      <c r="C691" s="585"/>
      <c r="D691" s="583"/>
      <c r="E691" s="583"/>
      <c r="F691" s="583"/>
      <c r="G691" s="583"/>
      <c r="H691" s="583"/>
      <c r="I691" s="583"/>
      <c r="J691" s="583"/>
      <c r="K691" s="583"/>
      <c r="L691" s="583"/>
      <c r="M691" s="583"/>
      <c r="N691" s="583"/>
      <c r="O691" s="583"/>
      <c r="P691" s="583"/>
      <c r="Q691" s="583"/>
      <c r="R691" s="583"/>
      <c r="S691" s="583"/>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row>
    <row r="692" spans="1:47" s="586" customFormat="1" x14ac:dyDescent="0.2">
      <c r="A692" s="585"/>
      <c r="B692" s="585"/>
      <c r="C692" s="585"/>
      <c r="D692" s="583"/>
      <c r="E692" s="583"/>
      <c r="F692" s="583"/>
      <c r="G692" s="583"/>
      <c r="H692" s="583"/>
      <c r="I692" s="583"/>
      <c r="J692" s="583"/>
      <c r="K692" s="583"/>
      <c r="L692" s="583"/>
      <c r="M692" s="583"/>
      <c r="N692" s="583"/>
      <c r="O692" s="583"/>
      <c r="P692" s="583"/>
      <c r="Q692" s="583"/>
      <c r="R692" s="583"/>
      <c r="S692" s="583"/>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row>
    <row r="693" spans="1:47" s="586" customFormat="1" x14ac:dyDescent="0.2">
      <c r="A693" s="585"/>
      <c r="B693" s="585"/>
      <c r="C693" s="585"/>
      <c r="D693" s="583"/>
      <c r="E693" s="583"/>
      <c r="F693" s="583"/>
      <c r="G693" s="583"/>
      <c r="H693" s="583"/>
      <c r="I693" s="583"/>
      <c r="J693" s="583"/>
      <c r="K693" s="583"/>
      <c r="L693" s="583"/>
      <c r="M693" s="583"/>
      <c r="N693" s="583"/>
      <c r="O693" s="583"/>
      <c r="P693" s="583"/>
      <c r="Q693" s="583"/>
      <c r="R693" s="583"/>
      <c r="S693" s="583"/>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row>
    <row r="694" spans="1:47" s="586" customFormat="1" x14ac:dyDescent="0.2">
      <c r="A694" s="585"/>
      <c r="B694" s="585"/>
      <c r="C694" s="585"/>
      <c r="D694" s="583"/>
      <c r="E694" s="583"/>
      <c r="F694" s="583"/>
      <c r="G694" s="583"/>
      <c r="H694" s="583"/>
      <c r="I694" s="583"/>
      <c r="J694" s="583"/>
      <c r="K694" s="583"/>
      <c r="L694" s="583"/>
      <c r="M694" s="583"/>
      <c r="N694" s="583"/>
      <c r="O694" s="583"/>
      <c r="P694" s="583"/>
      <c r="Q694" s="583"/>
      <c r="R694" s="583"/>
      <c r="S694" s="583"/>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row>
    <row r="695" spans="1:47" s="586" customFormat="1" x14ac:dyDescent="0.2">
      <c r="A695" s="585"/>
      <c r="B695" s="585"/>
      <c r="C695" s="585"/>
      <c r="D695" s="583"/>
      <c r="E695" s="583"/>
      <c r="F695" s="583"/>
      <c r="G695" s="583"/>
      <c r="H695" s="583"/>
      <c r="I695" s="583"/>
      <c r="J695" s="583"/>
      <c r="K695" s="583"/>
      <c r="L695" s="583"/>
      <c r="M695" s="583"/>
      <c r="N695" s="583"/>
      <c r="O695" s="583"/>
      <c r="P695" s="583"/>
      <c r="Q695" s="583"/>
      <c r="R695" s="583"/>
      <c r="S695" s="583"/>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row>
    <row r="696" spans="1:47" s="586" customFormat="1" x14ac:dyDescent="0.2">
      <c r="A696" s="585"/>
      <c r="B696" s="585"/>
      <c r="C696" s="585"/>
      <c r="D696" s="583"/>
      <c r="E696" s="583"/>
      <c r="F696" s="583"/>
      <c r="G696" s="583"/>
      <c r="H696" s="583"/>
      <c r="I696" s="583"/>
      <c r="J696" s="583"/>
      <c r="K696" s="583"/>
      <c r="L696" s="583"/>
      <c r="M696" s="583"/>
      <c r="N696" s="583"/>
      <c r="O696" s="583"/>
      <c r="P696" s="583"/>
      <c r="Q696" s="583"/>
      <c r="R696" s="583"/>
      <c r="S696" s="583"/>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row>
    <row r="697" spans="1:47" s="586" customFormat="1" x14ac:dyDescent="0.2">
      <c r="A697" s="585"/>
      <c r="B697" s="585"/>
      <c r="C697" s="585"/>
      <c r="D697" s="583"/>
      <c r="E697" s="583"/>
      <c r="F697" s="583"/>
      <c r="G697" s="583"/>
      <c r="H697" s="583"/>
      <c r="I697" s="583"/>
      <c r="J697" s="583"/>
      <c r="K697" s="583"/>
      <c r="L697" s="583"/>
      <c r="M697" s="583"/>
      <c r="N697" s="583"/>
      <c r="O697" s="583"/>
      <c r="P697" s="583"/>
      <c r="Q697" s="583"/>
      <c r="R697" s="583"/>
      <c r="S697" s="583"/>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row>
    <row r="698" spans="1:47" s="586" customFormat="1" x14ac:dyDescent="0.2">
      <c r="A698" s="585"/>
      <c r="B698" s="585"/>
      <c r="C698" s="585"/>
      <c r="D698" s="583"/>
      <c r="E698" s="583"/>
      <c r="F698" s="583"/>
      <c r="G698" s="583"/>
      <c r="H698" s="583"/>
      <c r="I698" s="583"/>
      <c r="J698" s="583"/>
      <c r="K698" s="583"/>
      <c r="L698" s="583"/>
      <c r="M698" s="583"/>
      <c r="N698" s="583"/>
      <c r="O698" s="583"/>
      <c r="P698" s="583"/>
      <c r="Q698" s="583"/>
      <c r="R698" s="583"/>
      <c r="S698" s="583"/>
      <c r="T698" s="583"/>
      <c r="U698" s="583"/>
      <c r="V698" s="583"/>
      <c r="W698" s="583"/>
      <c r="X698" s="583"/>
      <c r="Y698" s="583"/>
      <c r="Z698" s="583"/>
      <c r="AA698" s="583"/>
      <c r="AB698" s="583"/>
      <c r="AC698" s="583"/>
      <c r="AD698" s="583"/>
      <c r="AE698" s="583"/>
      <c r="AF698" s="583"/>
      <c r="AG698" s="583"/>
      <c r="AH698" s="583"/>
      <c r="AI698" s="583"/>
      <c r="AJ698" s="583"/>
      <c r="AK698" s="583"/>
      <c r="AL698" s="583"/>
      <c r="AM698" s="583"/>
      <c r="AN698" s="583"/>
      <c r="AO698" s="583"/>
      <c r="AP698" s="583"/>
      <c r="AQ698" s="583"/>
      <c r="AR698" s="583"/>
      <c r="AS698" s="583"/>
      <c r="AT698" s="583"/>
      <c r="AU698" s="583"/>
    </row>
    <row r="699" spans="1:47" s="586" customFormat="1" x14ac:dyDescent="0.2">
      <c r="A699" s="585"/>
      <c r="B699" s="585"/>
      <c r="C699" s="585"/>
      <c r="D699" s="583"/>
      <c r="E699" s="583"/>
      <c r="F699" s="583"/>
      <c r="G699" s="583"/>
      <c r="H699" s="583"/>
      <c r="I699" s="583"/>
      <c r="J699" s="583"/>
      <c r="K699" s="583"/>
      <c r="L699" s="583"/>
      <c r="M699" s="583"/>
      <c r="N699" s="583"/>
      <c r="O699" s="583"/>
      <c r="P699" s="583"/>
      <c r="Q699" s="583"/>
      <c r="R699" s="583"/>
      <c r="S699" s="583"/>
      <c r="T699" s="583"/>
      <c r="U699" s="583"/>
      <c r="V699" s="583"/>
      <c r="W699" s="583"/>
      <c r="X699" s="583"/>
      <c r="Y699" s="583"/>
      <c r="Z699" s="583"/>
      <c r="AA699" s="583"/>
      <c r="AB699" s="583"/>
      <c r="AC699" s="583"/>
      <c r="AD699" s="583"/>
      <c r="AE699" s="583"/>
      <c r="AF699" s="583"/>
      <c r="AG699" s="583"/>
      <c r="AH699" s="583"/>
      <c r="AI699" s="583"/>
      <c r="AJ699" s="583"/>
      <c r="AK699" s="583"/>
      <c r="AL699" s="583"/>
      <c r="AM699" s="583"/>
      <c r="AN699" s="583"/>
      <c r="AO699" s="583"/>
      <c r="AP699" s="583"/>
      <c r="AQ699" s="583"/>
      <c r="AR699" s="583"/>
      <c r="AS699" s="583"/>
      <c r="AT699" s="583"/>
      <c r="AU699" s="583"/>
    </row>
    <row r="700" spans="1:47" s="586" customFormat="1" x14ac:dyDescent="0.2">
      <c r="A700" s="585"/>
      <c r="B700" s="585"/>
      <c r="C700" s="585"/>
      <c r="D700" s="583"/>
      <c r="E700" s="583"/>
      <c r="F700" s="583"/>
      <c r="G700" s="583"/>
      <c r="H700" s="583"/>
      <c r="I700" s="583"/>
      <c r="J700" s="583"/>
      <c r="K700" s="583"/>
      <c r="L700" s="583"/>
      <c r="M700" s="583"/>
      <c r="N700" s="583"/>
      <c r="O700" s="583"/>
      <c r="P700" s="583"/>
      <c r="Q700" s="583"/>
      <c r="R700" s="583"/>
      <c r="S700" s="583"/>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row>
    <row r="701" spans="1:47" s="586" customFormat="1" x14ac:dyDescent="0.2">
      <c r="A701" s="585"/>
      <c r="B701" s="585"/>
      <c r="C701" s="585"/>
      <c r="D701" s="583"/>
      <c r="E701" s="583"/>
      <c r="F701" s="583"/>
      <c r="G701" s="583"/>
      <c r="H701" s="583"/>
      <c r="I701" s="583"/>
      <c r="J701" s="583"/>
      <c r="K701" s="583"/>
      <c r="L701" s="583"/>
      <c r="M701" s="583"/>
      <c r="N701" s="583"/>
      <c r="O701" s="583"/>
      <c r="P701" s="583"/>
      <c r="Q701" s="583"/>
      <c r="R701" s="583"/>
      <c r="S701" s="583"/>
      <c r="T701" s="583"/>
      <c r="U701" s="583"/>
      <c r="V701" s="583"/>
      <c r="W701" s="583"/>
      <c r="X701" s="583"/>
      <c r="Y701" s="583"/>
      <c r="Z701" s="583"/>
      <c r="AA701" s="583"/>
      <c r="AB701" s="583"/>
      <c r="AC701" s="583"/>
      <c r="AD701" s="583"/>
      <c r="AE701" s="583"/>
      <c r="AF701" s="583"/>
      <c r="AG701" s="583"/>
      <c r="AH701" s="583"/>
      <c r="AI701" s="583"/>
      <c r="AJ701" s="583"/>
      <c r="AK701" s="583"/>
      <c r="AL701" s="583"/>
      <c r="AM701" s="583"/>
      <c r="AN701" s="583"/>
      <c r="AO701" s="583"/>
      <c r="AP701" s="583"/>
      <c r="AQ701" s="583"/>
      <c r="AR701" s="583"/>
      <c r="AS701" s="583"/>
      <c r="AT701" s="583"/>
      <c r="AU701" s="583"/>
    </row>
    <row r="702" spans="1:47" s="586" customFormat="1" x14ac:dyDescent="0.2">
      <c r="A702" s="585"/>
      <c r="B702" s="585"/>
      <c r="C702" s="585"/>
      <c r="D702" s="583"/>
      <c r="E702" s="583"/>
      <c r="F702" s="583"/>
      <c r="G702" s="583"/>
      <c r="H702" s="583"/>
      <c r="I702" s="583"/>
      <c r="J702" s="583"/>
      <c r="K702" s="583"/>
      <c r="L702" s="583"/>
      <c r="M702" s="583"/>
      <c r="N702" s="583"/>
      <c r="O702" s="583"/>
      <c r="P702" s="583"/>
      <c r="Q702" s="583"/>
      <c r="R702" s="583"/>
      <c r="S702" s="583"/>
      <c r="T702" s="583"/>
      <c r="U702" s="583"/>
      <c r="V702" s="583"/>
      <c r="W702" s="583"/>
      <c r="X702" s="583"/>
      <c r="Y702" s="583"/>
      <c r="Z702" s="583"/>
      <c r="AA702" s="583"/>
      <c r="AB702" s="583"/>
      <c r="AC702" s="583"/>
      <c r="AD702" s="583"/>
      <c r="AE702" s="583"/>
      <c r="AF702" s="583"/>
      <c r="AG702" s="583"/>
      <c r="AH702" s="583"/>
      <c r="AI702" s="583"/>
      <c r="AJ702" s="583"/>
      <c r="AK702" s="583"/>
      <c r="AL702" s="583"/>
      <c r="AM702" s="583"/>
      <c r="AN702" s="583"/>
      <c r="AO702" s="583"/>
      <c r="AP702" s="583"/>
      <c r="AQ702" s="583"/>
      <c r="AR702" s="583"/>
      <c r="AS702" s="583"/>
      <c r="AT702" s="583"/>
      <c r="AU702" s="583"/>
    </row>
    <row r="703" spans="1:47" s="586" customFormat="1" x14ac:dyDescent="0.2">
      <c r="A703" s="585"/>
      <c r="B703" s="585"/>
      <c r="C703" s="585"/>
      <c r="D703" s="583"/>
      <c r="E703" s="583"/>
      <c r="F703" s="583"/>
      <c r="G703" s="583"/>
      <c r="H703" s="583"/>
      <c r="I703" s="583"/>
      <c r="J703" s="583"/>
      <c r="K703" s="583"/>
      <c r="L703" s="583"/>
      <c r="M703" s="583"/>
      <c r="N703" s="583"/>
      <c r="O703" s="583"/>
      <c r="P703" s="583"/>
      <c r="Q703" s="583"/>
      <c r="R703" s="583"/>
      <c r="S703" s="583"/>
      <c r="T703" s="583"/>
      <c r="U703" s="583"/>
      <c r="V703" s="583"/>
      <c r="W703" s="583"/>
      <c r="X703" s="583"/>
      <c r="Y703" s="583"/>
      <c r="Z703" s="583"/>
      <c r="AA703" s="583"/>
      <c r="AB703" s="583"/>
      <c r="AC703" s="583"/>
      <c r="AD703" s="583"/>
      <c r="AE703" s="583"/>
      <c r="AF703" s="583"/>
      <c r="AG703" s="583"/>
      <c r="AH703" s="583"/>
      <c r="AI703" s="583"/>
      <c r="AJ703" s="583"/>
      <c r="AK703" s="583"/>
      <c r="AL703" s="583"/>
      <c r="AM703" s="583"/>
      <c r="AN703" s="583"/>
      <c r="AO703" s="583"/>
      <c r="AP703" s="583"/>
      <c r="AQ703" s="583"/>
      <c r="AR703" s="583"/>
      <c r="AS703" s="583"/>
      <c r="AT703" s="583"/>
      <c r="AU703" s="583"/>
    </row>
    <row r="704" spans="1:47" s="586" customFormat="1" x14ac:dyDescent="0.2">
      <c r="A704" s="585"/>
      <c r="B704" s="585"/>
      <c r="C704" s="585"/>
      <c r="D704" s="583"/>
      <c r="E704" s="583"/>
      <c r="F704" s="583"/>
      <c r="G704" s="583"/>
      <c r="H704" s="583"/>
      <c r="I704" s="583"/>
      <c r="J704" s="583"/>
      <c r="K704" s="583"/>
      <c r="L704" s="583"/>
      <c r="M704" s="583"/>
      <c r="N704" s="583"/>
      <c r="O704" s="583"/>
      <c r="P704" s="583"/>
      <c r="Q704" s="583"/>
      <c r="R704" s="583"/>
      <c r="S704" s="583"/>
      <c r="T704" s="583"/>
      <c r="U704" s="583"/>
      <c r="V704" s="583"/>
      <c r="W704" s="583"/>
      <c r="X704" s="583"/>
      <c r="Y704" s="583"/>
      <c r="Z704" s="583"/>
      <c r="AA704" s="583"/>
      <c r="AB704" s="583"/>
      <c r="AC704" s="583"/>
      <c r="AD704" s="583"/>
      <c r="AE704" s="583"/>
      <c r="AF704" s="583"/>
      <c r="AG704" s="583"/>
      <c r="AH704" s="583"/>
      <c r="AI704" s="583"/>
      <c r="AJ704" s="583"/>
      <c r="AK704" s="583"/>
      <c r="AL704" s="583"/>
      <c r="AM704" s="583"/>
      <c r="AN704" s="583"/>
      <c r="AO704" s="583"/>
      <c r="AP704" s="583"/>
      <c r="AQ704" s="583"/>
      <c r="AR704" s="583"/>
      <c r="AS704" s="583"/>
      <c r="AT704" s="583"/>
      <c r="AU704" s="583"/>
    </row>
    <row r="705" spans="1:47" s="586" customFormat="1" x14ac:dyDescent="0.2">
      <c r="A705" s="585"/>
      <c r="B705" s="585"/>
      <c r="C705" s="585"/>
      <c r="D705" s="583"/>
      <c r="E705" s="583"/>
      <c r="F705" s="583"/>
      <c r="G705" s="583"/>
      <c r="H705" s="583"/>
      <c r="I705" s="583"/>
      <c r="J705" s="583"/>
      <c r="K705" s="583"/>
      <c r="L705" s="583"/>
      <c r="M705" s="583"/>
      <c r="N705" s="583"/>
      <c r="O705" s="583"/>
      <c r="P705" s="583"/>
      <c r="Q705" s="583"/>
      <c r="R705" s="583"/>
      <c r="S705" s="583"/>
      <c r="T705" s="583"/>
      <c r="U705" s="583"/>
      <c r="V705" s="583"/>
      <c r="W705" s="583"/>
      <c r="X705" s="583"/>
      <c r="Y705" s="583"/>
      <c r="Z705" s="583"/>
      <c r="AA705" s="583"/>
      <c r="AB705" s="583"/>
      <c r="AC705" s="583"/>
      <c r="AD705" s="583"/>
      <c r="AE705" s="583"/>
      <c r="AF705" s="583"/>
      <c r="AG705" s="583"/>
      <c r="AH705" s="583"/>
      <c r="AI705" s="583"/>
      <c r="AJ705" s="583"/>
      <c r="AK705" s="583"/>
      <c r="AL705" s="583"/>
      <c r="AM705" s="583"/>
      <c r="AN705" s="583"/>
      <c r="AO705" s="583"/>
      <c r="AP705" s="583"/>
      <c r="AQ705" s="583"/>
      <c r="AR705" s="583"/>
      <c r="AS705" s="583"/>
      <c r="AT705" s="583"/>
      <c r="AU705" s="583"/>
    </row>
    <row r="706" spans="1:47" s="586" customFormat="1" x14ac:dyDescent="0.2">
      <c r="A706" s="585"/>
      <c r="B706" s="585"/>
      <c r="C706" s="585"/>
      <c r="D706" s="583"/>
      <c r="E706" s="583"/>
      <c r="F706" s="583"/>
      <c r="G706" s="583"/>
      <c r="H706" s="583"/>
      <c r="I706" s="583"/>
      <c r="J706" s="583"/>
      <c r="K706" s="583"/>
      <c r="L706" s="583"/>
      <c r="M706" s="583"/>
      <c r="N706" s="583"/>
      <c r="O706" s="583"/>
      <c r="P706" s="583"/>
      <c r="Q706" s="583"/>
      <c r="R706" s="583"/>
      <c r="S706" s="583"/>
      <c r="T706" s="583"/>
      <c r="U706" s="583"/>
      <c r="V706" s="583"/>
      <c r="W706" s="583"/>
      <c r="X706" s="583"/>
      <c r="Y706" s="583"/>
      <c r="Z706" s="583"/>
      <c r="AA706" s="583"/>
      <c r="AB706" s="583"/>
      <c r="AC706" s="583"/>
      <c r="AD706" s="583"/>
      <c r="AE706" s="583"/>
      <c r="AF706" s="583"/>
      <c r="AG706" s="583"/>
      <c r="AH706" s="583"/>
      <c r="AI706" s="583"/>
      <c r="AJ706" s="583"/>
      <c r="AK706" s="583"/>
      <c r="AL706" s="583"/>
      <c r="AM706" s="583"/>
      <c r="AN706" s="583"/>
      <c r="AO706" s="583"/>
      <c r="AP706" s="583"/>
      <c r="AQ706" s="583"/>
      <c r="AR706" s="583"/>
      <c r="AS706" s="583"/>
      <c r="AT706" s="583"/>
      <c r="AU706" s="583"/>
    </row>
    <row r="707" spans="1:47" s="586" customFormat="1" x14ac:dyDescent="0.2">
      <c r="A707" s="585"/>
      <c r="B707" s="585"/>
      <c r="C707" s="585"/>
      <c r="D707" s="583"/>
      <c r="E707" s="583"/>
      <c r="F707" s="583"/>
      <c r="G707" s="583"/>
      <c r="H707" s="583"/>
      <c r="I707" s="583"/>
      <c r="J707" s="583"/>
      <c r="K707" s="583"/>
      <c r="L707" s="583"/>
      <c r="M707" s="583"/>
      <c r="N707" s="583"/>
      <c r="O707" s="583"/>
      <c r="P707" s="583"/>
      <c r="Q707" s="583"/>
      <c r="R707" s="583"/>
      <c r="S707" s="583"/>
      <c r="T707" s="583"/>
      <c r="U707" s="583"/>
      <c r="V707" s="583"/>
      <c r="W707" s="583"/>
      <c r="X707" s="583"/>
      <c r="Y707" s="583"/>
      <c r="Z707" s="583"/>
      <c r="AA707" s="583"/>
      <c r="AB707" s="583"/>
      <c r="AC707" s="583"/>
      <c r="AD707" s="583"/>
      <c r="AE707" s="583"/>
      <c r="AF707" s="583"/>
      <c r="AG707" s="583"/>
      <c r="AH707" s="583"/>
      <c r="AI707" s="583"/>
      <c r="AJ707" s="583"/>
      <c r="AK707" s="583"/>
      <c r="AL707" s="583"/>
      <c r="AM707" s="583"/>
      <c r="AN707" s="583"/>
      <c r="AO707" s="583"/>
      <c r="AP707" s="583"/>
      <c r="AQ707" s="583"/>
      <c r="AR707" s="583"/>
      <c r="AS707" s="583"/>
      <c r="AT707" s="583"/>
      <c r="AU707" s="583"/>
    </row>
    <row r="708" spans="1:47" s="586" customFormat="1" x14ac:dyDescent="0.2">
      <c r="A708" s="585"/>
      <c r="B708" s="585"/>
      <c r="C708" s="585"/>
      <c r="D708" s="583"/>
      <c r="E708" s="583"/>
      <c r="F708" s="583"/>
      <c r="G708" s="583"/>
      <c r="H708" s="583"/>
      <c r="I708" s="583"/>
      <c r="J708" s="583"/>
      <c r="K708" s="583"/>
      <c r="L708" s="583"/>
      <c r="M708" s="583"/>
      <c r="N708" s="583"/>
      <c r="O708" s="583"/>
      <c r="P708" s="583"/>
      <c r="Q708" s="583"/>
      <c r="R708" s="583"/>
      <c r="S708" s="583"/>
      <c r="T708" s="583"/>
      <c r="U708" s="583"/>
      <c r="V708" s="583"/>
      <c r="W708" s="583"/>
      <c r="X708" s="583"/>
      <c r="Y708" s="583"/>
      <c r="Z708" s="583"/>
      <c r="AA708" s="583"/>
      <c r="AB708" s="583"/>
      <c r="AC708" s="583"/>
      <c r="AD708" s="583"/>
      <c r="AE708" s="583"/>
      <c r="AF708" s="583"/>
      <c r="AG708" s="583"/>
      <c r="AH708" s="583"/>
      <c r="AI708" s="583"/>
      <c r="AJ708" s="583"/>
      <c r="AK708" s="583"/>
      <c r="AL708" s="583"/>
      <c r="AM708" s="583"/>
      <c r="AN708" s="583"/>
      <c r="AO708" s="583"/>
      <c r="AP708" s="583"/>
      <c r="AQ708" s="583"/>
      <c r="AR708" s="583"/>
      <c r="AS708" s="583"/>
      <c r="AT708" s="583"/>
      <c r="AU708" s="583"/>
    </row>
    <row r="709" spans="1:47" s="586" customFormat="1" x14ac:dyDescent="0.2">
      <c r="A709" s="585"/>
      <c r="B709" s="585"/>
      <c r="C709" s="585"/>
      <c r="D709" s="583"/>
      <c r="E709" s="583"/>
      <c r="F709" s="583"/>
      <c r="G709" s="583"/>
      <c r="H709" s="583"/>
      <c r="I709" s="583"/>
      <c r="J709" s="583"/>
      <c r="K709" s="583"/>
      <c r="L709" s="583"/>
      <c r="M709" s="583"/>
      <c r="N709" s="583"/>
      <c r="O709" s="583"/>
      <c r="P709" s="583"/>
      <c r="Q709" s="583"/>
      <c r="R709" s="583"/>
      <c r="S709" s="583"/>
      <c r="T709" s="583"/>
      <c r="U709" s="583"/>
      <c r="V709" s="583"/>
      <c r="W709" s="583"/>
      <c r="X709" s="583"/>
      <c r="Y709" s="583"/>
      <c r="Z709" s="583"/>
      <c r="AA709" s="583"/>
      <c r="AB709" s="583"/>
      <c r="AC709" s="583"/>
      <c r="AD709" s="583"/>
      <c r="AE709" s="583"/>
      <c r="AF709" s="583"/>
      <c r="AG709" s="583"/>
      <c r="AH709" s="583"/>
      <c r="AI709" s="583"/>
      <c r="AJ709" s="583"/>
      <c r="AK709" s="583"/>
      <c r="AL709" s="583"/>
      <c r="AM709" s="583"/>
      <c r="AN709" s="583"/>
      <c r="AO709" s="583"/>
      <c r="AP709" s="583"/>
      <c r="AQ709" s="583"/>
      <c r="AR709" s="583"/>
      <c r="AS709" s="583"/>
      <c r="AT709" s="583"/>
      <c r="AU709" s="583"/>
    </row>
    <row r="710" spans="1:47" s="586" customFormat="1" x14ac:dyDescent="0.2">
      <c r="A710" s="585"/>
      <c r="B710" s="585"/>
      <c r="C710" s="585"/>
      <c r="D710" s="583"/>
      <c r="E710" s="583"/>
      <c r="F710" s="583"/>
      <c r="G710" s="583"/>
      <c r="H710" s="583"/>
      <c r="I710" s="583"/>
      <c r="J710" s="583"/>
      <c r="K710" s="583"/>
      <c r="L710" s="583"/>
      <c r="M710" s="583"/>
      <c r="N710" s="583"/>
      <c r="O710" s="583"/>
      <c r="P710" s="583"/>
      <c r="Q710" s="583"/>
      <c r="R710" s="583"/>
      <c r="S710" s="583"/>
      <c r="T710" s="583"/>
      <c r="U710" s="583"/>
      <c r="V710" s="583"/>
      <c r="W710" s="583"/>
      <c r="X710" s="583"/>
      <c r="Y710" s="583"/>
      <c r="Z710" s="583"/>
      <c r="AA710" s="583"/>
      <c r="AB710" s="583"/>
      <c r="AC710" s="583"/>
      <c r="AD710" s="583"/>
      <c r="AE710" s="583"/>
      <c r="AF710" s="583"/>
      <c r="AG710" s="583"/>
      <c r="AH710" s="583"/>
      <c r="AI710" s="583"/>
      <c r="AJ710" s="583"/>
      <c r="AK710" s="583"/>
      <c r="AL710" s="583"/>
      <c r="AM710" s="583"/>
      <c r="AN710" s="583"/>
      <c r="AO710" s="583"/>
      <c r="AP710" s="583"/>
      <c r="AQ710" s="583"/>
      <c r="AR710" s="583"/>
      <c r="AS710" s="583"/>
      <c r="AT710" s="583"/>
      <c r="AU710" s="583"/>
    </row>
    <row r="711" spans="1:47" s="586" customFormat="1" x14ac:dyDescent="0.2">
      <c r="A711" s="585"/>
      <c r="B711" s="585"/>
      <c r="C711" s="585"/>
      <c r="D711" s="583"/>
      <c r="E711" s="583"/>
      <c r="F711" s="583"/>
      <c r="G711" s="583"/>
      <c r="H711" s="583"/>
      <c r="I711" s="583"/>
      <c r="J711" s="583"/>
      <c r="K711" s="583"/>
      <c r="L711" s="583"/>
      <c r="M711" s="583"/>
      <c r="N711" s="583"/>
      <c r="O711" s="583"/>
      <c r="P711" s="583"/>
      <c r="Q711" s="583"/>
      <c r="R711" s="583"/>
      <c r="S711" s="583"/>
      <c r="T711" s="583"/>
      <c r="U711" s="583"/>
      <c r="V711" s="583"/>
      <c r="W711" s="583"/>
      <c r="X711" s="583"/>
      <c r="Y711" s="583"/>
      <c r="Z711" s="583"/>
      <c r="AA711" s="583"/>
      <c r="AB711" s="583"/>
      <c r="AC711" s="583"/>
      <c r="AD711" s="583"/>
      <c r="AE711" s="583"/>
      <c r="AF711" s="583"/>
      <c r="AG711" s="583"/>
      <c r="AH711" s="583"/>
      <c r="AI711" s="583"/>
      <c r="AJ711" s="583"/>
      <c r="AK711" s="583"/>
      <c r="AL711" s="583"/>
      <c r="AM711" s="583"/>
      <c r="AN711" s="583"/>
      <c r="AO711" s="583"/>
      <c r="AP711" s="583"/>
      <c r="AQ711" s="583"/>
      <c r="AR711" s="583"/>
      <c r="AS711" s="583"/>
      <c r="AT711" s="583"/>
      <c r="AU711" s="583"/>
    </row>
    <row r="712" spans="1:47" s="586" customFormat="1" x14ac:dyDescent="0.2">
      <c r="A712" s="585"/>
      <c r="B712" s="585"/>
      <c r="C712" s="585"/>
      <c r="D712" s="583"/>
      <c r="E712" s="583"/>
      <c r="F712" s="583"/>
      <c r="G712" s="583"/>
      <c r="H712" s="583"/>
      <c r="I712" s="583"/>
      <c r="J712" s="583"/>
      <c r="K712" s="583"/>
      <c r="L712" s="583"/>
      <c r="M712" s="583"/>
      <c r="N712" s="583"/>
      <c r="O712" s="583"/>
      <c r="P712" s="583"/>
      <c r="Q712" s="583"/>
      <c r="R712" s="583"/>
      <c r="S712" s="583"/>
      <c r="T712" s="583"/>
      <c r="U712" s="583"/>
      <c r="V712" s="583"/>
      <c r="W712" s="583"/>
      <c r="X712" s="583"/>
      <c r="Y712" s="583"/>
      <c r="Z712" s="583"/>
      <c r="AA712" s="583"/>
      <c r="AB712" s="583"/>
      <c r="AC712" s="583"/>
      <c r="AD712" s="583"/>
      <c r="AE712" s="583"/>
      <c r="AF712" s="583"/>
      <c r="AG712" s="583"/>
      <c r="AH712" s="583"/>
      <c r="AI712" s="583"/>
      <c r="AJ712" s="583"/>
      <c r="AK712" s="583"/>
      <c r="AL712" s="583"/>
      <c r="AM712" s="583"/>
      <c r="AN712" s="583"/>
      <c r="AO712" s="583"/>
      <c r="AP712" s="583"/>
      <c r="AQ712" s="583"/>
      <c r="AR712" s="583"/>
      <c r="AS712" s="583"/>
      <c r="AT712" s="583"/>
      <c r="AU712" s="583"/>
    </row>
    <row r="713" spans="1:47" s="586" customFormat="1" x14ac:dyDescent="0.2">
      <c r="A713" s="585"/>
      <c r="B713" s="585"/>
      <c r="C713" s="585"/>
      <c r="D713" s="583"/>
      <c r="E713" s="583"/>
      <c r="F713" s="583"/>
      <c r="G713" s="583"/>
      <c r="H713" s="583"/>
      <c r="I713" s="583"/>
      <c r="J713" s="583"/>
      <c r="K713" s="583"/>
      <c r="L713" s="583"/>
      <c r="M713" s="583"/>
      <c r="N713" s="583"/>
      <c r="O713" s="583"/>
      <c r="P713" s="583"/>
      <c r="Q713" s="583"/>
      <c r="R713" s="583"/>
      <c r="S713" s="583"/>
      <c r="T713" s="583"/>
      <c r="U713" s="583"/>
      <c r="V713" s="583"/>
      <c r="W713" s="583"/>
      <c r="X713" s="583"/>
      <c r="Y713" s="583"/>
      <c r="Z713" s="583"/>
      <c r="AA713" s="583"/>
      <c r="AB713" s="583"/>
      <c r="AC713" s="583"/>
      <c r="AD713" s="583"/>
      <c r="AE713" s="583"/>
      <c r="AF713" s="583"/>
      <c r="AG713" s="583"/>
      <c r="AH713" s="583"/>
      <c r="AI713" s="583"/>
      <c r="AJ713" s="583"/>
      <c r="AK713" s="583"/>
      <c r="AL713" s="583"/>
      <c r="AM713" s="583"/>
      <c r="AN713" s="583"/>
      <c r="AO713" s="583"/>
      <c r="AP713" s="583"/>
      <c r="AQ713" s="583"/>
      <c r="AR713" s="583"/>
      <c r="AS713" s="583"/>
      <c r="AT713" s="583"/>
      <c r="AU713" s="583"/>
    </row>
    <row r="714" spans="1:47" s="586" customFormat="1" x14ac:dyDescent="0.2">
      <c r="A714" s="585"/>
      <c r="B714" s="585"/>
      <c r="C714" s="585"/>
      <c r="D714" s="583"/>
      <c r="E714" s="583"/>
      <c r="F714" s="583"/>
      <c r="G714" s="583"/>
      <c r="H714" s="583"/>
      <c r="I714" s="583"/>
      <c r="J714" s="583"/>
      <c r="K714" s="583"/>
      <c r="L714" s="583"/>
      <c r="M714" s="583"/>
      <c r="N714" s="583"/>
      <c r="O714" s="583"/>
      <c r="P714" s="583"/>
      <c r="Q714" s="583"/>
      <c r="R714" s="583"/>
      <c r="S714" s="583"/>
      <c r="T714" s="583"/>
      <c r="U714" s="583"/>
      <c r="V714" s="583"/>
      <c r="W714" s="583"/>
      <c r="X714" s="583"/>
      <c r="Y714" s="583"/>
      <c r="Z714" s="583"/>
      <c r="AA714" s="583"/>
      <c r="AB714" s="583"/>
      <c r="AC714" s="583"/>
      <c r="AD714" s="583"/>
      <c r="AE714" s="583"/>
      <c r="AF714" s="583"/>
      <c r="AG714" s="583"/>
      <c r="AH714" s="583"/>
      <c r="AI714" s="583"/>
      <c r="AJ714" s="583"/>
      <c r="AK714" s="583"/>
      <c r="AL714" s="583"/>
      <c r="AM714" s="583"/>
      <c r="AN714" s="583"/>
      <c r="AO714" s="583"/>
      <c r="AP714" s="583"/>
      <c r="AQ714" s="583"/>
      <c r="AR714" s="583"/>
      <c r="AS714" s="583"/>
      <c r="AT714" s="583"/>
      <c r="AU714" s="583"/>
    </row>
    <row r="715" spans="1:47" s="586" customFormat="1" x14ac:dyDescent="0.2">
      <c r="A715" s="585"/>
      <c r="B715" s="585"/>
      <c r="C715" s="585"/>
      <c r="D715" s="583"/>
      <c r="E715" s="583"/>
      <c r="F715" s="583"/>
      <c r="G715" s="583"/>
      <c r="H715" s="583"/>
      <c r="I715" s="583"/>
      <c r="J715" s="583"/>
      <c r="K715" s="583"/>
      <c r="L715" s="583"/>
      <c r="M715" s="583"/>
      <c r="N715" s="583"/>
      <c r="O715" s="583"/>
      <c r="P715" s="583"/>
      <c r="Q715" s="583"/>
      <c r="R715" s="583"/>
      <c r="S715" s="583"/>
      <c r="T715" s="583"/>
      <c r="U715" s="583"/>
      <c r="V715" s="583"/>
      <c r="W715" s="583"/>
      <c r="X715" s="583"/>
      <c r="Y715" s="583"/>
      <c r="Z715" s="583"/>
      <c r="AA715" s="583"/>
      <c r="AB715" s="583"/>
      <c r="AC715" s="583"/>
      <c r="AD715" s="583"/>
      <c r="AE715" s="583"/>
      <c r="AF715" s="583"/>
      <c r="AG715" s="583"/>
      <c r="AH715" s="583"/>
      <c r="AI715" s="583"/>
      <c r="AJ715" s="583"/>
      <c r="AK715" s="583"/>
      <c r="AL715" s="583"/>
      <c r="AM715" s="583"/>
      <c r="AN715" s="583"/>
      <c r="AO715" s="583"/>
      <c r="AP715" s="583"/>
      <c r="AQ715" s="583"/>
      <c r="AR715" s="583"/>
      <c r="AS715" s="583"/>
      <c r="AT715" s="583"/>
      <c r="AU715" s="583"/>
    </row>
    <row r="716" spans="1:47" s="586" customFormat="1" x14ac:dyDescent="0.2">
      <c r="A716" s="585"/>
      <c r="B716" s="585"/>
      <c r="C716" s="585"/>
      <c r="D716" s="583"/>
      <c r="E716" s="583"/>
      <c r="F716" s="583"/>
      <c r="G716" s="583"/>
      <c r="H716" s="583"/>
      <c r="I716" s="583"/>
      <c r="J716" s="583"/>
      <c r="K716" s="583"/>
      <c r="L716" s="583"/>
      <c r="M716" s="583"/>
      <c r="N716" s="583"/>
      <c r="O716" s="583"/>
      <c r="P716" s="583"/>
      <c r="Q716" s="583"/>
      <c r="R716" s="583"/>
      <c r="S716" s="583"/>
      <c r="T716" s="583"/>
      <c r="U716" s="583"/>
      <c r="V716" s="583"/>
      <c r="W716" s="583"/>
      <c r="X716" s="583"/>
      <c r="Y716" s="583"/>
      <c r="Z716" s="583"/>
      <c r="AA716" s="583"/>
      <c r="AB716" s="583"/>
      <c r="AC716" s="583"/>
      <c r="AD716" s="583"/>
      <c r="AE716" s="583"/>
      <c r="AF716" s="583"/>
      <c r="AG716" s="583"/>
      <c r="AH716" s="583"/>
      <c r="AI716" s="583"/>
      <c r="AJ716" s="583"/>
      <c r="AK716" s="583"/>
      <c r="AL716" s="583"/>
      <c r="AM716" s="583"/>
      <c r="AN716" s="583"/>
      <c r="AO716" s="583"/>
      <c r="AP716" s="583"/>
      <c r="AQ716" s="583"/>
      <c r="AR716" s="583"/>
      <c r="AS716" s="583"/>
      <c r="AT716" s="583"/>
      <c r="AU716" s="583"/>
    </row>
    <row r="717" spans="1:47" s="586" customFormat="1" x14ac:dyDescent="0.2">
      <c r="A717" s="585"/>
      <c r="B717" s="585"/>
      <c r="C717" s="585"/>
      <c r="D717" s="583"/>
      <c r="E717" s="583"/>
      <c r="F717" s="583"/>
      <c r="G717" s="583"/>
      <c r="H717" s="583"/>
      <c r="I717" s="583"/>
      <c r="J717" s="583"/>
      <c r="K717" s="583"/>
      <c r="L717" s="583"/>
      <c r="M717" s="583"/>
      <c r="N717" s="583"/>
      <c r="O717" s="583"/>
      <c r="P717" s="583"/>
      <c r="Q717" s="583"/>
      <c r="R717" s="583"/>
      <c r="S717" s="583"/>
      <c r="T717" s="583"/>
      <c r="U717" s="583"/>
      <c r="V717" s="583"/>
      <c r="W717" s="583"/>
      <c r="X717" s="583"/>
      <c r="Y717" s="583"/>
      <c r="Z717" s="583"/>
      <c r="AA717" s="583"/>
      <c r="AB717" s="583"/>
      <c r="AC717" s="583"/>
      <c r="AD717" s="583"/>
      <c r="AE717" s="583"/>
      <c r="AF717" s="583"/>
      <c r="AG717" s="583"/>
      <c r="AH717" s="583"/>
      <c r="AI717" s="583"/>
      <c r="AJ717" s="583"/>
      <c r="AK717" s="583"/>
      <c r="AL717" s="583"/>
      <c r="AM717" s="583"/>
      <c r="AN717" s="583"/>
      <c r="AO717" s="583"/>
      <c r="AP717" s="583"/>
      <c r="AQ717" s="583"/>
      <c r="AR717" s="583"/>
      <c r="AS717" s="583"/>
      <c r="AT717" s="583"/>
      <c r="AU717" s="583"/>
    </row>
    <row r="718" spans="1:47" s="586" customFormat="1" x14ac:dyDescent="0.2">
      <c r="A718" s="585"/>
      <c r="B718" s="585"/>
      <c r="C718" s="585"/>
      <c r="D718" s="583"/>
      <c r="E718" s="583"/>
      <c r="F718" s="583"/>
      <c r="G718" s="583"/>
      <c r="H718" s="583"/>
      <c r="I718" s="583"/>
      <c r="J718" s="583"/>
      <c r="K718" s="583"/>
      <c r="L718" s="583"/>
      <c r="M718" s="583"/>
      <c r="N718" s="583"/>
      <c r="O718" s="583"/>
      <c r="P718" s="583"/>
      <c r="Q718" s="583"/>
      <c r="R718" s="583"/>
      <c r="S718" s="583"/>
      <c r="T718" s="583"/>
      <c r="U718" s="583"/>
      <c r="V718" s="583"/>
      <c r="W718" s="583"/>
      <c r="X718" s="583"/>
      <c r="Y718" s="583"/>
      <c r="Z718" s="583"/>
      <c r="AA718" s="583"/>
      <c r="AB718" s="583"/>
      <c r="AC718" s="583"/>
      <c r="AD718" s="583"/>
      <c r="AE718" s="583"/>
      <c r="AF718" s="583"/>
      <c r="AG718" s="583"/>
      <c r="AH718" s="583"/>
      <c r="AI718" s="583"/>
      <c r="AJ718" s="583"/>
      <c r="AK718" s="583"/>
      <c r="AL718" s="583"/>
      <c r="AM718" s="583"/>
      <c r="AN718" s="583"/>
      <c r="AO718" s="583"/>
      <c r="AP718" s="583"/>
      <c r="AQ718" s="583"/>
      <c r="AR718" s="583"/>
      <c r="AS718" s="583"/>
      <c r="AT718" s="583"/>
      <c r="AU718" s="583"/>
    </row>
    <row r="719" spans="1:47" s="586" customFormat="1" x14ac:dyDescent="0.2">
      <c r="A719" s="585"/>
      <c r="B719" s="585"/>
      <c r="C719" s="585"/>
      <c r="D719" s="583"/>
      <c r="E719" s="583"/>
      <c r="F719" s="583"/>
      <c r="G719" s="583"/>
      <c r="H719" s="583"/>
      <c r="I719" s="583"/>
      <c r="J719" s="583"/>
      <c r="K719" s="583"/>
      <c r="L719" s="583"/>
      <c r="M719" s="583"/>
      <c r="N719" s="583"/>
      <c r="O719" s="583"/>
      <c r="P719" s="583"/>
      <c r="Q719" s="583"/>
      <c r="R719" s="583"/>
      <c r="S719" s="583"/>
      <c r="T719" s="583"/>
      <c r="U719" s="583"/>
      <c r="V719" s="583"/>
      <c r="W719" s="583"/>
      <c r="X719" s="583"/>
      <c r="Y719" s="583"/>
      <c r="Z719" s="583"/>
      <c r="AA719" s="583"/>
      <c r="AB719" s="583"/>
      <c r="AC719" s="583"/>
      <c r="AD719" s="583"/>
      <c r="AE719" s="583"/>
      <c r="AF719" s="583"/>
      <c r="AG719" s="583"/>
      <c r="AH719" s="583"/>
      <c r="AI719" s="583"/>
      <c r="AJ719" s="583"/>
      <c r="AK719" s="583"/>
      <c r="AL719" s="583"/>
      <c r="AM719" s="583"/>
      <c r="AN719" s="583"/>
      <c r="AO719" s="583"/>
      <c r="AP719" s="583"/>
      <c r="AQ719" s="583"/>
      <c r="AR719" s="583"/>
      <c r="AS719" s="583"/>
      <c r="AT719" s="583"/>
      <c r="AU719" s="583"/>
    </row>
    <row r="720" spans="1:47" s="586" customFormat="1" x14ac:dyDescent="0.2">
      <c r="A720" s="585"/>
      <c r="B720" s="585"/>
      <c r="C720" s="585"/>
      <c r="D720" s="583"/>
      <c r="E720" s="583"/>
      <c r="F720" s="583"/>
      <c r="G720" s="583"/>
      <c r="H720" s="583"/>
      <c r="I720" s="583"/>
      <c r="J720" s="583"/>
      <c r="K720" s="583"/>
      <c r="L720" s="583"/>
      <c r="M720" s="583"/>
      <c r="N720" s="583"/>
      <c r="O720" s="583"/>
      <c r="P720" s="583"/>
      <c r="Q720" s="583"/>
      <c r="R720" s="583"/>
      <c r="S720" s="583"/>
      <c r="T720" s="583"/>
      <c r="U720" s="583"/>
      <c r="V720" s="583"/>
      <c r="W720" s="583"/>
      <c r="X720" s="583"/>
      <c r="Y720" s="583"/>
      <c r="Z720" s="583"/>
      <c r="AA720" s="583"/>
      <c r="AB720" s="583"/>
      <c r="AC720" s="583"/>
      <c r="AD720" s="583"/>
      <c r="AE720" s="583"/>
      <c r="AF720" s="583"/>
      <c r="AG720" s="583"/>
      <c r="AH720" s="583"/>
      <c r="AI720" s="583"/>
      <c r="AJ720" s="583"/>
      <c r="AK720" s="583"/>
      <c r="AL720" s="583"/>
      <c r="AM720" s="583"/>
      <c r="AN720" s="583"/>
      <c r="AO720" s="583"/>
      <c r="AP720" s="583"/>
      <c r="AQ720" s="583"/>
      <c r="AR720" s="583"/>
      <c r="AS720" s="583"/>
      <c r="AT720" s="583"/>
      <c r="AU720" s="583"/>
    </row>
    <row r="721" spans="1:47" s="586" customFormat="1" x14ac:dyDescent="0.2">
      <c r="A721" s="585"/>
      <c r="B721" s="585"/>
      <c r="C721" s="585"/>
      <c r="D721" s="583"/>
      <c r="E721" s="583"/>
      <c r="F721" s="583"/>
      <c r="G721" s="583"/>
      <c r="H721" s="583"/>
      <c r="I721" s="583"/>
      <c r="J721" s="583"/>
      <c r="K721" s="583"/>
      <c r="L721" s="583"/>
      <c r="M721" s="583"/>
      <c r="N721" s="583"/>
      <c r="O721" s="583"/>
      <c r="P721" s="583"/>
      <c r="Q721" s="583"/>
      <c r="R721" s="583"/>
      <c r="S721" s="583"/>
      <c r="T721" s="583"/>
      <c r="U721" s="583"/>
      <c r="V721" s="583"/>
      <c r="W721" s="583"/>
      <c r="X721" s="583"/>
      <c r="Y721" s="583"/>
      <c r="Z721" s="583"/>
      <c r="AA721" s="583"/>
      <c r="AB721" s="583"/>
      <c r="AC721" s="583"/>
      <c r="AD721" s="583"/>
      <c r="AE721" s="583"/>
      <c r="AF721" s="583"/>
      <c r="AG721" s="583"/>
      <c r="AH721" s="583"/>
      <c r="AI721" s="583"/>
      <c r="AJ721" s="583"/>
      <c r="AK721" s="583"/>
      <c r="AL721" s="583"/>
      <c r="AM721" s="583"/>
      <c r="AN721" s="583"/>
      <c r="AO721" s="583"/>
      <c r="AP721" s="583"/>
      <c r="AQ721" s="583"/>
      <c r="AR721" s="583"/>
      <c r="AS721" s="583"/>
      <c r="AT721" s="583"/>
      <c r="AU721" s="583"/>
    </row>
    <row r="722" spans="1:47" s="586" customFormat="1" x14ac:dyDescent="0.2">
      <c r="A722" s="585"/>
      <c r="B722" s="585"/>
      <c r="C722" s="585"/>
      <c r="D722" s="583"/>
      <c r="E722" s="583"/>
      <c r="F722" s="583"/>
      <c r="G722" s="583"/>
      <c r="H722" s="583"/>
      <c r="I722" s="583"/>
      <c r="J722" s="583"/>
      <c r="K722" s="583"/>
      <c r="L722" s="583"/>
      <c r="M722" s="583"/>
      <c r="N722" s="583"/>
      <c r="O722" s="583"/>
      <c r="P722" s="583"/>
      <c r="Q722" s="583"/>
      <c r="R722" s="583"/>
      <c r="S722" s="583"/>
      <c r="T722" s="583"/>
      <c r="U722" s="583"/>
      <c r="V722" s="583"/>
      <c r="W722" s="583"/>
      <c r="X722" s="583"/>
      <c r="Y722" s="583"/>
      <c r="Z722" s="583"/>
      <c r="AA722" s="583"/>
      <c r="AB722" s="583"/>
      <c r="AC722" s="583"/>
      <c r="AD722" s="583"/>
      <c r="AE722" s="583"/>
      <c r="AF722" s="583"/>
      <c r="AG722" s="583"/>
      <c r="AH722" s="583"/>
      <c r="AI722" s="583"/>
      <c r="AJ722" s="583"/>
      <c r="AK722" s="583"/>
      <c r="AL722" s="583"/>
      <c r="AM722" s="583"/>
      <c r="AN722" s="583"/>
      <c r="AO722" s="583"/>
      <c r="AP722" s="583"/>
      <c r="AQ722" s="583"/>
      <c r="AR722" s="583"/>
      <c r="AS722" s="583"/>
      <c r="AT722" s="583"/>
      <c r="AU722" s="583"/>
    </row>
    <row r="723" spans="1:47" s="586" customFormat="1" x14ac:dyDescent="0.2">
      <c r="A723" s="585"/>
      <c r="B723" s="585"/>
      <c r="C723" s="585"/>
      <c r="D723" s="583"/>
      <c r="E723" s="583"/>
      <c r="F723" s="583"/>
      <c r="G723" s="583"/>
      <c r="H723" s="583"/>
      <c r="I723" s="583"/>
      <c r="J723" s="583"/>
      <c r="K723" s="583"/>
      <c r="L723" s="583"/>
      <c r="M723" s="583"/>
      <c r="N723" s="583"/>
      <c r="O723" s="583"/>
      <c r="P723" s="583"/>
      <c r="Q723" s="583"/>
      <c r="R723" s="583"/>
      <c r="S723" s="583"/>
      <c r="T723" s="583"/>
      <c r="U723" s="583"/>
      <c r="V723" s="583"/>
      <c r="W723" s="583"/>
      <c r="X723" s="583"/>
      <c r="Y723" s="583"/>
      <c r="Z723" s="583"/>
      <c r="AA723" s="583"/>
      <c r="AB723" s="583"/>
      <c r="AC723" s="583"/>
      <c r="AD723" s="583"/>
      <c r="AE723" s="583"/>
      <c r="AF723" s="583"/>
      <c r="AG723" s="583"/>
      <c r="AH723" s="583"/>
      <c r="AI723" s="583"/>
      <c r="AJ723" s="583"/>
      <c r="AK723" s="583"/>
      <c r="AL723" s="583"/>
      <c r="AM723" s="583"/>
      <c r="AN723" s="583"/>
      <c r="AO723" s="583"/>
      <c r="AP723" s="583"/>
      <c r="AQ723" s="583"/>
      <c r="AR723" s="583"/>
      <c r="AS723" s="583"/>
      <c r="AT723" s="583"/>
      <c r="AU723" s="583"/>
    </row>
    <row r="724" spans="1:47" s="586" customFormat="1" x14ac:dyDescent="0.2">
      <c r="A724" s="585"/>
      <c r="B724" s="585"/>
      <c r="C724" s="585"/>
      <c r="D724" s="583"/>
      <c r="E724" s="583"/>
      <c r="F724" s="583"/>
      <c r="G724" s="583"/>
      <c r="H724" s="583"/>
      <c r="I724" s="583"/>
      <c r="J724" s="583"/>
      <c r="K724" s="583"/>
      <c r="L724" s="583"/>
      <c r="M724" s="583"/>
      <c r="N724" s="583"/>
      <c r="O724" s="583"/>
      <c r="P724" s="583"/>
      <c r="Q724" s="583"/>
      <c r="R724" s="583"/>
      <c r="S724" s="583"/>
      <c r="T724" s="583"/>
      <c r="U724" s="583"/>
      <c r="V724" s="583"/>
      <c r="W724" s="583"/>
      <c r="X724" s="583"/>
      <c r="Y724" s="583"/>
      <c r="Z724" s="583"/>
      <c r="AA724" s="583"/>
      <c r="AB724" s="583"/>
      <c r="AC724" s="583"/>
      <c r="AD724" s="583"/>
      <c r="AE724" s="583"/>
      <c r="AF724" s="583"/>
      <c r="AG724" s="583"/>
      <c r="AH724" s="583"/>
      <c r="AI724" s="583"/>
      <c r="AJ724" s="583"/>
      <c r="AK724" s="583"/>
      <c r="AL724" s="583"/>
      <c r="AM724" s="583"/>
      <c r="AN724" s="583"/>
      <c r="AO724" s="583"/>
      <c r="AP724" s="583"/>
      <c r="AQ724" s="583"/>
      <c r="AR724" s="583"/>
      <c r="AS724" s="583"/>
      <c r="AT724" s="583"/>
      <c r="AU724" s="583"/>
    </row>
    <row r="725" spans="1:47" s="586" customFormat="1" x14ac:dyDescent="0.2">
      <c r="A725" s="585"/>
      <c r="B725" s="585"/>
      <c r="C725" s="585"/>
      <c r="D725" s="583"/>
      <c r="E725" s="583"/>
      <c r="F725" s="583"/>
      <c r="G725" s="583"/>
      <c r="H725" s="583"/>
      <c r="I725" s="583"/>
      <c r="J725" s="583"/>
      <c r="K725" s="583"/>
      <c r="L725" s="583"/>
      <c r="M725" s="583"/>
      <c r="N725" s="583"/>
      <c r="O725" s="583"/>
      <c r="P725" s="583"/>
      <c r="Q725" s="583"/>
      <c r="R725" s="583"/>
      <c r="S725" s="583"/>
      <c r="T725" s="583"/>
      <c r="U725" s="583"/>
      <c r="V725" s="583"/>
      <c r="W725" s="583"/>
      <c r="X725" s="583"/>
      <c r="Y725" s="583"/>
      <c r="Z725" s="583"/>
      <c r="AA725" s="583"/>
      <c r="AB725" s="583"/>
      <c r="AC725" s="583"/>
      <c r="AD725" s="583"/>
      <c r="AE725" s="583"/>
      <c r="AF725" s="583"/>
      <c r="AG725" s="583"/>
      <c r="AH725" s="583"/>
      <c r="AI725" s="583"/>
      <c r="AJ725" s="583"/>
      <c r="AK725" s="583"/>
      <c r="AL725" s="583"/>
      <c r="AM725" s="583"/>
      <c r="AN725" s="583"/>
      <c r="AO725" s="583"/>
      <c r="AP725" s="583"/>
      <c r="AQ725" s="583"/>
      <c r="AR725" s="583"/>
      <c r="AS725" s="583"/>
      <c r="AT725" s="583"/>
      <c r="AU725" s="583"/>
    </row>
    <row r="726" spans="1:47" s="586" customFormat="1" x14ac:dyDescent="0.2">
      <c r="A726" s="585"/>
      <c r="B726" s="585"/>
      <c r="C726" s="585"/>
      <c r="D726" s="583"/>
      <c r="E726" s="583"/>
      <c r="F726" s="583"/>
      <c r="G726" s="583"/>
      <c r="H726" s="583"/>
      <c r="I726" s="583"/>
      <c r="J726" s="583"/>
      <c r="K726" s="583"/>
      <c r="L726" s="583"/>
      <c r="M726" s="583"/>
      <c r="N726" s="583"/>
      <c r="O726" s="583"/>
      <c r="P726" s="583"/>
      <c r="Q726" s="583"/>
      <c r="R726" s="583"/>
      <c r="S726" s="583"/>
      <c r="T726" s="583"/>
      <c r="U726" s="583"/>
      <c r="V726" s="583"/>
      <c r="W726" s="583"/>
      <c r="X726" s="583"/>
      <c r="Y726" s="583"/>
      <c r="Z726" s="583"/>
      <c r="AA726" s="583"/>
      <c r="AB726" s="583"/>
      <c r="AC726" s="583"/>
      <c r="AD726" s="583"/>
      <c r="AE726" s="583"/>
      <c r="AF726" s="583"/>
      <c r="AG726" s="583"/>
      <c r="AH726" s="583"/>
      <c r="AI726" s="583"/>
      <c r="AJ726" s="583"/>
      <c r="AK726" s="583"/>
      <c r="AL726" s="583"/>
      <c r="AM726" s="583"/>
      <c r="AN726" s="583"/>
      <c r="AO726" s="583"/>
      <c r="AP726" s="583"/>
      <c r="AQ726" s="583"/>
      <c r="AR726" s="583"/>
      <c r="AS726" s="583"/>
      <c r="AT726" s="583"/>
      <c r="AU726" s="583"/>
    </row>
    <row r="727" spans="1:47" s="586" customFormat="1" x14ac:dyDescent="0.2">
      <c r="A727" s="585"/>
      <c r="B727" s="585"/>
      <c r="C727" s="585"/>
      <c r="D727" s="583"/>
      <c r="E727" s="583"/>
      <c r="F727" s="583"/>
      <c r="G727" s="583"/>
      <c r="H727" s="583"/>
      <c r="I727" s="583"/>
      <c r="J727" s="583"/>
      <c r="K727" s="583"/>
      <c r="L727" s="583"/>
      <c r="M727" s="583"/>
      <c r="N727" s="583"/>
      <c r="O727" s="583"/>
      <c r="P727" s="583"/>
      <c r="Q727" s="583"/>
      <c r="R727" s="583"/>
      <c r="S727" s="583"/>
      <c r="T727" s="583"/>
      <c r="U727" s="583"/>
      <c r="V727" s="583"/>
      <c r="W727" s="583"/>
      <c r="X727" s="583"/>
      <c r="Y727" s="583"/>
      <c r="Z727" s="583"/>
      <c r="AA727" s="583"/>
      <c r="AB727" s="583"/>
      <c r="AC727" s="583"/>
      <c r="AD727" s="583"/>
      <c r="AE727" s="583"/>
      <c r="AF727" s="583"/>
      <c r="AG727" s="583"/>
      <c r="AH727" s="583"/>
      <c r="AI727" s="583"/>
      <c r="AJ727" s="583"/>
      <c r="AK727" s="583"/>
      <c r="AL727" s="583"/>
      <c r="AM727" s="583"/>
      <c r="AN727" s="583"/>
      <c r="AO727" s="583"/>
      <c r="AP727" s="583"/>
      <c r="AQ727" s="583"/>
      <c r="AR727" s="583"/>
      <c r="AS727" s="583"/>
      <c r="AT727" s="583"/>
      <c r="AU727" s="583"/>
    </row>
    <row r="728" spans="1:47" s="586" customFormat="1" x14ac:dyDescent="0.2">
      <c r="A728" s="585"/>
      <c r="B728" s="585"/>
      <c r="C728" s="585"/>
      <c r="D728" s="583"/>
      <c r="E728" s="583"/>
      <c r="F728" s="583"/>
      <c r="G728" s="583"/>
      <c r="H728" s="583"/>
      <c r="I728" s="583"/>
      <c r="J728" s="583"/>
      <c r="K728" s="583"/>
      <c r="L728" s="583"/>
      <c r="M728" s="583"/>
      <c r="N728" s="583"/>
      <c r="O728" s="583"/>
      <c r="P728" s="583"/>
      <c r="Q728" s="583"/>
      <c r="R728" s="583"/>
      <c r="S728" s="583"/>
      <c r="T728" s="583"/>
      <c r="U728" s="583"/>
      <c r="V728" s="583"/>
      <c r="W728" s="583"/>
      <c r="X728" s="583"/>
      <c r="Y728" s="583"/>
      <c r="Z728" s="583"/>
      <c r="AA728" s="583"/>
      <c r="AB728" s="583"/>
      <c r="AC728" s="583"/>
      <c r="AD728" s="583"/>
      <c r="AE728" s="583"/>
      <c r="AF728" s="583"/>
      <c r="AG728" s="583"/>
      <c r="AH728" s="583"/>
      <c r="AI728" s="583"/>
      <c r="AJ728" s="583"/>
      <c r="AK728" s="583"/>
      <c r="AL728" s="583"/>
      <c r="AM728" s="583"/>
      <c r="AN728" s="583"/>
      <c r="AO728" s="583"/>
      <c r="AP728" s="583"/>
      <c r="AQ728" s="583"/>
      <c r="AR728" s="583"/>
      <c r="AS728" s="583"/>
      <c r="AT728" s="583"/>
      <c r="AU728" s="583"/>
    </row>
    <row r="729" spans="1:47" s="586" customFormat="1" x14ac:dyDescent="0.2">
      <c r="A729" s="585"/>
      <c r="B729" s="585"/>
      <c r="C729" s="585"/>
      <c r="D729" s="583"/>
      <c r="E729" s="583"/>
      <c r="F729" s="583"/>
      <c r="G729" s="583"/>
      <c r="H729" s="583"/>
      <c r="I729" s="583"/>
      <c r="J729" s="583"/>
      <c r="K729" s="583"/>
      <c r="L729" s="583"/>
      <c r="M729" s="583"/>
      <c r="N729" s="583"/>
      <c r="O729" s="583"/>
      <c r="P729" s="583"/>
      <c r="Q729" s="583"/>
      <c r="R729" s="583"/>
      <c r="S729" s="583"/>
      <c r="T729" s="583"/>
      <c r="U729" s="583"/>
      <c r="V729" s="583"/>
      <c r="W729" s="583"/>
      <c r="X729" s="583"/>
      <c r="Y729" s="583"/>
      <c r="Z729" s="583"/>
      <c r="AA729" s="583"/>
      <c r="AB729" s="583"/>
      <c r="AC729" s="583"/>
      <c r="AD729" s="583"/>
      <c r="AE729" s="583"/>
      <c r="AF729" s="583"/>
      <c r="AG729" s="583"/>
      <c r="AH729" s="583"/>
      <c r="AI729" s="583"/>
      <c r="AJ729" s="583"/>
      <c r="AK729" s="583"/>
      <c r="AL729" s="583"/>
      <c r="AM729" s="583"/>
      <c r="AN729" s="583"/>
      <c r="AO729" s="583"/>
      <c r="AP729" s="583"/>
      <c r="AQ729" s="583"/>
      <c r="AR729" s="583"/>
      <c r="AS729" s="583"/>
      <c r="AT729" s="583"/>
      <c r="AU729" s="583"/>
    </row>
    <row r="730" spans="1:47" s="586" customFormat="1" x14ac:dyDescent="0.2">
      <c r="A730" s="585"/>
      <c r="B730" s="585"/>
      <c r="C730" s="585"/>
      <c r="D730" s="583"/>
      <c r="E730" s="583"/>
      <c r="F730" s="583"/>
      <c r="G730" s="583"/>
      <c r="H730" s="583"/>
      <c r="I730" s="583"/>
      <c r="J730" s="583"/>
      <c r="K730" s="583"/>
      <c r="L730" s="583"/>
      <c r="M730" s="583"/>
      <c r="N730" s="583"/>
      <c r="O730" s="583"/>
      <c r="P730" s="583"/>
      <c r="Q730" s="583"/>
      <c r="R730" s="583"/>
      <c r="S730" s="583"/>
      <c r="T730" s="583"/>
      <c r="U730" s="583"/>
      <c r="V730" s="583"/>
      <c r="W730" s="583"/>
      <c r="X730" s="583"/>
      <c r="Y730" s="583"/>
      <c r="Z730" s="583"/>
      <c r="AA730" s="583"/>
      <c r="AB730" s="583"/>
      <c r="AC730" s="583"/>
      <c r="AD730" s="583"/>
      <c r="AE730" s="583"/>
      <c r="AF730" s="583"/>
      <c r="AG730" s="583"/>
      <c r="AH730" s="583"/>
      <c r="AI730" s="583"/>
      <c r="AJ730" s="583"/>
      <c r="AK730" s="583"/>
      <c r="AL730" s="583"/>
      <c r="AM730" s="583"/>
      <c r="AN730" s="583"/>
      <c r="AO730" s="583"/>
      <c r="AP730" s="583"/>
      <c r="AQ730" s="583"/>
      <c r="AR730" s="583"/>
      <c r="AS730" s="583"/>
      <c r="AT730" s="583"/>
      <c r="AU730" s="583"/>
    </row>
    <row r="731" spans="1:47" s="586" customFormat="1" x14ac:dyDescent="0.2">
      <c r="A731" s="585"/>
      <c r="B731" s="585"/>
      <c r="C731" s="585"/>
      <c r="D731" s="583"/>
      <c r="E731" s="583"/>
      <c r="F731" s="583"/>
      <c r="G731" s="583"/>
      <c r="H731" s="583"/>
      <c r="I731" s="583"/>
      <c r="J731" s="583"/>
      <c r="K731" s="583"/>
      <c r="L731" s="583"/>
      <c r="M731" s="583"/>
      <c r="N731" s="583"/>
      <c r="O731" s="583"/>
      <c r="P731" s="583"/>
      <c r="Q731" s="583"/>
      <c r="R731" s="583"/>
      <c r="S731" s="583"/>
      <c r="T731" s="583"/>
      <c r="U731" s="583"/>
      <c r="V731" s="583"/>
      <c r="W731" s="583"/>
      <c r="X731" s="583"/>
      <c r="Y731" s="583"/>
      <c r="Z731" s="583"/>
      <c r="AA731" s="583"/>
      <c r="AB731" s="583"/>
      <c r="AC731" s="583"/>
      <c r="AD731" s="583"/>
      <c r="AE731" s="583"/>
      <c r="AF731" s="583"/>
      <c r="AG731" s="583"/>
      <c r="AH731" s="583"/>
      <c r="AI731" s="583"/>
      <c r="AJ731" s="583"/>
      <c r="AK731" s="583"/>
      <c r="AL731" s="583"/>
      <c r="AM731" s="583"/>
      <c r="AN731" s="583"/>
      <c r="AO731" s="583"/>
      <c r="AP731" s="583"/>
      <c r="AQ731" s="583"/>
      <c r="AR731" s="583"/>
      <c r="AS731" s="583"/>
      <c r="AT731" s="583"/>
      <c r="AU731" s="583"/>
    </row>
    <row r="732" spans="1:47" s="586" customFormat="1" x14ac:dyDescent="0.2">
      <c r="A732" s="585"/>
      <c r="B732" s="585"/>
      <c r="C732" s="585"/>
      <c r="D732" s="583"/>
      <c r="E732" s="583"/>
      <c r="F732" s="583"/>
      <c r="G732" s="583"/>
      <c r="H732" s="583"/>
      <c r="I732" s="583"/>
      <c r="J732" s="583"/>
      <c r="K732" s="583"/>
      <c r="L732" s="583"/>
      <c r="M732" s="583"/>
      <c r="N732" s="583"/>
      <c r="O732" s="583"/>
      <c r="P732" s="583"/>
      <c r="Q732" s="583"/>
      <c r="R732" s="583"/>
      <c r="S732" s="583"/>
      <c r="T732" s="583"/>
      <c r="U732" s="583"/>
      <c r="V732" s="583"/>
      <c r="W732" s="583"/>
      <c r="X732" s="583"/>
      <c r="Y732" s="583"/>
      <c r="Z732" s="583"/>
      <c r="AA732" s="583"/>
      <c r="AB732" s="583"/>
      <c r="AC732" s="583"/>
      <c r="AD732" s="583"/>
      <c r="AE732" s="583"/>
      <c r="AF732" s="583"/>
      <c r="AG732" s="583"/>
      <c r="AH732" s="583"/>
      <c r="AI732" s="583"/>
      <c r="AJ732" s="583"/>
      <c r="AK732" s="583"/>
      <c r="AL732" s="583"/>
      <c r="AM732" s="583"/>
      <c r="AN732" s="583"/>
      <c r="AO732" s="583"/>
      <c r="AP732" s="583"/>
      <c r="AQ732" s="583"/>
      <c r="AR732" s="583"/>
      <c r="AS732" s="583"/>
      <c r="AT732" s="583"/>
      <c r="AU732" s="583"/>
    </row>
    <row r="733" spans="1:47" s="586" customFormat="1" x14ac:dyDescent="0.2">
      <c r="A733" s="585"/>
      <c r="B733" s="585"/>
      <c r="C733" s="585"/>
      <c r="D733" s="583"/>
      <c r="E733" s="583"/>
      <c r="F733" s="583"/>
      <c r="G733" s="583"/>
      <c r="H733" s="583"/>
      <c r="I733" s="583"/>
      <c r="J733" s="583"/>
      <c r="K733" s="583"/>
      <c r="L733" s="583"/>
      <c r="M733" s="583"/>
      <c r="N733" s="583"/>
      <c r="O733" s="583"/>
      <c r="P733" s="583"/>
      <c r="Q733" s="583"/>
      <c r="R733" s="583"/>
      <c r="S733" s="583"/>
      <c r="T733" s="583"/>
      <c r="U733" s="583"/>
      <c r="V733" s="583"/>
      <c r="W733" s="583"/>
      <c r="X733" s="583"/>
      <c r="Y733" s="583"/>
      <c r="Z733" s="583"/>
      <c r="AA733" s="583"/>
      <c r="AB733" s="583"/>
      <c r="AC733" s="583"/>
      <c r="AD733" s="583"/>
      <c r="AE733" s="583"/>
      <c r="AF733" s="583"/>
      <c r="AG733" s="583"/>
      <c r="AH733" s="583"/>
      <c r="AI733" s="583"/>
      <c r="AJ733" s="583"/>
      <c r="AK733" s="583"/>
      <c r="AL733" s="583"/>
      <c r="AM733" s="583"/>
      <c r="AN733" s="583"/>
      <c r="AO733" s="583"/>
      <c r="AP733" s="583"/>
      <c r="AQ733" s="583"/>
      <c r="AR733" s="583"/>
      <c r="AS733" s="583"/>
      <c r="AT733" s="583"/>
      <c r="AU733" s="583"/>
    </row>
    <row r="734" spans="1:47" s="586" customFormat="1" x14ac:dyDescent="0.2">
      <c r="A734" s="585"/>
      <c r="B734" s="585"/>
      <c r="C734" s="585"/>
      <c r="D734" s="583"/>
      <c r="E734" s="583"/>
      <c r="F734" s="583"/>
      <c r="G734" s="583"/>
      <c r="H734" s="583"/>
      <c r="I734" s="583"/>
      <c r="J734" s="583"/>
      <c r="K734" s="583"/>
      <c r="L734" s="583"/>
      <c r="M734" s="583"/>
      <c r="N734" s="583"/>
      <c r="O734" s="583"/>
      <c r="P734" s="583"/>
      <c r="Q734" s="583"/>
      <c r="R734" s="583"/>
      <c r="S734" s="583"/>
      <c r="T734" s="583"/>
      <c r="U734" s="583"/>
      <c r="V734" s="583"/>
      <c r="W734" s="583"/>
      <c r="X734" s="583"/>
      <c r="Y734" s="583"/>
      <c r="Z734" s="583"/>
      <c r="AA734" s="583"/>
      <c r="AB734" s="583"/>
      <c r="AC734" s="583"/>
      <c r="AD734" s="583"/>
      <c r="AE734" s="583"/>
      <c r="AF734" s="583"/>
      <c r="AG734" s="583"/>
      <c r="AH734" s="583"/>
      <c r="AI734" s="583"/>
      <c r="AJ734" s="583"/>
      <c r="AK734" s="583"/>
      <c r="AL734" s="583"/>
      <c r="AM734" s="583"/>
      <c r="AN734" s="583"/>
      <c r="AO734" s="583"/>
      <c r="AP734" s="583"/>
      <c r="AQ734" s="583"/>
      <c r="AR734" s="583"/>
      <c r="AS734" s="583"/>
      <c r="AT734" s="583"/>
      <c r="AU734" s="583"/>
    </row>
    <row r="735" spans="1:47" s="586" customFormat="1" x14ac:dyDescent="0.2">
      <c r="A735" s="585"/>
      <c r="B735" s="585"/>
      <c r="C735" s="585"/>
      <c r="D735" s="583"/>
      <c r="E735" s="583"/>
      <c r="F735" s="583"/>
      <c r="G735" s="583"/>
      <c r="H735" s="583"/>
      <c r="I735" s="583"/>
      <c r="J735" s="583"/>
      <c r="K735" s="583"/>
      <c r="L735" s="583"/>
      <c r="M735" s="583"/>
      <c r="N735" s="583"/>
      <c r="O735" s="583"/>
      <c r="P735" s="583"/>
      <c r="Q735" s="583"/>
      <c r="R735" s="583"/>
      <c r="S735" s="583"/>
      <c r="T735" s="583"/>
      <c r="U735" s="583"/>
      <c r="V735" s="583"/>
      <c r="W735" s="583"/>
      <c r="X735" s="583"/>
      <c r="Y735" s="583"/>
      <c r="Z735" s="583"/>
      <c r="AA735" s="583"/>
      <c r="AB735" s="583"/>
      <c r="AC735" s="583"/>
      <c r="AD735" s="583"/>
      <c r="AE735" s="583"/>
      <c r="AF735" s="583"/>
      <c r="AG735" s="583"/>
      <c r="AH735" s="583"/>
      <c r="AI735" s="583"/>
      <c r="AJ735" s="583"/>
      <c r="AK735" s="583"/>
      <c r="AL735" s="583"/>
      <c r="AM735" s="583"/>
      <c r="AN735" s="583"/>
      <c r="AO735" s="583"/>
      <c r="AP735" s="583"/>
      <c r="AQ735" s="583"/>
      <c r="AR735" s="583"/>
      <c r="AS735" s="583"/>
      <c r="AT735" s="583"/>
      <c r="AU735" s="583"/>
    </row>
    <row r="736" spans="1:47" s="586" customFormat="1" x14ac:dyDescent="0.2">
      <c r="A736" s="585"/>
      <c r="B736" s="585"/>
      <c r="C736" s="585"/>
      <c r="D736" s="583"/>
      <c r="E736" s="583"/>
      <c r="F736" s="583"/>
      <c r="G736" s="583"/>
      <c r="H736" s="583"/>
      <c r="I736" s="583"/>
      <c r="J736" s="583"/>
      <c r="K736" s="583"/>
      <c r="L736" s="583"/>
      <c r="M736" s="583"/>
      <c r="N736" s="583"/>
      <c r="O736" s="583"/>
      <c r="P736" s="583"/>
      <c r="Q736" s="583"/>
      <c r="R736" s="583"/>
      <c r="S736" s="583"/>
      <c r="T736" s="583"/>
      <c r="U736" s="583"/>
      <c r="V736" s="583"/>
      <c r="W736" s="583"/>
      <c r="X736" s="583"/>
      <c r="Y736" s="583"/>
      <c r="Z736" s="583"/>
      <c r="AA736" s="583"/>
      <c r="AB736" s="583"/>
      <c r="AC736" s="583"/>
      <c r="AD736" s="583"/>
      <c r="AE736" s="583"/>
      <c r="AF736" s="583"/>
      <c r="AG736" s="583"/>
      <c r="AH736" s="583"/>
      <c r="AI736" s="583"/>
      <c r="AJ736" s="583"/>
      <c r="AK736" s="583"/>
      <c r="AL736" s="583"/>
      <c r="AM736" s="583"/>
      <c r="AN736" s="583"/>
      <c r="AO736" s="583"/>
      <c r="AP736" s="583"/>
      <c r="AQ736" s="583"/>
      <c r="AR736" s="583"/>
      <c r="AS736" s="583"/>
      <c r="AT736" s="583"/>
      <c r="AU736" s="583"/>
    </row>
    <row r="737" spans="1:47" s="586" customFormat="1" x14ac:dyDescent="0.2">
      <c r="A737" s="585"/>
      <c r="B737" s="585"/>
      <c r="C737" s="585"/>
      <c r="D737" s="583"/>
      <c r="E737" s="583"/>
      <c r="F737" s="583"/>
      <c r="G737" s="583"/>
      <c r="H737" s="583"/>
      <c r="I737" s="583"/>
      <c r="J737" s="583"/>
      <c r="K737" s="583"/>
      <c r="L737" s="583"/>
      <c r="M737" s="583"/>
      <c r="N737" s="583"/>
      <c r="O737" s="583"/>
      <c r="P737" s="583"/>
      <c r="Q737" s="583"/>
      <c r="R737" s="583"/>
      <c r="S737" s="583"/>
      <c r="T737" s="583"/>
      <c r="U737" s="583"/>
      <c r="V737" s="583"/>
      <c r="W737" s="583"/>
      <c r="X737" s="583"/>
      <c r="Y737" s="583"/>
      <c r="Z737" s="583"/>
      <c r="AA737" s="583"/>
      <c r="AB737" s="583"/>
      <c r="AC737" s="583"/>
      <c r="AD737" s="583"/>
      <c r="AE737" s="583"/>
      <c r="AF737" s="583"/>
      <c r="AG737" s="583"/>
      <c r="AH737" s="583"/>
      <c r="AI737" s="583"/>
      <c r="AJ737" s="583"/>
      <c r="AK737" s="583"/>
      <c r="AL737" s="583"/>
      <c r="AM737" s="583"/>
      <c r="AN737" s="583"/>
      <c r="AO737" s="583"/>
      <c r="AP737" s="583"/>
      <c r="AQ737" s="583"/>
      <c r="AR737" s="583"/>
      <c r="AS737" s="583"/>
      <c r="AT737" s="583"/>
      <c r="AU737" s="583"/>
    </row>
    <row r="738" spans="1:47" s="586" customFormat="1" x14ac:dyDescent="0.2">
      <c r="A738" s="585"/>
      <c r="B738" s="585"/>
      <c r="C738" s="585"/>
      <c r="D738" s="583"/>
      <c r="E738" s="583"/>
      <c r="F738" s="583"/>
      <c r="G738" s="583"/>
      <c r="H738" s="583"/>
      <c r="I738" s="583"/>
      <c r="J738" s="583"/>
      <c r="K738" s="583"/>
      <c r="L738" s="583"/>
      <c r="M738" s="583"/>
      <c r="N738" s="583"/>
      <c r="O738" s="583"/>
      <c r="P738" s="583"/>
      <c r="Q738" s="583"/>
      <c r="R738" s="583"/>
      <c r="S738" s="583"/>
      <c r="T738" s="583"/>
      <c r="U738" s="583"/>
      <c r="V738" s="583"/>
      <c r="W738" s="583"/>
      <c r="X738" s="583"/>
      <c r="Y738" s="583"/>
      <c r="Z738" s="583"/>
      <c r="AA738" s="583"/>
      <c r="AB738" s="583"/>
      <c r="AC738" s="583"/>
      <c r="AD738" s="583"/>
      <c r="AE738" s="583"/>
      <c r="AF738" s="583"/>
      <c r="AG738" s="583"/>
      <c r="AH738" s="583"/>
      <c r="AI738" s="583"/>
      <c r="AJ738" s="583"/>
      <c r="AK738" s="583"/>
      <c r="AL738" s="583"/>
      <c r="AM738" s="583"/>
      <c r="AN738" s="583"/>
      <c r="AO738" s="583"/>
      <c r="AP738" s="583"/>
      <c r="AQ738" s="583"/>
      <c r="AR738" s="583"/>
      <c r="AS738" s="583"/>
      <c r="AT738" s="583"/>
      <c r="AU738" s="583"/>
    </row>
    <row r="739" spans="1:47" s="586" customFormat="1" x14ac:dyDescent="0.2">
      <c r="A739" s="585"/>
      <c r="B739" s="585"/>
      <c r="C739" s="585"/>
      <c r="D739" s="583"/>
      <c r="E739" s="583"/>
      <c r="F739" s="583"/>
      <c r="G739" s="583"/>
      <c r="H739" s="583"/>
      <c r="I739" s="583"/>
      <c r="J739" s="583"/>
      <c r="K739" s="583"/>
      <c r="L739" s="583"/>
      <c r="M739" s="583"/>
      <c r="N739" s="583"/>
      <c r="O739" s="583"/>
      <c r="P739" s="583"/>
      <c r="Q739" s="583"/>
      <c r="R739" s="583"/>
      <c r="S739" s="583"/>
      <c r="T739" s="583"/>
      <c r="U739" s="583"/>
      <c r="V739" s="583"/>
      <c r="W739" s="583"/>
      <c r="X739" s="583"/>
      <c r="Y739" s="583"/>
      <c r="Z739" s="583"/>
      <c r="AA739" s="583"/>
      <c r="AB739" s="583"/>
      <c r="AC739" s="583"/>
      <c r="AD739" s="583"/>
      <c r="AE739" s="583"/>
      <c r="AF739" s="583"/>
      <c r="AG739" s="583"/>
      <c r="AH739" s="583"/>
      <c r="AI739" s="583"/>
      <c r="AJ739" s="583"/>
      <c r="AK739" s="583"/>
      <c r="AL739" s="583"/>
      <c r="AM739" s="583"/>
      <c r="AN739" s="583"/>
      <c r="AO739" s="583"/>
      <c r="AP739" s="583"/>
      <c r="AQ739" s="583"/>
      <c r="AR739" s="583"/>
      <c r="AS739" s="583"/>
      <c r="AT739" s="583"/>
      <c r="AU739" s="583"/>
    </row>
    <row r="740" spans="1:47" s="586" customFormat="1" x14ac:dyDescent="0.2">
      <c r="A740" s="585"/>
      <c r="B740" s="585"/>
      <c r="C740" s="585"/>
      <c r="D740" s="583"/>
      <c r="E740" s="583"/>
      <c r="F740" s="583"/>
      <c r="G740" s="583"/>
      <c r="H740" s="583"/>
      <c r="I740" s="583"/>
      <c r="J740" s="583"/>
      <c r="K740" s="583"/>
      <c r="L740" s="583"/>
      <c r="M740" s="583"/>
      <c r="N740" s="583"/>
      <c r="O740" s="583"/>
      <c r="P740" s="583"/>
      <c r="Q740" s="583"/>
      <c r="R740" s="583"/>
      <c r="S740" s="583"/>
      <c r="T740" s="583"/>
      <c r="U740" s="583"/>
      <c r="V740" s="583"/>
      <c r="W740" s="583"/>
      <c r="X740" s="583"/>
      <c r="Y740" s="583"/>
      <c r="Z740" s="583"/>
      <c r="AA740" s="583"/>
      <c r="AB740" s="583"/>
      <c r="AC740" s="583"/>
      <c r="AD740" s="583"/>
      <c r="AE740" s="583"/>
      <c r="AF740" s="583"/>
      <c r="AG740" s="583"/>
      <c r="AH740" s="583"/>
      <c r="AI740" s="583"/>
      <c r="AJ740" s="583"/>
      <c r="AK740" s="583"/>
      <c r="AL740" s="583"/>
      <c r="AM740" s="583"/>
      <c r="AN740" s="583"/>
      <c r="AO740" s="583"/>
      <c r="AP740" s="583"/>
      <c r="AQ740" s="583"/>
      <c r="AR740" s="583"/>
      <c r="AS740" s="583"/>
      <c r="AT740" s="583"/>
      <c r="AU740" s="583"/>
    </row>
    <row r="741" spans="1:47" s="586" customFormat="1" x14ac:dyDescent="0.2">
      <c r="A741" s="585"/>
      <c r="B741" s="585"/>
      <c r="C741" s="585"/>
      <c r="D741" s="583"/>
      <c r="E741" s="583"/>
      <c r="F741" s="583"/>
      <c r="G741" s="583"/>
      <c r="H741" s="583"/>
      <c r="I741" s="583"/>
      <c r="J741" s="583"/>
      <c r="K741" s="583"/>
      <c r="L741" s="583"/>
      <c r="M741" s="583"/>
      <c r="N741" s="583"/>
      <c r="O741" s="583"/>
      <c r="P741" s="583"/>
      <c r="Q741" s="583"/>
      <c r="R741" s="583"/>
      <c r="S741" s="583"/>
      <c r="T741" s="583"/>
      <c r="U741" s="583"/>
      <c r="V741" s="583"/>
      <c r="W741" s="583"/>
      <c r="X741" s="583"/>
      <c r="Y741" s="583"/>
      <c r="Z741" s="583"/>
      <c r="AA741" s="583"/>
      <c r="AB741" s="583"/>
      <c r="AC741" s="583"/>
      <c r="AD741" s="583"/>
      <c r="AE741" s="583"/>
      <c r="AF741" s="583"/>
      <c r="AG741" s="583"/>
      <c r="AH741" s="583"/>
      <c r="AI741" s="583"/>
      <c r="AJ741" s="583"/>
      <c r="AK741" s="583"/>
      <c r="AL741" s="583"/>
      <c r="AM741" s="583"/>
      <c r="AN741" s="583"/>
      <c r="AO741" s="583"/>
      <c r="AP741" s="583"/>
      <c r="AQ741" s="583"/>
      <c r="AR741" s="583"/>
      <c r="AS741" s="583"/>
      <c r="AT741" s="583"/>
      <c r="AU741" s="583"/>
    </row>
    <row r="742" spans="1:47" s="586" customFormat="1" x14ac:dyDescent="0.2">
      <c r="A742" s="585"/>
      <c r="B742" s="585"/>
      <c r="C742" s="585"/>
      <c r="D742" s="583"/>
      <c r="E742" s="583"/>
      <c r="F742" s="583"/>
      <c r="G742" s="583"/>
      <c r="H742" s="583"/>
      <c r="I742" s="583"/>
      <c r="J742" s="583"/>
      <c r="K742" s="583"/>
      <c r="L742" s="583"/>
      <c r="M742" s="583"/>
      <c r="N742" s="583"/>
      <c r="O742" s="583"/>
      <c r="P742" s="583"/>
      <c r="Q742" s="583"/>
      <c r="R742" s="583"/>
      <c r="S742" s="583"/>
      <c r="T742" s="583"/>
      <c r="U742" s="583"/>
      <c r="V742" s="583"/>
      <c r="W742" s="583"/>
      <c r="X742" s="583"/>
      <c r="Y742" s="583"/>
      <c r="Z742" s="583"/>
      <c r="AA742" s="583"/>
      <c r="AB742" s="583"/>
      <c r="AC742" s="583"/>
      <c r="AD742" s="583"/>
      <c r="AE742" s="583"/>
      <c r="AF742" s="583"/>
      <c r="AG742" s="583"/>
      <c r="AH742" s="583"/>
      <c r="AI742" s="583"/>
      <c r="AJ742" s="583"/>
      <c r="AK742" s="583"/>
      <c r="AL742" s="583"/>
      <c r="AM742" s="583"/>
      <c r="AN742" s="583"/>
      <c r="AO742" s="583"/>
      <c r="AP742" s="583"/>
      <c r="AQ742" s="583"/>
      <c r="AR742" s="583"/>
      <c r="AS742" s="583"/>
      <c r="AT742" s="583"/>
      <c r="AU742" s="583"/>
    </row>
    <row r="743" spans="1:47" s="586" customFormat="1" x14ac:dyDescent="0.2">
      <c r="A743" s="585"/>
      <c r="B743" s="585"/>
      <c r="C743" s="585"/>
      <c r="D743" s="583"/>
      <c r="E743" s="583"/>
      <c r="F743" s="583"/>
      <c r="G743" s="583"/>
      <c r="H743" s="583"/>
      <c r="I743" s="583"/>
      <c r="J743" s="583"/>
      <c r="K743" s="583"/>
      <c r="L743" s="583"/>
      <c r="M743" s="583"/>
      <c r="N743" s="583"/>
      <c r="O743" s="583"/>
      <c r="P743" s="583"/>
      <c r="Q743" s="583"/>
      <c r="R743" s="583"/>
      <c r="S743" s="583"/>
      <c r="T743" s="583"/>
      <c r="U743" s="583"/>
      <c r="V743" s="583"/>
      <c r="W743" s="583"/>
      <c r="X743" s="583"/>
      <c r="Y743" s="583"/>
      <c r="Z743" s="583"/>
      <c r="AA743" s="583"/>
      <c r="AB743" s="583"/>
      <c r="AC743" s="583"/>
      <c r="AD743" s="583"/>
      <c r="AE743" s="583"/>
      <c r="AF743" s="583"/>
      <c r="AG743" s="583"/>
      <c r="AH743" s="583"/>
      <c r="AI743" s="583"/>
      <c r="AJ743" s="583"/>
      <c r="AK743" s="583"/>
      <c r="AL743" s="583"/>
      <c r="AM743" s="583"/>
      <c r="AN743" s="583"/>
      <c r="AO743" s="583"/>
      <c r="AP743" s="583"/>
      <c r="AQ743" s="583"/>
      <c r="AR743" s="583"/>
      <c r="AS743" s="583"/>
      <c r="AT743" s="583"/>
      <c r="AU743" s="583"/>
    </row>
    <row r="744" spans="1:47" s="586" customFormat="1" x14ac:dyDescent="0.2">
      <c r="A744" s="585"/>
      <c r="B744" s="585"/>
      <c r="C744" s="585"/>
      <c r="D744" s="583"/>
      <c r="E744" s="583"/>
      <c r="F744" s="583"/>
      <c r="G744" s="583"/>
      <c r="H744" s="583"/>
      <c r="I744" s="583"/>
      <c r="J744" s="583"/>
      <c r="K744" s="583"/>
      <c r="L744" s="583"/>
      <c r="M744" s="583"/>
      <c r="N744" s="583"/>
      <c r="O744" s="583"/>
      <c r="P744" s="583"/>
      <c r="Q744" s="583"/>
      <c r="R744" s="583"/>
      <c r="S744" s="583"/>
      <c r="T744" s="583"/>
      <c r="U744" s="583"/>
      <c r="V744" s="583"/>
      <c r="W744" s="583"/>
      <c r="X744" s="583"/>
      <c r="Y744" s="583"/>
      <c r="Z744" s="583"/>
      <c r="AA744" s="583"/>
      <c r="AB744" s="583"/>
      <c r="AC744" s="583"/>
      <c r="AD744" s="583"/>
      <c r="AE744" s="583"/>
      <c r="AF744" s="583"/>
      <c r="AG744" s="583"/>
      <c r="AH744" s="583"/>
      <c r="AI744" s="583"/>
      <c r="AJ744" s="583"/>
      <c r="AK744" s="583"/>
      <c r="AL744" s="583"/>
      <c r="AM744" s="583"/>
      <c r="AN744" s="583"/>
      <c r="AO744" s="583"/>
      <c r="AP744" s="583"/>
      <c r="AQ744" s="583"/>
      <c r="AR744" s="583"/>
      <c r="AS744" s="583"/>
      <c r="AT744" s="583"/>
      <c r="AU744" s="583"/>
    </row>
    <row r="745" spans="1:47" s="586" customFormat="1" x14ac:dyDescent="0.2">
      <c r="A745" s="585"/>
      <c r="B745" s="585"/>
      <c r="C745" s="585"/>
      <c r="D745" s="583"/>
      <c r="E745" s="583"/>
      <c r="F745" s="583"/>
      <c r="G745" s="583"/>
      <c r="H745" s="583"/>
      <c r="I745" s="583"/>
      <c r="J745" s="583"/>
      <c r="K745" s="583"/>
      <c r="L745" s="583"/>
      <c r="M745" s="583"/>
      <c r="N745" s="583"/>
      <c r="O745" s="583"/>
      <c r="P745" s="583"/>
      <c r="Q745" s="583"/>
      <c r="R745" s="583"/>
      <c r="S745" s="583"/>
      <c r="T745" s="583"/>
      <c r="U745" s="583"/>
      <c r="V745" s="583"/>
      <c r="W745" s="583"/>
      <c r="X745" s="583"/>
      <c r="Y745" s="583"/>
      <c r="Z745" s="583"/>
      <c r="AA745" s="583"/>
      <c r="AB745" s="583"/>
      <c r="AC745" s="583"/>
      <c r="AD745" s="583"/>
      <c r="AE745" s="583"/>
      <c r="AF745" s="583"/>
      <c r="AG745" s="583"/>
      <c r="AH745" s="583"/>
      <c r="AI745" s="583"/>
      <c r="AJ745" s="583"/>
      <c r="AK745" s="583"/>
      <c r="AL745" s="583"/>
      <c r="AM745" s="583"/>
      <c r="AN745" s="583"/>
      <c r="AO745" s="583"/>
      <c r="AP745" s="583"/>
      <c r="AQ745" s="583"/>
      <c r="AR745" s="583"/>
      <c r="AS745" s="583"/>
      <c r="AT745" s="583"/>
      <c r="AU745" s="583"/>
    </row>
    <row r="746" spans="1:47" s="586" customFormat="1" x14ac:dyDescent="0.2">
      <c r="A746" s="585"/>
      <c r="B746" s="585"/>
      <c r="C746" s="585"/>
      <c r="D746" s="583"/>
      <c r="E746" s="583"/>
      <c r="F746" s="583"/>
      <c r="G746" s="583"/>
      <c r="H746" s="583"/>
      <c r="I746" s="583"/>
      <c r="J746" s="583"/>
      <c r="K746" s="583"/>
      <c r="L746" s="583"/>
      <c r="M746" s="583"/>
      <c r="N746" s="583"/>
      <c r="O746" s="583"/>
      <c r="P746" s="583"/>
      <c r="Q746" s="583"/>
      <c r="R746" s="583"/>
      <c r="S746" s="583"/>
      <c r="T746" s="583"/>
      <c r="U746" s="583"/>
      <c r="V746" s="583"/>
      <c r="W746" s="583"/>
      <c r="X746" s="583"/>
      <c r="Y746" s="583"/>
      <c r="Z746" s="583"/>
      <c r="AA746" s="583"/>
      <c r="AB746" s="583"/>
      <c r="AC746" s="583"/>
      <c r="AD746" s="583"/>
      <c r="AE746" s="583"/>
      <c r="AF746" s="583"/>
      <c r="AG746" s="583"/>
      <c r="AH746" s="583"/>
      <c r="AI746" s="583"/>
      <c r="AJ746" s="583"/>
      <c r="AK746" s="583"/>
      <c r="AL746" s="583"/>
      <c r="AM746" s="583"/>
      <c r="AN746" s="583"/>
      <c r="AO746" s="583"/>
      <c r="AP746" s="583"/>
      <c r="AQ746" s="583"/>
      <c r="AR746" s="583"/>
      <c r="AS746" s="583"/>
      <c r="AT746" s="583"/>
      <c r="AU746" s="583"/>
    </row>
    <row r="747" spans="1:47" s="586" customFormat="1" x14ac:dyDescent="0.2">
      <c r="A747" s="585"/>
      <c r="B747" s="585"/>
      <c r="C747" s="585"/>
      <c r="D747" s="583"/>
      <c r="E747" s="583"/>
      <c r="F747" s="583"/>
      <c r="G747" s="583"/>
      <c r="H747" s="583"/>
      <c r="I747" s="583"/>
      <c r="J747" s="583"/>
      <c r="K747" s="583"/>
      <c r="L747" s="583"/>
      <c r="M747" s="583"/>
      <c r="N747" s="583"/>
      <c r="O747" s="583"/>
      <c r="P747" s="583"/>
      <c r="Q747" s="583"/>
      <c r="R747" s="583"/>
      <c r="S747" s="583"/>
      <c r="T747" s="583"/>
      <c r="U747" s="583"/>
      <c r="V747" s="583"/>
      <c r="W747" s="583"/>
      <c r="X747" s="583"/>
      <c r="Y747" s="583"/>
      <c r="Z747" s="583"/>
      <c r="AA747" s="583"/>
      <c r="AB747" s="583"/>
      <c r="AC747" s="583"/>
      <c r="AD747" s="583"/>
      <c r="AE747" s="583"/>
      <c r="AF747" s="583"/>
      <c r="AG747" s="583"/>
      <c r="AH747" s="583"/>
      <c r="AI747" s="583"/>
      <c r="AJ747" s="583"/>
      <c r="AK747" s="583"/>
      <c r="AL747" s="583"/>
      <c r="AM747" s="583"/>
      <c r="AN747" s="583"/>
      <c r="AO747" s="583"/>
      <c r="AP747" s="583"/>
      <c r="AQ747" s="583"/>
      <c r="AR747" s="583"/>
      <c r="AS747" s="583"/>
      <c r="AT747" s="583"/>
      <c r="AU747" s="583"/>
    </row>
    <row r="748" spans="1:47" s="586" customFormat="1" x14ac:dyDescent="0.2">
      <c r="A748" s="585"/>
      <c r="B748" s="585"/>
      <c r="C748" s="585"/>
      <c r="D748" s="583"/>
      <c r="E748" s="583"/>
      <c r="F748" s="583"/>
      <c r="G748" s="583"/>
      <c r="H748" s="583"/>
      <c r="I748" s="583"/>
      <c r="J748" s="583"/>
      <c r="K748" s="583"/>
      <c r="L748" s="583"/>
      <c r="M748" s="583"/>
      <c r="N748" s="583"/>
      <c r="O748" s="583"/>
      <c r="P748" s="583"/>
      <c r="Q748" s="583"/>
      <c r="R748" s="583"/>
      <c r="S748" s="583"/>
      <c r="T748" s="583"/>
      <c r="U748" s="583"/>
      <c r="V748" s="583"/>
      <c r="W748" s="583"/>
      <c r="X748" s="583"/>
      <c r="Y748" s="583"/>
      <c r="Z748" s="583"/>
      <c r="AA748" s="583"/>
      <c r="AB748" s="583"/>
      <c r="AC748" s="583"/>
      <c r="AD748" s="583"/>
      <c r="AE748" s="583"/>
      <c r="AF748" s="583"/>
      <c r="AG748" s="583"/>
      <c r="AH748" s="583"/>
      <c r="AI748" s="583"/>
      <c r="AJ748" s="583"/>
      <c r="AK748" s="583"/>
      <c r="AL748" s="583"/>
      <c r="AM748" s="583"/>
      <c r="AN748" s="583"/>
      <c r="AO748" s="583"/>
      <c r="AP748" s="583"/>
      <c r="AQ748" s="583"/>
      <c r="AR748" s="583"/>
      <c r="AS748" s="583"/>
      <c r="AT748" s="583"/>
      <c r="AU748" s="583"/>
    </row>
    <row r="749" spans="1:47" s="586" customFormat="1" x14ac:dyDescent="0.2">
      <c r="A749" s="585"/>
      <c r="B749" s="585"/>
      <c r="C749" s="585"/>
      <c r="D749" s="583"/>
      <c r="E749" s="583"/>
      <c r="F749" s="583"/>
      <c r="G749" s="583"/>
      <c r="H749" s="583"/>
      <c r="I749" s="583"/>
      <c r="J749" s="583"/>
      <c r="K749" s="583"/>
      <c r="L749" s="583"/>
      <c r="M749" s="583"/>
      <c r="N749" s="583"/>
      <c r="O749" s="583"/>
      <c r="P749" s="583"/>
      <c r="Q749" s="583"/>
      <c r="R749" s="583"/>
      <c r="S749" s="583"/>
      <c r="T749" s="583"/>
      <c r="U749" s="583"/>
      <c r="V749" s="583"/>
      <c r="W749" s="583"/>
      <c r="X749" s="583"/>
      <c r="Y749" s="583"/>
      <c r="Z749" s="583"/>
      <c r="AA749" s="583"/>
      <c r="AB749" s="583"/>
      <c r="AC749" s="583"/>
      <c r="AD749" s="583"/>
      <c r="AE749" s="583"/>
      <c r="AF749" s="583"/>
      <c r="AG749" s="583"/>
      <c r="AH749" s="583"/>
      <c r="AI749" s="583"/>
      <c r="AJ749" s="583"/>
      <c r="AK749" s="583"/>
      <c r="AL749" s="583"/>
      <c r="AM749" s="583"/>
      <c r="AN749" s="583"/>
      <c r="AO749" s="583"/>
      <c r="AP749" s="583"/>
      <c r="AQ749" s="583"/>
      <c r="AR749" s="583"/>
      <c r="AS749" s="583"/>
      <c r="AT749" s="583"/>
      <c r="AU749" s="583"/>
    </row>
    <row r="750" spans="1:47" s="586" customFormat="1" x14ac:dyDescent="0.2">
      <c r="A750" s="585"/>
      <c r="B750" s="585"/>
      <c r="C750" s="585"/>
      <c r="D750" s="583"/>
      <c r="E750" s="583"/>
      <c r="F750" s="583"/>
      <c r="G750" s="583"/>
      <c r="H750" s="583"/>
      <c r="I750" s="583"/>
      <c r="J750" s="583"/>
      <c r="K750" s="583"/>
      <c r="L750" s="583"/>
      <c r="M750" s="583"/>
      <c r="N750" s="583"/>
      <c r="O750" s="583"/>
      <c r="P750" s="583"/>
      <c r="Q750" s="583"/>
      <c r="R750" s="583"/>
      <c r="S750" s="583"/>
      <c r="T750" s="583"/>
      <c r="U750" s="583"/>
      <c r="V750" s="583"/>
      <c r="W750" s="583"/>
      <c r="X750" s="583"/>
      <c r="Y750" s="583"/>
      <c r="Z750" s="583"/>
      <c r="AA750" s="583"/>
      <c r="AB750" s="583"/>
      <c r="AC750" s="583"/>
      <c r="AD750" s="583"/>
      <c r="AE750" s="583"/>
      <c r="AF750" s="583"/>
      <c r="AG750" s="583"/>
      <c r="AH750" s="583"/>
      <c r="AI750" s="583"/>
      <c r="AJ750" s="583"/>
      <c r="AK750" s="583"/>
      <c r="AL750" s="583"/>
      <c r="AM750" s="583"/>
      <c r="AN750" s="583"/>
      <c r="AO750" s="583"/>
      <c r="AP750" s="583"/>
      <c r="AQ750" s="583"/>
      <c r="AR750" s="583"/>
      <c r="AS750" s="583"/>
      <c r="AT750" s="583"/>
      <c r="AU750" s="583"/>
    </row>
    <row r="751" spans="1:47" s="586" customFormat="1" x14ac:dyDescent="0.2">
      <c r="A751" s="585"/>
      <c r="B751" s="585"/>
      <c r="C751" s="585"/>
      <c r="D751" s="583"/>
      <c r="E751" s="583"/>
      <c r="F751" s="583"/>
      <c r="G751" s="583"/>
      <c r="H751" s="583"/>
      <c r="I751" s="583"/>
      <c r="J751" s="583"/>
      <c r="K751" s="583"/>
      <c r="L751" s="583"/>
      <c r="M751" s="583"/>
      <c r="N751" s="583"/>
      <c r="O751" s="583"/>
      <c r="P751" s="583"/>
      <c r="Q751" s="583"/>
      <c r="R751" s="583"/>
      <c r="S751" s="583"/>
      <c r="T751" s="583"/>
      <c r="U751" s="583"/>
      <c r="V751" s="583"/>
      <c r="W751" s="583"/>
      <c r="X751" s="583"/>
      <c r="Y751" s="583"/>
      <c r="Z751" s="583"/>
      <c r="AA751" s="583"/>
      <c r="AB751" s="583"/>
      <c r="AC751" s="583"/>
      <c r="AD751" s="583"/>
      <c r="AE751" s="583"/>
      <c r="AF751" s="583"/>
      <c r="AG751" s="583"/>
      <c r="AH751" s="583"/>
      <c r="AI751" s="583"/>
      <c r="AJ751" s="583"/>
      <c r="AK751" s="583"/>
      <c r="AL751" s="583"/>
      <c r="AM751" s="583"/>
      <c r="AN751" s="583"/>
      <c r="AO751" s="583"/>
      <c r="AP751" s="583"/>
      <c r="AQ751" s="583"/>
      <c r="AR751" s="583"/>
      <c r="AS751" s="583"/>
      <c r="AT751" s="583"/>
      <c r="AU751" s="583"/>
    </row>
    <row r="752" spans="1:47" s="586" customFormat="1" x14ac:dyDescent="0.2">
      <c r="A752" s="585"/>
      <c r="B752" s="585"/>
      <c r="C752" s="585"/>
      <c r="D752" s="583"/>
      <c r="E752" s="583"/>
      <c r="F752" s="583"/>
      <c r="G752" s="583"/>
      <c r="H752" s="583"/>
      <c r="I752" s="583"/>
      <c r="J752" s="583"/>
      <c r="K752" s="583"/>
      <c r="L752" s="583"/>
      <c r="M752" s="583"/>
      <c r="N752" s="583"/>
      <c r="O752" s="583"/>
      <c r="P752" s="583"/>
      <c r="Q752" s="583"/>
      <c r="R752" s="583"/>
      <c r="S752" s="583"/>
      <c r="T752" s="583"/>
      <c r="U752" s="583"/>
      <c r="V752" s="583"/>
      <c r="W752" s="583"/>
      <c r="X752" s="583"/>
      <c r="Y752" s="583"/>
      <c r="Z752" s="583"/>
      <c r="AA752" s="583"/>
      <c r="AB752" s="583"/>
      <c r="AC752" s="583"/>
      <c r="AD752" s="583"/>
      <c r="AE752" s="583"/>
      <c r="AF752" s="583"/>
      <c r="AG752" s="583"/>
      <c r="AH752" s="583"/>
      <c r="AI752" s="583"/>
      <c r="AJ752" s="583"/>
      <c r="AK752" s="583"/>
      <c r="AL752" s="583"/>
      <c r="AM752" s="583"/>
      <c r="AN752" s="583"/>
      <c r="AO752" s="583"/>
      <c r="AP752" s="583"/>
      <c r="AQ752" s="583"/>
      <c r="AR752" s="583"/>
      <c r="AS752" s="583"/>
      <c r="AT752" s="583"/>
      <c r="AU752" s="583"/>
    </row>
    <row r="753" spans="1:47" s="586" customFormat="1" x14ac:dyDescent="0.2">
      <c r="A753" s="585"/>
      <c r="B753" s="585"/>
      <c r="C753" s="585"/>
      <c r="D753" s="583"/>
      <c r="E753" s="583"/>
      <c r="F753" s="583"/>
      <c r="G753" s="583"/>
      <c r="H753" s="583"/>
      <c r="I753" s="583"/>
      <c r="J753" s="583"/>
      <c r="K753" s="583"/>
      <c r="L753" s="583"/>
      <c r="M753" s="583"/>
      <c r="N753" s="583"/>
      <c r="O753" s="583"/>
      <c r="P753" s="583"/>
      <c r="Q753" s="583"/>
      <c r="R753" s="583"/>
      <c r="S753" s="583"/>
      <c r="T753" s="583"/>
      <c r="U753" s="583"/>
      <c r="V753" s="583"/>
      <c r="W753" s="583"/>
      <c r="X753" s="583"/>
      <c r="Y753" s="583"/>
      <c r="Z753" s="583"/>
      <c r="AA753" s="583"/>
      <c r="AB753" s="583"/>
      <c r="AC753" s="583"/>
      <c r="AD753" s="583"/>
      <c r="AE753" s="583"/>
      <c r="AF753" s="583"/>
      <c r="AG753" s="583"/>
      <c r="AH753" s="583"/>
      <c r="AI753" s="583"/>
      <c r="AJ753" s="583"/>
      <c r="AK753" s="583"/>
      <c r="AL753" s="583"/>
      <c r="AM753" s="583"/>
      <c r="AN753" s="583"/>
      <c r="AO753" s="583"/>
      <c r="AP753" s="583"/>
      <c r="AQ753" s="583"/>
      <c r="AR753" s="583"/>
      <c r="AS753" s="583"/>
      <c r="AT753" s="583"/>
      <c r="AU753" s="583"/>
    </row>
    <row r="754" spans="1:47" s="586" customFormat="1" x14ac:dyDescent="0.2">
      <c r="A754" s="585"/>
      <c r="B754" s="585"/>
      <c r="C754" s="585"/>
      <c r="D754" s="583"/>
      <c r="E754" s="583"/>
      <c r="F754" s="583"/>
      <c r="G754" s="583"/>
      <c r="H754" s="583"/>
      <c r="I754" s="583"/>
      <c r="J754" s="583"/>
      <c r="K754" s="583"/>
      <c r="L754" s="583"/>
      <c r="M754" s="583"/>
      <c r="N754" s="583"/>
      <c r="O754" s="583"/>
      <c r="P754" s="583"/>
      <c r="Q754" s="583"/>
      <c r="R754" s="583"/>
      <c r="S754" s="583"/>
      <c r="T754" s="583"/>
      <c r="U754" s="583"/>
      <c r="V754" s="583"/>
      <c r="W754" s="583"/>
      <c r="X754" s="583"/>
      <c r="Y754" s="583"/>
      <c r="Z754" s="583"/>
      <c r="AA754" s="583"/>
      <c r="AB754" s="583"/>
      <c r="AC754" s="583"/>
      <c r="AD754" s="583"/>
      <c r="AE754" s="583"/>
      <c r="AF754" s="583"/>
      <c r="AG754" s="583"/>
      <c r="AH754" s="583"/>
      <c r="AI754" s="583"/>
      <c r="AJ754" s="583"/>
      <c r="AK754" s="583"/>
      <c r="AL754" s="583"/>
      <c r="AM754" s="583"/>
      <c r="AN754" s="583"/>
      <c r="AO754" s="583"/>
      <c r="AP754" s="583"/>
      <c r="AQ754" s="583"/>
      <c r="AR754" s="583"/>
      <c r="AS754" s="583"/>
      <c r="AT754" s="583"/>
      <c r="AU754" s="583"/>
    </row>
    <row r="755" spans="1:47" s="586" customFormat="1" x14ac:dyDescent="0.2">
      <c r="A755" s="585"/>
      <c r="B755" s="585"/>
      <c r="C755" s="585"/>
      <c r="D755" s="583"/>
      <c r="E755" s="583"/>
      <c r="F755" s="583"/>
      <c r="G755" s="583"/>
      <c r="H755" s="583"/>
      <c r="I755" s="583"/>
      <c r="J755" s="583"/>
      <c r="K755" s="583"/>
      <c r="L755" s="583"/>
      <c r="M755" s="583"/>
      <c r="N755" s="583"/>
      <c r="O755" s="583"/>
      <c r="P755" s="583"/>
      <c r="Q755" s="583"/>
      <c r="R755" s="583"/>
      <c r="S755" s="583"/>
      <c r="T755" s="583"/>
      <c r="U755" s="583"/>
      <c r="V755" s="583"/>
      <c r="W755" s="583"/>
      <c r="X755" s="583"/>
      <c r="Y755" s="583"/>
      <c r="Z755" s="583"/>
      <c r="AA755" s="583"/>
      <c r="AB755" s="583"/>
      <c r="AC755" s="583"/>
      <c r="AD755" s="583"/>
      <c r="AE755" s="583"/>
      <c r="AF755" s="583"/>
      <c r="AG755" s="583"/>
      <c r="AH755" s="583"/>
      <c r="AI755" s="583"/>
      <c r="AJ755" s="583"/>
      <c r="AK755" s="583"/>
      <c r="AL755" s="583"/>
      <c r="AM755" s="583"/>
      <c r="AN755" s="583"/>
      <c r="AO755" s="583"/>
      <c r="AP755" s="583"/>
      <c r="AQ755" s="583"/>
      <c r="AR755" s="583"/>
      <c r="AS755" s="583"/>
      <c r="AT755" s="583"/>
      <c r="AU755" s="583"/>
    </row>
    <row r="756" spans="1:47" s="586" customFormat="1" x14ac:dyDescent="0.2">
      <c r="A756" s="585"/>
      <c r="B756" s="585"/>
      <c r="C756" s="585"/>
      <c r="D756" s="583"/>
      <c r="E756" s="583"/>
      <c r="F756" s="583"/>
      <c r="G756" s="583"/>
      <c r="H756" s="583"/>
      <c r="I756" s="583"/>
      <c r="J756" s="583"/>
      <c r="K756" s="583"/>
      <c r="L756" s="583"/>
      <c r="M756" s="583"/>
      <c r="N756" s="583"/>
      <c r="O756" s="583"/>
      <c r="P756" s="583"/>
      <c r="Q756" s="583"/>
      <c r="R756" s="583"/>
      <c r="S756" s="583"/>
      <c r="T756" s="583"/>
      <c r="U756" s="583"/>
      <c r="V756" s="583"/>
      <c r="W756" s="583"/>
      <c r="X756" s="583"/>
      <c r="Y756" s="583"/>
      <c r="Z756" s="583"/>
      <c r="AA756" s="583"/>
      <c r="AB756" s="583"/>
      <c r="AC756" s="583"/>
      <c r="AD756" s="583"/>
      <c r="AE756" s="583"/>
      <c r="AF756" s="583"/>
      <c r="AG756" s="583"/>
      <c r="AH756" s="583"/>
      <c r="AI756" s="583"/>
      <c r="AJ756" s="583"/>
      <c r="AK756" s="583"/>
      <c r="AL756" s="583"/>
      <c r="AM756" s="583"/>
      <c r="AN756" s="583"/>
      <c r="AO756" s="583"/>
      <c r="AP756" s="583"/>
      <c r="AQ756" s="583"/>
      <c r="AR756" s="583"/>
      <c r="AS756" s="583"/>
      <c r="AT756" s="583"/>
      <c r="AU756" s="583"/>
    </row>
    <row r="757" spans="1:47" s="586" customFormat="1" x14ac:dyDescent="0.2">
      <c r="A757" s="585"/>
      <c r="B757" s="585"/>
      <c r="C757" s="585"/>
      <c r="D757" s="583"/>
      <c r="E757" s="583"/>
      <c r="F757" s="583"/>
      <c r="G757" s="583"/>
      <c r="H757" s="583"/>
      <c r="I757" s="583"/>
      <c r="J757" s="583"/>
      <c r="K757" s="583"/>
      <c r="L757" s="583"/>
      <c r="M757" s="583"/>
      <c r="N757" s="583"/>
      <c r="O757" s="583"/>
      <c r="P757" s="583"/>
      <c r="Q757" s="583"/>
      <c r="R757" s="583"/>
      <c r="S757" s="583"/>
      <c r="T757" s="583"/>
      <c r="U757" s="583"/>
      <c r="V757" s="583"/>
      <c r="W757" s="583"/>
      <c r="X757" s="583"/>
      <c r="Y757" s="583"/>
      <c r="Z757" s="583"/>
      <c r="AA757" s="583"/>
      <c r="AB757" s="583"/>
      <c r="AC757" s="583"/>
      <c r="AD757" s="583"/>
      <c r="AE757" s="583"/>
      <c r="AF757" s="583"/>
      <c r="AG757" s="583"/>
      <c r="AH757" s="583"/>
      <c r="AI757" s="583"/>
      <c r="AJ757" s="583"/>
      <c r="AK757" s="583"/>
      <c r="AL757" s="583"/>
      <c r="AM757" s="583"/>
      <c r="AN757" s="583"/>
      <c r="AO757" s="583"/>
      <c r="AP757" s="583"/>
      <c r="AQ757" s="583"/>
      <c r="AR757" s="583"/>
      <c r="AS757" s="583"/>
      <c r="AT757" s="583"/>
      <c r="AU757" s="583"/>
    </row>
    <row r="758" spans="1:47" s="586" customFormat="1" x14ac:dyDescent="0.2">
      <c r="A758" s="585"/>
      <c r="B758" s="585"/>
      <c r="C758" s="585"/>
      <c r="D758" s="583"/>
      <c r="E758" s="583"/>
      <c r="F758" s="583"/>
      <c r="G758" s="583"/>
      <c r="H758" s="583"/>
      <c r="I758" s="583"/>
      <c r="J758" s="583"/>
      <c r="K758" s="583"/>
      <c r="L758" s="583"/>
      <c r="M758" s="583"/>
      <c r="N758" s="583"/>
      <c r="O758" s="583"/>
      <c r="P758" s="583"/>
      <c r="Q758" s="583"/>
      <c r="R758" s="583"/>
      <c r="S758" s="583"/>
      <c r="T758" s="583"/>
      <c r="U758" s="583"/>
      <c r="V758" s="583"/>
      <c r="W758" s="583"/>
      <c r="X758" s="583"/>
      <c r="Y758" s="583"/>
      <c r="Z758" s="583"/>
      <c r="AA758" s="583"/>
      <c r="AB758" s="583"/>
      <c r="AC758" s="583"/>
      <c r="AD758" s="583"/>
      <c r="AE758" s="583"/>
      <c r="AF758" s="583"/>
      <c r="AG758" s="583"/>
      <c r="AH758" s="583"/>
      <c r="AI758" s="583"/>
      <c r="AJ758" s="583"/>
      <c r="AK758" s="583"/>
      <c r="AL758" s="583"/>
      <c r="AM758" s="583"/>
      <c r="AN758" s="583"/>
      <c r="AO758" s="583"/>
      <c r="AP758" s="583"/>
      <c r="AQ758" s="583"/>
      <c r="AR758" s="583"/>
      <c r="AS758" s="583"/>
      <c r="AT758" s="583"/>
      <c r="AU758" s="583"/>
    </row>
    <row r="759" spans="1:47" s="586" customFormat="1" x14ac:dyDescent="0.2">
      <c r="A759" s="585"/>
      <c r="B759" s="585"/>
      <c r="C759" s="585"/>
      <c r="D759" s="583"/>
      <c r="E759" s="583"/>
      <c r="F759" s="583"/>
      <c r="G759" s="583"/>
      <c r="H759" s="583"/>
      <c r="I759" s="583"/>
      <c r="J759" s="583"/>
      <c r="K759" s="583"/>
      <c r="L759" s="583"/>
      <c r="M759" s="583"/>
      <c r="N759" s="583"/>
      <c r="O759" s="583"/>
      <c r="P759" s="583"/>
      <c r="Q759" s="583"/>
      <c r="R759" s="583"/>
      <c r="S759" s="583"/>
      <c r="T759" s="583"/>
      <c r="U759" s="583"/>
      <c r="V759" s="583"/>
      <c r="W759" s="583"/>
      <c r="X759" s="583"/>
      <c r="Y759" s="583"/>
      <c r="Z759" s="583"/>
      <c r="AA759" s="583"/>
      <c r="AB759" s="583"/>
      <c r="AC759" s="583"/>
      <c r="AD759" s="583"/>
      <c r="AE759" s="583"/>
      <c r="AF759" s="583"/>
      <c r="AG759" s="583"/>
      <c r="AH759" s="583"/>
      <c r="AI759" s="583"/>
      <c r="AJ759" s="583"/>
      <c r="AK759" s="583"/>
      <c r="AL759" s="583"/>
      <c r="AM759" s="583"/>
      <c r="AN759" s="583"/>
      <c r="AO759" s="583"/>
      <c r="AP759" s="583"/>
      <c r="AQ759" s="583"/>
      <c r="AR759" s="583"/>
      <c r="AS759" s="583"/>
      <c r="AT759" s="583"/>
      <c r="AU759" s="583"/>
    </row>
    <row r="760" spans="1:47" s="586" customFormat="1" x14ac:dyDescent="0.2">
      <c r="A760" s="585"/>
      <c r="B760" s="585"/>
      <c r="C760" s="585"/>
      <c r="D760" s="583"/>
      <c r="E760" s="583"/>
      <c r="F760" s="583"/>
      <c r="G760" s="583"/>
      <c r="H760" s="583"/>
      <c r="I760" s="583"/>
      <c r="J760" s="583"/>
      <c r="K760" s="583"/>
      <c r="L760" s="583"/>
      <c r="M760" s="583"/>
      <c r="N760" s="583"/>
      <c r="O760" s="583"/>
      <c r="P760" s="583"/>
      <c r="Q760" s="583"/>
      <c r="R760" s="583"/>
      <c r="S760" s="583"/>
      <c r="T760" s="583"/>
      <c r="U760" s="583"/>
      <c r="V760" s="583"/>
      <c r="W760" s="583"/>
      <c r="X760" s="583"/>
      <c r="Y760" s="583"/>
      <c r="Z760" s="583"/>
      <c r="AA760" s="583"/>
      <c r="AB760" s="583"/>
      <c r="AC760" s="583"/>
      <c r="AD760" s="583"/>
      <c r="AE760" s="583"/>
      <c r="AF760" s="583"/>
      <c r="AG760" s="583"/>
      <c r="AH760" s="583"/>
      <c r="AI760" s="583"/>
      <c r="AJ760" s="583"/>
      <c r="AK760" s="583"/>
      <c r="AL760" s="583"/>
      <c r="AM760" s="583"/>
      <c r="AN760" s="583"/>
      <c r="AO760" s="583"/>
      <c r="AP760" s="583"/>
      <c r="AQ760" s="583"/>
      <c r="AR760" s="583"/>
      <c r="AS760" s="583"/>
      <c r="AT760" s="583"/>
      <c r="AU760" s="583"/>
    </row>
    <row r="761" spans="1:47" s="586" customFormat="1" x14ac:dyDescent="0.2">
      <c r="A761" s="585"/>
      <c r="B761" s="585"/>
      <c r="C761" s="585"/>
      <c r="D761" s="583"/>
      <c r="E761" s="583"/>
      <c r="F761" s="583"/>
      <c r="G761" s="583"/>
      <c r="H761" s="583"/>
      <c r="I761" s="583"/>
      <c r="J761" s="583"/>
      <c r="K761" s="583"/>
      <c r="L761" s="583"/>
      <c r="M761" s="583"/>
      <c r="N761" s="583"/>
      <c r="O761" s="583"/>
      <c r="P761" s="583"/>
      <c r="Q761" s="583"/>
      <c r="R761" s="583"/>
      <c r="S761" s="583"/>
      <c r="T761" s="583"/>
      <c r="U761" s="583"/>
      <c r="V761" s="583"/>
      <c r="W761" s="583"/>
      <c r="X761" s="583"/>
      <c r="Y761" s="583"/>
      <c r="Z761" s="583"/>
      <c r="AA761" s="583"/>
      <c r="AB761" s="583"/>
      <c r="AC761" s="583"/>
      <c r="AD761" s="583"/>
      <c r="AE761" s="583"/>
      <c r="AF761" s="583"/>
      <c r="AG761" s="583"/>
      <c r="AH761" s="583"/>
      <c r="AI761" s="583"/>
      <c r="AJ761" s="583"/>
      <c r="AK761" s="583"/>
      <c r="AL761" s="583"/>
      <c r="AM761" s="583"/>
      <c r="AN761" s="583"/>
      <c r="AO761" s="583"/>
      <c r="AP761" s="583"/>
      <c r="AQ761" s="583"/>
      <c r="AR761" s="583"/>
      <c r="AS761" s="583"/>
      <c r="AT761" s="583"/>
      <c r="AU761" s="583"/>
    </row>
    <row r="762" spans="1:47" s="586" customFormat="1" x14ac:dyDescent="0.2">
      <c r="A762" s="585"/>
      <c r="B762" s="585"/>
      <c r="C762" s="585"/>
      <c r="D762" s="583"/>
      <c r="E762" s="583"/>
      <c r="F762" s="583"/>
      <c r="G762" s="583"/>
      <c r="H762" s="583"/>
      <c r="I762" s="583"/>
      <c r="J762" s="583"/>
      <c r="K762" s="583"/>
      <c r="L762" s="583"/>
      <c r="M762" s="583"/>
      <c r="N762" s="583"/>
      <c r="O762" s="583"/>
      <c r="P762" s="583"/>
      <c r="Q762" s="583"/>
      <c r="R762" s="583"/>
      <c r="S762" s="583"/>
      <c r="T762" s="583"/>
      <c r="U762" s="583"/>
      <c r="V762" s="583"/>
      <c r="W762" s="583"/>
      <c r="X762" s="583"/>
      <c r="Y762" s="583"/>
      <c r="Z762" s="583"/>
      <c r="AA762" s="583"/>
      <c r="AB762" s="583"/>
      <c r="AC762" s="583"/>
      <c r="AD762" s="583"/>
      <c r="AE762" s="583"/>
      <c r="AF762" s="583"/>
      <c r="AG762" s="583"/>
      <c r="AH762" s="583"/>
      <c r="AI762" s="583"/>
      <c r="AJ762" s="583"/>
      <c r="AK762" s="583"/>
      <c r="AL762" s="583"/>
      <c r="AM762" s="583"/>
      <c r="AN762" s="583"/>
      <c r="AO762" s="583"/>
      <c r="AP762" s="583"/>
      <c r="AQ762" s="583"/>
      <c r="AR762" s="583"/>
      <c r="AS762" s="583"/>
      <c r="AT762" s="583"/>
      <c r="AU762" s="583"/>
    </row>
    <row r="763" spans="1:47" s="586" customFormat="1" x14ac:dyDescent="0.2">
      <c r="A763" s="585"/>
      <c r="B763" s="585"/>
      <c r="C763" s="585"/>
      <c r="D763" s="583"/>
      <c r="E763" s="583"/>
      <c r="F763" s="583"/>
      <c r="G763" s="583"/>
      <c r="H763" s="583"/>
      <c r="I763" s="583"/>
      <c r="J763" s="583"/>
      <c r="K763" s="583"/>
      <c r="L763" s="583"/>
      <c r="M763" s="583"/>
      <c r="N763" s="583"/>
      <c r="O763" s="583"/>
      <c r="P763" s="583"/>
      <c r="Q763" s="583"/>
      <c r="R763" s="583"/>
      <c r="S763" s="583"/>
      <c r="T763" s="583"/>
      <c r="U763" s="583"/>
      <c r="V763" s="583"/>
      <c r="W763" s="583"/>
      <c r="X763" s="583"/>
      <c r="Y763" s="583"/>
      <c r="Z763" s="583"/>
      <c r="AA763" s="583"/>
      <c r="AB763" s="583"/>
      <c r="AC763" s="583"/>
      <c r="AD763" s="583"/>
      <c r="AE763" s="583"/>
      <c r="AF763" s="583"/>
      <c r="AG763" s="583"/>
      <c r="AH763" s="583"/>
      <c r="AI763" s="583"/>
      <c r="AJ763" s="583"/>
      <c r="AK763" s="583"/>
      <c r="AL763" s="583"/>
      <c r="AM763" s="583"/>
      <c r="AN763" s="583"/>
      <c r="AO763" s="583"/>
      <c r="AP763" s="583"/>
      <c r="AQ763" s="583"/>
      <c r="AR763" s="583"/>
      <c r="AS763" s="583"/>
      <c r="AT763" s="583"/>
      <c r="AU763" s="583"/>
    </row>
    <row r="764" spans="1:47" s="586" customFormat="1" x14ac:dyDescent="0.2">
      <c r="A764" s="585"/>
      <c r="B764" s="585"/>
      <c r="C764" s="585"/>
      <c r="D764" s="583"/>
      <c r="E764" s="583"/>
      <c r="F764" s="583"/>
      <c r="G764" s="583"/>
      <c r="H764" s="583"/>
      <c r="I764" s="583"/>
      <c r="J764" s="583"/>
      <c r="K764" s="583"/>
      <c r="L764" s="583"/>
      <c r="M764" s="583"/>
      <c r="N764" s="583"/>
      <c r="O764" s="583"/>
      <c r="P764" s="583"/>
      <c r="Q764" s="583"/>
      <c r="R764" s="583"/>
      <c r="S764" s="583"/>
      <c r="T764" s="583"/>
      <c r="U764" s="583"/>
      <c r="V764" s="583"/>
      <c r="W764" s="583"/>
      <c r="X764" s="583"/>
      <c r="Y764" s="583"/>
      <c r="Z764" s="583"/>
      <c r="AA764" s="583"/>
      <c r="AB764" s="583"/>
      <c r="AC764" s="583"/>
      <c r="AD764" s="583"/>
      <c r="AE764" s="583"/>
      <c r="AF764" s="583"/>
      <c r="AG764" s="583"/>
      <c r="AH764" s="583"/>
      <c r="AI764" s="583"/>
      <c r="AJ764" s="583"/>
      <c r="AK764" s="583"/>
      <c r="AL764" s="583"/>
      <c r="AM764" s="583"/>
      <c r="AN764" s="583"/>
      <c r="AO764" s="583"/>
      <c r="AP764" s="583"/>
      <c r="AQ764" s="583"/>
      <c r="AR764" s="583"/>
      <c r="AS764" s="583"/>
      <c r="AT764" s="583"/>
      <c r="AU764" s="583"/>
    </row>
    <row r="765" spans="1:47" s="586" customFormat="1" x14ac:dyDescent="0.2">
      <c r="A765" s="585"/>
      <c r="B765" s="585"/>
      <c r="C765" s="585"/>
      <c r="D765" s="583"/>
      <c r="E765" s="583"/>
      <c r="F765" s="583"/>
      <c r="G765" s="583"/>
      <c r="H765" s="583"/>
      <c r="I765" s="583"/>
      <c r="J765" s="583"/>
      <c r="K765" s="583"/>
      <c r="L765" s="583"/>
      <c r="M765" s="583"/>
      <c r="N765" s="583"/>
      <c r="O765" s="583"/>
      <c r="P765" s="583"/>
      <c r="Q765" s="583"/>
      <c r="R765" s="583"/>
      <c r="S765" s="583"/>
      <c r="T765" s="583"/>
      <c r="U765" s="583"/>
      <c r="V765" s="583"/>
      <c r="W765" s="583"/>
      <c r="X765" s="583"/>
      <c r="Y765" s="583"/>
      <c r="Z765" s="583"/>
      <c r="AA765" s="583"/>
      <c r="AB765" s="583"/>
      <c r="AC765" s="583"/>
      <c r="AD765" s="583"/>
      <c r="AE765" s="583"/>
      <c r="AF765" s="583"/>
      <c r="AG765" s="583"/>
      <c r="AH765" s="583"/>
      <c r="AI765" s="583"/>
      <c r="AJ765" s="583"/>
      <c r="AK765" s="583"/>
      <c r="AL765" s="583"/>
      <c r="AM765" s="583"/>
      <c r="AN765" s="583"/>
      <c r="AO765" s="583"/>
      <c r="AP765" s="583"/>
      <c r="AQ765" s="583"/>
      <c r="AR765" s="583"/>
      <c r="AS765" s="583"/>
      <c r="AT765" s="583"/>
      <c r="AU765" s="583"/>
    </row>
    <row r="766" spans="1:47" s="586" customFormat="1" x14ac:dyDescent="0.2">
      <c r="A766" s="585"/>
      <c r="B766" s="585"/>
      <c r="C766" s="585"/>
      <c r="D766" s="583"/>
      <c r="E766" s="583"/>
      <c r="F766" s="583"/>
      <c r="G766" s="583"/>
      <c r="H766" s="583"/>
      <c r="I766" s="583"/>
      <c r="J766" s="583"/>
      <c r="K766" s="583"/>
      <c r="L766" s="583"/>
      <c r="M766" s="583"/>
      <c r="N766" s="583"/>
      <c r="O766" s="583"/>
      <c r="P766" s="583"/>
      <c r="Q766" s="583"/>
      <c r="R766" s="583"/>
      <c r="S766" s="583"/>
      <c r="T766" s="583"/>
      <c r="U766" s="583"/>
      <c r="V766" s="583"/>
      <c r="W766" s="583"/>
      <c r="X766" s="583"/>
      <c r="Y766" s="583"/>
      <c r="Z766" s="583"/>
      <c r="AA766" s="583"/>
      <c r="AB766" s="583"/>
      <c r="AC766" s="583"/>
      <c r="AD766" s="583"/>
      <c r="AE766" s="583"/>
      <c r="AF766" s="583"/>
      <c r="AG766" s="583"/>
      <c r="AH766" s="583"/>
      <c r="AI766" s="583"/>
      <c r="AJ766" s="583"/>
      <c r="AK766" s="583"/>
      <c r="AL766" s="583"/>
      <c r="AM766" s="583"/>
      <c r="AN766" s="583"/>
      <c r="AO766" s="583"/>
      <c r="AP766" s="583"/>
      <c r="AQ766" s="583"/>
      <c r="AR766" s="583"/>
      <c r="AS766" s="583"/>
      <c r="AT766" s="583"/>
      <c r="AU766" s="583"/>
    </row>
    <row r="767" spans="1:47" s="586" customFormat="1" x14ac:dyDescent="0.2">
      <c r="A767" s="585"/>
      <c r="B767" s="585"/>
      <c r="C767" s="585"/>
      <c r="D767" s="583"/>
      <c r="E767" s="583"/>
      <c r="F767" s="583"/>
      <c r="G767" s="583"/>
      <c r="H767" s="583"/>
      <c r="I767" s="583"/>
      <c r="J767" s="583"/>
      <c r="K767" s="583"/>
      <c r="L767" s="583"/>
      <c r="M767" s="583"/>
      <c r="N767" s="583"/>
      <c r="O767" s="583"/>
      <c r="P767" s="583"/>
      <c r="Q767" s="583"/>
      <c r="R767" s="583"/>
      <c r="S767" s="583"/>
      <c r="T767" s="583"/>
      <c r="U767" s="583"/>
      <c r="V767" s="583"/>
      <c r="W767" s="583"/>
      <c r="X767" s="583"/>
      <c r="Y767" s="583"/>
      <c r="Z767" s="583"/>
      <c r="AA767" s="583"/>
      <c r="AB767" s="583"/>
      <c r="AC767" s="583"/>
      <c r="AD767" s="583"/>
      <c r="AE767" s="583"/>
      <c r="AF767" s="583"/>
      <c r="AG767" s="583"/>
      <c r="AH767" s="583"/>
      <c r="AI767" s="583"/>
      <c r="AJ767" s="583"/>
      <c r="AK767" s="583"/>
      <c r="AL767" s="583"/>
      <c r="AM767" s="583"/>
      <c r="AN767" s="583"/>
      <c r="AO767" s="583"/>
      <c r="AP767" s="583"/>
      <c r="AQ767" s="583"/>
      <c r="AR767" s="583"/>
      <c r="AS767" s="583"/>
      <c r="AT767" s="583"/>
      <c r="AU767" s="583"/>
    </row>
    <row r="768" spans="1:47" s="586" customFormat="1" x14ac:dyDescent="0.2">
      <c r="A768" s="585"/>
      <c r="B768" s="585"/>
      <c r="C768" s="585"/>
      <c r="D768" s="583"/>
      <c r="E768" s="583"/>
      <c r="F768" s="583"/>
      <c r="G768" s="583"/>
      <c r="H768" s="583"/>
      <c r="I768" s="583"/>
      <c r="J768" s="583"/>
      <c r="K768" s="583"/>
      <c r="L768" s="583"/>
      <c r="M768" s="583"/>
      <c r="N768" s="583"/>
      <c r="O768" s="583"/>
      <c r="P768" s="583"/>
      <c r="Q768" s="583"/>
      <c r="R768" s="583"/>
      <c r="S768" s="583"/>
      <c r="T768" s="583"/>
      <c r="U768" s="583"/>
      <c r="V768" s="583"/>
      <c r="W768" s="583"/>
      <c r="X768" s="583"/>
      <c r="Y768" s="583"/>
      <c r="Z768" s="583"/>
      <c r="AA768" s="583"/>
      <c r="AB768" s="583"/>
      <c r="AC768" s="583"/>
      <c r="AD768" s="583"/>
      <c r="AE768" s="583"/>
      <c r="AF768" s="583"/>
      <c r="AG768" s="583"/>
      <c r="AH768" s="583"/>
      <c r="AI768" s="583"/>
      <c r="AJ768" s="583"/>
      <c r="AK768" s="583"/>
      <c r="AL768" s="583"/>
      <c r="AM768" s="583"/>
      <c r="AN768" s="583"/>
      <c r="AO768" s="583"/>
      <c r="AP768" s="583"/>
      <c r="AQ768" s="583"/>
      <c r="AR768" s="583"/>
      <c r="AS768" s="583"/>
      <c r="AT768" s="583"/>
      <c r="AU768" s="583"/>
    </row>
    <row r="769" spans="1:47" s="586" customFormat="1" x14ac:dyDescent="0.2">
      <c r="A769" s="585"/>
      <c r="B769" s="585"/>
      <c r="C769" s="585"/>
      <c r="D769" s="583"/>
      <c r="E769" s="583"/>
      <c r="F769" s="583"/>
      <c r="G769" s="583"/>
      <c r="H769" s="583"/>
      <c r="I769" s="583"/>
      <c r="J769" s="583"/>
      <c r="K769" s="583"/>
      <c r="L769" s="583"/>
      <c r="M769" s="583"/>
      <c r="N769" s="583"/>
      <c r="O769" s="583"/>
      <c r="P769" s="583"/>
      <c r="Q769" s="583"/>
      <c r="R769" s="583"/>
      <c r="S769" s="583"/>
      <c r="T769" s="583"/>
      <c r="U769" s="583"/>
      <c r="V769" s="583"/>
      <c r="W769" s="583"/>
      <c r="X769" s="583"/>
      <c r="Y769" s="583"/>
      <c r="Z769" s="583"/>
      <c r="AA769" s="583"/>
      <c r="AB769" s="583"/>
      <c r="AC769" s="583"/>
      <c r="AD769" s="583"/>
      <c r="AE769" s="583"/>
      <c r="AF769" s="583"/>
      <c r="AG769" s="583"/>
      <c r="AH769" s="583"/>
      <c r="AI769" s="583"/>
      <c r="AJ769" s="583"/>
      <c r="AK769" s="583"/>
      <c r="AL769" s="583"/>
      <c r="AM769" s="583"/>
      <c r="AN769" s="583"/>
      <c r="AO769" s="583"/>
      <c r="AP769" s="583"/>
      <c r="AQ769" s="583"/>
      <c r="AR769" s="583"/>
      <c r="AS769" s="583"/>
      <c r="AT769" s="583"/>
      <c r="AU769" s="583"/>
    </row>
    <row r="770" spans="1:47" s="586" customFormat="1" x14ac:dyDescent="0.2">
      <c r="A770" s="585"/>
      <c r="B770" s="585"/>
      <c r="C770" s="585"/>
      <c r="D770" s="583"/>
      <c r="E770" s="583"/>
      <c r="F770" s="583"/>
      <c r="G770" s="583"/>
      <c r="H770" s="583"/>
      <c r="I770" s="583"/>
      <c r="J770" s="583"/>
      <c r="K770" s="583"/>
      <c r="L770" s="583"/>
      <c r="M770" s="583"/>
      <c r="N770" s="583"/>
      <c r="O770" s="583"/>
      <c r="P770" s="583"/>
      <c r="Q770" s="583"/>
      <c r="R770" s="583"/>
      <c r="S770" s="583"/>
      <c r="T770" s="583"/>
      <c r="U770" s="583"/>
      <c r="V770" s="583"/>
      <c r="W770" s="583"/>
      <c r="X770" s="583"/>
      <c r="Y770" s="583"/>
      <c r="Z770" s="583"/>
      <c r="AA770" s="583"/>
      <c r="AB770" s="583"/>
      <c r="AC770" s="583"/>
      <c r="AD770" s="583"/>
      <c r="AE770" s="583"/>
      <c r="AF770" s="583"/>
      <c r="AG770" s="583"/>
      <c r="AH770" s="583"/>
      <c r="AI770" s="583"/>
      <c r="AJ770" s="583"/>
      <c r="AK770" s="583"/>
      <c r="AL770" s="583"/>
      <c r="AM770" s="583"/>
      <c r="AN770" s="583"/>
      <c r="AO770" s="583"/>
      <c r="AP770" s="583"/>
      <c r="AQ770" s="583"/>
      <c r="AR770" s="583"/>
      <c r="AS770" s="583"/>
      <c r="AT770" s="583"/>
      <c r="AU770" s="583"/>
    </row>
    <row r="771" spans="1:47" s="586" customFormat="1" x14ac:dyDescent="0.2">
      <c r="A771" s="585"/>
      <c r="B771" s="585"/>
      <c r="C771" s="585"/>
      <c r="D771" s="583"/>
      <c r="E771" s="583"/>
      <c r="F771" s="583"/>
      <c r="G771" s="583"/>
      <c r="H771" s="583"/>
      <c r="I771" s="583"/>
      <c r="J771" s="583"/>
      <c r="K771" s="583"/>
      <c r="L771" s="583"/>
      <c r="M771" s="583"/>
      <c r="N771" s="583"/>
      <c r="O771" s="583"/>
      <c r="P771" s="583"/>
      <c r="Q771" s="583"/>
      <c r="R771" s="583"/>
      <c r="S771" s="583"/>
      <c r="T771" s="583"/>
      <c r="U771" s="583"/>
      <c r="V771" s="583"/>
      <c r="W771" s="583"/>
      <c r="X771" s="583"/>
      <c r="Y771" s="583"/>
      <c r="Z771" s="583"/>
      <c r="AA771" s="583"/>
      <c r="AB771" s="583"/>
      <c r="AC771" s="583"/>
      <c r="AD771" s="583"/>
      <c r="AE771" s="583"/>
      <c r="AF771" s="583"/>
      <c r="AG771" s="583"/>
      <c r="AH771" s="583"/>
      <c r="AI771" s="583"/>
      <c r="AJ771" s="583"/>
      <c r="AK771" s="583"/>
      <c r="AL771" s="583"/>
      <c r="AM771" s="583"/>
      <c r="AN771" s="583"/>
      <c r="AO771" s="583"/>
      <c r="AP771" s="583"/>
      <c r="AQ771" s="583"/>
      <c r="AR771" s="583"/>
      <c r="AS771" s="583"/>
      <c r="AT771" s="583"/>
      <c r="AU771" s="583"/>
    </row>
    <row r="772" spans="1:47" s="586" customFormat="1" x14ac:dyDescent="0.2">
      <c r="A772" s="585"/>
      <c r="B772" s="585"/>
      <c r="C772" s="585"/>
      <c r="D772" s="583"/>
      <c r="E772" s="583"/>
      <c r="F772" s="583"/>
      <c r="G772" s="583"/>
      <c r="H772" s="583"/>
      <c r="I772" s="583"/>
      <c r="J772" s="583"/>
      <c r="K772" s="583"/>
      <c r="L772" s="583"/>
      <c r="M772" s="583"/>
      <c r="N772" s="583"/>
      <c r="O772" s="583"/>
      <c r="P772" s="583"/>
      <c r="Q772" s="583"/>
      <c r="R772" s="583"/>
      <c r="S772" s="583"/>
      <c r="T772" s="583"/>
      <c r="U772" s="583"/>
      <c r="V772" s="583"/>
      <c r="W772" s="583"/>
      <c r="X772" s="583"/>
      <c r="Y772" s="583"/>
      <c r="Z772" s="583"/>
      <c r="AA772" s="583"/>
      <c r="AB772" s="583"/>
      <c r="AC772" s="583"/>
      <c r="AD772" s="583"/>
      <c r="AE772" s="583"/>
      <c r="AF772" s="583"/>
      <c r="AG772" s="583"/>
      <c r="AH772" s="583"/>
      <c r="AI772" s="583"/>
      <c r="AJ772" s="583"/>
      <c r="AK772" s="583"/>
      <c r="AL772" s="583"/>
      <c r="AM772" s="583"/>
      <c r="AN772" s="583"/>
      <c r="AO772" s="583"/>
      <c r="AP772" s="583"/>
      <c r="AQ772" s="583"/>
      <c r="AR772" s="583"/>
      <c r="AS772" s="583"/>
      <c r="AT772" s="583"/>
      <c r="AU772" s="583"/>
    </row>
    <row r="773" spans="1:47" s="586" customFormat="1" x14ac:dyDescent="0.2">
      <c r="A773" s="585"/>
      <c r="B773" s="585"/>
      <c r="C773" s="585"/>
      <c r="D773" s="583"/>
      <c r="E773" s="583"/>
      <c r="F773" s="583"/>
      <c r="G773" s="583"/>
      <c r="H773" s="583"/>
      <c r="I773" s="583"/>
      <c r="J773" s="583"/>
      <c r="K773" s="583"/>
      <c r="L773" s="583"/>
      <c r="M773" s="583"/>
      <c r="N773" s="583"/>
      <c r="O773" s="583"/>
      <c r="P773" s="583"/>
      <c r="Q773" s="583"/>
      <c r="R773" s="583"/>
      <c r="S773" s="583"/>
      <c r="T773" s="583"/>
      <c r="U773" s="583"/>
      <c r="V773" s="583"/>
      <c r="W773" s="583"/>
      <c r="X773" s="583"/>
      <c r="Y773" s="583"/>
      <c r="Z773" s="583"/>
      <c r="AA773" s="583"/>
      <c r="AB773" s="583"/>
      <c r="AC773" s="583"/>
      <c r="AD773" s="583"/>
      <c r="AE773" s="583"/>
      <c r="AF773" s="583"/>
      <c r="AG773" s="583"/>
      <c r="AH773" s="583"/>
      <c r="AI773" s="583"/>
      <c r="AJ773" s="583"/>
      <c r="AK773" s="583"/>
      <c r="AL773" s="583"/>
      <c r="AM773" s="583"/>
      <c r="AN773" s="583"/>
      <c r="AO773" s="583"/>
      <c r="AP773" s="583"/>
      <c r="AQ773" s="583"/>
      <c r="AR773" s="583"/>
      <c r="AS773" s="583"/>
      <c r="AT773" s="583"/>
      <c r="AU773" s="583"/>
    </row>
    <row r="774" spans="1:47" s="586" customFormat="1" x14ac:dyDescent="0.2">
      <c r="A774" s="585"/>
      <c r="B774" s="585"/>
      <c r="C774" s="585"/>
      <c r="D774" s="583"/>
      <c r="E774" s="583"/>
      <c r="F774" s="583"/>
      <c r="G774" s="583"/>
      <c r="H774" s="583"/>
      <c r="I774" s="583"/>
      <c r="J774" s="583"/>
      <c r="K774" s="583"/>
      <c r="L774" s="583"/>
      <c r="M774" s="583"/>
      <c r="N774" s="583"/>
      <c r="O774" s="583"/>
      <c r="P774" s="583"/>
      <c r="Q774" s="583"/>
      <c r="R774" s="583"/>
      <c r="S774" s="583"/>
      <c r="T774" s="583"/>
      <c r="U774" s="583"/>
      <c r="V774" s="583"/>
      <c r="W774" s="583"/>
      <c r="X774" s="583"/>
      <c r="Y774" s="583"/>
      <c r="Z774" s="583"/>
      <c r="AA774" s="583"/>
      <c r="AB774" s="583"/>
      <c r="AC774" s="583"/>
      <c r="AD774" s="583"/>
      <c r="AE774" s="583"/>
      <c r="AF774" s="583"/>
      <c r="AG774" s="583"/>
      <c r="AH774" s="583"/>
      <c r="AI774" s="583"/>
      <c r="AJ774" s="583"/>
      <c r="AK774" s="583"/>
      <c r="AL774" s="583"/>
      <c r="AM774" s="583"/>
      <c r="AN774" s="583"/>
      <c r="AO774" s="583"/>
      <c r="AP774" s="583"/>
      <c r="AQ774" s="583"/>
      <c r="AR774" s="583"/>
      <c r="AS774" s="583"/>
      <c r="AT774" s="583"/>
      <c r="AU774" s="583"/>
    </row>
    <row r="775" spans="1:47" s="586" customFormat="1" x14ac:dyDescent="0.2">
      <c r="A775" s="585"/>
      <c r="B775" s="585"/>
      <c r="C775" s="585"/>
      <c r="D775" s="583"/>
      <c r="E775" s="583"/>
      <c r="F775" s="583"/>
      <c r="G775" s="583"/>
      <c r="H775" s="583"/>
      <c r="I775" s="583"/>
      <c r="J775" s="583"/>
      <c r="K775" s="583"/>
      <c r="L775" s="583"/>
      <c r="M775" s="583"/>
      <c r="N775" s="583"/>
      <c r="O775" s="583"/>
      <c r="P775" s="583"/>
      <c r="Q775" s="583"/>
      <c r="R775" s="583"/>
      <c r="S775" s="583"/>
      <c r="T775" s="583"/>
      <c r="U775" s="583"/>
      <c r="V775" s="583"/>
      <c r="W775" s="583"/>
      <c r="X775" s="583"/>
      <c r="Y775" s="583"/>
      <c r="Z775" s="583"/>
      <c r="AA775" s="583"/>
      <c r="AB775" s="583"/>
      <c r="AC775" s="583"/>
      <c r="AD775" s="583"/>
      <c r="AE775" s="583"/>
      <c r="AF775" s="583"/>
      <c r="AG775" s="583"/>
      <c r="AH775" s="583"/>
      <c r="AI775" s="583"/>
      <c r="AJ775" s="583"/>
      <c r="AK775" s="583"/>
      <c r="AL775" s="583"/>
      <c r="AM775" s="583"/>
      <c r="AN775" s="583"/>
      <c r="AO775" s="583"/>
      <c r="AP775" s="583"/>
      <c r="AQ775" s="583"/>
      <c r="AR775" s="583"/>
      <c r="AS775" s="583"/>
      <c r="AT775" s="583"/>
      <c r="AU775" s="583"/>
    </row>
    <row r="776" spans="1:47" s="586" customFormat="1" x14ac:dyDescent="0.2">
      <c r="A776" s="585"/>
      <c r="B776" s="585"/>
      <c r="C776" s="585"/>
      <c r="D776" s="583"/>
      <c r="E776" s="583"/>
      <c r="F776" s="583"/>
      <c r="G776" s="583"/>
      <c r="H776" s="583"/>
      <c r="I776" s="583"/>
      <c r="J776" s="583"/>
      <c r="K776" s="583"/>
      <c r="L776" s="583"/>
      <c r="M776" s="583"/>
      <c r="N776" s="583"/>
      <c r="O776" s="583"/>
      <c r="P776" s="583"/>
      <c r="Q776" s="583"/>
      <c r="R776" s="583"/>
      <c r="S776" s="583"/>
      <c r="T776" s="583"/>
      <c r="U776" s="583"/>
      <c r="V776" s="583"/>
      <c r="W776" s="583"/>
      <c r="X776" s="583"/>
      <c r="Y776" s="583"/>
      <c r="Z776" s="583"/>
      <c r="AA776" s="583"/>
      <c r="AB776" s="583"/>
      <c r="AC776" s="583"/>
      <c r="AD776" s="583"/>
      <c r="AE776" s="583"/>
      <c r="AF776" s="583"/>
      <c r="AG776" s="583"/>
      <c r="AH776" s="583"/>
      <c r="AI776" s="583"/>
      <c r="AJ776" s="583"/>
      <c r="AK776" s="583"/>
      <c r="AL776" s="583"/>
      <c r="AM776" s="583"/>
      <c r="AN776" s="583"/>
      <c r="AO776" s="583"/>
      <c r="AP776" s="583"/>
      <c r="AQ776" s="583"/>
      <c r="AR776" s="583"/>
      <c r="AS776" s="583"/>
      <c r="AT776" s="583"/>
      <c r="AU776" s="583"/>
    </row>
    <row r="777" spans="1:47" s="586" customFormat="1" x14ac:dyDescent="0.2">
      <c r="A777" s="585"/>
      <c r="B777" s="585"/>
      <c r="C777" s="585"/>
      <c r="D777" s="583"/>
      <c r="E777" s="583"/>
      <c r="F777" s="583"/>
      <c r="G777" s="583"/>
      <c r="H777" s="583"/>
      <c r="I777" s="583"/>
      <c r="J777" s="583"/>
      <c r="K777" s="583"/>
      <c r="L777" s="583"/>
      <c r="M777" s="583"/>
      <c r="N777" s="583"/>
      <c r="O777" s="583"/>
      <c r="P777" s="583"/>
      <c r="Q777" s="583"/>
      <c r="R777" s="583"/>
      <c r="S777" s="583"/>
      <c r="T777" s="583"/>
      <c r="U777" s="583"/>
      <c r="V777" s="583"/>
      <c r="W777" s="583"/>
      <c r="X777" s="583"/>
      <c r="Y777" s="583"/>
      <c r="Z777" s="583"/>
      <c r="AA777" s="583"/>
      <c r="AB777" s="583"/>
      <c r="AC777" s="583"/>
      <c r="AD777" s="583"/>
      <c r="AE777" s="583"/>
      <c r="AF777" s="583"/>
      <c r="AG777" s="583"/>
      <c r="AH777" s="583"/>
      <c r="AI777" s="583"/>
      <c r="AJ777" s="583"/>
      <c r="AK777" s="583"/>
      <c r="AL777" s="583"/>
      <c r="AM777" s="583"/>
      <c r="AN777" s="583"/>
      <c r="AO777" s="583"/>
      <c r="AP777" s="583"/>
      <c r="AQ777" s="583"/>
      <c r="AR777" s="583"/>
      <c r="AS777" s="583"/>
      <c r="AT777" s="583"/>
      <c r="AU777" s="583"/>
    </row>
    <row r="778" spans="1:47" s="586" customFormat="1" x14ac:dyDescent="0.2">
      <c r="A778" s="585"/>
      <c r="B778" s="585"/>
      <c r="C778" s="585"/>
      <c r="D778" s="583"/>
      <c r="E778" s="583"/>
      <c r="F778" s="583"/>
      <c r="G778" s="583"/>
      <c r="H778" s="583"/>
      <c r="I778" s="583"/>
      <c r="J778" s="583"/>
      <c r="K778" s="583"/>
      <c r="L778" s="583"/>
      <c r="M778" s="583"/>
      <c r="N778" s="583"/>
      <c r="O778" s="583"/>
      <c r="P778" s="583"/>
      <c r="Q778" s="583"/>
      <c r="R778" s="583"/>
      <c r="S778" s="583"/>
      <c r="T778" s="583"/>
      <c r="U778" s="583"/>
      <c r="V778" s="583"/>
      <c r="W778" s="583"/>
      <c r="X778" s="583"/>
      <c r="Y778" s="583"/>
      <c r="Z778" s="583"/>
      <c r="AA778" s="583"/>
      <c r="AB778" s="583"/>
      <c r="AC778" s="583"/>
      <c r="AD778" s="583"/>
      <c r="AE778" s="583"/>
      <c r="AF778" s="583"/>
      <c r="AG778" s="583"/>
      <c r="AH778" s="583"/>
      <c r="AI778" s="583"/>
      <c r="AJ778" s="583"/>
      <c r="AK778" s="583"/>
      <c r="AL778" s="583"/>
      <c r="AM778" s="583"/>
      <c r="AN778" s="583"/>
      <c r="AO778" s="583"/>
      <c r="AP778" s="583"/>
      <c r="AQ778" s="583"/>
      <c r="AR778" s="583"/>
      <c r="AS778" s="583"/>
      <c r="AT778" s="583"/>
      <c r="AU778" s="583"/>
    </row>
    <row r="779" spans="1:47" s="586" customFormat="1" x14ac:dyDescent="0.2">
      <c r="A779" s="585"/>
      <c r="B779" s="585"/>
      <c r="C779" s="585"/>
      <c r="D779" s="583"/>
      <c r="E779" s="583"/>
      <c r="F779" s="583"/>
      <c r="G779" s="583"/>
      <c r="H779" s="583"/>
      <c r="I779" s="583"/>
      <c r="J779" s="583"/>
      <c r="K779" s="583"/>
      <c r="L779" s="583"/>
      <c r="M779" s="583"/>
      <c r="N779" s="583"/>
      <c r="O779" s="583"/>
      <c r="P779" s="583"/>
      <c r="Q779" s="583"/>
      <c r="R779" s="583"/>
      <c r="S779" s="583"/>
      <c r="T779" s="583"/>
      <c r="U779" s="583"/>
      <c r="V779" s="583"/>
      <c r="W779" s="583"/>
      <c r="X779" s="583"/>
      <c r="Y779" s="583"/>
      <c r="Z779" s="583"/>
      <c r="AA779" s="583"/>
      <c r="AB779" s="583"/>
      <c r="AC779" s="583"/>
      <c r="AD779" s="583"/>
      <c r="AE779" s="583"/>
      <c r="AF779" s="583"/>
      <c r="AG779" s="583"/>
      <c r="AH779" s="583"/>
      <c r="AI779" s="583"/>
      <c r="AJ779" s="583"/>
      <c r="AK779" s="583"/>
      <c r="AL779" s="583"/>
      <c r="AM779" s="583"/>
      <c r="AN779" s="583"/>
      <c r="AO779" s="583"/>
      <c r="AP779" s="583"/>
      <c r="AQ779" s="583"/>
      <c r="AR779" s="583"/>
      <c r="AS779" s="583"/>
      <c r="AT779" s="583"/>
      <c r="AU779" s="583"/>
    </row>
    <row r="780" spans="1:47" s="586" customFormat="1" x14ac:dyDescent="0.2">
      <c r="A780" s="585"/>
      <c r="B780" s="585"/>
      <c r="C780" s="585"/>
      <c r="D780" s="583"/>
      <c r="E780" s="583"/>
      <c r="F780" s="583"/>
      <c r="G780" s="583"/>
      <c r="H780" s="583"/>
      <c r="I780" s="583"/>
      <c r="J780" s="583"/>
      <c r="K780" s="583"/>
      <c r="L780" s="583"/>
      <c r="M780" s="583"/>
      <c r="N780" s="583"/>
      <c r="O780" s="583"/>
      <c r="P780" s="583"/>
      <c r="Q780" s="583"/>
      <c r="R780" s="583"/>
      <c r="S780" s="583"/>
      <c r="T780" s="583"/>
      <c r="U780" s="583"/>
      <c r="V780" s="583"/>
      <c r="W780" s="583"/>
      <c r="X780" s="583"/>
      <c r="Y780" s="583"/>
      <c r="Z780" s="583"/>
      <c r="AA780" s="583"/>
      <c r="AB780" s="583"/>
      <c r="AC780" s="583"/>
      <c r="AD780" s="583"/>
      <c r="AE780" s="583"/>
      <c r="AF780" s="583"/>
      <c r="AG780" s="583"/>
      <c r="AH780" s="583"/>
      <c r="AI780" s="583"/>
      <c r="AJ780" s="583"/>
      <c r="AK780" s="583"/>
      <c r="AL780" s="583"/>
      <c r="AM780" s="583"/>
      <c r="AN780" s="583"/>
      <c r="AO780" s="583"/>
      <c r="AP780" s="583"/>
      <c r="AQ780" s="583"/>
      <c r="AR780" s="583"/>
      <c r="AS780" s="583"/>
      <c r="AT780" s="583"/>
      <c r="AU780" s="583"/>
    </row>
    <row r="781" spans="1:47" s="586" customFormat="1" x14ac:dyDescent="0.2">
      <c r="A781" s="585"/>
      <c r="B781" s="585"/>
      <c r="C781" s="585"/>
      <c r="D781" s="583"/>
      <c r="E781" s="583"/>
      <c r="F781" s="583"/>
      <c r="G781" s="583"/>
      <c r="H781" s="583"/>
      <c r="I781" s="583"/>
      <c r="J781" s="583"/>
      <c r="K781" s="583"/>
      <c r="L781" s="583"/>
      <c r="M781" s="583"/>
      <c r="N781" s="583"/>
      <c r="O781" s="583"/>
      <c r="P781" s="583"/>
      <c r="Q781" s="583"/>
      <c r="R781" s="583"/>
      <c r="S781" s="583"/>
      <c r="T781" s="583"/>
      <c r="U781" s="583"/>
      <c r="V781" s="583"/>
      <c r="W781" s="583"/>
      <c r="X781" s="583"/>
      <c r="Y781" s="583"/>
      <c r="Z781" s="583"/>
      <c r="AA781" s="583"/>
      <c r="AB781" s="583"/>
      <c r="AC781" s="583"/>
      <c r="AD781" s="583"/>
      <c r="AE781" s="583"/>
      <c r="AF781" s="583"/>
      <c r="AG781" s="583"/>
      <c r="AH781" s="583"/>
      <c r="AI781" s="583"/>
      <c r="AJ781" s="583"/>
      <c r="AK781" s="583"/>
      <c r="AL781" s="583"/>
      <c r="AM781" s="583"/>
      <c r="AN781" s="583"/>
      <c r="AO781" s="583"/>
      <c r="AP781" s="583"/>
      <c r="AQ781" s="583"/>
      <c r="AR781" s="583"/>
      <c r="AS781" s="583"/>
      <c r="AT781" s="583"/>
      <c r="AU781" s="583"/>
    </row>
    <row r="782" spans="1:47" s="586" customFormat="1" x14ac:dyDescent="0.2">
      <c r="A782" s="585"/>
      <c r="B782" s="585"/>
      <c r="C782" s="585"/>
      <c r="D782" s="583"/>
      <c r="E782" s="583"/>
      <c r="F782" s="583"/>
      <c r="G782" s="583"/>
      <c r="H782" s="583"/>
      <c r="I782" s="583"/>
      <c r="J782" s="583"/>
      <c r="K782" s="583"/>
      <c r="L782" s="583"/>
      <c r="M782" s="583"/>
      <c r="N782" s="583"/>
      <c r="O782" s="583"/>
      <c r="P782" s="583"/>
      <c r="Q782" s="583"/>
      <c r="R782" s="583"/>
      <c r="S782" s="583"/>
      <c r="T782" s="583"/>
      <c r="U782" s="583"/>
      <c r="V782" s="583"/>
      <c r="W782" s="583"/>
      <c r="X782" s="583"/>
      <c r="Y782" s="583"/>
      <c r="Z782" s="583"/>
      <c r="AA782" s="583"/>
      <c r="AB782" s="583"/>
      <c r="AC782" s="583"/>
      <c r="AD782" s="583"/>
      <c r="AE782" s="583"/>
      <c r="AF782" s="583"/>
      <c r="AG782" s="583"/>
      <c r="AH782" s="583"/>
      <c r="AI782" s="583"/>
      <c r="AJ782" s="583"/>
      <c r="AK782" s="583"/>
      <c r="AL782" s="583"/>
      <c r="AM782" s="583"/>
      <c r="AN782" s="583"/>
      <c r="AO782" s="583"/>
      <c r="AP782" s="583"/>
      <c r="AQ782" s="583"/>
      <c r="AR782" s="583"/>
      <c r="AS782" s="583"/>
      <c r="AT782" s="583"/>
      <c r="AU782" s="583"/>
    </row>
    <row r="783" spans="1:47" s="586" customFormat="1" x14ac:dyDescent="0.2">
      <c r="A783" s="585"/>
      <c r="B783" s="585"/>
      <c r="C783" s="585"/>
      <c r="D783" s="583"/>
      <c r="E783" s="583"/>
      <c r="F783" s="583"/>
      <c r="G783" s="583"/>
      <c r="H783" s="583"/>
      <c r="I783" s="583"/>
      <c r="J783" s="583"/>
      <c r="K783" s="583"/>
      <c r="L783" s="583"/>
      <c r="M783" s="583"/>
      <c r="N783" s="583"/>
      <c r="O783" s="583"/>
      <c r="P783" s="583"/>
      <c r="Q783" s="583"/>
      <c r="R783" s="583"/>
      <c r="S783" s="583"/>
      <c r="T783" s="583"/>
      <c r="U783" s="583"/>
      <c r="V783" s="583"/>
      <c r="W783" s="583"/>
      <c r="X783" s="583"/>
      <c r="Y783" s="583"/>
      <c r="Z783" s="583"/>
      <c r="AA783" s="583"/>
      <c r="AB783" s="583"/>
      <c r="AC783" s="583"/>
      <c r="AD783" s="583"/>
      <c r="AE783" s="583"/>
      <c r="AF783" s="583"/>
      <c r="AG783" s="583"/>
      <c r="AH783" s="583"/>
      <c r="AI783" s="583"/>
      <c r="AJ783" s="583"/>
      <c r="AK783" s="583"/>
      <c r="AL783" s="583"/>
      <c r="AM783" s="583"/>
      <c r="AN783" s="583"/>
      <c r="AO783" s="583"/>
      <c r="AP783" s="583"/>
      <c r="AQ783" s="583"/>
      <c r="AR783" s="583"/>
      <c r="AS783" s="583"/>
      <c r="AT783" s="583"/>
      <c r="AU783" s="583"/>
    </row>
    <row r="784" spans="1:47" s="586" customFormat="1" x14ac:dyDescent="0.2">
      <c r="A784" s="585"/>
      <c r="B784" s="585"/>
      <c r="C784" s="585"/>
      <c r="D784" s="583"/>
      <c r="E784" s="583"/>
      <c r="F784" s="583"/>
      <c r="G784" s="583"/>
      <c r="H784" s="583"/>
      <c r="I784" s="583"/>
      <c r="J784" s="583"/>
      <c r="K784" s="583"/>
      <c r="L784" s="583"/>
      <c r="M784" s="583"/>
      <c r="N784" s="583"/>
      <c r="O784" s="583"/>
      <c r="P784" s="583"/>
      <c r="Q784" s="583"/>
      <c r="R784" s="583"/>
      <c r="S784" s="583"/>
      <c r="T784" s="583"/>
      <c r="U784" s="583"/>
      <c r="V784" s="583"/>
      <c r="W784" s="583"/>
      <c r="X784" s="583"/>
      <c r="Y784" s="583"/>
      <c r="Z784" s="583"/>
      <c r="AA784" s="583"/>
      <c r="AB784" s="583"/>
      <c r="AC784" s="583"/>
      <c r="AD784" s="583"/>
      <c r="AE784" s="583"/>
      <c r="AF784" s="583"/>
      <c r="AG784" s="583"/>
      <c r="AH784" s="583"/>
      <c r="AI784" s="583"/>
      <c r="AJ784" s="583"/>
      <c r="AK784" s="583"/>
      <c r="AL784" s="583"/>
      <c r="AM784" s="583"/>
      <c r="AN784" s="583"/>
      <c r="AO784" s="583"/>
      <c r="AP784" s="583"/>
      <c r="AQ784" s="583"/>
      <c r="AR784" s="583"/>
      <c r="AS784" s="583"/>
      <c r="AT784" s="583"/>
      <c r="AU784" s="583"/>
    </row>
    <row r="785" spans="1:47" s="586" customFormat="1" x14ac:dyDescent="0.2">
      <c r="A785" s="585"/>
      <c r="B785" s="585"/>
      <c r="C785" s="585"/>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c r="AN785" s="583"/>
      <c r="AO785" s="583"/>
      <c r="AP785" s="583"/>
      <c r="AQ785" s="583"/>
      <c r="AR785" s="583"/>
      <c r="AS785" s="583"/>
      <c r="AT785" s="583"/>
      <c r="AU785" s="583"/>
    </row>
    <row r="786" spans="1:47" s="586" customFormat="1" x14ac:dyDescent="0.2">
      <c r="A786" s="585"/>
      <c r="B786" s="585"/>
      <c r="C786" s="585"/>
      <c r="D786" s="583"/>
      <c r="E786" s="583"/>
      <c r="F786" s="583"/>
      <c r="G786" s="583"/>
      <c r="H786" s="583"/>
      <c r="I786" s="583"/>
      <c r="J786" s="583"/>
      <c r="K786" s="583"/>
      <c r="L786" s="583"/>
      <c r="M786" s="583"/>
      <c r="N786" s="583"/>
      <c r="O786" s="583"/>
      <c r="P786" s="583"/>
      <c r="Q786" s="583"/>
      <c r="R786" s="583"/>
      <c r="S786" s="583"/>
      <c r="T786" s="583"/>
      <c r="U786" s="583"/>
      <c r="V786" s="583"/>
      <c r="W786" s="583"/>
      <c r="X786" s="583"/>
      <c r="Y786" s="583"/>
      <c r="Z786" s="583"/>
      <c r="AA786" s="583"/>
      <c r="AB786" s="583"/>
      <c r="AC786" s="583"/>
      <c r="AD786" s="583"/>
      <c r="AE786" s="583"/>
      <c r="AF786" s="583"/>
      <c r="AG786" s="583"/>
      <c r="AH786" s="583"/>
      <c r="AI786" s="583"/>
      <c r="AJ786" s="583"/>
      <c r="AK786" s="583"/>
      <c r="AL786" s="583"/>
      <c r="AM786" s="583"/>
      <c r="AN786" s="583"/>
      <c r="AO786" s="583"/>
      <c r="AP786" s="583"/>
      <c r="AQ786" s="583"/>
      <c r="AR786" s="583"/>
      <c r="AS786" s="583"/>
      <c r="AT786" s="583"/>
      <c r="AU786" s="583"/>
    </row>
    <row r="787" spans="1:47" s="586" customFormat="1" x14ac:dyDescent="0.2">
      <c r="A787" s="585"/>
      <c r="B787" s="585"/>
      <c r="C787" s="585"/>
      <c r="D787" s="583"/>
      <c r="E787" s="583"/>
      <c r="F787" s="583"/>
      <c r="G787" s="583"/>
      <c r="H787" s="583"/>
      <c r="I787" s="583"/>
      <c r="J787" s="583"/>
      <c r="K787" s="583"/>
      <c r="L787" s="583"/>
      <c r="M787" s="583"/>
      <c r="N787" s="583"/>
      <c r="O787" s="583"/>
      <c r="P787" s="583"/>
      <c r="Q787" s="583"/>
      <c r="R787" s="583"/>
      <c r="S787" s="583"/>
      <c r="T787" s="583"/>
      <c r="U787" s="583"/>
      <c r="V787" s="583"/>
      <c r="W787" s="583"/>
      <c r="X787" s="583"/>
      <c r="Y787" s="583"/>
      <c r="Z787" s="583"/>
      <c r="AA787" s="583"/>
      <c r="AB787" s="583"/>
      <c r="AC787" s="583"/>
      <c r="AD787" s="583"/>
      <c r="AE787" s="583"/>
      <c r="AF787" s="583"/>
      <c r="AG787" s="583"/>
      <c r="AH787" s="583"/>
      <c r="AI787" s="583"/>
      <c r="AJ787" s="583"/>
      <c r="AK787" s="583"/>
      <c r="AL787" s="583"/>
      <c r="AM787" s="583"/>
      <c r="AN787" s="583"/>
      <c r="AO787" s="583"/>
      <c r="AP787" s="583"/>
      <c r="AQ787" s="583"/>
      <c r="AR787" s="583"/>
      <c r="AS787" s="583"/>
      <c r="AT787" s="583"/>
      <c r="AU787" s="583"/>
    </row>
    <row r="788" spans="1:47" s="586" customFormat="1" x14ac:dyDescent="0.2">
      <c r="A788" s="585"/>
      <c r="B788" s="585"/>
      <c r="C788" s="585"/>
      <c r="D788" s="583"/>
      <c r="E788" s="583"/>
      <c r="F788" s="583"/>
      <c r="G788" s="583"/>
      <c r="H788" s="583"/>
      <c r="I788" s="583"/>
      <c r="J788" s="583"/>
      <c r="K788" s="583"/>
      <c r="L788" s="583"/>
      <c r="M788" s="583"/>
      <c r="N788" s="583"/>
      <c r="O788" s="583"/>
      <c r="P788" s="583"/>
      <c r="Q788" s="583"/>
      <c r="R788" s="583"/>
      <c r="S788" s="583"/>
      <c r="T788" s="583"/>
      <c r="U788" s="583"/>
      <c r="V788" s="583"/>
      <c r="W788" s="583"/>
      <c r="X788" s="583"/>
      <c r="Y788" s="583"/>
      <c r="Z788" s="583"/>
      <c r="AA788" s="583"/>
      <c r="AB788" s="583"/>
      <c r="AC788" s="583"/>
      <c r="AD788" s="583"/>
      <c r="AE788" s="583"/>
      <c r="AF788" s="583"/>
      <c r="AG788" s="583"/>
      <c r="AH788" s="583"/>
      <c r="AI788" s="583"/>
      <c r="AJ788" s="583"/>
      <c r="AK788" s="583"/>
      <c r="AL788" s="583"/>
      <c r="AM788" s="583"/>
      <c r="AN788" s="583"/>
      <c r="AO788" s="583"/>
      <c r="AP788" s="583"/>
      <c r="AQ788" s="583"/>
      <c r="AR788" s="583"/>
      <c r="AS788" s="583"/>
      <c r="AT788" s="583"/>
      <c r="AU788" s="583"/>
    </row>
    <row r="789" spans="1:47" s="586" customFormat="1" x14ac:dyDescent="0.2">
      <c r="A789" s="585"/>
      <c r="B789" s="585"/>
      <c r="C789" s="585"/>
      <c r="D789" s="583"/>
      <c r="E789" s="583"/>
      <c r="F789" s="583"/>
      <c r="G789" s="583"/>
      <c r="H789" s="583"/>
      <c r="I789" s="583"/>
      <c r="J789" s="583"/>
      <c r="K789" s="583"/>
      <c r="L789" s="583"/>
      <c r="M789" s="583"/>
      <c r="N789" s="583"/>
      <c r="O789" s="583"/>
      <c r="P789" s="583"/>
      <c r="Q789" s="583"/>
      <c r="R789" s="583"/>
      <c r="S789" s="583"/>
      <c r="T789" s="583"/>
      <c r="U789" s="583"/>
      <c r="V789" s="583"/>
      <c r="W789" s="583"/>
      <c r="X789" s="583"/>
      <c r="Y789" s="583"/>
      <c r="Z789" s="583"/>
      <c r="AA789" s="583"/>
      <c r="AB789" s="583"/>
      <c r="AC789" s="583"/>
      <c r="AD789" s="583"/>
      <c r="AE789" s="583"/>
      <c r="AF789" s="583"/>
      <c r="AG789" s="583"/>
      <c r="AH789" s="583"/>
      <c r="AI789" s="583"/>
      <c r="AJ789" s="583"/>
      <c r="AK789" s="583"/>
      <c r="AL789" s="583"/>
      <c r="AM789" s="583"/>
      <c r="AN789" s="583"/>
      <c r="AO789" s="583"/>
      <c r="AP789" s="583"/>
      <c r="AQ789" s="583"/>
      <c r="AR789" s="583"/>
      <c r="AS789" s="583"/>
      <c r="AT789" s="583"/>
      <c r="AU789" s="583"/>
    </row>
    <row r="790" spans="1:47" s="586" customFormat="1" x14ac:dyDescent="0.2">
      <c r="A790" s="585"/>
      <c r="B790" s="585"/>
      <c r="C790" s="585"/>
      <c r="D790" s="583"/>
      <c r="E790" s="583"/>
      <c r="F790" s="583"/>
      <c r="G790" s="583"/>
      <c r="H790" s="583"/>
      <c r="I790" s="583"/>
      <c r="J790" s="583"/>
      <c r="K790" s="583"/>
      <c r="L790" s="583"/>
      <c r="M790" s="583"/>
      <c r="N790" s="583"/>
      <c r="O790" s="583"/>
      <c r="P790" s="583"/>
      <c r="Q790" s="583"/>
      <c r="R790" s="583"/>
      <c r="S790" s="583"/>
      <c r="T790" s="583"/>
      <c r="U790" s="583"/>
      <c r="V790" s="583"/>
      <c r="W790" s="583"/>
      <c r="X790" s="583"/>
      <c r="Y790" s="583"/>
      <c r="Z790" s="583"/>
      <c r="AA790" s="583"/>
      <c r="AB790" s="583"/>
      <c r="AC790" s="583"/>
      <c r="AD790" s="583"/>
      <c r="AE790" s="583"/>
      <c r="AF790" s="583"/>
      <c r="AG790" s="583"/>
      <c r="AH790" s="583"/>
      <c r="AI790" s="583"/>
      <c r="AJ790" s="583"/>
      <c r="AK790" s="583"/>
      <c r="AL790" s="583"/>
      <c r="AM790" s="583"/>
      <c r="AN790" s="583"/>
      <c r="AO790" s="583"/>
      <c r="AP790" s="583"/>
      <c r="AQ790" s="583"/>
      <c r="AR790" s="583"/>
      <c r="AS790" s="583"/>
      <c r="AT790" s="583"/>
      <c r="AU790" s="583"/>
    </row>
    <row r="791" spans="1:47" s="586" customFormat="1" x14ac:dyDescent="0.2">
      <c r="A791" s="585"/>
      <c r="B791" s="585"/>
      <c r="C791" s="585"/>
      <c r="D791" s="583"/>
      <c r="E791" s="583"/>
      <c r="F791" s="583"/>
      <c r="G791" s="583"/>
      <c r="H791" s="583"/>
      <c r="I791" s="583"/>
      <c r="J791" s="583"/>
      <c r="K791" s="583"/>
      <c r="L791" s="583"/>
      <c r="M791" s="583"/>
      <c r="N791" s="583"/>
      <c r="O791" s="583"/>
      <c r="P791" s="583"/>
      <c r="Q791" s="583"/>
      <c r="R791" s="583"/>
      <c r="S791" s="583"/>
      <c r="T791" s="583"/>
      <c r="U791" s="583"/>
      <c r="V791" s="583"/>
      <c r="W791" s="583"/>
      <c r="X791" s="583"/>
      <c r="Y791" s="583"/>
      <c r="Z791" s="583"/>
      <c r="AA791" s="583"/>
      <c r="AB791" s="583"/>
      <c r="AC791" s="583"/>
      <c r="AD791" s="583"/>
      <c r="AE791" s="583"/>
      <c r="AF791" s="583"/>
      <c r="AG791" s="583"/>
      <c r="AH791" s="583"/>
      <c r="AI791" s="583"/>
      <c r="AJ791" s="583"/>
      <c r="AK791" s="583"/>
      <c r="AL791" s="583"/>
      <c r="AM791" s="583"/>
      <c r="AN791" s="583"/>
      <c r="AO791" s="583"/>
      <c r="AP791" s="583"/>
      <c r="AQ791" s="583"/>
      <c r="AR791" s="583"/>
      <c r="AS791" s="583"/>
      <c r="AT791" s="583"/>
      <c r="AU791" s="583"/>
    </row>
    <row r="792" spans="1:47" s="586" customFormat="1" x14ac:dyDescent="0.2">
      <c r="A792" s="585"/>
      <c r="B792" s="585"/>
      <c r="C792" s="585"/>
      <c r="D792" s="583"/>
      <c r="E792" s="583"/>
      <c r="F792" s="583"/>
      <c r="G792" s="583"/>
      <c r="H792" s="583"/>
      <c r="I792" s="583"/>
      <c r="J792" s="583"/>
      <c r="K792" s="583"/>
      <c r="L792" s="583"/>
      <c r="M792" s="583"/>
      <c r="N792" s="583"/>
      <c r="O792" s="583"/>
      <c r="P792" s="583"/>
      <c r="Q792" s="583"/>
      <c r="R792" s="583"/>
      <c r="S792" s="583"/>
      <c r="T792" s="583"/>
      <c r="U792" s="583"/>
      <c r="V792" s="583"/>
      <c r="W792" s="583"/>
      <c r="X792" s="583"/>
      <c r="Y792" s="583"/>
      <c r="Z792" s="583"/>
      <c r="AA792" s="583"/>
      <c r="AB792" s="583"/>
      <c r="AC792" s="583"/>
      <c r="AD792" s="583"/>
      <c r="AE792" s="583"/>
      <c r="AF792" s="583"/>
      <c r="AG792" s="583"/>
      <c r="AH792" s="583"/>
      <c r="AI792" s="583"/>
      <c r="AJ792" s="583"/>
      <c r="AK792" s="583"/>
      <c r="AL792" s="583"/>
      <c r="AM792" s="583"/>
      <c r="AN792" s="583"/>
      <c r="AO792" s="583"/>
      <c r="AP792" s="583"/>
      <c r="AQ792" s="583"/>
      <c r="AR792" s="583"/>
      <c r="AS792" s="583"/>
      <c r="AT792" s="583"/>
      <c r="AU792" s="583"/>
    </row>
    <row r="793" spans="1:47" s="586" customFormat="1" x14ac:dyDescent="0.2">
      <c r="A793" s="585"/>
      <c r="B793" s="585"/>
      <c r="C793" s="585"/>
      <c r="D793" s="583"/>
      <c r="E793" s="583"/>
      <c r="F793" s="583"/>
      <c r="G793" s="583"/>
      <c r="H793" s="583"/>
      <c r="I793" s="583"/>
      <c r="J793" s="583"/>
      <c r="K793" s="583"/>
      <c r="L793" s="583"/>
      <c r="M793" s="583"/>
      <c r="N793" s="583"/>
      <c r="O793" s="583"/>
      <c r="P793" s="583"/>
      <c r="Q793" s="583"/>
      <c r="R793" s="583"/>
      <c r="S793" s="583"/>
      <c r="T793" s="583"/>
      <c r="U793" s="583"/>
      <c r="V793" s="583"/>
      <c r="W793" s="583"/>
      <c r="X793" s="583"/>
      <c r="Y793" s="583"/>
      <c r="Z793" s="583"/>
      <c r="AA793" s="583"/>
      <c r="AB793" s="583"/>
      <c r="AC793" s="583"/>
      <c r="AD793" s="583"/>
      <c r="AE793" s="583"/>
      <c r="AF793" s="583"/>
      <c r="AG793" s="583"/>
      <c r="AH793" s="583"/>
      <c r="AI793" s="583"/>
      <c r="AJ793" s="583"/>
      <c r="AK793" s="583"/>
      <c r="AL793" s="583"/>
      <c r="AM793" s="583"/>
      <c r="AN793" s="583"/>
      <c r="AO793" s="583"/>
      <c r="AP793" s="583"/>
      <c r="AQ793" s="583"/>
      <c r="AR793" s="583"/>
      <c r="AS793" s="583"/>
      <c r="AT793" s="583"/>
      <c r="AU793" s="583"/>
    </row>
    <row r="794" spans="1:47" s="586" customFormat="1" x14ac:dyDescent="0.2">
      <c r="A794" s="585"/>
      <c r="B794" s="585"/>
      <c r="C794" s="585"/>
      <c r="D794" s="583"/>
      <c r="E794" s="583"/>
      <c r="F794" s="583"/>
      <c r="G794" s="583"/>
      <c r="H794" s="583"/>
      <c r="I794" s="583"/>
      <c r="J794" s="583"/>
      <c r="K794" s="583"/>
      <c r="L794" s="583"/>
      <c r="M794" s="583"/>
      <c r="N794" s="583"/>
      <c r="O794" s="583"/>
      <c r="P794" s="583"/>
      <c r="Q794" s="583"/>
      <c r="R794" s="583"/>
      <c r="S794" s="583"/>
      <c r="T794" s="583"/>
      <c r="U794" s="583"/>
      <c r="V794" s="583"/>
      <c r="W794" s="583"/>
      <c r="X794" s="583"/>
      <c r="Y794" s="583"/>
      <c r="Z794" s="583"/>
      <c r="AA794" s="583"/>
      <c r="AB794" s="583"/>
      <c r="AC794" s="583"/>
      <c r="AD794" s="583"/>
      <c r="AE794" s="583"/>
      <c r="AF794" s="583"/>
      <c r="AG794" s="583"/>
      <c r="AH794" s="583"/>
      <c r="AI794" s="583"/>
      <c r="AJ794" s="583"/>
      <c r="AK794" s="583"/>
      <c r="AL794" s="583"/>
      <c r="AM794" s="583"/>
      <c r="AN794" s="583"/>
      <c r="AO794" s="583"/>
      <c r="AP794" s="583"/>
      <c r="AQ794" s="583"/>
      <c r="AR794" s="583"/>
      <c r="AS794" s="583"/>
      <c r="AT794" s="583"/>
      <c r="AU794" s="583"/>
    </row>
    <row r="795" spans="1:47" s="586" customFormat="1" x14ac:dyDescent="0.2">
      <c r="A795" s="585"/>
      <c r="B795" s="585"/>
      <c r="C795" s="585"/>
      <c r="D795" s="583"/>
      <c r="E795" s="583"/>
      <c r="F795" s="583"/>
      <c r="G795" s="583"/>
      <c r="H795" s="583"/>
      <c r="I795" s="583"/>
      <c r="J795" s="583"/>
      <c r="K795" s="583"/>
      <c r="L795" s="583"/>
      <c r="M795" s="583"/>
      <c r="N795" s="583"/>
      <c r="O795" s="583"/>
      <c r="P795" s="583"/>
      <c r="Q795" s="583"/>
      <c r="R795" s="583"/>
      <c r="S795" s="583"/>
      <c r="T795" s="583"/>
      <c r="U795" s="583"/>
      <c r="V795" s="583"/>
      <c r="W795" s="583"/>
      <c r="X795" s="583"/>
      <c r="Y795" s="583"/>
      <c r="Z795" s="583"/>
      <c r="AA795" s="583"/>
      <c r="AB795" s="583"/>
      <c r="AC795" s="583"/>
      <c r="AD795" s="583"/>
      <c r="AE795" s="583"/>
      <c r="AF795" s="583"/>
      <c r="AG795" s="583"/>
      <c r="AH795" s="583"/>
      <c r="AI795" s="583"/>
      <c r="AJ795" s="583"/>
      <c r="AK795" s="583"/>
      <c r="AL795" s="583"/>
      <c r="AM795" s="583"/>
      <c r="AN795" s="583"/>
      <c r="AO795" s="583"/>
      <c r="AP795" s="583"/>
      <c r="AQ795" s="583"/>
      <c r="AR795" s="583"/>
      <c r="AS795" s="583"/>
      <c r="AT795" s="583"/>
      <c r="AU795" s="583"/>
    </row>
    <row r="796" spans="1:47" s="586" customFormat="1" x14ac:dyDescent="0.2">
      <c r="A796" s="585"/>
      <c r="B796" s="585"/>
      <c r="C796" s="585"/>
      <c r="D796" s="583"/>
      <c r="E796" s="583"/>
      <c r="F796" s="583"/>
      <c r="G796" s="583"/>
      <c r="H796" s="583"/>
      <c r="I796" s="583"/>
      <c r="J796" s="583"/>
      <c r="K796" s="583"/>
      <c r="L796" s="583"/>
      <c r="M796" s="583"/>
      <c r="N796" s="583"/>
      <c r="O796" s="583"/>
      <c r="P796" s="583"/>
      <c r="Q796" s="583"/>
      <c r="R796" s="583"/>
      <c r="S796" s="583"/>
      <c r="T796" s="583"/>
      <c r="U796" s="583"/>
      <c r="V796" s="583"/>
      <c r="W796" s="583"/>
      <c r="X796" s="583"/>
      <c r="Y796" s="583"/>
      <c r="Z796" s="583"/>
      <c r="AA796" s="583"/>
      <c r="AB796" s="583"/>
      <c r="AC796" s="583"/>
      <c r="AD796" s="583"/>
      <c r="AE796" s="583"/>
      <c r="AF796" s="583"/>
      <c r="AG796" s="583"/>
      <c r="AH796" s="583"/>
      <c r="AI796" s="583"/>
      <c r="AJ796" s="583"/>
      <c r="AK796" s="583"/>
      <c r="AL796" s="583"/>
      <c r="AM796" s="583"/>
      <c r="AN796" s="583"/>
      <c r="AO796" s="583"/>
      <c r="AP796" s="583"/>
      <c r="AQ796" s="583"/>
      <c r="AR796" s="583"/>
      <c r="AS796" s="583"/>
      <c r="AT796" s="583"/>
      <c r="AU796" s="583"/>
    </row>
    <row r="797" spans="1:47" s="586" customFormat="1" x14ac:dyDescent="0.2">
      <c r="A797" s="585"/>
      <c r="B797" s="585"/>
      <c r="C797" s="585"/>
      <c r="D797" s="583"/>
      <c r="E797" s="583"/>
      <c r="F797" s="583"/>
      <c r="G797" s="583"/>
      <c r="H797" s="583"/>
      <c r="I797" s="583"/>
      <c r="J797" s="583"/>
      <c r="K797" s="583"/>
      <c r="L797" s="583"/>
      <c r="M797" s="583"/>
      <c r="N797" s="583"/>
      <c r="O797" s="583"/>
      <c r="P797" s="583"/>
      <c r="Q797" s="583"/>
      <c r="R797" s="583"/>
      <c r="S797" s="583"/>
      <c r="T797" s="583"/>
      <c r="U797" s="583"/>
      <c r="V797" s="583"/>
      <c r="W797" s="583"/>
      <c r="X797" s="583"/>
      <c r="Y797" s="583"/>
      <c r="Z797" s="583"/>
      <c r="AA797" s="583"/>
      <c r="AB797" s="583"/>
      <c r="AC797" s="583"/>
      <c r="AD797" s="583"/>
      <c r="AE797" s="583"/>
      <c r="AF797" s="583"/>
      <c r="AG797" s="583"/>
      <c r="AH797" s="583"/>
      <c r="AI797" s="583"/>
      <c r="AJ797" s="583"/>
      <c r="AK797" s="583"/>
      <c r="AL797" s="583"/>
      <c r="AM797" s="583"/>
      <c r="AN797" s="583"/>
      <c r="AO797" s="583"/>
      <c r="AP797" s="583"/>
      <c r="AQ797" s="583"/>
      <c r="AR797" s="583"/>
      <c r="AS797" s="583"/>
      <c r="AT797" s="583"/>
      <c r="AU797" s="583"/>
    </row>
    <row r="798" spans="1:47" s="586" customFormat="1" x14ac:dyDescent="0.2">
      <c r="A798" s="585"/>
      <c r="B798" s="585"/>
      <c r="C798" s="585"/>
      <c r="D798" s="583"/>
      <c r="E798" s="583"/>
      <c r="F798" s="583"/>
      <c r="G798" s="583"/>
      <c r="H798" s="583"/>
      <c r="I798" s="583"/>
      <c r="J798" s="583"/>
      <c r="K798" s="583"/>
      <c r="L798" s="583"/>
      <c r="M798" s="583"/>
      <c r="N798" s="583"/>
      <c r="O798" s="583"/>
      <c r="P798" s="583"/>
      <c r="Q798" s="583"/>
      <c r="R798" s="583"/>
      <c r="S798" s="583"/>
      <c r="T798" s="583"/>
      <c r="U798" s="583"/>
      <c r="V798" s="583"/>
      <c r="W798" s="583"/>
      <c r="X798" s="583"/>
      <c r="Y798" s="583"/>
      <c r="Z798" s="583"/>
      <c r="AA798" s="583"/>
      <c r="AB798" s="583"/>
      <c r="AC798" s="583"/>
      <c r="AD798" s="583"/>
      <c r="AE798" s="583"/>
      <c r="AF798" s="583"/>
      <c r="AG798" s="583"/>
      <c r="AH798" s="583"/>
      <c r="AI798" s="583"/>
      <c r="AJ798" s="583"/>
      <c r="AK798" s="583"/>
      <c r="AL798" s="583"/>
      <c r="AM798" s="583"/>
      <c r="AN798" s="583"/>
      <c r="AO798" s="583"/>
      <c r="AP798" s="583"/>
      <c r="AQ798" s="583"/>
      <c r="AR798" s="583"/>
      <c r="AS798" s="583"/>
      <c r="AT798" s="583"/>
      <c r="AU798" s="583"/>
    </row>
    <row r="799" spans="1:47" s="586" customFormat="1" x14ac:dyDescent="0.2">
      <c r="A799" s="585"/>
      <c r="B799" s="585"/>
      <c r="C799" s="585"/>
      <c r="D799" s="583"/>
      <c r="E799" s="583"/>
      <c r="F799" s="583"/>
      <c r="G799" s="583"/>
      <c r="H799" s="583"/>
      <c r="I799" s="583"/>
      <c r="J799" s="583"/>
      <c r="K799" s="583"/>
      <c r="L799" s="583"/>
      <c r="M799" s="583"/>
      <c r="N799" s="583"/>
      <c r="O799" s="583"/>
      <c r="P799" s="583"/>
      <c r="Q799" s="583"/>
      <c r="R799" s="583"/>
      <c r="S799" s="583"/>
      <c r="T799" s="583"/>
      <c r="U799" s="583"/>
      <c r="V799" s="583"/>
      <c r="W799" s="583"/>
      <c r="X799" s="583"/>
      <c r="Y799" s="583"/>
      <c r="Z799" s="583"/>
      <c r="AA799" s="583"/>
      <c r="AB799" s="583"/>
      <c r="AC799" s="583"/>
      <c r="AD799" s="583"/>
      <c r="AE799" s="583"/>
      <c r="AF799" s="583"/>
      <c r="AG799" s="583"/>
      <c r="AH799" s="583"/>
      <c r="AI799" s="583"/>
      <c r="AJ799" s="583"/>
      <c r="AK799" s="583"/>
      <c r="AL799" s="583"/>
      <c r="AM799" s="583"/>
      <c r="AN799" s="583"/>
      <c r="AO799" s="583"/>
      <c r="AP799" s="583"/>
      <c r="AQ799" s="583"/>
      <c r="AR799" s="583"/>
      <c r="AS799" s="583"/>
      <c r="AT799" s="583"/>
      <c r="AU799" s="583"/>
    </row>
    <row r="800" spans="1:47" s="586" customFormat="1" x14ac:dyDescent="0.2">
      <c r="A800" s="585"/>
      <c r="B800" s="585"/>
      <c r="C800" s="585"/>
      <c r="D800" s="583"/>
      <c r="E800" s="583"/>
      <c r="F800" s="583"/>
      <c r="G800" s="583"/>
      <c r="H800" s="583"/>
      <c r="I800" s="583"/>
      <c r="J800" s="583"/>
      <c r="K800" s="583"/>
      <c r="L800" s="583"/>
      <c r="M800" s="583"/>
      <c r="N800" s="583"/>
      <c r="O800" s="583"/>
      <c r="P800" s="583"/>
      <c r="Q800" s="583"/>
      <c r="R800" s="583"/>
      <c r="S800" s="583"/>
      <c r="T800" s="583"/>
      <c r="U800" s="583"/>
      <c r="V800" s="583"/>
      <c r="W800" s="583"/>
      <c r="X800" s="583"/>
      <c r="Y800" s="583"/>
      <c r="Z800" s="583"/>
      <c r="AA800" s="583"/>
      <c r="AB800" s="583"/>
      <c r="AC800" s="583"/>
      <c r="AD800" s="583"/>
      <c r="AE800" s="583"/>
      <c r="AF800" s="583"/>
      <c r="AG800" s="583"/>
      <c r="AH800" s="583"/>
      <c r="AI800" s="583"/>
      <c r="AJ800" s="583"/>
      <c r="AK800" s="583"/>
      <c r="AL800" s="583"/>
      <c r="AM800" s="583"/>
      <c r="AN800" s="583"/>
      <c r="AO800" s="583"/>
      <c r="AP800" s="583"/>
      <c r="AQ800" s="583"/>
      <c r="AR800" s="583"/>
      <c r="AS800" s="583"/>
      <c r="AT800" s="583"/>
      <c r="AU800" s="583"/>
    </row>
    <row r="801" spans="1:47" s="586" customFormat="1" x14ac:dyDescent="0.2">
      <c r="A801" s="585"/>
      <c r="B801" s="585"/>
      <c r="C801" s="585"/>
      <c r="D801" s="583"/>
      <c r="E801" s="583"/>
      <c r="F801" s="583"/>
      <c r="G801" s="583"/>
      <c r="H801" s="583"/>
      <c r="I801" s="583"/>
      <c r="J801" s="583"/>
      <c r="K801" s="583"/>
      <c r="L801" s="583"/>
      <c r="M801" s="583"/>
      <c r="N801" s="583"/>
      <c r="O801" s="583"/>
      <c r="P801" s="583"/>
      <c r="Q801" s="583"/>
      <c r="R801" s="583"/>
      <c r="S801" s="583"/>
      <c r="T801" s="583"/>
      <c r="U801" s="583"/>
      <c r="V801" s="583"/>
      <c r="W801" s="583"/>
      <c r="X801" s="583"/>
      <c r="Y801" s="583"/>
      <c r="Z801" s="583"/>
      <c r="AA801" s="583"/>
      <c r="AB801" s="583"/>
      <c r="AC801" s="583"/>
      <c r="AD801" s="583"/>
      <c r="AE801" s="583"/>
      <c r="AF801" s="583"/>
      <c r="AG801" s="583"/>
      <c r="AH801" s="583"/>
      <c r="AI801" s="583"/>
      <c r="AJ801" s="583"/>
      <c r="AK801" s="583"/>
      <c r="AL801" s="583"/>
      <c r="AM801" s="583"/>
      <c r="AN801" s="583"/>
      <c r="AO801" s="583"/>
      <c r="AP801" s="583"/>
      <c r="AQ801" s="583"/>
      <c r="AR801" s="583"/>
      <c r="AS801" s="583"/>
      <c r="AT801" s="583"/>
      <c r="AU801" s="583"/>
    </row>
    <row r="802" spans="1:47" s="586" customFormat="1" x14ac:dyDescent="0.2">
      <c r="A802" s="585"/>
      <c r="B802" s="585"/>
      <c r="C802" s="585"/>
      <c r="D802" s="583"/>
      <c r="E802" s="583"/>
      <c r="F802" s="583"/>
      <c r="G802" s="583"/>
      <c r="H802" s="583"/>
      <c r="I802" s="583"/>
      <c r="J802" s="583"/>
      <c r="K802" s="583"/>
      <c r="L802" s="583"/>
      <c r="M802" s="583"/>
      <c r="N802" s="583"/>
      <c r="O802" s="583"/>
      <c r="P802" s="583"/>
      <c r="Q802" s="583"/>
      <c r="R802" s="583"/>
      <c r="S802" s="583"/>
      <c r="T802" s="583"/>
      <c r="U802" s="583"/>
      <c r="V802" s="583"/>
      <c r="W802" s="583"/>
      <c r="X802" s="583"/>
      <c r="Y802" s="583"/>
      <c r="Z802" s="583"/>
      <c r="AA802" s="583"/>
      <c r="AB802" s="583"/>
      <c r="AC802" s="583"/>
      <c r="AD802" s="583"/>
      <c r="AE802" s="583"/>
      <c r="AF802" s="583"/>
      <c r="AG802" s="583"/>
      <c r="AH802" s="583"/>
      <c r="AI802" s="583"/>
      <c r="AJ802" s="583"/>
      <c r="AK802" s="583"/>
      <c r="AL802" s="583"/>
      <c r="AM802" s="583"/>
      <c r="AN802" s="583"/>
      <c r="AO802" s="583"/>
      <c r="AP802" s="583"/>
      <c r="AQ802" s="583"/>
      <c r="AR802" s="583"/>
      <c r="AS802" s="583"/>
      <c r="AT802" s="583"/>
      <c r="AU802" s="583"/>
    </row>
    <row r="803" spans="1:47" s="586" customFormat="1" x14ac:dyDescent="0.2">
      <c r="A803" s="585"/>
      <c r="B803" s="585"/>
      <c r="C803" s="585"/>
      <c r="D803" s="583"/>
      <c r="E803" s="583"/>
      <c r="F803" s="583"/>
      <c r="G803" s="583"/>
      <c r="H803" s="583"/>
      <c r="I803" s="583"/>
      <c r="J803" s="583"/>
      <c r="K803" s="583"/>
      <c r="L803" s="583"/>
      <c r="M803" s="583"/>
      <c r="N803" s="583"/>
      <c r="O803" s="583"/>
      <c r="P803" s="583"/>
      <c r="Q803" s="583"/>
      <c r="R803" s="583"/>
      <c r="S803" s="583"/>
      <c r="T803" s="583"/>
      <c r="U803" s="583"/>
      <c r="V803" s="583"/>
      <c r="W803" s="583"/>
      <c r="X803" s="583"/>
      <c r="Y803" s="583"/>
      <c r="Z803" s="583"/>
      <c r="AA803" s="583"/>
      <c r="AB803" s="583"/>
      <c r="AC803" s="583"/>
      <c r="AD803" s="583"/>
      <c r="AE803" s="583"/>
      <c r="AF803" s="583"/>
      <c r="AG803" s="583"/>
      <c r="AH803" s="583"/>
      <c r="AI803" s="583"/>
      <c r="AJ803" s="583"/>
      <c r="AK803" s="583"/>
      <c r="AL803" s="583"/>
      <c r="AM803" s="583"/>
      <c r="AN803" s="583"/>
      <c r="AO803" s="583"/>
      <c r="AP803" s="583"/>
      <c r="AQ803" s="583"/>
      <c r="AR803" s="583"/>
      <c r="AS803" s="583"/>
      <c r="AT803" s="583"/>
      <c r="AU803" s="583"/>
    </row>
    <row r="804" spans="1:47" s="586" customFormat="1" x14ac:dyDescent="0.2">
      <c r="A804" s="585"/>
      <c r="B804" s="585"/>
      <c r="C804" s="585"/>
      <c r="D804" s="583"/>
      <c r="E804" s="583"/>
      <c r="F804" s="583"/>
      <c r="G804" s="583"/>
      <c r="H804" s="583"/>
      <c r="I804" s="583"/>
      <c r="J804" s="583"/>
      <c r="K804" s="583"/>
      <c r="L804" s="583"/>
      <c r="M804" s="583"/>
      <c r="N804" s="583"/>
      <c r="O804" s="583"/>
      <c r="P804" s="583"/>
      <c r="Q804" s="583"/>
      <c r="R804" s="583"/>
      <c r="S804" s="583"/>
      <c r="T804" s="583"/>
      <c r="U804" s="583"/>
      <c r="V804" s="583"/>
      <c r="W804" s="583"/>
      <c r="X804" s="583"/>
      <c r="Y804" s="583"/>
      <c r="Z804" s="583"/>
      <c r="AA804" s="583"/>
      <c r="AB804" s="583"/>
      <c r="AC804" s="583"/>
      <c r="AD804" s="583"/>
      <c r="AE804" s="583"/>
      <c r="AF804" s="583"/>
      <c r="AG804" s="583"/>
      <c r="AH804" s="583"/>
      <c r="AI804" s="583"/>
      <c r="AJ804" s="583"/>
      <c r="AK804" s="583"/>
      <c r="AL804" s="583"/>
      <c r="AM804" s="583"/>
      <c r="AN804" s="583"/>
      <c r="AO804" s="583"/>
      <c r="AP804" s="583"/>
      <c r="AQ804" s="583"/>
      <c r="AR804" s="583"/>
      <c r="AS804" s="583"/>
      <c r="AT804" s="583"/>
      <c r="AU804" s="583"/>
    </row>
    <row r="805" spans="1:47" s="586" customFormat="1" x14ac:dyDescent="0.2">
      <c r="A805" s="585"/>
      <c r="B805" s="585"/>
      <c r="C805" s="585"/>
      <c r="D805" s="583"/>
      <c r="E805" s="583"/>
      <c r="F805" s="583"/>
      <c r="G805" s="583"/>
      <c r="H805" s="583"/>
      <c r="I805" s="583"/>
      <c r="J805" s="583"/>
      <c r="K805" s="583"/>
      <c r="L805" s="583"/>
      <c r="M805" s="583"/>
      <c r="N805" s="583"/>
      <c r="O805" s="583"/>
      <c r="P805" s="583"/>
      <c r="Q805" s="583"/>
      <c r="R805" s="583"/>
      <c r="S805" s="583"/>
      <c r="T805" s="583"/>
      <c r="U805" s="583"/>
      <c r="V805" s="583"/>
      <c r="W805" s="583"/>
      <c r="X805" s="583"/>
      <c r="Y805" s="583"/>
      <c r="Z805" s="583"/>
      <c r="AA805" s="583"/>
      <c r="AB805" s="583"/>
      <c r="AC805" s="583"/>
      <c r="AD805" s="583"/>
      <c r="AE805" s="583"/>
      <c r="AF805" s="583"/>
      <c r="AG805" s="583"/>
      <c r="AH805" s="583"/>
      <c r="AI805" s="583"/>
      <c r="AJ805" s="583"/>
      <c r="AK805" s="583"/>
      <c r="AL805" s="583"/>
      <c r="AM805" s="583"/>
      <c r="AN805" s="583"/>
      <c r="AO805" s="583"/>
      <c r="AP805" s="583"/>
      <c r="AQ805" s="583"/>
      <c r="AR805" s="583"/>
      <c r="AS805" s="583"/>
      <c r="AT805" s="583"/>
      <c r="AU805" s="583"/>
    </row>
    <row r="806" spans="1:47" s="586" customFormat="1" x14ac:dyDescent="0.2">
      <c r="A806" s="585"/>
      <c r="B806" s="585"/>
      <c r="C806" s="585"/>
      <c r="D806" s="583"/>
      <c r="E806" s="583"/>
      <c r="F806" s="583"/>
      <c r="G806" s="583"/>
      <c r="H806" s="583"/>
      <c r="I806" s="583"/>
      <c r="J806" s="583"/>
      <c r="K806" s="583"/>
      <c r="L806" s="583"/>
      <c r="M806" s="583"/>
      <c r="N806" s="583"/>
      <c r="O806" s="583"/>
      <c r="P806" s="583"/>
      <c r="Q806" s="583"/>
      <c r="R806" s="583"/>
      <c r="S806" s="583"/>
      <c r="T806" s="583"/>
      <c r="U806" s="583"/>
      <c r="V806" s="583"/>
      <c r="W806" s="583"/>
      <c r="X806" s="583"/>
      <c r="Y806" s="583"/>
      <c r="Z806" s="583"/>
      <c r="AA806" s="583"/>
      <c r="AB806" s="583"/>
      <c r="AC806" s="583"/>
      <c r="AD806" s="583"/>
      <c r="AE806" s="583"/>
      <c r="AF806" s="583"/>
      <c r="AG806" s="583"/>
      <c r="AH806" s="583"/>
      <c r="AI806" s="583"/>
      <c r="AJ806" s="583"/>
      <c r="AK806" s="583"/>
      <c r="AL806" s="583"/>
      <c r="AM806" s="583"/>
      <c r="AN806" s="583"/>
      <c r="AO806" s="583"/>
      <c r="AP806" s="583"/>
      <c r="AQ806" s="583"/>
      <c r="AR806" s="583"/>
      <c r="AS806" s="583"/>
      <c r="AT806" s="583"/>
      <c r="AU806" s="583"/>
    </row>
    <row r="807" spans="1:47" s="586" customFormat="1" x14ac:dyDescent="0.2">
      <c r="A807" s="585"/>
      <c r="B807" s="585"/>
      <c r="C807" s="585"/>
      <c r="D807" s="583"/>
      <c r="E807" s="583"/>
      <c r="F807" s="583"/>
      <c r="G807" s="583"/>
      <c r="H807" s="583"/>
      <c r="I807" s="583"/>
      <c r="J807" s="583"/>
      <c r="K807" s="583"/>
      <c r="L807" s="583"/>
      <c r="M807" s="583"/>
      <c r="N807" s="583"/>
      <c r="O807" s="583"/>
      <c r="P807" s="583"/>
      <c r="Q807" s="583"/>
      <c r="R807" s="583"/>
      <c r="S807" s="583"/>
      <c r="T807" s="583"/>
      <c r="U807" s="583"/>
      <c r="V807" s="583"/>
      <c r="W807" s="583"/>
      <c r="X807" s="583"/>
      <c r="Y807" s="583"/>
      <c r="Z807" s="583"/>
      <c r="AA807" s="583"/>
      <c r="AB807" s="583"/>
      <c r="AC807" s="583"/>
      <c r="AD807" s="583"/>
      <c r="AE807" s="583"/>
      <c r="AF807" s="583"/>
      <c r="AG807" s="583"/>
      <c r="AH807" s="583"/>
      <c r="AI807" s="583"/>
      <c r="AJ807" s="583"/>
      <c r="AK807" s="583"/>
      <c r="AL807" s="583"/>
      <c r="AM807" s="583"/>
      <c r="AN807" s="583"/>
      <c r="AO807" s="583"/>
      <c r="AP807" s="583"/>
      <c r="AQ807" s="583"/>
      <c r="AR807" s="583"/>
      <c r="AS807" s="583"/>
      <c r="AT807" s="583"/>
      <c r="AU807" s="583"/>
    </row>
    <row r="808" spans="1:47" s="586" customFormat="1" x14ac:dyDescent="0.2">
      <c r="A808" s="585"/>
      <c r="B808" s="585"/>
      <c r="C808" s="585"/>
      <c r="D808" s="583"/>
      <c r="E808" s="583"/>
      <c r="F808" s="583"/>
      <c r="G808" s="583"/>
      <c r="H808" s="583"/>
      <c r="I808" s="583"/>
      <c r="J808" s="583"/>
      <c r="K808" s="583"/>
      <c r="L808" s="583"/>
      <c r="M808" s="583"/>
      <c r="N808" s="583"/>
      <c r="O808" s="583"/>
      <c r="P808" s="583"/>
      <c r="Q808" s="583"/>
      <c r="R808" s="583"/>
      <c r="S808" s="583"/>
      <c r="T808" s="583"/>
      <c r="U808" s="583"/>
      <c r="V808" s="583"/>
      <c r="W808" s="583"/>
      <c r="X808" s="583"/>
      <c r="Y808" s="583"/>
      <c r="Z808" s="583"/>
      <c r="AA808" s="583"/>
      <c r="AB808" s="583"/>
      <c r="AC808" s="583"/>
      <c r="AD808" s="583"/>
      <c r="AE808" s="583"/>
      <c r="AF808" s="583"/>
      <c r="AG808" s="583"/>
      <c r="AH808" s="583"/>
      <c r="AI808" s="583"/>
      <c r="AJ808" s="583"/>
      <c r="AK808" s="583"/>
      <c r="AL808" s="583"/>
      <c r="AM808" s="583"/>
      <c r="AN808" s="583"/>
      <c r="AO808" s="583"/>
      <c r="AP808" s="583"/>
      <c r="AQ808" s="583"/>
      <c r="AR808" s="583"/>
      <c r="AS808" s="583"/>
      <c r="AT808" s="583"/>
      <c r="AU808" s="583"/>
    </row>
    <row r="809" spans="1:47" s="586" customFormat="1" x14ac:dyDescent="0.2">
      <c r="A809" s="585"/>
      <c r="B809" s="585"/>
      <c r="C809" s="585"/>
      <c r="D809" s="583"/>
      <c r="E809" s="583"/>
      <c r="F809" s="583"/>
      <c r="G809" s="583"/>
      <c r="H809" s="583"/>
      <c r="I809" s="583"/>
      <c r="J809" s="583"/>
      <c r="K809" s="583"/>
      <c r="L809" s="583"/>
      <c r="M809" s="583"/>
      <c r="N809" s="583"/>
      <c r="O809" s="583"/>
      <c r="P809" s="583"/>
      <c r="Q809" s="583"/>
      <c r="R809" s="583"/>
      <c r="S809" s="583"/>
      <c r="T809" s="583"/>
      <c r="U809" s="583"/>
      <c r="V809" s="583"/>
      <c r="W809" s="583"/>
      <c r="X809" s="583"/>
      <c r="Y809" s="583"/>
      <c r="Z809" s="583"/>
      <c r="AA809" s="583"/>
      <c r="AB809" s="583"/>
      <c r="AC809" s="583"/>
      <c r="AD809" s="583"/>
      <c r="AE809" s="583"/>
      <c r="AF809" s="583"/>
      <c r="AG809" s="583"/>
      <c r="AH809" s="583"/>
      <c r="AI809" s="583"/>
      <c r="AJ809" s="583"/>
      <c r="AK809" s="583"/>
      <c r="AL809" s="583"/>
      <c r="AM809" s="583"/>
      <c r="AN809" s="583"/>
      <c r="AO809" s="583"/>
      <c r="AP809" s="583"/>
      <c r="AQ809" s="583"/>
      <c r="AR809" s="583"/>
      <c r="AS809" s="583"/>
      <c r="AT809" s="583"/>
      <c r="AU809" s="583"/>
    </row>
    <row r="810" spans="1:47" s="586" customFormat="1" x14ac:dyDescent="0.2">
      <c r="A810" s="585"/>
      <c r="B810" s="585"/>
      <c r="C810" s="585"/>
      <c r="D810" s="583"/>
      <c r="E810" s="583"/>
      <c r="F810" s="583"/>
      <c r="G810" s="583"/>
      <c r="H810" s="583"/>
      <c r="I810" s="583"/>
      <c r="J810" s="583"/>
      <c r="K810" s="583"/>
      <c r="L810" s="583"/>
      <c r="M810" s="583"/>
      <c r="N810" s="583"/>
      <c r="O810" s="583"/>
      <c r="P810" s="583"/>
      <c r="Q810" s="583"/>
      <c r="R810" s="583"/>
      <c r="S810" s="583"/>
      <c r="T810" s="583"/>
      <c r="U810" s="583"/>
      <c r="V810" s="583"/>
      <c r="W810" s="583"/>
      <c r="X810" s="583"/>
      <c r="Y810" s="583"/>
      <c r="Z810" s="583"/>
      <c r="AA810" s="583"/>
      <c r="AB810" s="583"/>
      <c r="AC810" s="583"/>
      <c r="AD810" s="583"/>
      <c r="AE810" s="583"/>
      <c r="AF810" s="583"/>
      <c r="AG810" s="583"/>
      <c r="AH810" s="583"/>
      <c r="AI810" s="583"/>
      <c r="AJ810" s="583"/>
      <c r="AK810" s="583"/>
      <c r="AL810" s="583"/>
      <c r="AM810" s="583"/>
      <c r="AN810" s="583"/>
      <c r="AO810" s="583"/>
      <c r="AP810" s="583"/>
      <c r="AQ810" s="583"/>
      <c r="AR810" s="583"/>
      <c r="AS810" s="583"/>
      <c r="AT810" s="583"/>
      <c r="AU810" s="583"/>
    </row>
    <row r="811" spans="1:47" s="586" customFormat="1" x14ac:dyDescent="0.2">
      <c r="A811" s="585"/>
      <c r="B811" s="585"/>
      <c r="C811" s="585"/>
      <c r="D811" s="583"/>
      <c r="E811" s="583"/>
      <c r="F811" s="583"/>
      <c r="G811" s="583"/>
      <c r="H811" s="583"/>
      <c r="I811" s="583"/>
      <c r="J811" s="583"/>
      <c r="K811" s="583"/>
      <c r="L811" s="583"/>
      <c r="M811" s="583"/>
      <c r="N811" s="583"/>
      <c r="O811" s="583"/>
      <c r="P811" s="583"/>
      <c r="Q811" s="583"/>
      <c r="R811" s="583"/>
      <c r="S811" s="583"/>
      <c r="T811" s="583"/>
      <c r="U811" s="583"/>
      <c r="V811" s="583"/>
      <c r="W811" s="583"/>
      <c r="X811" s="583"/>
      <c r="Y811" s="583"/>
      <c r="Z811" s="583"/>
      <c r="AA811" s="583"/>
      <c r="AB811" s="583"/>
      <c r="AC811" s="583"/>
      <c r="AD811" s="583"/>
      <c r="AE811" s="583"/>
      <c r="AF811" s="583"/>
      <c r="AG811" s="583"/>
      <c r="AH811" s="583"/>
      <c r="AI811" s="583"/>
      <c r="AJ811" s="583"/>
      <c r="AK811" s="583"/>
      <c r="AL811" s="583"/>
      <c r="AM811" s="583"/>
      <c r="AN811" s="583"/>
      <c r="AO811" s="583"/>
      <c r="AP811" s="583"/>
      <c r="AQ811" s="583"/>
      <c r="AR811" s="583"/>
      <c r="AS811" s="583"/>
      <c r="AT811" s="583"/>
      <c r="AU811" s="583"/>
    </row>
    <row r="812" spans="1:47" s="586" customFormat="1" x14ac:dyDescent="0.2">
      <c r="A812" s="585"/>
      <c r="B812" s="585"/>
      <c r="C812" s="585"/>
      <c r="D812" s="583"/>
      <c r="E812" s="583"/>
      <c r="F812" s="583"/>
      <c r="G812" s="583"/>
      <c r="H812" s="583"/>
      <c r="I812" s="583"/>
      <c r="J812" s="583"/>
      <c r="K812" s="583"/>
      <c r="L812" s="583"/>
      <c r="M812" s="583"/>
      <c r="N812" s="583"/>
      <c r="O812" s="583"/>
      <c r="P812" s="583"/>
      <c r="Q812" s="583"/>
      <c r="R812" s="583"/>
      <c r="S812" s="583"/>
      <c r="T812" s="583"/>
      <c r="U812" s="583"/>
      <c r="V812" s="583"/>
      <c r="W812" s="583"/>
      <c r="X812" s="583"/>
      <c r="Y812" s="583"/>
      <c r="Z812" s="583"/>
      <c r="AA812" s="583"/>
      <c r="AB812" s="583"/>
      <c r="AC812" s="583"/>
      <c r="AD812" s="583"/>
      <c r="AE812" s="583"/>
      <c r="AF812" s="583"/>
      <c r="AG812" s="583"/>
      <c r="AH812" s="583"/>
      <c r="AI812" s="583"/>
      <c r="AJ812" s="583"/>
      <c r="AK812" s="583"/>
      <c r="AL812" s="583"/>
      <c r="AM812" s="583"/>
      <c r="AN812" s="583"/>
      <c r="AO812" s="583"/>
      <c r="AP812" s="583"/>
      <c r="AQ812" s="583"/>
      <c r="AR812" s="583"/>
      <c r="AS812" s="583"/>
      <c r="AT812" s="583"/>
      <c r="AU812" s="583"/>
    </row>
    <row r="813" spans="1:47" s="586" customFormat="1" x14ac:dyDescent="0.2">
      <c r="A813" s="585"/>
      <c r="B813" s="585"/>
      <c r="C813" s="585"/>
      <c r="D813" s="583"/>
      <c r="E813" s="583"/>
      <c r="F813" s="583"/>
      <c r="G813" s="583"/>
      <c r="H813" s="583"/>
      <c r="I813" s="583"/>
      <c r="J813" s="583"/>
      <c r="K813" s="583"/>
      <c r="L813" s="583"/>
      <c r="M813" s="583"/>
      <c r="N813" s="583"/>
      <c r="O813" s="583"/>
      <c r="P813" s="583"/>
      <c r="Q813" s="583"/>
      <c r="R813" s="583"/>
      <c r="S813" s="583"/>
      <c r="T813" s="583"/>
      <c r="U813" s="583"/>
      <c r="V813" s="583"/>
      <c r="W813" s="583"/>
      <c r="X813" s="583"/>
      <c r="Y813" s="583"/>
      <c r="Z813" s="583"/>
      <c r="AA813" s="583"/>
      <c r="AB813" s="583"/>
      <c r="AC813" s="583"/>
      <c r="AD813" s="583"/>
      <c r="AE813" s="583"/>
      <c r="AF813" s="583"/>
      <c r="AG813" s="583"/>
      <c r="AH813" s="583"/>
      <c r="AI813" s="583"/>
      <c r="AJ813" s="583"/>
      <c r="AK813" s="583"/>
      <c r="AL813" s="583"/>
      <c r="AM813" s="583"/>
      <c r="AN813" s="583"/>
      <c r="AO813" s="583"/>
      <c r="AP813" s="583"/>
      <c r="AQ813" s="583"/>
      <c r="AR813" s="583"/>
      <c r="AS813" s="583"/>
      <c r="AT813" s="583"/>
      <c r="AU813" s="583"/>
    </row>
    <row r="814" spans="1:47" s="586" customFormat="1" x14ac:dyDescent="0.2">
      <c r="A814" s="585"/>
      <c r="B814" s="585"/>
      <c r="C814" s="585"/>
      <c r="D814" s="583"/>
      <c r="E814" s="583"/>
      <c r="F814" s="583"/>
      <c r="G814" s="583"/>
      <c r="H814" s="583"/>
      <c r="I814" s="583"/>
      <c r="J814" s="583"/>
      <c r="K814" s="583"/>
      <c r="L814" s="583"/>
      <c r="M814" s="583"/>
      <c r="N814" s="583"/>
      <c r="O814" s="583"/>
      <c r="P814" s="583"/>
      <c r="Q814" s="583"/>
      <c r="R814" s="583"/>
      <c r="S814" s="583"/>
      <c r="T814" s="583"/>
      <c r="U814" s="583"/>
      <c r="V814" s="583"/>
      <c r="W814" s="583"/>
      <c r="X814" s="583"/>
      <c r="Y814" s="583"/>
      <c r="Z814" s="583"/>
      <c r="AA814" s="583"/>
      <c r="AB814" s="583"/>
      <c r="AC814" s="583"/>
      <c r="AD814" s="583"/>
      <c r="AE814" s="583"/>
      <c r="AF814" s="583"/>
      <c r="AG814" s="583"/>
      <c r="AH814" s="583"/>
      <c r="AI814" s="583"/>
      <c r="AJ814" s="583"/>
      <c r="AK814" s="583"/>
      <c r="AL814" s="583"/>
      <c r="AM814" s="583"/>
      <c r="AN814" s="583"/>
      <c r="AO814" s="583"/>
      <c r="AP814" s="583"/>
      <c r="AQ814" s="583"/>
      <c r="AR814" s="583"/>
      <c r="AS814" s="583"/>
      <c r="AT814" s="583"/>
      <c r="AU814" s="583"/>
    </row>
    <row r="815" spans="1:47" s="586" customFormat="1" x14ac:dyDescent="0.2">
      <c r="A815" s="585"/>
      <c r="B815" s="585"/>
      <c r="C815" s="585"/>
      <c r="D815" s="583"/>
      <c r="E815" s="583"/>
      <c r="F815" s="583"/>
      <c r="G815" s="583"/>
      <c r="H815" s="583"/>
      <c r="I815" s="583"/>
      <c r="J815" s="583"/>
      <c r="K815" s="583"/>
      <c r="L815" s="583"/>
      <c r="M815" s="583"/>
      <c r="N815" s="583"/>
      <c r="O815" s="583"/>
      <c r="P815" s="583"/>
      <c r="Q815" s="583"/>
      <c r="R815" s="583"/>
      <c r="S815" s="583"/>
      <c r="T815" s="583"/>
      <c r="U815" s="583"/>
      <c r="V815" s="583"/>
      <c r="W815" s="583"/>
      <c r="X815" s="583"/>
      <c r="Y815" s="583"/>
      <c r="Z815" s="583"/>
      <c r="AA815" s="583"/>
      <c r="AB815" s="583"/>
      <c r="AC815" s="583"/>
      <c r="AD815" s="583"/>
      <c r="AE815" s="583"/>
      <c r="AF815" s="583"/>
      <c r="AG815" s="583"/>
      <c r="AH815" s="583"/>
      <c r="AI815" s="583"/>
      <c r="AJ815" s="583"/>
      <c r="AK815" s="583"/>
      <c r="AL815" s="583"/>
      <c r="AM815" s="583"/>
      <c r="AN815" s="583"/>
      <c r="AO815" s="583"/>
      <c r="AP815" s="583"/>
      <c r="AQ815" s="583"/>
      <c r="AR815" s="583"/>
      <c r="AS815" s="583"/>
      <c r="AT815" s="583"/>
      <c r="AU815" s="583"/>
    </row>
    <row r="816" spans="1:47" s="586" customFormat="1" x14ac:dyDescent="0.2">
      <c r="A816" s="585"/>
      <c r="B816" s="585"/>
      <c r="C816" s="585"/>
      <c r="D816" s="583"/>
      <c r="E816" s="583"/>
      <c r="F816" s="583"/>
      <c r="G816" s="583"/>
      <c r="H816" s="583"/>
      <c r="I816" s="583"/>
      <c r="J816" s="583"/>
      <c r="K816" s="583"/>
      <c r="L816" s="583"/>
      <c r="M816" s="583"/>
      <c r="N816" s="583"/>
      <c r="O816" s="583"/>
      <c r="P816" s="583"/>
      <c r="Q816" s="583"/>
      <c r="R816" s="583"/>
      <c r="S816" s="583"/>
      <c r="T816" s="583"/>
      <c r="U816" s="583"/>
      <c r="V816" s="583"/>
      <c r="W816" s="583"/>
      <c r="X816" s="583"/>
      <c r="Y816" s="583"/>
      <c r="Z816" s="583"/>
      <c r="AA816" s="583"/>
      <c r="AB816" s="583"/>
      <c r="AC816" s="583"/>
      <c r="AD816" s="583"/>
      <c r="AE816" s="583"/>
      <c r="AF816" s="583"/>
      <c r="AG816" s="583"/>
      <c r="AH816" s="583"/>
      <c r="AI816" s="583"/>
      <c r="AJ816" s="583"/>
      <c r="AK816" s="583"/>
      <c r="AL816" s="583"/>
      <c r="AM816" s="583"/>
      <c r="AN816" s="583"/>
      <c r="AO816" s="583"/>
      <c r="AP816" s="583"/>
      <c r="AQ816" s="583"/>
      <c r="AR816" s="583"/>
      <c r="AS816" s="583"/>
      <c r="AT816" s="583"/>
      <c r="AU816" s="583"/>
    </row>
    <row r="817" spans="1:47" s="586" customFormat="1" x14ac:dyDescent="0.2">
      <c r="A817" s="585"/>
      <c r="B817" s="585"/>
      <c r="C817" s="585"/>
      <c r="D817" s="583"/>
      <c r="E817" s="583"/>
      <c r="F817" s="583"/>
      <c r="G817" s="583"/>
      <c r="H817" s="583"/>
      <c r="I817" s="583"/>
      <c r="J817" s="583"/>
      <c r="K817" s="583"/>
      <c r="L817" s="583"/>
      <c r="M817" s="583"/>
      <c r="N817" s="583"/>
      <c r="O817" s="583"/>
      <c r="P817" s="583"/>
      <c r="Q817" s="583"/>
      <c r="R817" s="583"/>
      <c r="S817" s="583"/>
      <c r="T817" s="583"/>
      <c r="U817" s="583"/>
      <c r="V817" s="583"/>
      <c r="W817" s="583"/>
      <c r="X817" s="583"/>
      <c r="Y817" s="583"/>
      <c r="Z817" s="583"/>
      <c r="AA817" s="583"/>
      <c r="AB817" s="583"/>
      <c r="AC817" s="583"/>
      <c r="AD817" s="583"/>
      <c r="AE817" s="583"/>
      <c r="AF817" s="583"/>
      <c r="AG817" s="583"/>
      <c r="AH817" s="583"/>
      <c r="AI817" s="583"/>
      <c r="AJ817" s="583"/>
      <c r="AK817" s="583"/>
      <c r="AL817" s="583"/>
      <c r="AM817" s="583"/>
      <c r="AN817" s="583"/>
      <c r="AO817" s="583"/>
      <c r="AP817" s="583"/>
      <c r="AQ817" s="583"/>
      <c r="AR817" s="583"/>
      <c r="AS817" s="583"/>
      <c r="AT817" s="583"/>
      <c r="AU817" s="583"/>
    </row>
    <row r="818" spans="1:47" s="586" customFormat="1" x14ac:dyDescent="0.2">
      <c r="A818" s="585"/>
      <c r="B818" s="585"/>
      <c r="C818" s="585"/>
      <c r="D818" s="583"/>
      <c r="E818" s="583"/>
      <c r="F818" s="583"/>
      <c r="G818" s="583"/>
      <c r="H818" s="583"/>
      <c r="I818" s="583"/>
      <c r="J818" s="583"/>
      <c r="K818" s="583"/>
      <c r="L818" s="583"/>
      <c r="M818" s="583"/>
      <c r="N818" s="583"/>
      <c r="O818" s="583"/>
      <c r="P818" s="583"/>
      <c r="Q818" s="583"/>
      <c r="R818" s="583"/>
      <c r="S818" s="583"/>
      <c r="T818" s="583"/>
      <c r="U818" s="583"/>
      <c r="V818" s="583"/>
      <c r="W818" s="583"/>
      <c r="X818" s="583"/>
      <c r="Y818" s="583"/>
      <c r="Z818" s="583"/>
      <c r="AA818" s="583"/>
      <c r="AB818" s="583"/>
      <c r="AC818" s="583"/>
      <c r="AD818" s="583"/>
      <c r="AE818" s="583"/>
      <c r="AF818" s="583"/>
      <c r="AG818" s="583"/>
      <c r="AH818" s="583"/>
      <c r="AI818" s="583"/>
      <c r="AJ818" s="583"/>
      <c r="AK818" s="583"/>
      <c r="AL818" s="583"/>
      <c r="AM818" s="583"/>
      <c r="AN818" s="583"/>
      <c r="AO818" s="583"/>
      <c r="AP818" s="583"/>
      <c r="AQ818" s="583"/>
      <c r="AR818" s="583"/>
      <c r="AS818" s="583"/>
      <c r="AT818" s="583"/>
      <c r="AU818" s="583"/>
    </row>
    <row r="819" spans="1:47" s="586" customFormat="1" x14ac:dyDescent="0.2">
      <c r="A819" s="585"/>
      <c r="B819" s="585"/>
      <c r="C819" s="585"/>
      <c r="D819" s="583"/>
      <c r="E819" s="583"/>
      <c r="F819" s="583"/>
      <c r="G819" s="583"/>
      <c r="H819" s="583"/>
      <c r="I819" s="583"/>
      <c r="J819" s="583"/>
      <c r="K819" s="583"/>
      <c r="L819" s="583"/>
      <c r="M819" s="583"/>
      <c r="N819" s="583"/>
      <c r="O819" s="583"/>
      <c r="P819" s="583"/>
      <c r="Q819" s="583"/>
      <c r="R819" s="583"/>
      <c r="S819" s="583"/>
      <c r="T819" s="583"/>
      <c r="U819" s="583"/>
      <c r="V819" s="583"/>
      <c r="W819" s="583"/>
      <c r="X819" s="583"/>
      <c r="Y819" s="583"/>
      <c r="Z819" s="583"/>
      <c r="AA819" s="583"/>
      <c r="AB819" s="583"/>
      <c r="AC819" s="583"/>
      <c r="AD819" s="583"/>
      <c r="AE819" s="583"/>
      <c r="AF819" s="583"/>
      <c r="AG819" s="583"/>
      <c r="AH819" s="583"/>
      <c r="AI819" s="583"/>
      <c r="AJ819" s="583"/>
      <c r="AK819" s="583"/>
      <c r="AL819" s="583"/>
      <c r="AM819" s="583"/>
      <c r="AN819" s="583"/>
      <c r="AO819" s="583"/>
      <c r="AP819" s="583"/>
      <c r="AQ819" s="583"/>
      <c r="AR819" s="583"/>
      <c r="AS819" s="583"/>
      <c r="AT819" s="583"/>
      <c r="AU819" s="583"/>
    </row>
    <row r="820" spans="1:47" s="586" customFormat="1" x14ac:dyDescent="0.2">
      <c r="A820" s="585"/>
      <c r="B820" s="585"/>
      <c r="C820" s="585"/>
      <c r="D820" s="583"/>
      <c r="E820" s="583"/>
      <c r="F820" s="583"/>
      <c r="G820" s="583"/>
      <c r="H820" s="583"/>
      <c r="I820" s="583"/>
      <c r="J820" s="583"/>
      <c r="K820" s="583"/>
      <c r="L820" s="583"/>
      <c r="M820" s="583"/>
      <c r="N820" s="583"/>
      <c r="O820" s="583"/>
      <c r="P820" s="583"/>
      <c r="Q820" s="583"/>
      <c r="R820" s="583"/>
      <c r="S820" s="583"/>
      <c r="T820" s="583"/>
      <c r="U820" s="583"/>
      <c r="V820" s="583"/>
      <c r="W820" s="583"/>
      <c r="X820" s="583"/>
      <c r="Y820" s="583"/>
      <c r="Z820" s="583"/>
      <c r="AA820" s="583"/>
      <c r="AB820" s="583"/>
      <c r="AC820" s="583"/>
      <c r="AD820" s="583"/>
      <c r="AE820" s="583"/>
      <c r="AF820" s="583"/>
      <c r="AG820" s="583"/>
      <c r="AH820" s="583"/>
      <c r="AI820" s="583"/>
      <c r="AJ820" s="583"/>
      <c r="AK820" s="583"/>
      <c r="AL820" s="583"/>
      <c r="AM820" s="583"/>
      <c r="AN820" s="583"/>
      <c r="AO820" s="583"/>
      <c r="AP820" s="583"/>
      <c r="AQ820" s="583"/>
      <c r="AR820" s="583"/>
      <c r="AS820" s="583"/>
      <c r="AT820" s="583"/>
      <c r="AU820" s="583"/>
    </row>
    <row r="821" spans="1:47" s="586" customFormat="1" x14ac:dyDescent="0.2">
      <c r="A821" s="585"/>
      <c r="B821" s="585"/>
      <c r="C821" s="585"/>
      <c r="D821" s="583"/>
      <c r="E821" s="583"/>
      <c r="F821" s="583"/>
      <c r="G821" s="583"/>
      <c r="H821" s="583"/>
      <c r="I821" s="583"/>
      <c r="J821" s="583"/>
      <c r="K821" s="583"/>
      <c r="L821" s="583"/>
      <c r="M821" s="583"/>
      <c r="N821" s="583"/>
      <c r="O821" s="583"/>
      <c r="P821" s="583"/>
      <c r="Q821" s="583"/>
      <c r="R821" s="583"/>
      <c r="S821" s="583"/>
      <c r="T821" s="583"/>
      <c r="U821" s="583"/>
      <c r="V821" s="583"/>
      <c r="W821" s="583"/>
      <c r="X821" s="583"/>
      <c r="Y821" s="583"/>
      <c r="Z821" s="583"/>
      <c r="AA821" s="583"/>
      <c r="AB821" s="583"/>
      <c r="AC821" s="583"/>
      <c r="AD821" s="583"/>
      <c r="AE821" s="583"/>
      <c r="AF821" s="583"/>
      <c r="AG821" s="583"/>
      <c r="AH821" s="583"/>
      <c r="AI821" s="583"/>
      <c r="AJ821" s="583"/>
      <c r="AK821" s="583"/>
      <c r="AL821" s="583"/>
      <c r="AM821" s="583"/>
      <c r="AN821" s="583"/>
      <c r="AO821" s="583"/>
      <c r="AP821" s="583"/>
      <c r="AQ821" s="583"/>
      <c r="AR821" s="583"/>
      <c r="AS821" s="583"/>
      <c r="AT821" s="583"/>
      <c r="AU821" s="583"/>
    </row>
    <row r="822" spans="1:47" s="586" customFormat="1" x14ac:dyDescent="0.2">
      <c r="A822" s="585"/>
      <c r="B822" s="585"/>
      <c r="C822" s="585"/>
      <c r="D822" s="583"/>
      <c r="E822" s="583"/>
      <c r="F822" s="583"/>
      <c r="G822" s="583"/>
      <c r="H822" s="583"/>
      <c r="I822" s="583"/>
      <c r="J822" s="583"/>
      <c r="K822" s="583"/>
      <c r="L822" s="583"/>
      <c r="M822" s="583"/>
      <c r="N822" s="583"/>
      <c r="O822" s="583"/>
      <c r="P822" s="583"/>
      <c r="Q822" s="583"/>
      <c r="R822" s="583"/>
      <c r="S822" s="583"/>
      <c r="T822" s="583"/>
      <c r="U822" s="583"/>
      <c r="V822" s="583"/>
      <c r="W822" s="583"/>
      <c r="X822" s="583"/>
      <c r="Y822" s="583"/>
      <c r="Z822" s="583"/>
      <c r="AA822" s="583"/>
      <c r="AB822" s="583"/>
      <c r="AC822" s="583"/>
      <c r="AD822" s="583"/>
      <c r="AE822" s="583"/>
      <c r="AF822" s="583"/>
      <c r="AG822" s="583"/>
      <c r="AH822" s="583"/>
      <c r="AI822" s="583"/>
      <c r="AJ822" s="583"/>
      <c r="AK822" s="583"/>
      <c r="AL822" s="583"/>
      <c r="AM822" s="583"/>
      <c r="AN822" s="583"/>
      <c r="AO822" s="583"/>
      <c r="AP822" s="583"/>
      <c r="AQ822" s="583"/>
      <c r="AR822" s="583"/>
      <c r="AS822" s="583"/>
      <c r="AT822" s="583"/>
      <c r="AU822" s="583"/>
    </row>
    <row r="823" spans="1:47" s="586" customFormat="1" x14ac:dyDescent="0.2">
      <c r="A823" s="585"/>
      <c r="B823" s="585"/>
      <c r="C823" s="585"/>
      <c r="D823" s="583"/>
      <c r="E823" s="583"/>
      <c r="F823" s="583"/>
      <c r="G823" s="583"/>
      <c r="H823" s="583"/>
      <c r="I823" s="583"/>
      <c r="J823" s="583"/>
      <c r="K823" s="583"/>
      <c r="L823" s="583"/>
      <c r="M823" s="583"/>
      <c r="N823" s="583"/>
      <c r="O823" s="583"/>
      <c r="P823" s="583"/>
      <c r="Q823" s="583"/>
      <c r="R823" s="583"/>
      <c r="S823" s="583"/>
      <c r="T823" s="583"/>
      <c r="U823" s="583"/>
      <c r="V823" s="583"/>
      <c r="W823" s="583"/>
      <c r="X823" s="583"/>
      <c r="Y823" s="583"/>
      <c r="Z823" s="583"/>
      <c r="AA823" s="583"/>
      <c r="AB823" s="583"/>
      <c r="AC823" s="583"/>
      <c r="AD823" s="583"/>
      <c r="AE823" s="583"/>
      <c r="AF823" s="583"/>
      <c r="AG823" s="583"/>
      <c r="AH823" s="583"/>
      <c r="AI823" s="583"/>
      <c r="AJ823" s="583"/>
      <c r="AK823" s="583"/>
      <c r="AL823" s="583"/>
      <c r="AM823" s="583"/>
      <c r="AN823" s="583"/>
      <c r="AO823" s="583"/>
      <c r="AP823" s="583"/>
      <c r="AQ823" s="583"/>
      <c r="AR823" s="583"/>
      <c r="AS823" s="583"/>
      <c r="AT823" s="583"/>
      <c r="AU823" s="583"/>
    </row>
    <row r="824" spans="1:47" s="586" customFormat="1" x14ac:dyDescent="0.2">
      <c r="A824" s="585"/>
      <c r="B824" s="585"/>
      <c r="C824" s="585"/>
      <c r="D824" s="583"/>
      <c r="E824" s="583"/>
      <c r="F824" s="583"/>
      <c r="G824" s="583"/>
      <c r="H824" s="583"/>
      <c r="I824" s="583"/>
      <c r="J824" s="583"/>
      <c r="K824" s="583"/>
      <c r="L824" s="583"/>
      <c r="M824" s="583"/>
      <c r="N824" s="583"/>
      <c r="O824" s="583"/>
      <c r="P824" s="583"/>
      <c r="Q824" s="583"/>
      <c r="R824" s="583"/>
      <c r="S824" s="583"/>
      <c r="T824" s="583"/>
      <c r="U824" s="583"/>
      <c r="V824" s="583"/>
      <c r="W824" s="583"/>
      <c r="X824" s="583"/>
      <c r="Y824" s="583"/>
      <c r="Z824" s="583"/>
      <c r="AA824" s="583"/>
      <c r="AB824" s="583"/>
      <c r="AC824" s="583"/>
      <c r="AD824" s="583"/>
      <c r="AE824" s="583"/>
      <c r="AF824" s="583"/>
      <c r="AG824" s="583"/>
      <c r="AH824" s="583"/>
      <c r="AI824" s="583"/>
      <c r="AJ824" s="583"/>
      <c r="AK824" s="583"/>
      <c r="AL824" s="583"/>
      <c r="AM824" s="583"/>
      <c r="AN824" s="583"/>
      <c r="AO824" s="583"/>
      <c r="AP824" s="583"/>
      <c r="AQ824" s="583"/>
      <c r="AR824" s="583"/>
      <c r="AS824" s="583"/>
      <c r="AT824" s="583"/>
      <c r="AU824" s="583"/>
    </row>
    <row r="825" spans="1:47" s="586" customFormat="1" x14ac:dyDescent="0.2">
      <c r="A825" s="585"/>
      <c r="B825" s="585"/>
      <c r="C825" s="585"/>
      <c r="D825" s="583"/>
      <c r="E825" s="583"/>
      <c r="F825" s="583"/>
      <c r="G825" s="583"/>
      <c r="H825" s="583"/>
      <c r="I825" s="583"/>
      <c r="J825" s="583"/>
      <c r="K825" s="583"/>
      <c r="L825" s="583"/>
      <c r="M825" s="583"/>
      <c r="N825" s="583"/>
      <c r="O825" s="583"/>
      <c r="P825" s="583"/>
      <c r="Q825" s="583"/>
      <c r="R825" s="583"/>
      <c r="S825" s="583"/>
      <c r="T825" s="583"/>
      <c r="U825" s="583"/>
      <c r="V825" s="583"/>
      <c r="W825" s="583"/>
      <c r="X825" s="583"/>
      <c r="Y825" s="583"/>
      <c r="Z825" s="583"/>
      <c r="AA825" s="583"/>
      <c r="AB825" s="583"/>
      <c r="AC825" s="583"/>
      <c r="AD825" s="583"/>
      <c r="AE825" s="583"/>
      <c r="AF825" s="583"/>
      <c r="AG825" s="583"/>
      <c r="AH825" s="583"/>
      <c r="AI825" s="583"/>
      <c r="AJ825" s="583"/>
      <c r="AK825" s="583"/>
      <c r="AL825" s="583"/>
      <c r="AM825" s="583"/>
      <c r="AN825" s="583"/>
      <c r="AO825" s="583"/>
      <c r="AP825" s="583"/>
      <c r="AQ825" s="583"/>
      <c r="AR825" s="583"/>
      <c r="AS825" s="583"/>
      <c r="AT825" s="583"/>
      <c r="AU825" s="583"/>
    </row>
    <row r="826" spans="1:47" s="586" customFormat="1" x14ac:dyDescent="0.2">
      <c r="A826" s="585"/>
      <c r="B826" s="585"/>
      <c r="C826" s="585"/>
      <c r="D826" s="583"/>
      <c r="E826" s="583"/>
      <c r="F826" s="583"/>
      <c r="G826" s="583"/>
      <c r="H826" s="583"/>
      <c r="I826" s="583"/>
      <c r="J826" s="583"/>
      <c r="K826" s="583"/>
      <c r="L826" s="583"/>
      <c r="M826" s="583"/>
      <c r="N826" s="583"/>
      <c r="O826" s="583"/>
      <c r="P826" s="583"/>
      <c r="Q826" s="583"/>
      <c r="R826" s="583"/>
      <c r="S826" s="583"/>
      <c r="T826" s="583"/>
      <c r="U826" s="583"/>
      <c r="V826" s="583"/>
      <c r="W826" s="583"/>
      <c r="X826" s="583"/>
      <c r="Y826" s="583"/>
      <c r="Z826" s="583"/>
      <c r="AA826" s="583"/>
      <c r="AB826" s="583"/>
      <c r="AC826" s="583"/>
      <c r="AD826" s="583"/>
      <c r="AE826" s="583"/>
      <c r="AF826" s="583"/>
      <c r="AG826" s="583"/>
      <c r="AH826" s="583"/>
      <c r="AI826" s="583"/>
      <c r="AJ826" s="583"/>
      <c r="AK826" s="583"/>
      <c r="AL826" s="583"/>
      <c r="AM826" s="583"/>
      <c r="AN826" s="583"/>
      <c r="AO826" s="583"/>
      <c r="AP826" s="583"/>
      <c r="AQ826" s="583"/>
      <c r="AR826" s="583"/>
      <c r="AS826" s="583"/>
      <c r="AT826" s="583"/>
      <c r="AU826" s="583"/>
    </row>
    <row r="827" spans="1:47" s="586" customFormat="1" x14ac:dyDescent="0.2">
      <c r="A827" s="585"/>
      <c r="B827" s="585"/>
      <c r="C827" s="585"/>
      <c r="D827" s="583"/>
      <c r="E827" s="583"/>
      <c r="F827" s="583"/>
      <c r="G827" s="583"/>
      <c r="H827" s="583"/>
      <c r="I827" s="583"/>
      <c r="J827" s="583"/>
      <c r="K827" s="583"/>
      <c r="L827" s="583"/>
      <c r="M827" s="583"/>
      <c r="N827" s="583"/>
      <c r="O827" s="583"/>
      <c r="P827" s="583"/>
      <c r="Q827" s="583"/>
      <c r="R827" s="583"/>
      <c r="S827" s="583"/>
      <c r="T827" s="583"/>
      <c r="U827" s="583"/>
      <c r="V827" s="583"/>
      <c r="W827" s="583"/>
      <c r="X827" s="583"/>
      <c r="Y827" s="583"/>
      <c r="Z827" s="583"/>
      <c r="AA827" s="583"/>
      <c r="AB827" s="583"/>
      <c r="AC827" s="583"/>
      <c r="AD827" s="583"/>
      <c r="AE827" s="583"/>
      <c r="AF827" s="583"/>
      <c r="AG827" s="583"/>
      <c r="AH827" s="583"/>
      <c r="AI827" s="583"/>
      <c r="AJ827" s="583"/>
      <c r="AK827" s="583"/>
      <c r="AL827" s="583"/>
      <c r="AM827" s="583"/>
      <c r="AN827" s="583"/>
      <c r="AO827" s="583"/>
      <c r="AP827" s="583"/>
      <c r="AQ827" s="583"/>
      <c r="AR827" s="583"/>
      <c r="AS827" s="583"/>
      <c r="AT827" s="583"/>
      <c r="AU827" s="583"/>
    </row>
    <row r="828" spans="1:47" s="586" customFormat="1" x14ac:dyDescent="0.2">
      <c r="A828" s="585"/>
      <c r="B828" s="585"/>
      <c r="C828" s="585"/>
      <c r="D828" s="583"/>
      <c r="E828" s="583"/>
      <c r="F828" s="583"/>
      <c r="G828" s="583"/>
      <c r="H828" s="583"/>
      <c r="I828" s="583"/>
      <c r="J828" s="583"/>
      <c r="K828" s="583"/>
      <c r="L828" s="583"/>
      <c r="M828" s="583"/>
      <c r="N828" s="583"/>
      <c r="O828" s="583"/>
      <c r="P828" s="583"/>
      <c r="Q828" s="583"/>
      <c r="R828" s="583"/>
      <c r="S828" s="583"/>
      <c r="T828" s="583"/>
      <c r="U828" s="583"/>
      <c r="V828" s="583"/>
      <c r="W828" s="583"/>
      <c r="X828" s="583"/>
      <c r="Y828" s="583"/>
      <c r="Z828" s="583"/>
      <c r="AA828" s="583"/>
      <c r="AB828" s="583"/>
      <c r="AC828" s="583"/>
      <c r="AD828" s="583"/>
      <c r="AE828" s="583"/>
      <c r="AF828" s="583"/>
      <c r="AG828" s="583"/>
      <c r="AH828" s="583"/>
      <c r="AI828" s="583"/>
      <c r="AJ828" s="583"/>
      <c r="AK828" s="583"/>
      <c r="AL828" s="583"/>
      <c r="AM828" s="583"/>
      <c r="AN828" s="583"/>
      <c r="AO828" s="583"/>
      <c r="AP828" s="583"/>
      <c r="AQ828" s="583"/>
      <c r="AR828" s="583"/>
      <c r="AS828" s="583"/>
      <c r="AT828" s="583"/>
      <c r="AU828" s="583"/>
    </row>
    <row r="829" spans="1:47" s="586" customFormat="1" x14ac:dyDescent="0.2">
      <c r="A829" s="585"/>
      <c r="B829" s="585"/>
      <c r="C829" s="585"/>
      <c r="D829" s="583"/>
      <c r="E829" s="583"/>
      <c r="F829" s="583"/>
      <c r="G829" s="583"/>
      <c r="H829" s="583"/>
      <c r="I829" s="583"/>
      <c r="J829" s="583"/>
      <c r="K829" s="583"/>
      <c r="L829" s="583"/>
      <c r="M829" s="583"/>
      <c r="N829" s="583"/>
      <c r="O829" s="583"/>
      <c r="P829" s="583"/>
      <c r="Q829" s="583"/>
      <c r="R829" s="583"/>
      <c r="S829" s="583"/>
      <c r="T829" s="583"/>
      <c r="U829" s="583"/>
      <c r="V829" s="583"/>
      <c r="W829" s="583"/>
      <c r="X829" s="583"/>
      <c r="Y829" s="583"/>
      <c r="Z829" s="583"/>
      <c r="AA829" s="583"/>
      <c r="AB829" s="583"/>
      <c r="AC829" s="583"/>
      <c r="AD829" s="583"/>
      <c r="AE829" s="583"/>
      <c r="AF829" s="583"/>
      <c r="AG829" s="583"/>
      <c r="AH829" s="583"/>
      <c r="AI829" s="583"/>
      <c r="AJ829" s="583"/>
      <c r="AK829" s="583"/>
      <c r="AL829" s="583"/>
      <c r="AM829" s="583"/>
      <c r="AN829" s="583"/>
      <c r="AO829" s="583"/>
      <c r="AP829" s="583"/>
      <c r="AQ829" s="583"/>
      <c r="AR829" s="583"/>
      <c r="AS829" s="583"/>
      <c r="AT829" s="583"/>
      <c r="AU829" s="583"/>
    </row>
    <row r="830" spans="1:47" s="586" customFormat="1" x14ac:dyDescent="0.2">
      <c r="A830" s="585"/>
      <c r="B830" s="585"/>
      <c r="C830" s="585"/>
      <c r="D830" s="583"/>
      <c r="E830" s="583"/>
      <c r="F830" s="583"/>
      <c r="G830" s="583"/>
      <c r="H830" s="583"/>
      <c r="I830" s="583"/>
      <c r="J830" s="583"/>
      <c r="K830" s="583"/>
      <c r="L830" s="583"/>
      <c r="M830" s="583"/>
      <c r="N830" s="583"/>
      <c r="O830" s="583"/>
      <c r="P830" s="583"/>
      <c r="Q830" s="583"/>
      <c r="R830" s="583"/>
      <c r="S830" s="583"/>
      <c r="T830" s="583"/>
      <c r="U830" s="583"/>
      <c r="V830" s="583"/>
      <c r="W830" s="583"/>
      <c r="X830" s="583"/>
      <c r="Y830" s="583"/>
      <c r="Z830" s="583"/>
      <c r="AA830" s="583"/>
      <c r="AB830" s="583"/>
      <c r="AC830" s="583"/>
      <c r="AD830" s="583"/>
      <c r="AE830" s="583"/>
      <c r="AF830" s="583"/>
      <c r="AG830" s="583"/>
      <c r="AH830" s="583"/>
      <c r="AI830" s="583"/>
      <c r="AJ830" s="583"/>
      <c r="AK830" s="583"/>
      <c r="AL830" s="583"/>
      <c r="AM830" s="583"/>
      <c r="AN830" s="583"/>
      <c r="AO830" s="583"/>
      <c r="AP830" s="583"/>
      <c r="AQ830" s="583"/>
      <c r="AR830" s="583"/>
      <c r="AS830" s="583"/>
      <c r="AT830" s="583"/>
      <c r="AU830" s="583"/>
    </row>
    <row r="831" spans="1:47" s="586" customFormat="1" x14ac:dyDescent="0.2">
      <c r="A831" s="585"/>
      <c r="B831" s="585"/>
      <c r="C831" s="585"/>
      <c r="D831" s="583"/>
      <c r="E831" s="583"/>
      <c r="F831" s="583"/>
      <c r="G831" s="583"/>
      <c r="H831" s="583"/>
      <c r="I831" s="583"/>
      <c r="J831" s="583"/>
      <c r="K831" s="583"/>
      <c r="L831" s="583"/>
      <c r="M831" s="583"/>
      <c r="N831" s="583"/>
      <c r="O831" s="583"/>
      <c r="P831" s="583"/>
      <c r="Q831" s="583"/>
      <c r="R831" s="583"/>
      <c r="S831" s="583"/>
      <c r="T831" s="583"/>
      <c r="U831" s="583"/>
      <c r="V831" s="583"/>
      <c r="W831" s="583"/>
      <c r="X831" s="583"/>
      <c r="Y831" s="583"/>
      <c r="Z831" s="583"/>
      <c r="AA831" s="583"/>
      <c r="AB831" s="583"/>
      <c r="AC831" s="583"/>
      <c r="AD831" s="583"/>
      <c r="AE831" s="583"/>
      <c r="AF831" s="583"/>
      <c r="AG831" s="583"/>
      <c r="AH831" s="583"/>
      <c r="AI831" s="583"/>
      <c r="AJ831" s="583"/>
      <c r="AK831" s="583"/>
      <c r="AL831" s="583"/>
      <c r="AM831" s="583"/>
      <c r="AN831" s="583"/>
      <c r="AO831" s="583"/>
      <c r="AP831" s="583"/>
      <c r="AQ831" s="583"/>
      <c r="AR831" s="583"/>
      <c r="AS831" s="583"/>
      <c r="AT831" s="583"/>
      <c r="AU831" s="583"/>
    </row>
    <row r="832" spans="1:47" s="586" customFormat="1" x14ac:dyDescent="0.2">
      <c r="A832" s="585"/>
      <c r="B832" s="585"/>
      <c r="C832" s="585"/>
      <c r="D832" s="583"/>
      <c r="E832" s="583"/>
      <c r="F832" s="583"/>
      <c r="G832" s="583"/>
      <c r="H832" s="583"/>
      <c r="I832" s="583"/>
      <c r="J832" s="583"/>
      <c r="K832" s="583"/>
      <c r="L832" s="583"/>
      <c r="M832" s="583"/>
      <c r="N832" s="583"/>
      <c r="O832" s="583"/>
      <c r="P832" s="583"/>
      <c r="Q832" s="583"/>
      <c r="R832" s="583"/>
      <c r="S832" s="583"/>
      <c r="T832" s="583"/>
      <c r="U832" s="583"/>
      <c r="V832" s="583"/>
      <c r="W832" s="583"/>
      <c r="X832" s="583"/>
      <c r="Y832" s="583"/>
      <c r="Z832" s="583"/>
      <c r="AA832" s="583"/>
      <c r="AB832" s="583"/>
      <c r="AC832" s="583"/>
      <c r="AD832" s="583"/>
      <c r="AE832" s="583"/>
      <c r="AF832" s="583"/>
      <c r="AG832" s="583"/>
      <c r="AH832" s="583"/>
      <c r="AI832" s="583"/>
      <c r="AJ832" s="583"/>
      <c r="AK832" s="583"/>
      <c r="AL832" s="583"/>
      <c r="AM832" s="583"/>
      <c r="AN832" s="583"/>
      <c r="AO832" s="583"/>
      <c r="AP832" s="583"/>
      <c r="AQ832" s="583"/>
      <c r="AR832" s="583"/>
      <c r="AS832" s="583"/>
      <c r="AT832" s="583"/>
      <c r="AU832" s="583"/>
    </row>
    <row r="833" spans="1:47" s="586" customFormat="1" x14ac:dyDescent="0.2">
      <c r="A833" s="585"/>
      <c r="B833" s="585"/>
      <c r="C833" s="585"/>
      <c r="D833" s="583"/>
      <c r="E833" s="583"/>
      <c r="F833" s="583"/>
      <c r="G833" s="583"/>
      <c r="H833" s="583"/>
      <c r="I833" s="583"/>
      <c r="J833" s="583"/>
      <c r="K833" s="583"/>
      <c r="L833" s="583"/>
      <c r="M833" s="583"/>
      <c r="N833" s="583"/>
      <c r="O833" s="583"/>
      <c r="P833" s="583"/>
      <c r="Q833" s="583"/>
      <c r="R833" s="583"/>
      <c r="S833" s="583"/>
      <c r="T833" s="583"/>
      <c r="U833" s="583"/>
      <c r="V833" s="583"/>
      <c r="W833" s="583"/>
      <c r="X833" s="583"/>
      <c r="Y833" s="583"/>
      <c r="Z833" s="583"/>
      <c r="AA833" s="583"/>
      <c r="AB833" s="583"/>
      <c r="AC833" s="583"/>
      <c r="AD833" s="583"/>
      <c r="AE833" s="583"/>
      <c r="AF833" s="583"/>
      <c r="AG833" s="583"/>
      <c r="AH833" s="583"/>
      <c r="AI833" s="583"/>
      <c r="AJ833" s="583"/>
      <c r="AK833" s="583"/>
      <c r="AL833" s="583"/>
      <c r="AM833" s="583"/>
      <c r="AN833" s="583"/>
      <c r="AO833" s="583"/>
      <c r="AP833" s="583"/>
      <c r="AQ833" s="583"/>
      <c r="AR833" s="583"/>
      <c r="AS833" s="583"/>
      <c r="AT833" s="583"/>
      <c r="AU833" s="583"/>
    </row>
    <row r="834" spans="1:47" s="586" customFormat="1" x14ac:dyDescent="0.2">
      <c r="A834" s="585"/>
      <c r="B834" s="585"/>
      <c r="C834" s="585"/>
      <c r="D834" s="583"/>
      <c r="E834" s="583"/>
      <c r="F834" s="583"/>
      <c r="G834" s="583"/>
      <c r="H834" s="583"/>
      <c r="I834" s="583"/>
      <c r="J834" s="583"/>
      <c r="K834" s="583"/>
      <c r="L834" s="583"/>
      <c r="M834" s="583"/>
      <c r="N834" s="583"/>
      <c r="O834" s="583"/>
      <c r="P834" s="583"/>
      <c r="Q834" s="583"/>
      <c r="R834" s="583"/>
      <c r="S834" s="583"/>
      <c r="T834" s="583"/>
      <c r="U834" s="583"/>
      <c r="V834" s="583"/>
      <c r="W834" s="583"/>
      <c r="X834" s="583"/>
      <c r="Y834" s="583"/>
      <c r="Z834" s="583"/>
      <c r="AA834" s="583"/>
      <c r="AB834" s="583"/>
      <c r="AC834" s="583"/>
      <c r="AD834" s="583"/>
      <c r="AE834" s="583"/>
      <c r="AF834" s="583"/>
      <c r="AG834" s="583"/>
      <c r="AH834" s="583"/>
      <c r="AI834" s="583"/>
      <c r="AJ834" s="583"/>
      <c r="AK834" s="583"/>
      <c r="AL834" s="583"/>
      <c r="AM834" s="583"/>
      <c r="AN834" s="583"/>
      <c r="AO834" s="583"/>
      <c r="AP834" s="583"/>
      <c r="AQ834" s="583"/>
      <c r="AR834" s="583"/>
      <c r="AS834" s="583"/>
      <c r="AT834" s="583"/>
      <c r="AU834" s="583"/>
    </row>
    <row r="835" spans="1:47" s="586" customFormat="1" x14ac:dyDescent="0.2">
      <c r="A835" s="585"/>
      <c r="B835" s="585"/>
      <c r="C835" s="585"/>
      <c r="D835" s="583"/>
      <c r="E835" s="583"/>
      <c r="F835" s="583"/>
      <c r="G835" s="583"/>
      <c r="H835" s="583"/>
      <c r="I835" s="583"/>
      <c r="J835" s="583"/>
      <c r="K835" s="583"/>
      <c r="L835" s="583"/>
      <c r="M835" s="583"/>
      <c r="N835" s="583"/>
      <c r="O835" s="583"/>
      <c r="P835" s="583"/>
      <c r="Q835" s="583"/>
      <c r="R835" s="583"/>
      <c r="S835" s="583"/>
      <c r="T835" s="583"/>
      <c r="U835" s="583"/>
      <c r="V835" s="583"/>
      <c r="W835" s="583"/>
      <c r="X835" s="583"/>
      <c r="Y835" s="583"/>
      <c r="Z835" s="583"/>
      <c r="AA835" s="583"/>
      <c r="AB835" s="583"/>
      <c r="AC835" s="583"/>
      <c r="AD835" s="583"/>
      <c r="AE835" s="583"/>
      <c r="AF835" s="583"/>
      <c r="AG835" s="583"/>
      <c r="AH835" s="583"/>
      <c r="AI835" s="583"/>
      <c r="AJ835" s="583"/>
      <c r="AK835" s="583"/>
      <c r="AL835" s="583"/>
      <c r="AM835" s="583"/>
      <c r="AN835" s="583"/>
      <c r="AO835" s="583"/>
      <c r="AP835" s="583"/>
      <c r="AQ835" s="583"/>
      <c r="AR835" s="583"/>
      <c r="AS835" s="583"/>
      <c r="AT835" s="583"/>
      <c r="AU835" s="583"/>
    </row>
    <row r="836" spans="1:47" s="586" customFormat="1" x14ac:dyDescent="0.2">
      <c r="A836" s="585"/>
      <c r="B836" s="585"/>
      <c r="C836" s="585"/>
      <c r="D836" s="583"/>
      <c r="E836" s="583"/>
      <c r="F836" s="583"/>
      <c r="G836" s="583"/>
      <c r="H836" s="583"/>
      <c r="I836" s="583"/>
      <c r="J836" s="583"/>
      <c r="K836" s="583"/>
      <c r="L836" s="583"/>
      <c r="M836" s="583"/>
      <c r="N836" s="583"/>
      <c r="O836" s="583"/>
      <c r="P836" s="583"/>
      <c r="Q836" s="583"/>
      <c r="R836" s="583"/>
      <c r="S836" s="583"/>
      <c r="T836" s="583"/>
      <c r="U836" s="583"/>
      <c r="V836" s="583"/>
      <c r="W836" s="583"/>
      <c r="X836" s="583"/>
      <c r="Y836" s="583"/>
      <c r="Z836" s="583"/>
      <c r="AA836" s="583"/>
      <c r="AB836" s="583"/>
      <c r="AC836" s="583"/>
      <c r="AD836" s="583"/>
      <c r="AE836" s="583"/>
      <c r="AF836" s="583"/>
      <c r="AG836" s="583"/>
      <c r="AH836" s="583"/>
      <c r="AI836" s="583"/>
      <c r="AJ836" s="583"/>
      <c r="AK836" s="583"/>
      <c r="AL836" s="583"/>
      <c r="AM836" s="583"/>
      <c r="AN836" s="583"/>
      <c r="AO836" s="583"/>
      <c r="AP836" s="583"/>
      <c r="AQ836" s="583"/>
      <c r="AR836" s="583"/>
      <c r="AS836" s="583"/>
      <c r="AT836" s="583"/>
      <c r="AU836" s="583"/>
    </row>
    <row r="837" spans="1:47" s="586" customFormat="1" x14ac:dyDescent="0.2">
      <c r="A837" s="585"/>
      <c r="B837" s="585"/>
      <c r="C837" s="585"/>
      <c r="D837" s="583"/>
      <c r="E837" s="583"/>
      <c r="F837" s="583"/>
      <c r="G837" s="583"/>
      <c r="H837" s="583"/>
      <c r="I837" s="583"/>
      <c r="J837" s="583"/>
      <c r="K837" s="583"/>
      <c r="L837" s="583"/>
      <c r="M837" s="583"/>
      <c r="N837" s="583"/>
      <c r="O837" s="583"/>
      <c r="P837" s="583"/>
      <c r="Q837" s="583"/>
      <c r="R837" s="583"/>
      <c r="S837" s="583"/>
      <c r="T837" s="583"/>
      <c r="U837" s="583"/>
      <c r="V837" s="583"/>
      <c r="W837" s="583"/>
      <c r="X837" s="583"/>
      <c r="Y837" s="583"/>
      <c r="Z837" s="583"/>
      <c r="AA837" s="583"/>
      <c r="AB837" s="583"/>
      <c r="AC837" s="583"/>
      <c r="AD837" s="583"/>
      <c r="AE837" s="583"/>
      <c r="AF837" s="583"/>
      <c r="AG837" s="583"/>
      <c r="AH837" s="583"/>
      <c r="AI837" s="583"/>
      <c r="AJ837" s="583"/>
      <c r="AK837" s="583"/>
      <c r="AL837" s="583"/>
      <c r="AM837" s="583"/>
      <c r="AN837" s="583"/>
      <c r="AO837" s="583"/>
      <c r="AP837" s="583"/>
      <c r="AQ837" s="583"/>
      <c r="AR837" s="583"/>
      <c r="AS837" s="583"/>
      <c r="AT837" s="583"/>
      <c r="AU837" s="583"/>
    </row>
    <row r="838" spans="1:47" s="586" customFormat="1" x14ac:dyDescent="0.2">
      <c r="A838" s="585"/>
      <c r="B838" s="585"/>
      <c r="C838" s="585"/>
      <c r="D838" s="583"/>
      <c r="E838" s="583"/>
      <c r="F838" s="583"/>
      <c r="G838" s="583"/>
      <c r="H838" s="583"/>
      <c r="I838" s="583"/>
      <c r="J838" s="583"/>
      <c r="K838" s="583"/>
      <c r="L838" s="583"/>
      <c r="M838" s="583"/>
      <c r="N838" s="583"/>
      <c r="O838" s="583"/>
      <c r="P838" s="583"/>
      <c r="Q838" s="583"/>
      <c r="R838" s="583"/>
      <c r="S838" s="583"/>
      <c r="T838" s="583"/>
      <c r="U838" s="583"/>
      <c r="V838" s="583"/>
      <c r="W838" s="583"/>
      <c r="X838" s="583"/>
      <c r="Y838" s="583"/>
      <c r="Z838" s="583"/>
      <c r="AA838" s="583"/>
      <c r="AB838" s="583"/>
      <c r="AC838" s="583"/>
      <c r="AD838" s="583"/>
      <c r="AE838" s="583"/>
      <c r="AF838" s="583"/>
      <c r="AG838" s="583"/>
      <c r="AH838" s="583"/>
      <c r="AI838" s="583"/>
      <c r="AJ838" s="583"/>
      <c r="AK838" s="583"/>
      <c r="AL838" s="583"/>
      <c r="AM838" s="583"/>
      <c r="AN838" s="583"/>
      <c r="AO838" s="583"/>
      <c r="AP838" s="583"/>
      <c r="AQ838" s="583"/>
      <c r="AR838" s="583"/>
      <c r="AS838" s="583"/>
      <c r="AT838" s="583"/>
      <c r="AU838" s="583"/>
    </row>
    <row r="839" spans="1:47" s="586" customFormat="1" x14ac:dyDescent="0.2">
      <c r="A839" s="585"/>
      <c r="B839" s="585"/>
      <c r="C839" s="585"/>
      <c r="D839" s="583"/>
      <c r="E839" s="583"/>
      <c r="F839" s="583"/>
      <c r="G839" s="583"/>
      <c r="H839" s="583"/>
      <c r="I839" s="583"/>
      <c r="J839" s="583"/>
      <c r="K839" s="583"/>
      <c r="L839" s="583"/>
      <c r="M839" s="583"/>
      <c r="N839" s="583"/>
      <c r="O839" s="583"/>
      <c r="P839" s="583"/>
      <c r="Q839" s="583"/>
      <c r="R839" s="583"/>
      <c r="S839" s="583"/>
      <c r="T839" s="583"/>
      <c r="U839" s="583"/>
      <c r="V839" s="583"/>
      <c r="W839" s="583"/>
      <c r="X839" s="583"/>
      <c r="Y839" s="583"/>
      <c r="Z839" s="583"/>
      <c r="AA839" s="583"/>
      <c r="AB839" s="583"/>
      <c r="AC839" s="583"/>
      <c r="AD839" s="583"/>
      <c r="AE839" s="583"/>
      <c r="AF839" s="583"/>
      <c r="AG839" s="583"/>
      <c r="AH839" s="583"/>
      <c r="AI839" s="583"/>
      <c r="AJ839" s="583"/>
      <c r="AK839" s="583"/>
      <c r="AL839" s="583"/>
      <c r="AM839" s="583"/>
      <c r="AN839" s="583"/>
      <c r="AO839" s="583"/>
      <c r="AP839" s="583"/>
      <c r="AQ839" s="583"/>
      <c r="AR839" s="583"/>
      <c r="AS839" s="583"/>
      <c r="AT839" s="583"/>
      <c r="AU839" s="583"/>
    </row>
    <row r="840" spans="1:47" s="586" customFormat="1" x14ac:dyDescent="0.2">
      <c r="A840" s="585"/>
      <c r="B840" s="585"/>
      <c r="C840" s="585"/>
      <c r="D840" s="583"/>
      <c r="E840" s="583"/>
      <c r="F840" s="583"/>
      <c r="G840" s="583"/>
      <c r="H840" s="583"/>
      <c r="I840" s="583"/>
      <c r="J840" s="583"/>
      <c r="K840" s="583"/>
      <c r="L840" s="583"/>
      <c r="M840" s="583"/>
      <c r="N840" s="583"/>
      <c r="O840" s="583"/>
      <c r="P840" s="583"/>
      <c r="Q840" s="583"/>
      <c r="R840" s="583"/>
      <c r="S840" s="583"/>
      <c r="T840" s="583"/>
      <c r="U840" s="583"/>
      <c r="V840" s="583"/>
      <c r="W840" s="583"/>
      <c r="X840" s="583"/>
      <c r="Y840" s="583"/>
      <c r="Z840" s="583"/>
      <c r="AA840" s="583"/>
      <c r="AB840" s="583"/>
      <c r="AC840" s="583"/>
      <c r="AD840" s="583"/>
      <c r="AE840" s="583"/>
      <c r="AF840" s="583"/>
      <c r="AG840" s="583"/>
      <c r="AH840" s="583"/>
      <c r="AI840" s="583"/>
      <c r="AJ840" s="583"/>
      <c r="AK840" s="583"/>
      <c r="AL840" s="583"/>
      <c r="AM840" s="583"/>
      <c r="AN840" s="583"/>
      <c r="AO840" s="583"/>
      <c r="AP840" s="583"/>
      <c r="AQ840" s="583"/>
      <c r="AR840" s="583"/>
      <c r="AS840" s="583"/>
      <c r="AT840" s="583"/>
      <c r="AU840" s="583"/>
    </row>
    <row r="841" spans="1:47" s="586" customFormat="1" x14ac:dyDescent="0.2">
      <c r="A841" s="585"/>
      <c r="B841" s="585"/>
      <c r="C841" s="585"/>
      <c r="D841" s="583"/>
      <c r="E841" s="583"/>
      <c r="F841" s="583"/>
      <c r="G841" s="583"/>
      <c r="H841" s="583"/>
      <c r="I841" s="583"/>
      <c r="J841" s="583"/>
      <c r="K841" s="583"/>
      <c r="L841" s="583"/>
      <c r="M841" s="583"/>
      <c r="N841" s="583"/>
      <c r="O841" s="583"/>
      <c r="P841" s="583"/>
      <c r="Q841" s="583"/>
      <c r="R841" s="583"/>
      <c r="S841" s="583"/>
      <c r="T841" s="583"/>
      <c r="U841" s="583"/>
      <c r="V841" s="583"/>
      <c r="W841" s="583"/>
      <c r="X841" s="583"/>
      <c r="Y841" s="583"/>
      <c r="Z841" s="583"/>
      <c r="AA841" s="583"/>
      <c r="AB841" s="583"/>
      <c r="AC841" s="583"/>
      <c r="AD841" s="583"/>
      <c r="AE841" s="583"/>
      <c r="AF841" s="583"/>
      <c r="AG841" s="583"/>
      <c r="AH841" s="583"/>
      <c r="AI841" s="583"/>
      <c r="AJ841" s="583"/>
      <c r="AK841" s="583"/>
      <c r="AL841" s="583"/>
      <c r="AM841" s="583"/>
      <c r="AN841" s="583"/>
      <c r="AO841" s="583"/>
      <c r="AP841" s="583"/>
      <c r="AQ841" s="583"/>
      <c r="AR841" s="583"/>
      <c r="AS841" s="583"/>
      <c r="AT841" s="583"/>
      <c r="AU841" s="583"/>
    </row>
    <row r="842" spans="1:47" s="586" customFormat="1" x14ac:dyDescent="0.2">
      <c r="A842" s="585"/>
      <c r="B842" s="585"/>
      <c r="C842" s="585"/>
      <c r="D842" s="583"/>
      <c r="E842" s="583"/>
      <c r="F842" s="583"/>
      <c r="G842" s="583"/>
      <c r="H842" s="583"/>
      <c r="I842" s="583"/>
      <c r="J842" s="583"/>
      <c r="K842" s="583"/>
      <c r="L842" s="583"/>
      <c r="M842" s="583"/>
      <c r="N842" s="583"/>
      <c r="O842" s="583"/>
      <c r="P842" s="583"/>
      <c r="Q842" s="583"/>
      <c r="R842" s="583"/>
      <c r="S842" s="583"/>
      <c r="T842" s="583"/>
      <c r="U842" s="583"/>
      <c r="V842" s="583"/>
      <c r="W842" s="583"/>
      <c r="X842" s="583"/>
      <c r="Y842" s="583"/>
      <c r="Z842" s="583"/>
      <c r="AA842" s="583"/>
      <c r="AB842" s="583"/>
      <c r="AC842" s="583"/>
      <c r="AD842" s="583"/>
      <c r="AE842" s="583"/>
      <c r="AF842" s="583"/>
      <c r="AG842" s="583"/>
      <c r="AH842" s="583"/>
      <c r="AI842" s="583"/>
      <c r="AJ842" s="583"/>
      <c r="AK842" s="583"/>
      <c r="AL842" s="583"/>
      <c r="AM842" s="583"/>
      <c r="AN842" s="583"/>
      <c r="AO842" s="583"/>
      <c r="AP842" s="583"/>
      <c r="AQ842" s="583"/>
      <c r="AR842" s="583"/>
      <c r="AS842" s="583"/>
      <c r="AT842" s="583"/>
      <c r="AU842" s="583"/>
    </row>
    <row r="843" spans="1:47" s="586" customFormat="1" x14ac:dyDescent="0.2">
      <c r="A843" s="585"/>
      <c r="B843" s="585"/>
      <c r="C843" s="585"/>
      <c r="D843" s="583"/>
      <c r="E843" s="583"/>
      <c r="F843" s="583"/>
      <c r="G843" s="583"/>
      <c r="H843" s="583"/>
      <c r="I843" s="583"/>
      <c r="J843" s="583"/>
      <c r="K843" s="583"/>
      <c r="L843" s="583"/>
      <c r="M843" s="583"/>
      <c r="N843" s="583"/>
      <c r="O843" s="583"/>
      <c r="P843" s="583"/>
      <c r="Q843" s="583"/>
      <c r="R843" s="583"/>
      <c r="S843" s="583"/>
      <c r="T843" s="583"/>
      <c r="U843" s="583"/>
      <c r="V843" s="583"/>
      <c r="W843" s="583"/>
      <c r="X843" s="583"/>
      <c r="Y843" s="583"/>
      <c r="Z843" s="583"/>
      <c r="AA843" s="583"/>
      <c r="AB843" s="583"/>
      <c r="AC843" s="583"/>
      <c r="AD843" s="583"/>
      <c r="AE843" s="583"/>
      <c r="AF843" s="583"/>
      <c r="AG843" s="583"/>
      <c r="AH843" s="583"/>
      <c r="AI843" s="583"/>
      <c r="AJ843" s="583"/>
      <c r="AK843" s="583"/>
      <c r="AL843" s="583"/>
      <c r="AM843" s="583"/>
      <c r="AN843" s="583"/>
      <c r="AO843" s="583"/>
      <c r="AP843" s="583"/>
      <c r="AQ843" s="583"/>
      <c r="AR843" s="583"/>
      <c r="AS843" s="583"/>
      <c r="AT843" s="583"/>
      <c r="AU843" s="583"/>
    </row>
    <row r="844" spans="1:47" s="586" customFormat="1" x14ac:dyDescent="0.2">
      <c r="A844" s="585"/>
      <c r="B844" s="585"/>
      <c r="C844" s="585"/>
      <c r="D844" s="583"/>
      <c r="E844" s="583"/>
      <c r="F844" s="583"/>
      <c r="G844" s="583"/>
      <c r="H844" s="583"/>
      <c r="I844" s="583"/>
      <c r="J844" s="583"/>
      <c r="K844" s="583"/>
      <c r="L844" s="583"/>
      <c r="M844" s="583"/>
      <c r="N844" s="583"/>
      <c r="O844" s="583"/>
      <c r="P844" s="583"/>
      <c r="Q844" s="583"/>
      <c r="R844" s="583"/>
      <c r="S844" s="583"/>
      <c r="T844" s="583"/>
      <c r="U844" s="583"/>
      <c r="V844" s="583"/>
      <c r="W844" s="583"/>
      <c r="X844" s="583"/>
      <c r="Y844" s="583"/>
      <c r="Z844" s="583"/>
      <c r="AA844" s="583"/>
      <c r="AB844" s="583"/>
      <c r="AC844" s="583"/>
      <c r="AD844" s="583"/>
      <c r="AE844" s="583"/>
      <c r="AF844" s="583"/>
      <c r="AG844" s="583"/>
      <c r="AH844" s="583"/>
      <c r="AI844" s="583"/>
      <c r="AJ844" s="583"/>
      <c r="AK844" s="583"/>
      <c r="AL844" s="583"/>
      <c r="AM844" s="583"/>
      <c r="AN844" s="583"/>
      <c r="AO844" s="583"/>
      <c r="AP844" s="583"/>
      <c r="AQ844" s="583"/>
      <c r="AR844" s="583"/>
      <c r="AS844" s="583"/>
      <c r="AT844" s="583"/>
      <c r="AU844" s="583"/>
    </row>
    <row r="845" spans="1:47" s="586" customFormat="1" x14ac:dyDescent="0.2">
      <c r="A845" s="585"/>
      <c r="B845" s="585"/>
      <c r="C845" s="585"/>
      <c r="D845" s="583"/>
      <c r="E845" s="583"/>
      <c r="F845" s="583"/>
      <c r="G845" s="583"/>
      <c r="H845" s="583"/>
      <c r="I845" s="583"/>
      <c r="J845" s="583"/>
      <c r="K845" s="583"/>
      <c r="L845" s="583"/>
      <c r="M845" s="583"/>
      <c r="N845" s="583"/>
      <c r="O845" s="583"/>
      <c r="P845" s="583"/>
      <c r="Q845" s="583"/>
      <c r="R845" s="583"/>
      <c r="S845" s="583"/>
      <c r="T845" s="583"/>
      <c r="U845" s="583"/>
      <c r="V845" s="583"/>
      <c r="W845" s="583"/>
      <c r="X845" s="583"/>
      <c r="Y845" s="583"/>
      <c r="Z845" s="583"/>
      <c r="AA845" s="583"/>
      <c r="AB845" s="583"/>
      <c r="AC845" s="583"/>
      <c r="AD845" s="583"/>
      <c r="AE845" s="583"/>
      <c r="AF845" s="583"/>
      <c r="AG845" s="583"/>
      <c r="AH845" s="583"/>
      <c r="AI845" s="583"/>
      <c r="AJ845" s="583"/>
      <c r="AK845" s="583"/>
      <c r="AL845" s="583"/>
      <c r="AM845" s="583"/>
      <c r="AN845" s="583"/>
      <c r="AO845" s="583"/>
      <c r="AP845" s="583"/>
      <c r="AQ845" s="583"/>
      <c r="AR845" s="583"/>
      <c r="AS845" s="583"/>
      <c r="AT845" s="583"/>
      <c r="AU845" s="583"/>
    </row>
    <row r="846" spans="1:47" s="586" customFormat="1" x14ac:dyDescent="0.2">
      <c r="A846" s="585"/>
      <c r="B846" s="585"/>
      <c r="C846" s="585"/>
      <c r="D846" s="583"/>
      <c r="E846" s="583"/>
      <c r="F846" s="583"/>
      <c r="G846" s="583"/>
      <c r="H846" s="583"/>
      <c r="I846" s="583"/>
      <c r="J846" s="583"/>
      <c r="K846" s="583"/>
      <c r="L846" s="583"/>
      <c r="M846" s="583"/>
      <c r="N846" s="583"/>
      <c r="O846" s="583"/>
      <c r="P846" s="583"/>
      <c r="Q846" s="583"/>
      <c r="R846" s="583"/>
      <c r="S846" s="583"/>
      <c r="T846" s="583"/>
      <c r="U846" s="583"/>
      <c r="V846" s="583"/>
      <c r="W846" s="583"/>
      <c r="X846" s="583"/>
      <c r="Y846" s="583"/>
      <c r="Z846" s="583"/>
      <c r="AA846" s="583"/>
      <c r="AB846" s="583"/>
      <c r="AC846" s="583"/>
      <c r="AD846" s="583"/>
      <c r="AE846" s="583"/>
      <c r="AF846" s="583"/>
      <c r="AG846" s="583"/>
      <c r="AH846" s="583"/>
      <c r="AI846" s="583"/>
      <c r="AJ846" s="583"/>
      <c r="AK846" s="583"/>
      <c r="AL846" s="583"/>
      <c r="AM846" s="583"/>
      <c r="AN846" s="583"/>
      <c r="AO846" s="583"/>
      <c r="AP846" s="583"/>
      <c r="AQ846" s="583"/>
      <c r="AR846" s="583"/>
      <c r="AS846" s="583"/>
      <c r="AT846" s="583"/>
      <c r="AU846" s="583"/>
    </row>
    <row r="847" spans="1:47" s="586" customFormat="1" x14ac:dyDescent="0.2">
      <c r="A847" s="585"/>
      <c r="B847" s="585"/>
      <c r="C847" s="585"/>
      <c r="D847" s="583"/>
      <c r="E847" s="583"/>
      <c r="F847" s="583"/>
      <c r="G847" s="583"/>
      <c r="H847" s="583"/>
      <c r="I847" s="583"/>
      <c r="J847" s="583"/>
      <c r="K847" s="583"/>
      <c r="L847" s="583"/>
      <c r="M847" s="583"/>
      <c r="N847" s="583"/>
      <c r="O847" s="583"/>
      <c r="P847" s="583"/>
      <c r="Q847" s="583"/>
      <c r="R847" s="583"/>
      <c r="S847" s="583"/>
      <c r="T847" s="583"/>
      <c r="U847" s="583"/>
      <c r="V847" s="583"/>
      <c r="W847" s="583"/>
      <c r="X847" s="583"/>
      <c r="Y847" s="583"/>
      <c r="Z847" s="583"/>
      <c r="AA847" s="583"/>
      <c r="AB847" s="583"/>
      <c r="AC847" s="583"/>
      <c r="AD847" s="583"/>
      <c r="AE847" s="583"/>
      <c r="AF847" s="583"/>
      <c r="AG847" s="583"/>
      <c r="AH847" s="583"/>
      <c r="AI847" s="583"/>
      <c r="AJ847" s="583"/>
      <c r="AK847" s="583"/>
      <c r="AL847" s="583"/>
      <c r="AM847" s="583"/>
      <c r="AN847" s="583"/>
      <c r="AO847" s="583"/>
      <c r="AP847" s="583"/>
      <c r="AQ847" s="583"/>
      <c r="AR847" s="583"/>
      <c r="AS847" s="583"/>
      <c r="AT847" s="583"/>
      <c r="AU847" s="583"/>
    </row>
    <row r="848" spans="1:47" s="586" customFormat="1" x14ac:dyDescent="0.2">
      <c r="A848" s="585"/>
      <c r="B848" s="585"/>
      <c r="C848" s="585"/>
      <c r="D848" s="583"/>
      <c r="E848" s="583"/>
      <c r="F848" s="583"/>
      <c r="G848" s="583"/>
      <c r="H848" s="583"/>
      <c r="I848" s="583"/>
      <c r="J848" s="583"/>
      <c r="K848" s="583"/>
      <c r="L848" s="583"/>
      <c r="M848" s="583"/>
      <c r="N848" s="583"/>
      <c r="O848" s="583"/>
      <c r="P848" s="583"/>
      <c r="Q848" s="583"/>
      <c r="R848" s="583"/>
      <c r="S848" s="583"/>
      <c r="T848" s="583"/>
      <c r="U848" s="583"/>
      <c r="V848" s="583"/>
      <c r="W848" s="583"/>
      <c r="X848" s="583"/>
      <c r="Y848" s="583"/>
      <c r="Z848" s="583"/>
      <c r="AA848" s="583"/>
      <c r="AB848" s="583"/>
      <c r="AC848" s="583"/>
      <c r="AD848" s="583"/>
      <c r="AE848" s="583"/>
      <c r="AF848" s="583"/>
      <c r="AG848" s="583"/>
      <c r="AH848" s="583"/>
      <c r="AI848" s="583"/>
      <c r="AJ848" s="583"/>
      <c r="AK848" s="583"/>
      <c r="AL848" s="583"/>
      <c r="AM848" s="583"/>
      <c r="AN848" s="583"/>
      <c r="AO848" s="583"/>
      <c r="AP848" s="583"/>
      <c r="AQ848" s="583"/>
      <c r="AR848" s="583"/>
      <c r="AS848" s="583"/>
      <c r="AT848" s="583"/>
      <c r="AU848" s="583"/>
    </row>
    <row r="849" spans="1:47" s="586" customFormat="1" x14ac:dyDescent="0.2">
      <c r="A849" s="585"/>
      <c r="B849" s="585"/>
      <c r="C849" s="585"/>
      <c r="D849" s="583"/>
      <c r="E849" s="583"/>
      <c r="F849" s="583"/>
      <c r="G849" s="583"/>
      <c r="H849" s="583"/>
      <c r="I849" s="583"/>
      <c r="J849" s="583"/>
      <c r="K849" s="583"/>
      <c r="L849" s="583"/>
      <c r="M849" s="583"/>
      <c r="N849" s="583"/>
      <c r="O849" s="583"/>
      <c r="P849" s="583"/>
      <c r="Q849" s="583"/>
      <c r="R849" s="583"/>
      <c r="S849" s="583"/>
      <c r="T849" s="583"/>
      <c r="U849" s="583"/>
      <c r="V849" s="583"/>
      <c r="W849" s="583"/>
      <c r="X849" s="583"/>
      <c r="Y849" s="583"/>
      <c r="Z849" s="583"/>
      <c r="AA849" s="583"/>
      <c r="AB849" s="583"/>
      <c r="AC849" s="583"/>
      <c r="AD849" s="583"/>
      <c r="AE849" s="583"/>
      <c r="AF849" s="583"/>
      <c r="AG849" s="583"/>
      <c r="AH849" s="583"/>
      <c r="AI849" s="583"/>
      <c r="AJ849" s="583"/>
      <c r="AK849" s="583"/>
      <c r="AL849" s="583"/>
      <c r="AM849" s="583"/>
      <c r="AN849" s="583"/>
      <c r="AO849" s="583"/>
      <c r="AP849" s="583"/>
      <c r="AQ849" s="583"/>
      <c r="AR849" s="583"/>
      <c r="AS849" s="583"/>
      <c r="AT849" s="583"/>
      <c r="AU849" s="583"/>
    </row>
    <row r="850" spans="1:47" s="586" customFormat="1" x14ac:dyDescent="0.2">
      <c r="A850" s="585"/>
      <c r="B850" s="585"/>
      <c r="C850" s="585"/>
      <c r="D850" s="583"/>
      <c r="E850" s="583"/>
      <c r="F850" s="583"/>
      <c r="G850" s="583"/>
      <c r="H850" s="583"/>
      <c r="I850" s="583"/>
      <c r="J850" s="583"/>
      <c r="K850" s="583"/>
      <c r="L850" s="583"/>
      <c r="M850" s="583"/>
      <c r="N850" s="583"/>
      <c r="O850" s="583"/>
      <c r="P850" s="583"/>
      <c r="Q850" s="583"/>
      <c r="R850" s="583"/>
      <c r="S850" s="583"/>
      <c r="T850" s="583"/>
      <c r="U850" s="583"/>
      <c r="V850" s="583"/>
      <c r="W850" s="583"/>
      <c r="X850" s="583"/>
      <c r="Y850" s="583"/>
      <c r="Z850" s="583"/>
      <c r="AA850" s="583"/>
      <c r="AB850" s="583"/>
      <c r="AC850" s="583"/>
      <c r="AD850" s="583"/>
      <c r="AE850" s="583"/>
      <c r="AF850" s="583"/>
      <c r="AG850" s="583"/>
      <c r="AH850" s="583"/>
      <c r="AI850" s="583"/>
      <c r="AJ850" s="583"/>
      <c r="AK850" s="583"/>
      <c r="AL850" s="583"/>
      <c r="AM850" s="583"/>
      <c r="AN850" s="583"/>
      <c r="AO850" s="583"/>
      <c r="AP850" s="583"/>
      <c r="AQ850" s="583"/>
      <c r="AR850" s="583"/>
      <c r="AS850" s="583"/>
      <c r="AT850" s="583"/>
      <c r="AU850" s="583"/>
    </row>
    <row r="851" spans="1:47" s="586" customFormat="1" x14ac:dyDescent="0.2">
      <c r="A851" s="585"/>
      <c r="B851" s="585"/>
      <c r="C851" s="585"/>
      <c r="D851" s="583"/>
      <c r="E851" s="583"/>
      <c r="F851" s="583"/>
      <c r="G851" s="583"/>
      <c r="H851" s="583"/>
      <c r="I851" s="583"/>
      <c r="J851" s="583"/>
      <c r="K851" s="583"/>
      <c r="L851" s="583"/>
      <c r="M851" s="583"/>
      <c r="N851" s="583"/>
      <c r="O851" s="583"/>
      <c r="P851" s="583"/>
      <c r="Q851" s="583"/>
      <c r="R851" s="583"/>
      <c r="S851" s="583"/>
      <c r="T851" s="583"/>
      <c r="U851" s="583"/>
      <c r="V851" s="583"/>
      <c r="W851" s="583"/>
      <c r="X851" s="583"/>
      <c r="Y851" s="583"/>
      <c r="Z851" s="583"/>
      <c r="AA851" s="583"/>
      <c r="AB851" s="583"/>
      <c r="AC851" s="583"/>
      <c r="AD851" s="583"/>
      <c r="AE851" s="583"/>
      <c r="AF851" s="583"/>
      <c r="AG851" s="583"/>
      <c r="AH851" s="583"/>
      <c r="AI851" s="583"/>
      <c r="AJ851" s="583"/>
      <c r="AK851" s="583"/>
      <c r="AL851" s="583"/>
      <c r="AM851" s="583"/>
      <c r="AN851" s="583"/>
      <c r="AO851" s="583"/>
      <c r="AP851" s="583"/>
      <c r="AQ851" s="583"/>
      <c r="AR851" s="583"/>
      <c r="AS851" s="583"/>
      <c r="AT851" s="583"/>
      <c r="AU851" s="583"/>
    </row>
    <row r="852" spans="1:47" s="586" customFormat="1" x14ac:dyDescent="0.2">
      <c r="A852" s="585"/>
      <c r="B852" s="585"/>
      <c r="C852" s="585"/>
      <c r="D852" s="583"/>
      <c r="E852" s="583"/>
      <c r="F852" s="583"/>
      <c r="G852" s="583"/>
      <c r="H852" s="583"/>
      <c r="I852" s="583"/>
      <c r="J852" s="583"/>
      <c r="K852" s="583"/>
      <c r="L852" s="583"/>
      <c r="M852" s="583"/>
      <c r="N852" s="583"/>
      <c r="O852" s="583"/>
      <c r="P852" s="583"/>
      <c r="Q852" s="583"/>
      <c r="R852" s="583"/>
      <c r="S852" s="583"/>
      <c r="T852" s="583"/>
      <c r="U852" s="583"/>
      <c r="V852" s="583"/>
      <c r="W852" s="583"/>
      <c r="X852" s="583"/>
      <c r="Y852" s="583"/>
      <c r="Z852" s="583"/>
      <c r="AA852" s="583"/>
      <c r="AB852" s="583"/>
      <c r="AC852" s="583"/>
      <c r="AD852" s="583"/>
      <c r="AE852" s="583"/>
      <c r="AF852" s="583"/>
      <c r="AG852" s="583"/>
      <c r="AH852" s="583"/>
      <c r="AI852" s="583"/>
      <c r="AJ852" s="583"/>
      <c r="AK852" s="583"/>
      <c r="AL852" s="583"/>
      <c r="AM852" s="583"/>
      <c r="AN852" s="583"/>
      <c r="AO852" s="583"/>
      <c r="AP852" s="583"/>
      <c r="AQ852" s="583"/>
      <c r="AR852" s="583"/>
      <c r="AS852" s="583"/>
      <c r="AT852" s="583"/>
      <c r="AU852" s="583"/>
    </row>
    <row r="853" spans="1:47" s="586" customFormat="1" x14ac:dyDescent="0.2">
      <c r="A853" s="585"/>
      <c r="B853" s="585"/>
      <c r="C853" s="585"/>
      <c r="D853" s="583"/>
      <c r="E853" s="583"/>
      <c r="F853" s="583"/>
      <c r="G853" s="583"/>
      <c r="H853" s="583"/>
      <c r="I853" s="583"/>
      <c r="J853" s="583"/>
      <c r="K853" s="583"/>
      <c r="L853" s="583"/>
      <c r="M853" s="583"/>
      <c r="N853" s="583"/>
      <c r="O853" s="583"/>
      <c r="P853" s="583"/>
      <c r="Q853" s="583"/>
      <c r="R853" s="583"/>
      <c r="S853" s="583"/>
      <c r="T853" s="583"/>
      <c r="U853" s="583"/>
      <c r="V853" s="583"/>
      <c r="W853" s="583"/>
      <c r="X853" s="583"/>
      <c r="Y853" s="583"/>
      <c r="Z853" s="583"/>
      <c r="AA853" s="583"/>
      <c r="AB853" s="583"/>
      <c r="AC853" s="583"/>
      <c r="AD853" s="583"/>
      <c r="AE853" s="583"/>
      <c r="AF853" s="583"/>
      <c r="AG853" s="583"/>
      <c r="AH853" s="583"/>
      <c r="AI853" s="583"/>
      <c r="AJ853" s="583"/>
      <c r="AK853" s="583"/>
      <c r="AL853" s="583"/>
      <c r="AM853" s="583"/>
      <c r="AN853" s="583"/>
      <c r="AO853" s="583"/>
      <c r="AP853" s="583"/>
      <c r="AQ853" s="583"/>
      <c r="AR853" s="583"/>
      <c r="AS853" s="583"/>
      <c r="AT853" s="583"/>
      <c r="AU853" s="583"/>
    </row>
    <row r="854" spans="1:47" s="586" customFormat="1" x14ac:dyDescent="0.2">
      <c r="A854" s="585"/>
      <c r="B854" s="585"/>
      <c r="C854" s="585"/>
      <c r="D854" s="583"/>
      <c r="E854" s="583"/>
      <c r="F854" s="583"/>
      <c r="G854" s="583"/>
      <c r="H854" s="583"/>
      <c r="I854" s="583"/>
      <c r="J854" s="583"/>
      <c r="K854" s="583"/>
      <c r="L854" s="583"/>
      <c r="M854" s="583"/>
      <c r="N854" s="583"/>
      <c r="O854" s="583"/>
      <c r="P854" s="583"/>
      <c r="Q854" s="583"/>
      <c r="R854" s="583"/>
      <c r="S854" s="583"/>
      <c r="T854" s="583"/>
      <c r="U854" s="583"/>
      <c r="V854" s="583"/>
      <c r="W854" s="583"/>
      <c r="X854" s="583"/>
      <c r="Y854" s="583"/>
      <c r="Z854" s="583"/>
      <c r="AA854" s="583"/>
      <c r="AB854" s="583"/>
      <c r="AC854" s="583"/>
      <c r="AD854" s="583"/>
      <c r="AE854" s="583"/>
      <c r="AF854" s="583"/>
      <c r="AG854" s="583"/>
      <c r="AH854" s="583"/>
      <c r="AI854" s="583"/>
      <c r="AJ854" s="583"/>
      <c r="AK854" s="583"/>
      <c r="AL854" s="583"/>
      <c r="AM854" s="583"/>
      <c r="AN854" s="583"/>
      <c r="AO854" s="583"/>
      <c r="AP854" s="583"/>
      <c r="AQ854" s="583"/>
      <c r="AR854" s="583"/>
      <c r="AS854" s="583"/>
      <c r="AT854" s="583"/>
      <c r="AU854" s="583"/>
    </row>
    <row r="855" spans="1:47" s="586" customFormat="1" x14ac:dyDescent="0.2">
      <c r="A855" s="585"/>
      <c r="B855" s="585"/>
      <c r="C855" s="585"/>
      <c r="D855" s="583"/>
      <c r="E855" s="583"/>
      <c r="F855" s="583"/>
      <c r="G855" s="583"/>
      <c r="H855" s="583"/>
      <c r="I855" s="583"/>
      <c r="J855" s="583"/>
      <c r="K855" s="583"/>
      <c r="L855" s="583"/>
      <c r="M855" s="583"/>
      <c r="N855" s="583"/>
      <c r="O855" s="583"/>
      <c r="P855" s="583"/>
      <c r="Q855" s="583"/>
      <c r="R855" s="583"/>
      <c r="S855" s="583"/>
      <c r="T855" s="583"/>
      <c r="U855" s="583"/>
      <c r="V855" s="583"/>
      <c r="W855" s="583"/>
      <c r="X855" s="583"/>
      <c r="Y855" s="583"/>
      <c r="Z855" s="583"/>
      <c r="AA855" s="583"/>
      <c r="AB855" s="583"/>
      <c r="AC855" s="583"/>
      <c r="AD855" s="583"/>
      <c r="AE855" s="583"/>
      <c r="AF855" s="583"/>
      <c r="AG855" s="583"/>
      <c r="AH855" s="583"/>
      <c r="AI855" s="583"/>
      <c r="AJ855" s="583"/>
      <c r="AK855" s="583"/>
      <c r="AL855" s="583"/>
      <c r="AM855" s="583"/>
      <c r="AN855" s="583"/>
      <c r="AO855" s="583"/>
      <c r="AP855" s="583"/>
      <c r="AQ855" s="583"/>
      <c r="AR855" s="583"/>
      <c r="AS855" s="583"/>
      <c r="AT855" s="583"/>
      <c r="AU855" s="583"/>
    </row>
    <row r="856" spans="1:47" s="586" customFormat="1" x14ac:dyDescent="0.2">
      <c r="A856" s="585"/>
      <c r="B856" s="585"/>
      <c r="C856" s="585"/>
      <c r="D856" s="583"/>
      <c r="E856" s="583"/>
      <c r="F856" s="583"/>
      <c r="G856" s="583"/>
      <c r="H856" s="583"/>
      <c r="I856" s="583"/>
      <c r="J856" s="583"/>
      <c r="K856" s="583"/>
      <c r="L856" s="583"/>
      <c r="M856" s="583"/>
      <c r="N856" s="583"/>
      <c r="O856" s="583"/>
      <c r="P856" s="583"/>
      <c r="Q856" s="583"/>
      <c r="R856" s="583"/>
      <c r="S856" s="583"/>
      <c r="T856" s="583"/>
      <c r="U856" s="583"/>
      <c r="V856" s="583"/>
      <c r="W856" s="583"/>
      <c r="X856" s="583"/>
      <c r="Y856" s="583"/>
      <c r="Z856" s="583"/>
      <c r="AA856" s="583"/>
      <c r="AB856" s="583"/>
      <c r="AC856" s="583"/>
      <c r="AD856" s="583"/>
      <c r="AE856" s="583"/>
      <c r="AF856" s="583"/>
      <c r="AG856" s="583"/>
      <c r="AH856" s="583"/>
      <c r="AI856" s="583"/>
      <c r="AJ856" s="583"/>
      <c r="AK856" s="583"/>
      <c r="AL856" s="583"/>
      <c r="AM856" s="583"/>
      <c r="AN856" s="583"/>
      <c r="AO856" s="583"/>
      <c r="AP856" s="583"/>
      <c r="AQ856" s="583"/>
      <c r="AR856" s="583"/>
      <c r="AS856" s="583"/>
      <c r="AT856" s="583"/>
      <c r="AU856" s="583"/>
    </row>
    <row r="857" spans="1:47" s="586" customFormat="1" x14ac:dyDescent="0.2">
      <c r="A857" s="585"/>
      <c r="B857" s="585"/>
      <c r="C857" s="585"/>
      <c r="D857" s="583"/>
      <c r="E857" s="583"/>
      <c r="F857" s="583"/>
      <c r="G857" s="583"/>
      <c r="H857" s="583"/>
      <c r="I857" s="583"/>
      <c r="J857" s="583"/>
      <c r="K857" s="583"/>
      <c r="L857" s="583"/>
      <c r="M857" s="583"/>
      <c r="N857" s="583"/>
      <c r="O857" s="583"/>
      <c r="P857" s="583"/>
      <c r="Q857" s="583"/>
      <c r="R857" s="583"/>
      <c r="S857" s="583"/>
      <c r="T857" s="583"/>
      <c r="U857" s="583"/>
      <c r="V857" s="583"/>
      <c r="W857" s="583"/>
      <c r="X857" s="583"/>
      <c r="Y857" s="583"/>
      <c r="Z857" s="583"/>
      <c r="AA857" s="583"/>
      <c r="AB857" s="583"/>
      <c r="AC857" s="583"/>
      <c r="AD857" s="583"/>
      <c r="AE857" s="583"/>
      <c r="AF857" s="583"/>
      <c r="AG857" s="583"/>
      <c r="AH857" s="583"/>
      <c r="AI857" s="583"/>
      <c r="AJ857" s="583"/>
      <c r="AK857" s="583"/>
      <c r="AL857" s="583"/>
      <c r="AM857" s="583"/>
      <c r="AN857" s="583"/>
      <c r="AO857" s="583"/>
      <c r="AP857" s="583"/>
      <c r="AQ857" s="583"/>
      <c r="AR857" s="583"/>
      <c r="AS857" s="583"/>
      <c r="AT857" s="583"/>
      <c r="AU857" s="583"/>
    </row>
    <row r="858" spans="1:47" s="586" customFormat="1" x14ac:dyDescent="0.2">
      <c r="A858" s="585"/>
      <c r="B858" s="585"/>
      <c r="C858" s="585"/>
      <c r="D858" s="583"/>
      <c r="E858" s="583"/>
      <c r="F858" s="583"/>
      <c r="G858" s="583"/>
      <c r="H858" s="583"/>
      <c r="I858" s="583"/>
      <c r="J858" s="583"/>
      <c r="K858" s="583"/>
      <c r="L858" s="583"/>
      <c r="M858" s="583"/>
      <c r="N858" s="583"/>
      <c r="O858" s="583"/>
      <c r="P858" s="583"/>
      <c r="Q858" s="583"/>
      <c r="R858" s="583"/>
      <c r="S858" s="583"/>
      <c r="T858" s="583"/>
      <c r="U858" s="583"/>
      <c r="V858" s="583"/>
      <c r="W858" s="583"/>
      <c r="X858" s="583"/>
      <c r="Y858" s="583"/>
      <c r="Z858" s="583"/>
      <c r="AA858" s="583"/>
      <c r="AB858" s="583"/>
      <c r="AC858" s="583"/>
      <c r="AD858" s="583"/>
      <c r="AE858" s="583"/>
      <c r="AF858" s="583"/>
      <c r="AG858" s="583"/>
      <c r="AH858" s="583"/>
      <c r="AI858" s="583"/>
      <c r="AJ858" s="583"/>
      <c r="AK858" s="583"/>
      <c r="AL858" s="583"/>
      <c r="AM858" s="583"/>
      <c r="AN858" s="583"/>
      <c r="AO858" s="583"/>
      <c r="AP858" s="583"/>
      <c r="AQ858" s="583"/>
      <c r="AR858" s="583"/>
      <c r="AS858" s="583"/>
      <c r="AT858" s="583"/>
      <c r="AU858" s="583"/>
    </row>
    <row r="859" spans="1:47" s="586" customFormat="1" x14ac:dyDescent="0.2">
      <c r="A859" s="585"/>
      <c r="B859" s="585"/>
      <c r="C859" s="585"/>
      <c r="D859" s="583"/>
      <c r="E859" s="583"/>
      <c r="F859" s="583"/>
      <c r="G859" s="583"/>
      <c r="H859" s="583"/>
      <c r="I859" s="583"/>
      <c r="J859" s="583"/>
      <c r="K859" s="583"/>
      <c r="L859" s="583"/>
      <c r="M859" s="583"/>
      <c r="N859" s="583"/>
      <c r="O859" s="583"/>
      <c r="P859" s="583"/>
      <c r="Q859" s="583"/>
      <c r="R859" s="583"/>
      <c r="S859" s="583"/>
      <c r="T859" s="583"/>
      <c r="U859" s="583"/>
      <c r="V859" s="583"/>
      <c r="W859" s="583"/>
      <c r="X859" s="583"/>
      <c r="Y859" s="583"/>
      <c r="Z859" s="583"/>
      <c r="AA859" s="583"/>
      <c r="AB859" s="583"/>
      <c r="AC859" s="583"/>
      <c r="AD859" s="583"/>
      <c r="AE859" s="583"/>
      <c r="AF859" s="583"/>
      <c r="AG859" s="583"/>
      <c r="AH859" s="583"/>
      <c r="AI859" s="583"/>
      <c r="AJ859" s="583"/>
      <c r="AK859" s="583"/>
      <c r="AL859" s="583"/>
      <c r="AM859" s="583"/>
      <c r="AN859" s="583"/>
      <c r="AO859" s="583"/>
      <c r="AP859" s="583"/>
      <c r="AQ859" s="583"/>
      <c r="AR859" s="583"/>
      <c r="AS859" s="583"/>
      <c r="AT859" s="583"/>
      <c r="AU859" s="583"/>
    </row>
    <row r="860" spans="1:47" s="586" customFormat="1" x14ac:dyDescent="0.2">
      <c r="A860" s="585"/>
      <c r="B860" s="585"/>
      <c r="C860" s="585"/>
      <c r="D860" s="583"/>
      <c r="E860" s="583"/>
      <c r="F860" s="583"/>
      <c r="G860" s="583"/>
      <c r="H860" s="583"/>
      <c r="I860" s="583"/>
      <c r="J860" s="583"/>
      <c r="K860" s="583"/>
      <c r="L860" s="583"/>
      <c r="M860" s="583"/>
      <c r="N860" s="583"/>
      <c r="O860" s="583"/>
      <c r="P860" s="583"/>
      <c r="Q860" s="583"/>
      <c r="R860" s="583"/>
      <c r="S860" s="583"/>
      <c r="T860" s="583"/>
      <c r="U860" s="583"/>
      <c r="V860" s="583"/>
      <c r="W860" s="583"/>
      <c r="X860" s="583"/>
      <c r="Y860" s="583"/>
      <c r="Z860" s="583"/>
      <c r="AA860" s="583"/>
      <c r="AB860" s="583"/>
      <c r="AC860" s="583"/>
      <c r="AD860" s="583"/>
      <c r="AE860" s="583"/>
      <c r="AF860" s="583"/>
      <c r="AG860" s="583"/>
      <c r="AH860" s="583"/>
      <c r="AI860" s="583"/>
      <c r="AJ860" s="583"/>
      <c r="AK860" s="583"/>
      <c r="AL860" s="583"/>
      <c r="AM860" s="583"/>
      <c r="AN860" s="583"/>
      <c r="AO860" s="583"/>
      <c r="AP860" s="583"/>
      <c r="AQ860" s="583"/>
      <c r="AR860" s="583"/>
      <c r="AS860" s="583"/>
      <c r="AT860" s="583"/>
      <c r="AU860" s="583"/>
    </row>
    <row r="861" spans="1:47" s="586" customFormat="1" x14ac:dyDescent="0.2">
      <c r="A861" s="585"/>
      <c r="B861" s="585"/>
      <c r="C861" s="585"/>
      <c r="D861" s="583"/>
      <c r="E861" s="583"/>
      <c r="F861" s="583"/>
      <c r="G861" s="583"/>
      <c r="H861" s="583"/>
      <c r="I861" s="583"/>
      <c r="J861" s="583"/>
      <c r="K861" s="583"/>
      <c r="L861" s="583"/>
      <c r="M861" s="583"/>
      <c r="N861" s="583"/>
      <c r="O861" s="583"/>
      <c r="P861" s="583"/>
      <c r="Q861" s="583"/>
      <c r="R861" s="583"/>
      <c r="S861" s="583"/>
      <c r="T861" s="583"/>
      <c r="U861" s="583"/>
      <c r="V861" s="583"/>
      <c r="W861" s="583"/>
      <c r="X861" s="583"/>
      <c r="Y861" s="583"/>
      <c r="Z861" s="583"/>
      <c r="AA861" s="583"/>
      <c r="AB861" s="583"/>
      <c r="AC861" s="583"/>
      <c r="AD861" s="583"/>
      <c r="AE861" s="583"/>
      <c r="AF861" s="583"/>
      <c r="AG861" s="583"/>
      <c r="AH861" s="583"/>
      <c r="AI861" s="583"/>
      <c r="AJ861" s="583"/>
      <c r="AK861" s="583"/>
      <c r="AL861" s="583"/>
      <c r="AM861" s="583"/>
      <c r="AN861" s="583"/>
      <c r="AO861" s="583"/>
      <c r="AP861" s="583"/>
      <c r="AQ861" s="583"/>
      <c r="AR861" s="583"/>
      <c r="AS861" s="583"/>
      <c r="AT861" s="583"/>
      <c r="AU861" s="583"/>
    </row>
    <row r="862" spans="1:47" s="586" customFormat="1" x14ac:dyDescent="0.2">
      <c r="A862" s="585"/>
      <c r="B862" s="585"/>
      <c r="C862" s="585"/>
      <c r="D862" s="583"/>
      <c r="E862" s="583"/>
      <c r="F862" s="583"/>
      <c r="G862" s="583"/>
      <c r="H862" s="583"/>
      <c r="I862" s="583"/>
      <c r="J862" s="583"/>
      <c r="K862" s="583"/>
      <c r="L862" s="583"/>
      <c r="M862" s="583"/>
      <c r="N862" s="583"/>
      <c r="O862" s="583"/>
      <c r="P862" s="583"/>
      <c r="Q862" s="583"/>
      <c r="R862" s="583"/>
      <c r="S862" s="583"/>
      <c r="T862" s="583"/>
      <c r="U862" s="583"/>
      <c r="V862" s="583"/>
      <c r="W862" s="583"/>
      <c r="X862" s="583"/>
      <c r="Y862" s="583"/>
      <c r="Z862" s="583"/>
      <c r="AA862" s="583"/>
      <c r="AB862" s="583"/>
      <c r="AC862" s="583"/>
      <c r="AD862" s="583"/>
      <c r="AE862" s="583"/>
      <c r="AF862" s="583"/>
      <c r="AG862" s="583"/>
      <c r="AH862" s="583"/>
      <c r="AI862" s="583"/>
      <c r="AJ862" s="583"/>
      <c r="AK862" s="583"/>
      <c r="AL862" s="583"/>
      <c r="AM862" s="583"/>
      <c r="AN862" s="583"/>
      <c r="AO862" s="583"/>
      <c r="AP862" s="583"/>
      <c r="AQ862" s="583"/>
      <c r="AR862" s="583"/>
      <c r="AS862" s="583"/>
      <c r="AT862" s="583"/>
      <c r="AU862" s="583"/>
    </row>
    <row r="863" spans="1:47" s="586" customFormat="1" x14ac:dyDescent="0.2">
      <c r="A863" s="585"/>
      <c r="B863" s="585"/>
      <c r="C863" s="585"/>
      <c r="D863" s="583"/>
      <c r="E863" s="583"/>
      <c r="F863" s="583"/>
      <c r="G863" s="583"/>
      <c r="H863" s="583"/>
      <c r="I863" s="583"/>
      <c r="J863" s="583"/>
      <c r="K863" s="583"/>
      <c r="L863" s="583"/>
      <c r="M863" s="583"/>
      <c r="N863" s="583"/>
      <c r="O863" s="583"/>
      <c r="P863" s="583"/>
      <c r="Q863" s="583"/>
      <c r="R863" s="583"/>
      <c r="S863" s="583"/>
      <c r="T863" s="583"/>
      <c r="U863" s="583"/>
      <c r="V863" s="583"/>
      <c r="W863" s="583"/>
      <c r="X863" s="583"/>
      <c r="Y863" s="583"/>
      <c r="Z863" s="583"/>
      <c r="AA863" s="583"/>
      <c r="AB863" s="583"/>
      <c r="AC863" s="583"/>
      <c r="AD863" s="583"/>
      <c r="AE863" s="583"/>
      <c r="AF863" s="583"/>
      <c r="AG863" s="583"/>
      <c r="AH863" s="583"/>
      <c r="AI863" s="583"/>
      <c r="AJ863" s="583"/>
      <c r="AK863" s="583"/>
      <c r="AL863" s="583"/>
      <c r="AM863" s="583"/>
      <c r="AN863" s="583"/>
      <c r="AO863" s="583"/>
      <c r="AP863" s="583"/>
      <c r="AQ863" s="583"/>
      <c r="AR863" s="583"/>
      <c r="AS863" s="583"/>
      <c r="AT863" s="583"/>
      <c r="AU863" s="583"/>
    </row>
    <row r="864" spans="1:47" s="586" customFormat="1" x14ac:dyDescent="0.2">
      <c r="A864" s="585"/>
      <c r="B864" s="585"/>
      <c r="C864" s="585"/>
      <c r="D864" s="583"/>
      <c r="E864" s="583"/>
      <c r="F864" s="583"/>
      <c r="G864" s="583"/>
      <c r="H864" s="583"/>
      <c r="I864" s="583"/>
      <c r="J864" s="583"/>
      <c r="K864" s="583"/>
      <c r="L864" s="583"/>
      <c r="M864" s="583"/>
      <c r="N864" s="583"/>
      <c r="O864" s="583"/>
      <c r="P864" s="583"/>
      <c r="Q864" s="583"/>
      <c r="R864" s="583"/>
      <c r="S864" s="583"/>
      <c r="T864" s="583"/>
      <c r="U864" s="583"/>
      <c r="V864" s="583"/>
      <c r="W864" s="583"/>
      <c r="X864" s="583"/>
      <c r="Y864" s="583"/>
      <c r="Z864" s="583"/>
      <c r="AA864" s="583"/>
      <c r="AB864" s="583"/>
      <c r="AC864" s="583"/>
      <c r="AD864" s="583"/>
      <c r="AE864" s="583"/>
      <c r="AF864" s="583"/>
      <c r="AG864" s="583"/>
      <c r="AH864" s="583"/>
      <c r="AI864" s="583"/>
      <c r="AJ864" s="583"/>
      <c r="AK864" s="583"/>
      <c r="AL864" s="583"/>
      <c r="AM864" s="583"/>
      <c r="AN864" s="583"/>
      <c r="AO864" s="583"/>
      <c r="AP864" s="583"/>
      <c r="AQ864" s="583"/>
      <c r="AR864" s="583"/>
      <c r="AS864" s="583"/>
      <c r="AT864" s="583"/>
      <c r="AU864" s="583"/>
    </row>
    <row r="865" spans="1:47" s="586" customFormat="1" x14ac:dyDescent="0.2">
      <c r="A865" s="585"/>
      <c r="B865" s="585"/>
      <c r="C865" s="585"/>
      <c r="D865" s="583"/>
      <c r="E865" s="583"/>
      <c r="F865" s="583"/>
      <c r="G865" s="583"/>
      <c r="H865" s="583"/>
      <c r="I865" s="583"/>
      <c r="J865" s="583"/>
      <c r="K865" s="583"/>
      <c r="L865" s="583"/>
      <c r="M865" s="583"/>
      <c r="N865" s="583"/>
      <c r="O865" s="583"/>
      <c r="P865" s="583"/>
      <c r="Q865" s="583"/>
      <c r="R865" s="583"/>
      <c r="S865" s="583"/>
      <c r="T865" s="583"/>
      <c r="U865" s="583"/>
      <c r="V865" s="583"/>
      <c r="W865" s="583"/>
      <c r="X865" s="583"/>
      <c r="Y865" s="583"/>
      <c r="Z865" s="583"/>
      <c r="AA865" s="583"/>
      <c r="AB865" s="583"/>
      <c r="AC865" s="583"/>
      <c r="AD865" s="583"/>
      <c r="AE865" s="583"/>
      <c r="AF865" s="583"/>
      <c r="AG865" s="583"/>
      <c r="AH865" s="583"/>
      <c r="AI865" s="583"/>
      <c r="AJ865" s="583"/>
      <c r="AK865" s="583"/>
      <c r="AL865" s="583"/>
      <c r="AM865" s="583"/>
      <c r="AN865" s="583"/>
      <c r="AO865" s="583"/>
      <c r="AP865" s="583"/>
      <c r="AQ865" s="583"/>
      <c r="AR865" s="583"/>
      <c r="AS865" s="583"/>
      <c r="AT865" s="583"/>
      <c r="AU865" s="583"/>
    </row>
    <row r="866" spans="1:47" s="586" customFormat="1" x14ac:dyDescent="0.2">
      <c r="A866" s="585"/>
      <c r="B866" s="585"/>
      <c r="C866" s="585"/>
      <c r="D866" s="583"/>
      <c r="E866" s="583"/>
      <c r="F866" s="583"/>
      <c r="G866" s="583"/>
      <c r="H866" s="583"/>
      <c r="I866" s="583"/>
      <c r="J866" s="583"/>
      <c r="K866" s="583"/>
      <c r="L866" s="583"/>
      <c r="M866" s="583"/>
      <c r="N866" s="583"/>
      <c r="O866" s="583"/>
      <c r="P866" s="583"/>
      <c r="Q866" s="583"/>
      <c r="R866" s="583"/>
      <c r="S866" s="583"/>
      <c r="T866" s="583"/>
      <c r="U866" s="583"/>
      <c r="V866" s="583"/>
      <c r="W866" s="583"/>
      <c r="X866" s="583"/>
      <c r="Y866" s="583"/>
      <c r="Z866" s="583"/>
      <c r="AA866" s="583"/>
      <c r="AB866" s="583"/>
      <c r="AC866" s="583"/>
      <c r="AD866" s="583"/>
      <c r="AE866" s="583"/>
      <c r="AF866" s="583"/>
      <c r="AG866" s="583"/>
      <c r="AH866" s="583"/>
      <c r="AI866" s="583"/>
      <c r="AJ866" s="583"/>
      <c r="AK866" s="583"/>
      <c r="AL866" s="583"/>
      <c r="AM866" s="583"/>
      <c r="AN866" s="583"/>
      <c r="AO866" s="583"/>
      <c r="AP866" s="583"/>
      <c r="AQ866" s="583"/>
      <c r="AR866" s="583"/>
      <c r="AS866" s="583"/>
      <c r="AT866" s="583"/>
      <c r="AU866" s="583"/>
    </row>
    <row r="867" spans="1:47" s="586" customFormat="1" x14ac:dyDescent="0.2">
      <c r="A867" s="585"/>
      <c r="B867" s="585"/>
      <c r="C867" s="585"/>
      <c r="D867" s="583"/>
      <c r="E867" s="583"/>
      <c r="F867" s="583"/>
      <c r="G867" s="583"/>
      <c r="H867" s="583"/>
      <c r="I867" s="583"/>
      <c r="J867" s="583"/>
      <c r="K867" s="583"/>
      <c r="L867" s="583"/>
      <c r="M867" s="583"/>
      <c r="N867" s="583"/>
      <c r="O867" s="583"/>
      <c r="P867" s="583"/>
      <c r="Q867" s="583"/>
      <c r="R867" s="583"/>
      <c r="S867" s="583"/>
      <c r="T867" s="583"/>
      <c r="U867" s="583"/>
      <c r="V867" s="583"/>
      <c r="W867" s="583"/>
      <c r="X867" s="583"/>
      <c r="Y867" s="583"/>
      <c r="Z867" s="583"/>
      <c r="AA867" s="583"/>
      <c r="AB867" s="583"/>
      <c r="AC867" s="583"/>
      <c r="AD867" s="583"/>
      <c r="AE867" s="583"/>
      <c r="AF867" s="583"/>
      <c r="AG867" s="583"/>
      <c r="AH867" s="583"/>
      <c r="AI867" s="583"/>
      <c r="AJ867" s="583"/>
      <c r="AK867" s="583"/>
      <c r="AL867" s="583"/>
      <c r="AM867" s="583"/>
      <c r="AN867" s="583"/>
      <c r="AO867" s="583"/>
      <c r="AP867" s="583"/>
      <c r="AQ867" s="583"/>
      <c r="AR867" s="583"/>
      <c r="AS867" s="583"/>
      <c r="AT867" s="583"/>
      <c r="AU867" s="583"/>
    </row>
    <row r="868" spans="1:47" s="586" customFormat="1" x14ac:dyDescent="0.2">
      <c r="A868" s="585"/>
      <c r="B868" s="585"/>
      <c r="C868" s="585"/>
      <c r="D868" s="583"/>
      <c r="E868" s="583"/>
      <c r="F868" s="583"/>
      <c r="G868" s="583"/>
      <c r="H868" s="583"/>
      <c r="I868" s="583"/>
      <c r="J868" s="583"/>
      <c r="K868" s="583"/>
      <c r="L868" s="583"/>
      <c r="M868" s="583"/>
      <c r="N868" s="583"/>
      <c r="O868" s="583"/>
      <c r="P868" s="583"/>
      <c r="Q868" s="583"/>
      <c r="R868" s="583"/>
      <c r="S868" s="583"/>
      <c r="T868" s="583"/>
      <c r="U868" s="583"/>
      <c r="V868" s="583"/>
      <c r="W868" s="583"/>
      <c r="X868" s="583"/>
      <c r="Y868" s="583"/>
      <c r="Z868" s="583"/>
      <c r="AA868" s="583"/>
      <c r="AB868" s="583"/>
      <c r="AC868" s="583"/>
      <c r="AD868" s="583"/>
      <c r="AE868" s="583"/>
      <c r="AF868" s="583"/>
      <c r="AG868" s="583"/>
      <c r="AH868" s="583"/>
      <c r="AI868" s="583"/>
      <c r="AJ868" s="583"/>
      <c r="AK868" s="583"/>
      <c r="AL868" s="583"/>
      <c r="AM868" s="583"/>
      <c r="AN868" s="583"/>
      <c r="AO868" s="583"/>
      <c r="AP868" s="583"/>
      <c r="AQ868" s="583"/>
      <c r="AR868" s="583"/>
      <c r="AS868" s="583"/>
      <c r="AT868" s="583"/>
      <c r="AU868" s="583"/>
    </row>
    <row r="869" spans="1:47" s="586" customFormat="1" x14ac:dyDescent="0.2">
      <c r="A869" s="585"/>
      <c r="B869" s="585"/>
      <c r="C869" s="585"/>
      <c r="D869" s="583"/>
      <c r="E869" s="583"/>
      <c r="F869" s="583"/>
      <c r="G869" s="583"/>
      <c r="H869" s="583"/>
      <c r="I869" s="583"/>
      <c r="J869" s="583"/>
      <c r="K869" s="583"/>
      <c r="L869" s="583"/>
      <c r="M869" s="583"/>
      <c r="N869" s="583"/>
      <c r="O869" s="583"/>
      <c r="P869" s="583"/>
      <c r="Q869" s="583"/>
      <c r="R869" s="583"/>
      <c r="S869" s="583"/>
      <c r="T869" s="583"/>
      <c r="U869" s="583"/>
      <c r="V869" s="583"/>
      <c r="W869" s="583"/>
      <c r="X869" s="583"/>
      <c r="Y869" s="583"/>
      <c r="Z869" s="583"/>
      <c r="AA869" s="583"/>
      <c r="AB869" s="583"/>
      <c r="AC869" s="583"/>
      <c r="AD869" s="583"/>
      <c r="AE869" s="583"/>
      <c r="AF869" s="583"/>
      <c r="AG869" s="583"/>
      <c r="AH869" s="583"/>
      <c r="AI869" s="583"/>
      <c r="AJ869" s="583"/>
      <c r="AK869" s="583"/>
      <c r="AL869" s="583"/>
      <c r="AM869" s="583"/>
      <c r="AN869" s="583"/>
      <c r="AO869" s="583"/>
      <c r="AP869" s="583"/>
      <c r="AQ869" s="583"/>
      <c r="AR869" s="583"/>
      <c r="AS869" s="583"/>
      <c r="AT869" s="583"/>
      <c r="AU869" s="583"/>
    </row>
    <row r="870" spans="1:47" s="586" customFormat="1" x14ac:dyDescent="0.2">
      <c r="A870" s="585"/>
      <c r="B870" s="585"/>
      <c r="C870" s="585"/>
      <c r="D870" s="583"/>
      <c r="E870" s="583"/>
      <c r="F870" s="583"/>
      <c r="G870" s="583"/>
      <c r="H870" s="583"/>
      <c r="I870" s="583"/>
      <c r="J870" s="583"/>
      <c r="K870" s="583"/>
      <c r="L870" s="583"/>
      <c r="M870" s="583"/>
      <c r="N870" s="583"/>
      <c r="O870" s="583"/>
      <c r="P870" s="583"/>
      <c r="Q870" s="583"/>
      <c r="R870" s="583"/>
      <c r="S870" s="583"/>
      <c r="T870" s="583"/>
      <c r="U870" s="583"/>
      <c r="V870" s="583"/>
      <c r="W870" s="583"/>
      <c r="X870" s="583"/>
      <c r="Y870" s="583"/>
      <c r="Z870" s="583"/>
      <c r="AA870" s="583"/>
      <c r="AB870" s="583"/>
      <c r="AC870" s="583"/>
      <c r="AD870" s="583"/>
      <c r="AE870" s="583"/>
      <c r="AF870" s="583"/>
      <c r="AG870" s="583"/>
      <c r="AH870" s="583"/>
      <c r="AI870" s="583"/>
      <c r="AJ870" s="583"/>
      <c r="AK870" s="583"/>
      <c r="AL870" s="583"/>
      <c r="AM870" s="583"/>
      <c r="AN870" s="583"/>
      <c r="AO870" s="583"/>
      <c r="AP870" s="583"/>
      <c r="AQ870" s="583"/>
      <c r="AR870" s="583"/>
      <c r="AS870" s="583"/>
      <c r="AT870" s="583"/>
      <c r="AU870" s="583"/>
    </row>
    <row r="871" spans="1:47" s="586" customFormat="1" x14ac:dyDescent="0.2">
      <c r="A871" s="585"/>
      <c r="B871" s="585"/>
      <c r="C871" s="585"/>
      <c r="D871" s="583"/>
      <c r="E871" s="583"/>
      <c r="F871" s="583"/>
      <c r="G871" s="583"/>
      <c r="H871" s="583"/>
      <c r="I871" s="583"/>
      <c r="J871" s="583"/>
      <c r="K871" s="583"/>
      <c r="L871" s="583"/>
      <c r="M871" s="583"/>
      <c r="N871" s="583"/>
      <c r="O871" s="583"/>
      <c r="P871" s="583"/>
      <c r="Q871" s="583"/>
      <c r="R871" s="583"/>
      <c r="S871" s="583"/>
      <c r="T871" s="583"/>
      <c r="U871" s="583"/>
      <c r="V871" s="583"/>
      <c r="W871" s="583"/>
      <c r="X871" s="583"/>
      <c r="Y871" s="583"/>
      <c r="Z871" s="583"/>
      <c r="AA871" s="583"/>
      <c r="AB871" s="583"/>
      <c r="AC871" s="583"/>
      <c r="AD871" s="583"/>
      <c r="AE871" s="583"/>
      <c r="AF871" s="583"/>
      <c r="AG871" s="583"/>
      <c r="AH871" s="583"/>
      <c r="AI871" s="583"/>
      <c r="AJ871" s="583"/>
      <c r="AK871" s="583"/>
      <c r="AL871" s="583"/>
      <c r="AM871" s="583"/>
      <c r="AN871" s="583"/>
      <c r="AO871" s="583"/>
      <c r="AP871" s="583"/>
      <c r="AQ871" s="583"/>
      <c r="AR871" s="583"/>
      <c r="AS871" s="583"/>
      <c r="AT871" s="583"/>
      <c r="AU871" s="583"/>
    </row>
    <row r="872" spans="1:47" s="586" customFormat="1" x14ac:dyDescent="0.2">
      <c r="A872" s="585"/>
      <c r="B872" s="585"/>
      <c r="C872" s="585"/>
      <c r="D872" s="583"/>
      <c r="E872" s="583"/>
      <c r="F872" s="583"/>
      <c r="G872" s="583"/>
      <c r="H872" s="583"/>
      <c r="I872" s="583"/>
      <c r="J872" s="583"/>
      <c r="K872" s="583"/>
      <c r="L872" s="583"/>
      <c r="M872" s="583"/>
      <c r="N872" s="583"/>
      <c r="O872" s="583"/>
      <c r="P872" s="583"/>
      <c r="Q872" s="583"/>
      <c r="R872" s="583"/>
      <c r="S872" s="583"/>
      <c r="T872" s="583"/>
      <c r="U872" s="583"/>
      <c r="V872" s="583"/>
      <c r="W872" s="583"/>
      <c r="X872" s="583"/>
      <c r="Y872" s="583"/>
      <c r="Z872" s="583"/>
      <c r="AA872" s="583"/>
      <c r="AB872" s="583"/>
      <c r="AC872" s="583"/>
      <c r="AD872" s="583"/>
      <c r="AE872" s="583"/>
      <c r="AF872" s="583"/>
      <c r="AG872" s="583"/>
      <c r="AH872" s="583"/>
      <c r="AI872" s="583"/>
      <c r="AJ872" s="583"/>
      <c r="AK872" s="583"/>
      <c r="AL872" s="583"/>
      <c r="AM872" s="583"/>
      <c r="AN872" s="583"/>
      <c r="AO872" s="583"/>
      <c r="AP872" s="583"/>
      <c r="AQ872" s="583"/>
      <c r="AR872" s="583"/>
      <c r="AS872" s="583"/>
      <c r="AT872" s="583"/>
      <c r="AU872" s="583"/>
    </row>
    <row r="873" spans="1:47" s="586" customFormat="1" x14ac:dyDescent="0.2">
      <c r="A873" s="585"/>
      <c r="B873" s="585"/>
      <c r="C873" s="585"/>
      <c r="D873" s="583"/>
      <c r="E873" s="583"/>
      <c r="F873" s="583"/>
      <c r="G873" s="583"/>
      <c r="H873" s="583"/>
      <c r="I873" s="583"/>
      <c r="J873" s="583"/>
      <c r="K873" s="583"/>
      <c r="L873" s="583"/>
      <c r="M873" s="583"/>
      <c r="N873" s="583"/>
      <c r="O873" s="583"/>
      <c r="P873" s="583"/>
      <c r="Q873" s="583"/>
      <c r="R873" s="583"/>
      <c r="S873" s="583"/>
      <c r="T873" s="583"/>
      <c r="U873" s="583"/>
      <c r="V873" s="583"/>
      <c r="W873" s="583"/>
      <c r="X873" s="583"/>
      <c r="Y873" s="583"/>
      <c r="Z873" s="583"/>
      <c r="AA873" s="583"/>
      <c r="AB873" s="583"/>
      <c r="AC873" s="583"/>
      <c r="AD873" s="583"/>
      <c r="AE873" s="583"/>
      <c r="AF873" s="583"/>
      <c r="AG873" s="583"/>
      <c r="AH873" s="583"/>
      <c r="AI873" s="583"/>
      <c r="AJ873" s="583"/>
      <c r="AK873" s="583"/>
      <c r="AL873" s="583"/>
      <c r="AM873" s="583"/>
      <c r="AN873" s="583"/>
      <c r="AO873" s="583"/>
      <c r="AP873" s="583"/>
      <c r="AQ873" s="583"/>
      <c r="AR873" s="583"/>
      <c r="AS873" s="583"/>
      <c r="AT873" s="583"/>
      <c r="AU873" s="583"/>
    </row>
    <row r="874" spans="1:47" s="586" customFormat="1" x14ac:dyDescent="0.2">
      <c r="A874" s="585"/>
      <c r="B874" s="585"/>
      <c r="C874" s="585"/>
      <c r="D874" s="583"/>
      <c r="E874" s="583"/>
      <c r="F874" s="583"/>
      <c r="G874" s="583"/>
      <c r="H874" s="583"/>
      <c r="I874" s="583"/>
      <c r="J874" s="583"/>
      <c r="K874" s="583"/>
      <c r="L874" s="583"/>
      <c r="M874" s="583"/>
      <c r="N874" s="583"/>
      <c r="O874" s="583"/>
      <c r="P874" s="583"/>
      <c r="Q874" s="583"/>
      <c r="R874" s="583"/>
      <c r="S874" s="583"/>
      <c r="T874" s="583"/>
      <c r="U874" s="583"/>
      <c r="V874" s="583"/>
      <c r="W874" s="583"/>
      <c r="X874" s="583"/>
      <c r="Y874" s="583"/>
      <c r="Z874" s="583"/>
      <c r="AA874" s="583"/>
      <c r="AB874" s="583"/>
      <c r="AC874" s="583"/>
      <c r="AD874" s="583"/>
      <c r="AE874" s="583"/>
      <c r="AF874" s="583"/>
      <c r="AG874" s="583"/>
      <c r="AH874" s="583"/>
      <c r="AI874" s="583"/>
      <c r="AJ874" s="583"/>
      <c r="AK874" s="583"/>
      <c r="AL874" s="583"/>
      <c r="AM874" s="583"/>
      <c r="AN874" s="583"/>
      <c r="AO874" s="583"/>
      <c r="AP874" s="583"/>
      <c r="AQ874" s="583"/>
      <c r="AR874" s="583"/>
      <c r="AS874" s="583"/>
      <c r="AT874" s="583"/>
      <c r="AU874" s="583"/>
    </row>
    <row r="875" spans="1:47" s="586" customFormat="1" x14ac:dyDescent="0.2">
      <c r="A875" s="585"/>
      <c r="B875" s="585"/>
      <c r="C875" s="585"/>
      <c r="D875" s="583"/>
      <c r="E875" s="583"/>
      <c r="F875" s="583"/>
      <c r="G875" s="583"/>
      <c r="H875" s="583"/>
      <c r="I875" s="583"/>
      <c r="J875" s="583"/>
      <c r="K875" s="583"/>
      <c r="L875" s="583"/>
      <c r="M875" s="583"/>
      <c r="N875" s="583"/>
      <c r="O875" s="583"/>
      <c r="P875" s="583"/>
      <c r="Q875" s="583"/>
      <c r="R875" s="583"/>
      <c r="S875" s="583"/>
      <c r="T875" s="583"/>
      <c r="U875" s="583"/>
      <c r="V875" s="583"/>
      <c r="W875" s="583"/>
      <c r="X875" s="583"/>
      <c r="Y875" s="583"/>
      <c r="Z875" s="583"/>
      <c r="AA875" s="583"/>
      <c r="AB875" s="583"/>
      <c r="AC875" s="583"/>
      <c r="AD875" s="583"/>
      <c r="AE875" s="583"/>
      <c r="AF875" s="583"/>
      <c r="AG875" s="583"/>
      <c r="AH875" s="583"/>
      <c r="AI875" s="583"/>
      <c r="AJ875" s="583"/>
      <c r="AK875" s="583"/>
      <c r="AL875" s="583"/>
      <c r="AM875" s="583"/>
      <c r="AN875" s="583"/>
      <c r="AO875" s="583"/>
      <c r="AP875" s="583"/>
      <c r="AQ875" s="583"/>
      <c r="AR875" s="583"/>
      <c r="AS875" s="583"/>
      <c r="AT875" s="583"/>
      <c r="AU875" s="583"/>
    </row>
    <row r="876" spans="1:47" s="586" customFormat="1" x14ac:dyDescent="0.2">
      <c r="A876" s="585"/>
      <c r="B876" s="585"/>
      <c r="C876" s="585"/>
      <c r="D876" s="583"/>
      <c r="E876" s="583"/>
      <c r="F876" s="583"/>
      <c r="G876" s="583"/>
      <c r="H876" s="583"/>
      <c r="I876" s="583"/>
      <c r="J876" s="583"/>
      <c r="K876" s="583"/>
      <c r="L876" s="583"/>
      <c r="M876" s="583"/>
      <c r="N876" s="583"/>
      <c r="O876" s="583"/>
      <c r="P876" s="583"/>
      <c r="Q876" s="583"/>
      <c r="R876" s="583"/>
      <c r="S876" s="583"/>
      <c r="T876" s="583"/>
      <c r="U876" s="583"/>
      <c r="V876" s="583"/>
      <c r="W876" s="583"/>
      <c r="X876" s="583"/>
      <c r="Y876" s="583"/>
      <c r="Z876" s="583"/>
      <c r="AA876" s="583"/>
      <c r="AB876" s="583"/>
      <c r="AC876" s="583"/>
      <c r="AD876" s="583"/>
      <c r="AE876" s="583"/>
      <c r="AF876" s="583"/>
      <c r="AG876" s="583"/>
      <c r="AH876" s="583"/>
      <c r="AI876" s="583"/>
      <c r="AJ876" s="583"/>
      <c r="AK876" s="583"/>
      <c r="AL876" s="583"/>
      <c r="AM876" s="583"/>
      <c r="AN876" s="583"/>
      <c r="AO876" s="583"/>
      <c r="AP876" s="583"/>
      <c r="AQ876" s="583"/>
      <c r="AR876" s="583"/>
      <c r="AS876" s="583"/>
      <c r="AT876" s="583"/>
      <c r="AU876" s="583"/>
    </row>
    <row r="877" spans="1:47" s="586" customFormat="1" x14ac:dyDescent="0.2">
      <c r="A877" s="585"/>
      <c r="B877" s="585"/>
      <c r="C877" s="585"/>
      <c r="D877" s="583"/>
      <c r="E877" s="583"/>
      <c r="F877" s="583"/>
      <c r="G877" s="583"/>
      <c r="H877" s="583"/>
      <c r="I877" s="583"/>
      <c r="J877" s="583"/>
      <c r="K877" s="583"/>
      <c r="L877" s="583"/>
      <c r="M877" s="583"/>
      <c r="N877" s="583"/>
      <c r="O877" s="583"/>
      <c r="P877" s="583"/>
      <c r="Q877" s="583"/>
      <c r="R877" s="583"/>
      <c r="S877" s="583"/>
      <c r="T877" s="583"/>
      <c r="U877" s="583"/>
      <c r="V877" s="583"/>
      <c r="W877" s="583"/>
      <c r="X877" s="583"/>
      <c r="Y877" s="583"/>
      <c r="Z877" s="583"/>
      <c r="AA877" s="583"/>
      <c r="AB877" s="583"/>
      <c r="AC877" s="583"/>
      <c r="AD877" s="583"/>
      <c r="AE877" s="583"/>
      <c r="AF877" s="583"/>
      <c r="AG877" s="583"/>
      <c r="AH877" s="583"/>
      <c r="AI877" s="583"/>
      <c r="AJ877" s="583"/>
      <c r="AK877" s="583"/>
      <c r="AL877" s="583"/>
      <c r="AM877" s="583"/>
      <c r="AN877" s="583"/>
      <c r="AO877" s="583"/>
      <c r="AP877" s="583"/>
      <c r="AQ877" s="583"/>
      <c r="AR877" s="583"/>
      <c r="AS877" s="583"/>
      <c r="AT877" s="583"/>
      <c r="AU877" s="583"/>
    </row>
    <row r="878" spans="1:47" s="586" customFormat="1" x14ac:dyDescent="0.2">
      <c r="A878" s="585"/>
      <c r="B878" s="585"/>
      <c r="C878" s="585"/>
      <c r="D878" s="583"/>
      <c r="E878" s="583"/>
      <c r="F878" s="583"/>
      <c r="G878" s="583"/>
      <c r="H878" s="583"/>
      <c r="I878" s="583"/>
      <c r="J878" s="583"/>
      <c r="K878" s="583"/>
      <c r="L878" s="583"/>
      <c r="M878" s="583"/>
      <c r="N878" s="583"/>
      <c r="O878" s="583"/>
      <c r="P878" s="583"/>
      <c r="Q878" s="583"/>
      <c r="R878" s="583"/>
      <c r="S878" s="583"/>
      <c r="T878" s="583"/>
      <c r="U878" s="583"/>
      <c r="V878" s="583"/>
      <c r="W878" s="583"/>
      <c r="X878" s="583"/>
      <c r="Y878" s="583"/>
      <c r="Z878" s="583"/>
      <c r="AA878" s="583"/>
      <c r="AB878" s="583"/>
      <c r="AC878" s="583"/>
      <c r="AD878" s="583"/>
      <c r="AE878" s="583"/>
      <c r="AF878" s="583"/>
      <c r="AG878" s="583"/>
      <c r="AH878" s="583"/>
      <c r="AI878" s="583"/>
      <c r="AJ878" s="583"/>
      <c r="AK878" s="583"/>
      <c r="AL878" s="583"/>
      <c r="AM878" s="583"/>
      <c r="AN878" s="583"/>
      <c r="AO878" s="583"/>
      <c r="AP878" s="583"/>
      <c r="AQ878" s="583"/>
      <c r="AR878" s="583"/>
      <c r="AS878" s="583"/>
      <c r="AT878" s="583"/>
      <c r="AU878" s="583"/>
    </row>
    <row r="879" spans="1:47" s="586" customFormat="1" x14ac:dyDescent="0.2">
      <c r="A879" s="585"/>
      <c r="B879" s="585"/>
      <c r="C879" s="585"/>
      <c r="D879" s="583"/>
      <c r="E879" s="583"/>
      <c r="F879" s="583"/>
      <c r="G879" s="583"/>
      <c r="H879" s="583"/>
      <c r="I879" s="583"/>
      <c r="J879" s="583"/>
      <c r="K879" s="583"/>
      <c r="L879" s="583"/>
      <c r="M879" s="583"/>
      <c r="N879" s="583"/>
      <c r="O879" s="583"/>
      <c r="P879" s="583"/>
      <c r="Q879" s="583"/>
      <c r="R879" s="583"/>
      <c r="S879" s="583"/>
      <c r="T879" s="583"/>
      <c r="U879" s="583"/>
      <c r="V879" s="583"/>
      <c r="W879" s="583"/>
      <c r="X879" s="583"/>
      <c r="Y879" s="583"/>
      <c r="Z879" s="583"/>
      <c r="AA879" s="583"/>
      <c r="AB879" s="583"/>
      <c r="AC879" s="583"/>
      <c r="AD879" s="583"/>
      <c r="AE879" s="583"/>
      <c r="AF879" s="583"/>
      <c r="AG879" s="583"/>
      <c r="AH879" s="583"/>
      <c r="AI879" s="583"/>
      <c r="AJ879" s="583"/>
      <c r="AK879" s="583"/>
      <c r="AL879" s="583"/>
      <c r="AM879" s="583"/>
      <c r="AN879" s="583"/>
      <c r="AO879" s="583"/>
      <c r="AP879" s="583"/>
      <c r="AQ879" s="583"/>
      <c r="AR879" s="583"/>
      <c r="AS879" s="583"/>
      <c r="AT879" s="583"/>
      <c r="AU879" s="583"/>
    </row>
    <row r="880" spans="1:47" s="586" customFormat="1" x14ac:dyDescent="0.2">
      <c r="A880" s="585"/>
      <c r="B880" s="585"/>
      <c r="C880" s="585"/>
      <c r="D880" s="583"/>
      <c r="E880" s="583"/>
      <c r="F880" s="583"/>
      <c r="G880" s="583"/>
      <c r="H880" s="583"/>
      <c r="I880" s="583"/>
      <c r="J880" s="583"/>
      <c r="K880" s="583"/>
      <c r="L880" s="583"/>
      <c r="M880" s="583"/>
      <c r="N880" s="583"/>
      <c r="O880" s="583"/>
      <c r="P880" s="583"/>
      <c r="Q880" s="583"/>
      <c r="R880" s="583"/>
      <c r="S880" s="583"/>
      <c r="T880" s="583"/>
      <c r="U880" s="583"/>
      <c r="V880" s="583"/>
      <c r="W880" s="583"/>
      <c r="X880" s="583"/>
      <c r="Y880" s="583"/>
      <c r="Z880" s="583"/>
      <c r="AA880" s="583"/>
      <c r="AB880" s="583"/>
      <c r="AC880" s="583"/>
      <c r="AD880" s="583"/>
      <c r="AE880" s="583"/>
      <c r="AF880" s="583"/>
      <c r="AG880" s="583"/>
      <c r="AH880" s="583"/>
      <c r="AI880" s="583"/>
      <c r="AJ880" s="583"/>
      <c r="AK880" s="583"/>
      <c r="AL880" s="583"/>
      <c r="AM880" s="583"/>
      <c r="AN880" s="583"/>
      <c r="AO880" s="583"/>
      <c r="AP880" s="583"/>
      <c r="AQ880" s="583"/>
      <c r="AR880" s="583"/>
      <c r="AS880" s="583"/>
      <c r="AT880" s="583"/>
      <c r="AU880" s="583"/>
    </row>
    <row r="881" spans="1:47" s="586" customFormat="1" x14ac:dyDescent="0.2">
      <c r="A881" s="585"/>
      <c r="B881" s="585"/>
      <c r="C881" s="585"/>
      <c r="D881" s="583"/>
      <c r="E881" s="583"/>
      <c r="F881" s="583"/>
      <c r="G881" s="583"/>
      <c r="H881" s="583"/>
      <c r="I881" s="583"/>
      <c r="J881" s="583"/>
      <c r="K881" s="583"/>
      <c r="L881" s="583"/>
      <c r="M881" s="583"/>
      <c r="N881" s="583"/>
      <c r="O881" s="583"/>
      <c r="P881" s="583"/>
      <c r="Q881" s="583"/>
      <c r="R881" s="583"/>
      <c r="S881" s="583"/>
      <c r="T881" s="583"/>
      <c r="U881" s="583"/>
      <c r="V881" s="583"/>
      <c r="W881" s="583"/>
      <c r="X881" s="583"/>
      <c r="Y881" s="583"/>
      <c r="Z881" s="583"/>
      <c r="AA881" s="583"/>
      <c r="AB881" s="583"/>
      <c r="AC881" s="583"/>
      <c r="AD881" s="583"/>
      <c r="AE881" s="583"/>
      <c r="AF881" s="583"/>
      <c r="AG881" s="583"/>
      <c r="AH881" s="583"/>
      <c r="AI881" s="583"/>
      <c r="AJ881" s="583"/>
      <c r="AK881" s="583"/>
      <c r="AL881" s="583"/>
      <c r="AM881" s="583"/>
      <c r="AN881" s="583"/>
      <c r="AO881" s="583"/>
      <c r="AP881" s="583"/>
      <c r="AQ881" s="583"/>
      <c r="AR881" s="583"/>
      <c r="AS881" s="583"/>
      <c r="AT881" s="583"/>
      <c r="AU881" s="583"/>
    </row>
    <row r="882" spans="1:47" s="586" customFormat="1" x14ac:dyDescent="0.2">
      <c r="A882" s="585"/>
      <c r="B882" s="585"/>
      <c r="C882" s="585"/>
      <c r="D882" s="583"/>
      <c r="E882" s="583"/>
      <c r="F882" s="583"/>
      <c r="G882" s="583"/>
      <c r="H882" s="583"/>
      <c r="I882" s="583"/>
      <c r="J882" s="583"/>
      <c r="K882" s="583"/>
      <c r="L882" s="583"/>
      <c r="M882" s="583"/>
      <c r="N882" s="583"/>
      <c r="O882" s="583"/>
      <c r="P882" s="583"/>
      <c r="Q882" s="583"/>
      <c r="R882" s="583"/>
      <c r="S882" s="583"/>
      <c r="T882" s="583"/>
      <c r="U882" s="583"/>
      <c r="V882" s="583"/>
      <c r="W882" s="583"/>
      <c r="X882" s="583"/>
      <c r="Y882" s="583"/>
      <c r="Z882" s="583"/>
      <c r="AA882" s="583"/>
      <c r="AB882" s="583"/>
      <c r="AC882" s="583"/>
      <c r="AD882" s="583"/>
      <c r="AE882" s="583"/>
      <c r="AF882" s="583"/>
      <c r="AG882" s="583"/>
      <c r="AH882" s="583"/>
      <c r="AI882" s="583"/>
      <c r="AJ882" s="583"/>
      <c r="AK882" s="583"/>
      <c r="AL882" s="583"/>
      <c r="AM882" s="583"/>
      <c r="AN882" s="583"/>
      <c r="AO882" s="583"/>
      <c r="AP882" s="583"/>
      <c r="AQ882" s="583"/>
      <c r="AR882" s="583"/>
      <c r="AS882" s="583"/>
      <c r="AT882" s="583"/>
      <c r="AU882" s="583"/>
    </row>
    <row r="883" spans="1:47" s="586" customFormat="1" x14ac:dyDescent="0.2">
      <c r="A883" s="585"/>
      <c r="B883" s="585"/>
      <c r="C883" s="585"/>
      <c r="D883" s="583"/>
      <c r="E883" s="583"/>
      <c r="F883" s="583"/>
      <c r="G883" s="583"/>
      <c r="H883" s="583"/>
      <c r="I883" s="583"/>
      <c r="J883" s="583"/>
      <c r="K883" s="583"/>
      <c r="L883" s="583"/>
      <c r="M883" s="583"/>
      <c r="N883" s="583"/>
      <c r="O883" s="583"/>
      <c r="P883" s="583"/>
      <c r="Q883" s="583"/>
      <c r="R883" s="583"/>
      <c r="S883" s="583"/>
      <c r="T883" s="583"/>
      <c r="U883" s="583"/>
      <c r="V883" s="583"/>
      <c r="W883" s="583"/>
      <c r="X883" s="583"/>
      <c r="Y883" s="583"/>
      <c r="Z883" s="583"/>
      <c r="AA883" s="583"/>
      <c r="AB883" s="583"/>
      <c r="AC883" s="583"/>
      <c r="AD883" s="583"/>
      <c r="AE883" s="583"/>
      <c r="AF883" s="583"/>
      <c r="AG883" s="583"/>
      <c r="AH883" s="583"/>
      <c r="AI883" s="583"/>
      <c r="AJ883" s="583"/>
      <c r="AK883" s="583"/>
      <c r="AL883" s="583"/>
      <c r="AM883" s="583"/>
      <c r="AN883" s="583"/>
      <c r="AO883" s="583"/>
      <c r="AP883" s="583"/>
      <c r="AQ883" s="583"/>
      <c r="AR883" s="583"/>
      <c r="AS883" s="583"/>
      <c r="AT883" s="583"/>
      <c r="AU883" s="583"/>
    </row>
    <row r="884" spans="1:47" s="586" customFormat="1" x14ac:dyDescent="0.2">
      <c r="A884" s="585"/>
      <c r="B884" s="585"/>
      <c r="C884" s="585"/>
      <c r="D884" s="583"/>
      <c r="E884" s="583"/>
      <c r="F884" s="583"/>
      <c r="G884" s="583"/>
      <c r="H884" s="583"/>
      <c r="I884" s="583"/>
      <c r="J884" s="583"/>
      <c r="K884" s="583"/>
      <c r="L884" s="583"/>
      <c r="M884" s="583"/>
      <c r="N884" s="583"/>
      <c r="O884" s="583"/>
      <c r="P884" s="583"/>
      <c r="Q884" s="583"/>
      <c r="R884" s="583"/>
      <c r="S884" s="583"/>
      <c r="T884" s="583"/>
      <c r="U884" s="583"/>
      <c r="V884" s="583"/>
      <c r="W884" s="583"/>
      <c r="X884" s="583"/>
      <c r="Y884" s="583"/>
      <c r="Z884" s="583"/>
      <c r="AA884" s="583"/>
      <c r="AB884" s="583"/>
      <c r="AC884" s="583"/>
      <c r="AD884" s="583"/>
      <c r="AE884" s="583"/>
      <c r="AF884" s="583"/>
      <c r="AG884" s="583"/>
      <c r="AH884" s="583"/>
      <c r="AI884" s="583"/>
      <c r="AJ884" s="583"/>
      <c r="AK884" s="583"/>
      <c r="AL884" s="583"/>
      <c r="AM884" s="583"/>
      <c r="AN884" s="583"/>
      <c r="AO884" s="583"/>
      <c r="AP884" s="583"/>
      <c r="AQ884" s="583"/>
      <c r="AR884" s="583"/>
      <c r="AS884" s="583"/>
      <c r="AT884" s="583"/>
      <c r="AU884" s="583"/>
    </row>
    <row r="885" spans="1:47" s="586" customFormat="1" x14ac:dyDescent="0.2">
      <c r="A885" s="585"/>
      <c r="B885" s="585"/>
      <c r="C885" s="585"/>
      <c r="D885" s="583"/>
      <c r="E885" s="583"/>
      <c r="F885" s="583"/>
      <c r="G885" s="583"/>
      <c r="H885" s="583"/>
      <c r="I885" s="583"/>
      <c r="J885" s="583"/>
      <c r="K885" s="583"/>
      <c r="L885" s="583"/>
      <c r="M885" s="583"/>
      <c r="N885" s="583"/>
      <c r="O885" s="583"/>
      <c r="P885" s="583"/>
      <c r="Q885" s="583"/>
      <c r="R885" s="583"/>
      <c r="S885" s="583"/>
      <c r="T885" s="583"/>
      <c r="U885" s="583"/>
      <c r="V885" s="583"/>
      <c r="W885" s="583"/>
      <c r="X885" s="583"/>
      <c r="Y885" s="583"/>
      <c r="Z885" s="583"/>
      <c r="AA885" s="583"/>
      <c r="AB885" s="583"/>
      <c r="AC885" s="583"/>
      <c r="AD885" s="583"/>
      <c r="AE885" s="583"/>
      <c r="AF885" s="583"/>
      <c r="AG885" s="583"/>
      <c r="AH885" s="583"/>
      <c r="AI885" s="583"/>
      <c r="AJ885" s="583"/>
      <c r="AK885" s="583"/>
      <c r="AL885" s="583"/>
      <c r="AM885" s="583"/>
      <c r="AN885" s="583"/>
      <c r="AO885" s="583"/>
      <c r="AP885" s="583"/>
      <c r="AQ885" s="583"/>
      <c r="AR885" s="583"/>
      <c r="AS885" s="583"/>
      <c r="AT885" s="583"/>
      <c r="AU885" s="583"/>
    </row>
    <row r="886" spans="1:47" s="586" customFormat="1" x14ac:dyDescent="0.2">
      <c r="A886" s="585"/>
      <c r="B886" s="585"/>
      <c r="C886" s="585"/>
      <c r="D886" s="583"/>
      <c r="E886" s="583"/>
      <c r="F886" s="583"/>
      <c r="G886" s="583"/>
      <c r="H886" s="583"/>
      <c r="I886" s="583"/>
      <c r="J886" s="583"/>
      <c r="K886" s="583"/>
      <c r="L886" s="583"/>
      <c r="M886" s="583"/>
      <c r="N886" s="583"/>
      <c r="O886" s="583"/>
      <c r="P886" s="583"/>
      <c r="Q886" s="583"/>
      <c r="R886" s="583"/>
      <c r="S886" s="583"/>
      <c r="T886" s="583"/>
      <c r="U886" s="583"/>
      <c r="V886" s="583"/>
      <c r="W886" s="583"/>
      <c r="X886" s="583"/>
      <c r="Y886" s="583"/>
      <c r="Z886" s="583"/>
      <c r="AA886" s="583"/>
      <c r="AB886" s="583"/>
      <c r="AC886" s="583"/>
      <c r="AD886" s="583"/>
      <c r="AE886" s="583"/>
      <c r="AF886" s="583"/>
      <c r="AG886" s="583"/>
      <c r="AH886" s="583"/>
      <c r="AI886" s="583"/>
      <c r="AJ886" s="583"/>
      <c r="AK886" s="583"/>
      <c r="AL886" s="583"/>
      <c r="AM886" s="583"/>
      <c r="AN886" s="583"/>
      <c r="AO886" s="583"/>
      <c r="AP886" s="583"/>
      <c r="AQ886" s="583"/>
      <c r="AR886" s="583"/>
      <c r="AS886" s="583"/>
      <c r="AT886" s="583"/>
      <c r="AU886" s="583"/>
    </row>
    <row r="887" spans="1:47" s="586" customFormat="1" x14ac:dyDescent="0.2">
      <c r="A887" s="585"/>
      <c r="B887" s="585"/>
      <c r="C887" s="585"/>
      <c r="D887" s="583"/>
      <c r="E887" s="583"/>
      <c r="F887" s="583"/>
      <c r="G887" s="583"/>
      <c r="H887" s="583"/>
      <c r="I887" s="583"/>
      <c r="J887" s="583"/>
      <c r="K887" s="583"/>
      <c r="L887" s="583"/>
      <c r="M887" s="583"/>
      <c r="N887" s="583"/>
      <c r="O887" s="583"/>
      <c r="P887" s="583"/>
      <c r="Q887" s="583"/>
      <c r="R887" s="583"/>
      <c r="S887" s="583"/>
      <c r="T887" s="583"/>
      <c r="U887" s="583"/>
      <c r="V887" s="583"/>
      <c r="W887" s="583"/>
      <c r="X887" s="583"/>
      <c r="Y887" s="583"/>
      <c r="Z887" s="583"/>
      <c r="AA887" s="583"/>
      <c r="AB887" s="583"/>
      <c r="AC887" s="583"/>
      <c r="AD887" s="583"/>
      <c r="AE887" s="583"/>
      <c r="AF887" s="583"/>
      <c r="AG887" s="583"/>
      <c r="AH887" s="583"/>
      <c r="AI887" s="583"/>
      <c r="AJ887" s="583"/>
      <c r="AK887" s="583"/>
      <c r="AL887" s="583"/>
      <c r="AM887" s="583"/>
      <c r="AN887" s="583"/>
      <c r="AO887" s="583"/>
      <c r="AP887" s="583"/>
      <c r="AQ887" s="583"/>
      <c r="AR887" s="583"/>
      <c r="AS887" s="583"/>
      <c r="AT887" s="583"/>
      <c r="AU887" s="583"/>
    </row>
    <row r="888" spans="1:47" s="586" customFormat="1" x14ac:dyDescent="0.2">
      <c r="A888" s="585"/>
      <c r="B888" s="585"/>
      <c r="C888" s="585"/>
      <c r="D888" s="583"/>
      <c r="E888" s="583"/>
      <c r="F888" s="583"/>
      <c r="G888" s="583"/>
      <c r="H888" s="583"/>
      <c r="I888" s="583"/>
      <c r="J888" s="583"/>
      <c r="K888" s="583"/>
      <c r="L888" s="583"/>
      <c r="M888" s="583"/>
      <c r="N888" s="583"/>
      <c r="O888" s="583"/>
      <c r="P888" s="583"/>
      <c r="Q888" s="583"/>
      <c r="R888" s="583"/>
      <c r="S888" s="583"/>
      <c r="T888" s="583"/>
      <c r="U888" s="583"/>
      <c r="V888" s="583"/>
      <c r="W888" s="583"/>
      <c r="X888" s="583"/>
      <c r="Y888" s="583"/>
      <c r="Z888" s="583"/>
      <c r="AA888" s="583"/>
      <c r="AB888" s="583"/>
      <c r="AC888" s="583"/>
      <c r="AD888" s="583"/>
      <c r="AE888" s="583"/>
      <c r="AF888" s="583"/>
      <c r="AG888" s="583"/>
      <c r="AH888" s="583"/>
      <c r="AI888" s="583"/>
      <c r="AJ888" s="583"/>
      <c r="AK888" s="583"/>
      <c r="AL888" s="583"/>
      <c r="AM888" s="583"/>
      <c r="AN888" s="583"/>
      <c r="AO888" s="583"/>
      <c r="AP888" s="583"/>
      <c r="AQ888" s="583"/>
      <c r="AR888" s="583"/>
      <c r="AS888" s="583"/>
      <c r="AT888" s="583"/>
      <c r="AU888" s="583"/>
    </row>
    <row r="889" spans="1:47" s="586" customFormat="1" x14ac:dyDescent="0.2">
      <c r="A889" s="585"/>
      <c r="B889" s="585"/>
      <c r="C889" s="585"/>
      <c r="D889" s="583"/>
      <c r="E889" s="583"/>
      <c r="F889" s="583"/>
      <c r="G889" s="583"/>
      <c r="H889" s="583"/>
      <c r="I889" s="583"/>
      <c r="J889" s="583"/>
      <c r="K889" s="583"/>
      <c r="L889" s="583"/>
      <c r="M889" s="583"/>
      <c r="N889" s="583"/>
      <c r="O889" s="583"/>
      <c r="P889" s="583"/>
      <c r="Q889" s="583"/>
      <c r="R889" s="583"/>
      <c r="S889" s="583"/>
      <c r="T889" s="583"/>
      <c r="U889" s="583"/>
      <c r="V889" s="583"/>
      <c r="W889" s="583"/>
      <c r="X889" s="583"/>
      <c r="Y889" s="583"/>
      <c r="Z889" s="583"/>
      <c r="AA889" s="583"/>
      <c r="AB889" s="583"/>
      <c r="AC889" s="583"/>
      <c r="AD889" s="583"/>
      <c r="AE889" s="583"/>
      <c r="AF889" s="583"/>
      <c r="AG889" s="583"/>
      <c r="AH889" s="583"/>
      <c r="AI889" s="583"/>
      <c r="AJ889" s="583"/>
      <c r="AK889" s="583"/>
      <c r="AL889" s="583"/>
      <c r="AM889" s="583"/>
      <c r="AN889" s="583"/>
      <c r="AO889" s="583"/>
      <c r="AP889" s="583"/>
      <c r="AQ889" s="583"/>
      <c r="AR889" s="583"/>
      <c r="AS889" s="583"/>
      <c r="AT889" s="583"/>
      <c r="AU889" s="583"/>
    </row>
    <row r="890" spans="1:47" s="586" customFormat="1" x14ac:dyDescent="0.2">
      <c r="A890" s="585"/>
      <c r="B890" s="585"/>
      <c r="C890" s="585"/>
      <c r="D890" s="583"/>
      <c r="E890" s="583"/>
      <c r="F890" s="583"/>
      <c r="G890" s="583"/>
      <c r="H890" s="583"/>
      <c r="I890" s="583"/>
      <c r="J890" s="583"/>
      <c r="K890" s="583"/>
      <c r="L890" s="583"/>
      <c r="M890" s="583"/>
      <c r="N890" s="583"/>
      <c r="O890" s="583"/>
      <c r="P890" s="583"/>
      <c r="Q890" s="583"/>
      <c r="R890" s="583"/>
      <c r="S890" s="583"/>
      <c r="T890" s="583"/>
      <c r="U890" s="583"/>
      <c r="V890" s="583"/>
      <c r="W890" s="583"/>
      <c r="X890" s="583"/>
      <c r="Y890" s="583"/>
      <c r="Z890" s="583"/>
      <c r="AA890" s="583"/>
      <c r="AB890" s="583"/>
      <c r="AC890" s="583"/>
      <c r="AD890" s="583"/>
      <c r="AE890" s="583"/>
      <c r="AF890" s="583"/>
      <c r="AG890" s="583"/>
      <c r="AH890" s="583"/>
      <c r="AI890" s="583"/>
      <c r="AJ890" s="583"/>
      <c r="AK890" s="583"/>
      <c r="AL890" s="583"/>
      <c r="AM890" s="583"/>
      <c r="AN890" s="583"/>
      <c r="AO890" s="583"/>
      <c r="AP890" s="583"/>
      <c r="AQ890" s="583"/>
      <c r="AR890" s="583"/>
      <c r="AS890" s="583"/>
      <c r="AT890" s="583"/>
      <c r="AU890" s="583"/>
    </row>
    <row r="891" spans="1:47" s="586" customFormat="1" x14ac:dyDescent="0.2">
      <c r="A891" s="585"/>
      <c r="B891" s="585"/>
      <c r="C891" s="585"/>
      <c r="D891" s="583"/>
      <c r="E891" s="583"/>
      <c r="F891" s="583"/>
      <c r="G891" s="583"/>
      <c r="H891" s="583"/>
      <c r="I891" s="583"/>
      <c r="J891" s="583"/>
      <c r="K891" s="583"/>
      <c r="L891" s="583"/>
      <c r="M891" s="583"/>
      <c r="N891" s="583"/>
      <c r="O891" s="583"/>
      <c r="P891" s="583"/>
      <c r="Q891" s="583"/>
      <c r="R891" s="583"/>
      <c r="S891" s="583"/>
      <c r="T891" s="583"/>
      <c r="U891" s="583"/>
      <c r="V891" s="583"/>
      <c r="W891" s="583"/>
      <c r="X891" s="583"/>
      <c r="Y891" s="583"/>
      <c r="Z891" s="583"/>
      <c r="AA891" s="583"/>
      <c r="AB891" s="583"/>
      <c r="AC891" s="583"/>
      <c r="AD891" s="583"/>
      <c r="AE891" s="583"/>
      <c r="AF891" s="583"/>
      <c r="AG891" s="583"/>
      <c r="AH891" s="583"/>
      <c r="AI891" s="583"/>
      <c r="AJ891" s="583"/>
      <c r="AK891" s="583"/>
      <c r="AL891" s="583"/>
      <c r="AM891" s="583"/>
      <c r="AN891" s="583"/>
      <c r="AO891" s="583"/>
      <c r="AP891" s="583"/>
      <c r="AQ891" s="583"/>
      <c r="AR891" s="583"/>
      <c r="AS891" s="583"/>
      <c r="AT891" s="583"/>
      <c r="AU891" s="583"/>
    </row>
    <row r="892" spans="1:47" s="586" customFormat="1" x14ac:dyDescent="0.2">
      <c r="A892" s="585"/>
      <c r="B892" s="585"/>
      <c r="C892" s="585"/>
      <c r="D892" s="583"/>
      <c r="E892" s="583"/>
      <c r="F892" s="583"/>
      <c r="G892" s="583"/>
      <c r="H892" s="583"/>
      <c r="I892" s="583"/>
      <c r="J892" s="583"/>
      <c r="K892" s="583"/>
      <c r="L892" s="583"/>
      <c r="M892" s="583"/>
      <c r="N892" s="583"/>
      <c r="O892" s="583"/>
      <c r="P892" s="583"/>
      <c r="Q892" s="583"/>
      <c r="R892" s="583"/>
      <c r="S892" s="583"/>
      <c r="T892" s="583"/>
      <c r="U892" s="583"/>
      <c r="V892" s="583"/>
      <c r="W892" s="583"/>
      <c r="X892" s="583"/>
      <c r="Y892" s="583"/>
      <c r="Z892" s="583"/>
      <c r="AA892" s="583"/>
      <c r="AB892" s="583"/>
      <c r="AC892" s="583"/>
      <c r="AD892" s="583"/>
      <c r="AE892" s="583"/>
      <c r="AF892" s="583"/>
      <c r="AG892" s="583"/>
      <c r="AH892" s="583"/>
      <c r="AI892" s="583"/>
      <c r="AJ892" s="583"/>
      <c r="AK892" s="583"/>
      <c r="AL892" s="583"/>
      <c r="AM892" s="583"/>
      <c r="AN892" s="583"/>
      <c r="AO892" s="583"/>
      <c r="AP892" s="583"/>
      <c r="AQ892" s="583"/>
      <c r="AR892" s="583"/>
      <c r="AS892" s="583"/>
      <c r="AT892" s="583"/>
      <c r="AU892" s="583"/>
    </row>
    <row r="893" spans="1:47" s="586" customFormat="1" x14ac:dyDescent="0.2">
      <c r="A893" s="585"/>
      <c r="B893" s="585"/>
      <c r="C893" s="585"/>
      <c r="D893" s="583"/>
      <c r="E893" s="583"/>
      <c r="F893" s="583"/>
      <c r="G893" s="583"/>
      <c r="H893" s="583"/>
      <c r="I893" s="583"/>
      <c r="J893" s="583"/>
      <c r="K893" s="583"/>
      <c r="L893" s="583"/>
      <c r="M893" s="583"/>
      <c r="N893" s="583"/>
      <c r="O893" s="583"/>
      <c r="P893" s="583"/>
      <c r="Q893" s="583"/>
      <c r="R893" s="583"/>
      <c r="S893" s="583"/>
      <c r="T893" s="583"/>
      <c r="U893" s="583"/>
      <c r="V893" s="583"/>
      <c r="W893" s="583"/>
      <c r="X893" s="583"/>
      <c r="Y893" s="583"/>
      <c r="Z893" s="583"/>
      <c r="AA893" s="583"/>
      <c r="AB893" s="583"/>
      <c r="AC893" s="583"/>
      <c r="AD893" s="583"/>
      <c r="AE893" s="583"/>
      <c r="AF893" s="583"/>
      <c r="AG893" s="583"/>
      <c r="AH893" s="583"/>
      <c r="AI893" s="583"/>
      <c r="AJ893" s="583"/>
      <c r="AK893" s="583"/>
      <c r="AL893" s="583"/>
      <c r="AM893" s="583"/>
      <c r="AN893" s="583"/>
      <c r="AO893" s="583"/>
      <c r="AP893" s="583"/>
      <c r="AQ893" s="583"/>
      <c r="AR893" s="583"/>
      <c r="AS893" s="583"/>
      <c r="AT893" s="583"/>
      <c r="AU893" s="583"/>
    </row>
    <row r="894" spans="1:47" s="586" customFormat="1" x14ac:dyDescent="0.2">
      <c r="A894" s="585"/>
      <c r="B894" s="585"/>
      <c r="C894" s="585"/>
      <c r="D894" s="583"/>
      <c r="E894" s="583"/>
      <c r="F894" s="583"/>
      <c r="G894" s="583"/>
      <c r="H894" s="583"/>
      <c r="I894" s="583"/>
      <c r="J894" s="583"/>
      <c r="K894" s="583"/>
      <c r="L894" s="583"/>
      <c r="M894" s="583"/>
      <c r="N894" s="583"/>
      <c r="O894" s="583"/>
      <c r="P894" s="583"/>
      <c r="Q894" s="583"/>
      <c r="R894" s="583"/>
      <c r="S894" s="583"/>
      <c r="T894" s="583"/>
      <c r="U894" s="583"/>
      <c r="V894" s="583"/>
      <c r="W894" s="583"/>
      <c r="X894" s="583"/>
      <c r="Y894" s="583"/>
      <c r="Z894" s="583"/>
      <c r="AA894" s="583"/>
      <c r="AB894" s="583"/>
      <c r="AC894" s="583"/>
      <c r="AD894" s="583"/>
      <c r="AE894" s="583"/>
      <c r="AF894" s="583"/>
      <c r="AG894" s="583"/>
      <c r="AH894" s="583"/>
      <c r="AI894" s="583"/>
      <c r="AJ894" s="583"/>
      <c r="AK894" s="583"/>
      <c r="AL894" s="583"/>
      <c r="AM894" s="583"/>
      <c r="AN894" s="583"/>
      <c r="AO894" s="583"/>
      <c r="AP894" s="583"/>
      <c r="AQ894" s="583"/>
      <c r="AR894" s="583"/>
      <c r="AS894" s="583"/>
      <c r="AT894" s="583"/>
      <c r="AU894" s="583"/>
    </row>
    <row r="895" spans="1:47" s="586" customFormat="1" x14ac:dyDescent="0.2">
      <c r="A895" s="585"/>
      <c r="B895" s="585"/>
      <c r="C895" s="585"/>
      <c r="D895" s="583"/>
      <c r="E895" s="583"/>
      <c r="F895" s="583"/>
      <c r="G895" s="583"/>
      <c r="H895" s="583"/>
      <c r="I895" s="583"/>
      <c r="J895" s="583"/>
      <c r="K895" s="583"/>
      <c r="L895" s="583"/>
      <c r="M895" s="583"/>
      <c r="N895" s="583"/>
      <c r="O895" s="583"/>
      <c r="P895" s="583"/>
      <c r="Q895" s="583"/>
      <c r="R895" s="583"/>
      <c r="S895" s="583"/>
      <c r="T895" s="583"/>
      <c r="U895" s="583"/>
      <c r="V895" s="583"/>
      <c r="W895" s="583"/>
      <c r="X895" s="583"/>
      <c r="Y895" s="583"/>
      <c r="Z895" s="583"/>
      <c r="AA895" s="583"/>
      <c r="AB895" s="583"/>
      <c r="AC895" s="583"/>
      <c r="AD895" s="583"/>
      <c r="AE895" s="583"/>
      <c r="AF895" s="583"/>
      <c r="AG895" s="583"/>
      <c r="AH895" s="583"/>
      <c r="AI895" s="583"/>
      <c r="AJ895" s="583"/>
      <c r="AK895" s="583"/>
      <c r="AL895" s="583"/>
      <c r="AM895" s="583"/>
      <c r="AN895" s="583"/>
      <c r="AO895" s="583"/>
      <c r="AP895" s="583"/>
      <c r="AQ895" s="583"/>
      <c r="AR895" s="583"/>
      <c r="AS895" s="583"/>
      <c r="AT895" s="583"/>
      <c r="AU895" s="583"/>
    </row>
    <row r="896" spans="1:47" s="586" customFormat="1" x14ac:dyDescent="0.2">
      <c r="A896" s="585"/>
      <c r="B896" s="585"/>
      <c r="C896" s="585"/>
      <c r="D896" s="583"/>
      <c r="E896" s="583"/>
      <c r="F896" s="583"/>
      <c r="G896" s="583"/>
      <c r="H896" s="583"/>
      <c r="I896" s="583"/>
      <c r="J896" s="583"/>
      <c r="K896" s="583"/>
      <c r="L896" s="583"/>
      <c r="M896" s="583"/>
      <c r="N896" s="583"/>
      <c r="O896" s="583"/>
      <c r="P896" s="583"/>
      <c r="Q896" s="583"/>
      <c r="R896" s="583"/>
      <c r="S896" s="583"/>
      <c r="T896" s="583"/>
      <c r="U896" s="583"/>
      <c r="V896" s="583"/>
      <c r="W896" s="583"/>
      <c r="X896" s="583"/>
      <c r="Y896" s="583"/>
      <c r="Z896" s="583"/>
      <c r="AA896" s="583"/>
      <c r="AB896" s="583"/>
      <c r="AC896" s="583"/>
      <c r="AD896" s="583"/>
      <c r="AE896" s="583"/>
      <c r="AF896" s="583"/>
      <c r="AG896" s="583"/>
      <c r="AH896" s="583"/>
      <c r="AI896" s="583"/>
      <c r="AJ896" s="583"/>
      <c r="AK896" s="583"/>
      <c r="AL896" s="583"/>
      <c r="AM896" s="583"/>
      <c r="AN896" s="583"/>
      <c r="AO896" s="583"/>
      <c r="AP896" s="583"/>
      <c r="AQ896" s="583"/>
      <c r="AR896" s="583"/>
      <c r="AS896" s="583"/>
      <c r="AT896" s="583"/>
      <c r="AU896" s="583"/>
    </row>
    <row r="897" spans="1:47" s="586" customFormat="1" x14ac:dyDescent="0.2">
      <c r="A897" s="585"/>
      <c r="B897" s="585"/>
      <c r="C897" s="585"/>
      <c r="D897" s="583"/>
      <c r="E897" s="583"/>
      <c r="F897" s="583"/>
      <c r="G897" s="583"/>
      <c r="H897" s="583"/>
      <c r="I897" s="583"/>
      <c r="J897" s="583"/>
      <c r="K897" s="583"/>
      <c r="L897" s="583"/>
      <c r="M897" s="583"/>
      <c r="N897" s="583"/>
      <c r="O897" s="583"/>
      <c r="P897" s="583"/>
      <c r="Q897" s="583"/>
      <c r="R897" s="583"/>
      <c r="S897" s="583"/>
      <c r="T897" s="583"/>
      <c r="U897" s="583"/>
      <c r="V897" s="583"/>
      <c r="W897" s="583"/>
      <c r="X897" s="583"/>
      <c r="Y897" s="583"/>
      <c r="Z897" s="583"/>
      <c r="AA897" s="583"/>
      <c r="AB897" s="583"/>
      <c r="AC897" s="583"/>
      <c r="AD897" s="583"/>
      <c r="AE897" s="583"/>
      <c r="AF897" s="583"/>
      <c r="AG897" s="583"/>
      <c r="AH897" s="583"/>
      <c r="AI897" s="583"/>
      <c r="AJ897" s="583"/>
      <c r="AK897" s="583"/>
      <c r="AL897" s="583"/>
      <c r="AM897" s="583"/>
      <c r="AN897" s="583"/>
      <c r="AO897" s="583"/>
      <c r="AP897" s="583"/>
      <c r="AQ897" s="583"/>
      <c r="AR897" s="583"/>
      <c r="AS897" s="583"/>
      <c r="AT897" s="583"/>
      <c r="AU897" s="583"/>
    </row>
    <row r="898" spans="1:47" s="586" customFormat="1" x14ac:dyDescent="0.2">
      <c r="A898" s="585"/>
      <c r="B898" s="585"/>
      <c r="C898" s="585"/>
      <c r="D898" s="583"/>
      <c r="E898" s="583"/>
      <c r="F898" s="583"/>
      <c r="G898" s="583"/>
      <c r="H898" s="583"/>
      <c r="I898" s="583"/>
      <c r="J898" s="583"/>
      <c r="K898" s="583"/>
      <c r="L898" s="583"/>
      <c r="M898" s="583"/>
      <c r="N898" s="583"/>
      <c r="O898" s="583"/>
      <c r="P898" s="583"/>
      <c r="Q898" s="583"/>
      <c r="R898" s="583"/>
      <c r="S898" s="583"/>
      <c r="T898" s="583"/>
      <c r="U898" s="583"/>
      <c r="V898" s="583"/>
      <c r="W898" s="583"/>
      <c r="X898" s="583"/>
      <c r="Y898" s="583"/>
      <c r="Z898" s="583"/>
      <c r="AA898" s="583"/>
      <c r="AB898" s="583"/>
      <c r="AC898" s="583"/>
      <c r="AD898" s="583"/>
      <c r="AE898" s="583"/>
      <c r="AF898" s="583"/>
      <c r="AG898" s="583"/>
      <c r="AH898" s="583"/>
      <c r="AI898" s="583"/>
      <c r="AJ898" s="583"/>
      <c r="AK898" s="583"/>
      <c r="AL898" s="583"/>
      <c r="AM898" s="583"/>
      <c r="AN898" s="583"/>
      <c r="AO898" s="583"/>
      <c r="AP898" s="583"/>
      <c r="AQ898" s="583"/>
      <c r="AR898" s="583"/>
      <c r="AS898" s="583"/>
      <c r="AT898" s="583"/>
      <c r="AU898" s="583"/>
    </row>
    <row r="899" spans="1:47" s="586" customFormat="1" x14ac:dyDescent="0.2">
      <c r="A899" s="585"/>
      <c r="B899" s="585"/>
      <c r="C899" s="585"/>
      <c r="D899" s="583"/>
      <c r="E899" s="583"/>
      <c r="F899" s="583"/>
      <c r="G899" s="583"/>
      <c r="H899" s="583"/>
      <c r="I899" s="583"/>
      <c r="J899" s="583"/>
      <c r="K899" s="583"/>
      <c r="L899" s="583"/>
      <c r="M899" s="583"/>
      <c r="N899" s="583"/>
      <c r="O899" s="583"/>
      <c r="P899" s="583"/>
      <c r="Q899" s="583"/>
      <c r="R899" s="583"/>
      <c r="S899" s="583"/>
      <c r="T899" s="583"/>
      <c r="U899" s="583"/>
      <c r="V899" s="583"/>
      <c r="W899" s="583"/>
      <c r="X899" s="583"/>
      <c r="Y899" s="583"/>
      <c r="Z899" s="583"/>
      <c r="AA899" s="583"/>
      <c r="AB899" s="583"/>
      <c r="AC899" s="583"/>
      <c r="AD899" s="583"/>
      <c r="AE899" s="583"/>
      <c r="AF899" s="583"/>
      <c r="AG899" s="583"/>
      <c r="AH899" s="583"/>
      <c r="AI899" s="583"/>
      <c r="AJ899" s="583"/>
      <c r="AK899" s="583"/>
      <c r="AL899" s="583"/>
      <c r="AM899" s="583"/>
      <c r="AN899" s="583"/>
      <c r="AO899" s="583"/>
      <c r="AP899" s="583"/>
      <c r="AQ899" s="583"/>
      <c r="AR899" s="583"/>
      <c r="AS899" s="583"/>
      <c r="AT899" s="583"/>
      <c r="AU899" s="583"/>
    </row>
    <row r="900" spans="1:47" s="586" customFormat="1" x14ac:dyDescent="0.2">
      <c r="A900" s="585"/>
      <c r="B900" s="585"/>
      <c r="C900" s="585"/>
      <c r="D900" s="583"/>
      <c r="E900" s="583"/>
      <c r="F900" s="583"/>
      <c r="G900" s="583"/>
      <c r="H900" s="583"/>
      <c r="I900" s="583"/>
      <c r="J900" s="583"/>
      <c r="K900" s="583"/>
      <c r="L900" s="583"/>
      <c r="M900" s="583"/>
      <c r="N900" s="583"/>
      <c r="O900" s="583"/>
      <c r="P900" s="583"/>
      <c r="Q900" s="583"/>
      <c r="R900" s="583"/>
      <c r="S900" s="583"/>
      <c r="T900" s="583"/>
      <c r="U900" s="583"/>
      <c r="V900" s="583"/>
      <c r="W900" s="583"/>
      <c r="X900" s="583"/>
      <c r="Y900" s="583"/>
      <c r="Z900" s="583"/>
      <c r="AA900" s="583"/>
      <c r="AB900" s="583"/>
      <c r="AC900" s="583"/>
      <c r="AD900" s="583"/>
      <c r="AE900" s="583"/>
      <c r="AF900" s="583"/>
      <c r="AG900" s="583"/>
      <c r="AH900" s="583"/>
      <c r="AI900" s="583"/>
      <c r="AJ900" s="583"/>
      <c r="AK900" s="583"/>
      <c r="AL900" s="583"/>
      <c r="AM900" s="583"/>
      <c r="AN900" s="583"/>
      <c r="AO900" s="583"/>
      <c r="AP900" s="583"/>
      <c r="AQ900" s="583"/>
      <c r="AR900" s="583"/>
      <c r="AS900" s="583"/>
      <c r="AT900" s="583"/>
      <c r="AU900" s="583"/>
    </row>
    <row r="901" spans="1:47" s="586" customFormat="1" x14ac:dyDescent="0.2">
      <c r="A901" s="585"/>
      <c r="B901" s="585"/>
      <c r="C901" s="585"/>
      <c r="D901" s="583"/>
      <c r="E901" s="583"/>
      <c r="F901" s="583"/>
      <c r="G901" s="583"/>
      <c r="H901" s="583"/>
      <c r="I901" s="583"/>
      <c r="J901" s="583"/>
      <c r="K901" s="583"/>
      <c r="L901" s="583"/>
      <c r="M901" s="583"/>
      <c r="N901" s="583"/>
      <c r="O901" s="583"/>
      <c r="P901" s="583"/>
      <c r="Q901" s="583"/>
      <c r="R901" s="583"/>
      <c r="S901" s="583"/>
      <c r="T901" s="583"/>
      <c r="U901" s="583"/>
      <c r="V901" s="583"/>
      <c r="W901" s="583"/>
      <c r="X901" s="583"/>
      <c r="Y901" s="583"/>
      <c r="Z901" s="583"/>
      <c r="AA901" s="583"/>
      <c r="AB901" s="583"/>
      <c r="AC901" s="583"/>
      <c r="AD901" s="583"/>
      <c r="AE901" s="583"/>
      <c r="AF901" s="583"/>
      <c r="AG901" s="583"/>
      <c r="AH901" s="583"/>
      <c r="AI901" s="583"/>
      <c r="AJ901" s="583"/>
      <c r="AK901" s="583"/>
      <c r="AL901" s="583"/>
      <c r="AM901" s="583"/>
      <c r="AN901" s="583"/>
      <c r="AO901" s="583"/>
      <c r="AP901" s="583"/>
      <c r="AQ901" s="583"/>
      <c r="AR901" s="583"/>
      <c r="AS901" s="583"/>
      <c r="AT901" s="583"/>
      <c r="AU901" s="583"/>
    </row>
    <row r="902" spans="1:47" s="586" customFormat="1" x14ac:dyDescent="0.2">
      <c r="A902" s="585"/>
      <c r="B902" s="585"/>
      <c r="C902" s="585"/>
      <c r="D902" s="583"/>
      <c r="E902" s="583"/>
      <c r="F902" s="583"/>
      <c r="G902" s="583"/>
      <c r="H902" s="583"/>
      <c r="I902" s="583"/>
      <c r="J902" s="583"/>
      <c r="K902" s="583"/>
      <c r="L902" s="583"/>
      <c r="M902" s="583"/>
      <c r="N902" s="583"/>
      <c r="O902" s="583"/>
      <c r="P902" s="583"/>
      <c r="Q902" s="583"/>
      <c r="R902" s="583"/>
      <c r="S902" s="583"/>
      <c r="T902" s="583"/>
      <c r="U902" s="583"/>
      <c r="V902" s="583"/>
      <c r="W902" s="583"/>
      <c r="X902" s="583"/>
      <c r="Y902" s="583"/>
      <c r="Z902" s="583"/>
      <c r="AA902" s="583"/>
      <c r="AB902" s="583"/>
      <c r="AC902" s="583"/>
      <c r="AD902" s="583"/>
      <c r="AE902" s="583"/>
      <c r="AF902" s="583"/>
      <c r="AG902" s="583"/>
      <c r="AH902" s="583"/>
      <c r="AI902" s="583"/>
      <c r="AJ902" s="583"/>
      <c r="AK902" s="583"/>
      <c r="AL902" s="583"/>
      <c r="AM902" s="583"/>
      <c r="AN902" s="583"/>
      <c r="AO902" s="583"/>
      <c r="AP902" s="583"/>
      <c r="AQ902" s="583"/>
      <c r="AR902" s="583"/>
      <c r="AS902" s="583"/>
      <c r="AT902" s="583"/>
      <c r="AU902" s="583"/>
    </row>
    <row r="903" spans="1:47" s="586" customFormat="1" x14ac:dyDescent="0.2">
      <c r="A903" s="585"/>
      <c r="B903" s="585"/>
      <c r="C903" s="585"/>
      <c r="D903" s="583"/>
      <c r="E903" s="583"/>
      <c r="F903" s="583"/>
      <c r="G903" s="583"/>
      <c r="H903" s="583"/>
      <c r="I903" s="583"/>
      <c r="J903" s="583"/>
      <c r="K903" s="583"/>
      <c r="L903" s="583"/>
      <c r="M903" s="583"/>
      <c r="N903" s="583"/>
      <c r="O903" s="583"/>
      <c r="P903" s="583"/>
      <c r="Q903" s="583"/>
      <c r="R903" s="583"/>
      <c r="S903" s="583"/>
      <c r="T903" s="583"/>
      <c r="U903" s="583"/>
      <c r="V903" s="583"/>
      <c r="W903" s="583"/>
      <c r="X903" s="583"/>
      <c r="Y903" s="583"/>
      <c r="Z903" s="583"/>
      <c r="AA903" s="583"/>
      <c r="AB903" s="583"/>
      <c r="AC903" s="583"/>
      <c r="AD903" s="583"/>
      <c r="AE903" s="583"/>
      <c r="AF903" s="583"/>
      <c r="AG903" s="583"/>
      <c r="AH903" s="583"/>
      <c r="AI903" s="583"/>
      <c r="AJ903" s="583"/>
      <c r="AK903" s="583"/>
      <c r="AL903" s="583"/>
      <c r="AM903" s="583"/>
      <c r="AN903" s="583"/>
      <c r="AO903" s="583"/>
      <c r="AP903" s="583"/>
      <c r="AQ903" s="583"/>
      <c r="AR903" s="583"/>
      <c r="AS903" s="583"/>
      <c r="AT903" s="583"/>
      <c r="AU903" s="583"/>
    </row>
    <row r="904" spans="1:47" s="586" customFormat="1" x14ac:dyDescent="0.2">
      <c r="A904" s="585"/>
      <c r="B904" s="585"/>
      <c r="C904" s="585"/>
      <c r="D904" s="583"/>
      <c r="E904" s="583"/>
      <c r="F904" s="583"/>
      <c r="G904" s="583"/>
      <c r="H904" s="583"/>
      <c r="I904" s="583"/>
      <c r="J904" s="583"/>
      <c r="K904" s="583"/>
      <c r="L904" s="583"/>
      <c r="M904" s="583"/>
      <c r="N904" s="583"/>
      <c r="O904" s="583"/>
      <c r="P904" s="583"/>
      <c r="Q904" s="583"/>
      <c r="R904" s="583"/>
      <c r="S904" s="583"/>
      <c r="T904" s="583"/>
      <c r="U904" s="583"/>
      <c r="V904" s="583"/>
      <c r="W904" s="583"/>
      <c r="X904" s="583"/>
      <c r="Y904" s="583"/>
      <c r="Z904" s="583"/>
      <c r="AA904" s="583"/>
      <c r="AB904" s="583"/>
      <c r="AC904" s="583"/>
      <c r="AD904" s="583"/>
      <c r="AE904" s="583"/>
      <c r="AF904" s="583"/>
      <c r="AG904" s="583"/>
      <c r="AH904" s="583"/>
      <c r="AI904" s="583"/>
      <c r="AJ904" s="583"/>
      <c r="AK904" s="583"/>
      <c r="AL904" s="583"/>
      <c r="AM904" s="583"/>
      <c r="AN904" s="583"/>
      <c r="AO904" s="583"/>
      <c r="AP904" s="583"/>
      <c r="AQ904" s="583"/>
      <c r="AR904" s="583"/>
      <c r="AS904" s="583"/>
      <c r="AT904" s="583"/>
      <c r="AU904" s="583"/>
    </row>
    <row r="905" spans="1:47" s="586" customFormat="1" x14ac:dyDescent="0.2">
      <c r="A905" s="585"/>
      <c r="B905" s="585"/>
      <c r="C905" s="585"/>
      <c r="D905" s="583"/>
      <c r="E905" s="583"/>
      <c r="F905" s="583"/>
      <c r="G905" s="583"/>
      <c r="H905" s="583"/>
      <c r="I905" s="583"/>
      <c r="J905" s="583"/>
      <c r="K905" s="583"/>
      <c r="L905" s="583"/>
      <c r="M905" s="583"/>
      <c r="N905" s="583"/>
      <c r="O905" s="583"/>
      <c r="P905" s="583"/>
      <c r="Q905" s="583"/>
      <c r="R905" s="583"/>
      <c r="S905" s="583"/>
      <c r="T905" s="583"/>
      <c r="U905" s="583"/>
      <c r="V905" s="583"/>
      <c r="W905" s="583"/>
      <c r="X905" s="583"/>
      <c r="Y905" s="583"/>
      <c r="Z905" s="583"/>
      <c r="AA905" s="583"/>
      <c r="AB905" s="583"/>
      <c r="AC905" s="583"/>
      <c r="AD905" s="583"/>
      <c r="AE905" s="583"/>
      <c r="AF905" s="583"/>
      <c r="AG905" s="583"/>
      <c r="AH905" s="583"/>
      <c r="AI905" s="583"/>
      <c r="AJ905" s="583"/>
      <c r="AK905" s="583"/>
      <c r="AL905" s="583"/>
      <c r="AM905" s="583"/>
      <c r="AN905" s="583"/>
      <c r="AO905" s="583"/>
      <c r="AP905" s="583"/>
      <c r="AQ905" s="583"/>
      <c r="AR905" s="583"/>
      <c r="AS905" s="583"/>
      <c r="AT905" s="583"/>
      <c r="AU905" s="583"/>
    </row>
    <row r="906" spans="1:47" s="586" customFormat="1" x14ac:dyDescent="0.2">
      <c r="A906" s="585"/>
      <c r="B906" s="585"/>
      <c r="C906" s="585"/>
      <c r="D906" s="583"/>
      <c r="E906" s="583"/>
      <c r="F906" s="583"/>
      <c r="G906" s="583"/>
      <c r="H906" s="583"/>
      <c r="I906" s="583"/>
      <c r="J906" s="583"/>
      <c r="K906" s="583"/>
      <c r="L906" s="583"/>
      <c r="M906" s="583"/>
      <c r="N906" s="583"/>
      <c r="O906" s="583"/>
      <c r="P906" s="583"/>
      <c r="Q906" s="583"/>
      <c r="R906" s="583"/>
      <c r="S906" s="583"/>
      <c r="T906" s="583"/>
      <c r="U906" s="583"/>
      <c r="V906" s="583"/>
      <c r="W906" s="583"/>
      <c r="X906" s="583"/>
      <c r="Y906" s="583"/>
      <c r="Z906" s="583"/>
      <c r="AA906" s="583"/>
      <c r="AB906" s="583"/>
      <c r="AC906" s="583"/>
      <c r="AD906" s="583"/>
      <c r="AE906" s="583"/>
      <c r="AF906" s="583"/>
      <c r="AG906" s="583"/>
      <c r="AH906" s="583"/>
      <c r="AI906" s="583"/>
      <c r="AJ906" s="583"/>
      <c r="AK906" s="583"/>
      <c r="AL906" s="583"/>
      <c r="AM906" s="583"/>
      <c r="AN906" s="583"/>
      <c r="AO906" s="583"/>
      <c r="AP906" s="583"/>
      <c r="AQ906" s="583"/>
      <c r="AR906" s="583"/>
      <c r="AS906" s="583"/>
      <c r="AT906" s="583"/>
      <c r="AU906" s="583"/>
    </row>
    <row r="907" spans="1:47" s="586" customFormat="1" x14ac:dyDescent="0.2">
      <c r="A907" s="585"/>
      <c r="B907" s="585"/>
      <c r="C907" s="585"/>
      <c r="D907" s="583"/>
      <c r="E907" s="583"/>
      <c r="F907" s="583"/>
      <c r="G907" s="583"/>
      <c r="H907" s="583"/>
      <c r="I907" s="583"/>
      <c r="J907" s="583"/>
      <c r="K907" s="583"/>
      <c r="L907" s="583"/>
      <c r="M907" s="583"/>
      <c r="N907" s="583"/>
      <c r="O907" s="583"/>
      <c r="P907" s="583"/>
      <c r="Q907" s="583"/>
      <c r="R907" s="583"/>
      <c r="S907" s="583"/>
      <c r="T907" s="583"/>
      <c r="U907" s="583"/>
      <c r="V907" s="583"/>
      <c r="W907" s="583"/>
      <c r="X907" s="583"/>
      <c r="Y907" s="583"/>
      <c r="Z907" s="583"/>
      <c r="AA907" s="583"/>
      <c r="AB907" s="583"/>
      <c r="AC907" s="583"/>
      <c r="AD907" s="583"/>
      <c r="AE907" s="583"/>
      <c r="AF907" s="583"/>
      <c r="AG907" s="583"/>
      <c r="AH907" s="583"/>
      <c r="AI907" s="583"/>
      <c r="AJ907" s="583"/>
      <c r="AK907" s="583"/>
      <c r="AL907" s="583"/>
      <c r="AM907" s="583"/>
      <c r="AN907" s="583"/>
      <c r="AO907" s="583"/>
      <c r="AP907" s="583"/>
      <c r="AQ907" s="583"/>
      <c r="AR907" s="583"/>
      <c r="AS907" s="583"/>
      <c r="AT907" s="583"/>
      <c r="AU907" s="583"/>
    </row>
    <row r="908" spans="1:47" s="586" customFormat="1" x14ac:dyDescent="0.2">
      <c r="A908" s="585"/>
      <c r="B908" s="585"/>
      <c r="C908" s="585"/>
      <c r="D908" s="583"/>
      <c r="E908" s="583"/>
      <c r="F908" s="583"/>
      <c r="G908" s="583"/>
      <c r="H908" s="583"/>
      <c r="I908" s="583"/>
      <c r="J908" s="583"/>
      <c r="K908" s="583"/>
      <c r="L908" s="583"/>
      <c r="M908" s="583"/>
      <c r="N908" s="583"/>
      <c r="O908" s="583"/>
      <c r="P908" s="583"/>
      <c r="Q908" s="583"/>
      <c r="R908" s="583"/>
      <c r="S908" s="583"/>
      <c r="T908" s="583"/>
      <c r="U908" s="583"/>
      <c r="V908" s="583"/>
      <c r="W908" s="583"/>
      <c r="X908" s="583"/>
      <c r="Y908" s="583"/>
      <c r="Z908" s="583"/>
      <c r="AA908" s="583"/>
      <c r="AB908" s="583"/>
      <c r="AC908" s="583"/>
      <c r="AD908" s="583"/>
      <c r="AE908" s="583"/>
      <c r="AF908" s="583"/>
      <c r="AG908" s="583"/>
      <c r="AH908" s="583"/>
      <c r="AI908" s="583"/>
      <c r="AJ908" s="583"/>
      <c r="AK908" s="583"/>
      <c r="AL908" s="583"/>
      <c r="AM908" s="583"/>
      <c r="AN908" s="583"/>
      <c r="AO908" s="583"/>
      <c r="AP908" s="583"/>
      <c r="AQ908" s="583"/>
      <c r="AR908" s="583"/>
      <c r="AS908" s="583"/>
      <c r="AT908" s="583"/>
      <c r="AU908" s="583"/>
    </row>
    <row r="909" spans="1:47" s="586" customFormat="1" x14ac:dyDescent="0.2">
      <c r="A909" s="585"/>
      <c r="B909" s="585"/>
      <c r="C909" s="585"/>
      <c r="D909" s="583"/>
      <c r="E909" s="583"/>
      <c r="F909" s="583"/>
      <c r="G909" s="583"/>
      <c r="H909" s="583"/>
      <c r="I909" s="583"/>
      <c r="J909" s="583"/>
      <c r="K909" s="583"/>
      <c r="L909" s="583"/>
      <c r="M909" s="583"/>
      <c r="N909" s="583"/>
      <c r="O909" s="583"/>
      <c r="P909" s="583"/>
      <c r="Q909" s="583"/>
      <c r="R909" s="583"/>
      <c r="S909" s="583"/>
      <c r="T909" s="583"/>
      <c r="U909" s="583"/>
      <c r="V909" s="583"/>
      <c r="W909" s="583"/>
      <c r="X909" s="583"/>
      <c r="Y909" s="583"/>
      <c r="Z909" s="583"/>
      <c r="AA909" s="583"/>
      <c r="AB909" s="583"/>
      <c r="AC909" s="583"/>
      <c r="AD909" s="583"/>
      <c r="AE909" s="583"/>
      <c r="AF909" s="583"/>
      <c r="AG909" s="583"/>
      <c r="AH909" s="583"/>
      <c r="AI909" s="583"/>
      <c r="AJ909" s="583"/>
      <c r="AK909" s="583"/>
      <c r="AL909" s="583"/>
      <c r="AM909" s="583"/>
      <c r="AN909" s="583"/>
      <c r="AO909" s="583"/>
      <c r="AP909" s="583"/>
      <c r="AQ909" s="583"/>
      <c r="AR909" s="583"/>
      <c r="AS909" s="583"/>
      <c r="AT909" s="583"/>
      <c r="AU909" s="583"/>
    </row>
    <row r="910" spans="1:47" s="586" customFormat="1" x14ac:dyDescent="0.2">
      <c r="A910" s="585"/>
      <c r="B910" s="585"/>
      <c r="C910" s="585"/>
      <c r="D910" s="583"/>
      <c r="E910" s="583"/>
      <c r="F910" s="583"/>
      <c r="G910" s="583"/>
      <c r="H910" s="583"/>
      <c r="I910" s="583"/>
      <c r="J910" s="583"/>
      <c r="K910" s="583"/>
      <c r="L910" s="583"/>
      <c r="M910" s="583"/>
      <c r="N910" s="583"/>
      <c r="O910" s="583"/>
      <c r="P910" s="583"/>
      <c r="Q910" s="583"/>
      <c r="R910" s="583"/>
      <c r="S910" s="583"/>
      <c r="T910" s="583"/>
      <c r="U910" s="583"/>
      <c r="V910" s="583"/>
      <c r="W910" s="583"/>
      <c r="X910" s="583"/>
      <c r="Y910" s="583"/>
      <c r="Z910" s="583"/>
      <c r="AA910" s="583"/>
      <c r="AB910" s="583"/>
      <c r="AC910" s="583"/>
      <c r="AD910" s="583"/>
      <c r="AE910" s="583"/>
      <c r="AF910" s="583"/>
      <c r="AG910" s="583"/>
      <c r="AH910" s="583"/>
      <c r="AI910" s="583"/>
      <c r="AJ910" s="583"/>
      <c r="AK910" s="583"/>
      <c r="AL910" s="583"/>
      <c r="AM910" s="583"/>
      <c r="AN910" s="583"/>
      <c r="AO910" s="583"/>
      <c r="AP910" s="583"/>
      <c r="AQ910" s="583"/>
      <c r="AR910" s="583"/>
      <c r="AS910" s="583"/>
      <c r="AT910" s="583"/>
      <c r="AU910" s="583"/>
    </row>
    <row r="911" spans="1:47" s="586" customFormat="1" x14ac:dyDescent="0.2">
      <c r="A911" s="585"/>
      <c r="B911" s="585"/>
      <c r="C911" s="585"/>
      <c r="D911" s="583"/>
      <c r="E911" s="583"/>
      <c r="F911" s="583"/>
      <c r="G911" s="583"/>
      <c r="H911" s="583"/>
      <c r="I911" s="583"/>
      <c r="J911" s="583"/>
      <c r="K911" s="583"/>
      <c r="L911" s="583"/>
      <c r="M911" s="583"/>
      <c r="N911" s="583"/>
      <c r="O911" s="583"/>
      <c r="P911" s="583"/>
      <c r="Q911" s="583"/>
      <c r="R911" s="583"/>
      <c r="S911" s="583"/>
      <c r="T911" s="583"/>
      <c r="U911" s="583"/>
      <c r="V911" s="583"/>
      <c r="W911" s="583"/>
      <c r="X911" s="583"/>
      <c r="Y911" s="583"/>
      <c r="Z911" s="583"/>
      <c r="AA911" s="583"/>
      <c r="AB911" s="583"/>
      <c r="AC911" s="583"/>
      <c r="AD911" s="583"/>
      <c r="AE911" s="583"/>
      <c r="AF911" s="583"/>
      <c r="AG911" s="583"/>
      <c r="AH911" s="583"/>
      <c r="AI911" s="583"/>
      <c r="AJ911" s="583"/>
      <c r="AK911" s="583"/>
      <c r="AL911" s="583"/>
      <c r="AM911" s="583"/>
      <c r="AN911" s="583"/>
      <c r="AO911" s="583"/>
      <c r="AP911" s="583"/>
      <c r="AQ911" s="583"/>
      <c r="AR911" s="583"/>
      <c r="AS911" s="583"/>
      <c r="AT911" s="583"/>
      <c r="AU911" s="583"/>
    </row>
    <row r="912" spans="1:47" s="586" customFormat="1" x14ac:dyDescent="0.2">
      <c r="A912" s="585"/>
      <c r="B912" s="585"/>
      <c r="C912" s="585"/>
      <c r="D912" s="583"/>
      <c r="E912" s="583"/>
      <c r="F912" s="583"/>
      <c r="G912" s="583"/>
      <c r="H912" s="583"/>
      <c r="I912" s="583"/>
      <c r="J912" s="583"/>
      <c r="K912" s="583"/>
      <c r="L912" s="583"/>
      <c r="M912" s="583"/>
      <c r="N912" s="583"/>
      <c r="O912" s="583"/>
      <c r="P912" s="583"/>
      <c r="Q912" s="583"/>
      <c r="R912" s="583"/>
      <c r="S912" s="583"/>
      <c r="T912" s="583"/>
      <c r="U912" s="583"/>
      <c r="V912" s="583"/>
      <c r="W912" s="583"/>
      <c r="X912" s="583"/>
      <c r="Y912" s="583"/>
      <c r="Z912" s="583"/>
      <c r="AA912" s="583"/>
      <c r="AB912" s="583"/>
      <c r="AC912" s="583"/>
      <c r="AD912" s="583"/>
      <c r="AE912" s="583"/>
      <c r="AF912" s="583"/>
      <c r="AG912" s="583"/>
      <c r="AH912" s="583"/>
      <c r="AI912" s="583"/>
      <c r="AJ912" s="583"/>
      <c r="AK912" s="583"/>
      <c r="AL912" s="583"/>
      <c r="AM912" s="583"/>
      <c r="AN912" s="583"/>
      <c r="AO912" s="583"/>
      <c r="AP912" s="583"/>
      <c r="AQ912" s="583"/>
      <c r="AR912" s="583"/>
      <c r="AS912" s="583"/>
      <c r="AT912" s="583"/>
      <c r="AU912" s="583"/>
    </row>
    <row r="913" spans="1:47" s="586" customFormat="1" x14ac:dyDescent="0.2">
      <c r="A913" s="585"/>
      <c r="B913" s="585"/>
      <c r="C913" s="585"/>
      <c r="D913" s="583"/>
      <c r="E913" s="583"/>
      <c r="F913" s="583"/>
      <c r="G913" s="583"/>
      <c r="H913" s="583"/>
      <c r="I913" s="583"/>
      <c r="J913" s="583"/>
      <c r="K913" s="583"/>
      <c r="L913" s="583"/>
      <c r="M913" s="583"/>
      <c r="N913" s="583"/>
      <c r="O913" s="583"/>
      <c r="P913" s="583"/>
      <c r="Q913" s="583"/>
      <c r="R913" s="583"/>
      <c r="S913" s="583"/>
      <c r="T913" s="583"/>
      <c r="U913" s="583"/>
      <c r="V913" s="583"/>
      <c r="W913" s="583"/>
      <c r="X913" s="583"/>
      <c r="Y913" s="583"/>
      <c r="Z913" s="583"/>
      <c r="AA913" s="583"/>
      <c r="AB913" s="583"/>
      <c r="AC913" s="583"/>
      <c r="AD913" s="583"/>
      <c r="AE913" s="583"/>
      <c r="AF913" s="583"/>
      <c r="AG913" s="583"/>
      <c r="AH913" s="583"/>
      <c r="AI913" s="583"/>
      <c r="AJ913" s="583"/>
      <c r="AK913" s="583"/>
      <c r="AL913" s="583"/>
      <c r="AM913" s="583"/>
      <c r="AN913" s="583"/>
      <c r="AO913" s="583"/>
      <c r="AP913" s="583"/>
      <c r="AQ913" s="583"/>
      <c r="AR913" s="583"/>
      <c r="AS913" s="583"/>
      <c r="AT913" s="583"/>
      <c r="AU913" s="583"/>
    </row>
    <row r="914" spans="1:47" s="586" customFormat="1" x14ac:dyDescent="0.2">
      <c r="A914" s="585"/>
      <c r="B914" s="585"/>
      <c r="C914" s="585"/>
      <c r="D914" s="583"/>
      <c r="E914" s="583"/>
      <c r="F914" s="583"/>
      <c r="G914" s="583"/>
      <c r="H914" s="583"/>
      <c r="I914" s="583"/>
      <c r="J914" s="583"/>
      <c r="K914" s="583"/>
      <c r="L914" s="583"/>
      <c r="M914" s="583"/>
      <c r="N914" s="583"/>
      <c r="O914" s="583"/>
      <c r="P914" s="583"/>
      <c r="Q914" s="583"/>
      <c r="R914" s="583"/>
      <c r="S914" s="583"/>
      <c r="T914" s="583"/>
      <c r="U914" s="583"/>
      <c r="V914" s="583"/>
      <c r="W914" s="583"/>
      <c r="X914" s="583"/>
      <c r="Y914" s="583"/>
      <c r="Z914" s="583"/>
      <c r="AA914" s="583"/>
      <c r="AB914" s="583"/>
      <c r="AC914" s="583"/>
      <c r="AD914" s="583"/>
      <c r="AE914" s="583"/>
      <c r="AF914" s="583"/>
      <c r="AG914" s="583"/>
      <c r="AH914" s="583"/>
      <c r="AI914" s="583"/>
      <c r="AJ914" s="583"/>
      <c r="AK914" s="583"/>
      <c r="AL914" s="583"/>
      <c r="AM914" s="583"/>
      <c r="AN914" s="583"/>
      <c r="AO914" s="583"/>
      <c r="AP914" s="583"/>
      <c r="AQ914" s="583"/>
      <c r="AR914" s="583"/>
      <c r="AS914" s="583"/>
      <c r="AT914" s="583"/>
      <c r="AU914" s="583"/>
    </row>
    <row r="915" spans="1:47" s="586" customFormat="1" x14ac:dyDescent="0.2">
      <c r="A915" s="585"/>
      <c r="B915" s="585"/>
      <c r="C915" s="585"/>
      <c r="D915" s="583"/>
      <c r="E915" s="583"/>
      <c r="F915" s="583"/>
      <c r="G915" s="583"/>
      <c r="H915" s="583"/>
      <c r="I915" s="583"/>
      <c r="J915" s="583"/>
      <c r="K915" s="583"/>
      <c r="L915" s="583"/>
      <c r="M915" s="583"/>
      <c r="N915" s="583"/>
      <c r="O915" s="583"/>
      <c r="P915" s="583"/>
      <c r="Q915" s="583"/>
      <c r="R915" s="583"/>
      <c r="S915" s="583"/>
      <c r="T915" s="583"/>
      <c r="U915" s="583"/>
      <c r="V915" s="583"/>
      <c r="W915" s="583"/>
      <c r="X915" s="583"/>
      <c r="Y915" s="583"/>
      <c r="Z915" s="583"/>
      <c r="AA915" s="583"/>
      <c r="AB915" s="583"/>
      <c r="AC915" s="583"/>
      <c r="AD915" s="583"/>
      <c r="AE915" s="583"/>
      <c r="AF915" s="583"/>
      <c r="AG915" s="583"/>
      <c r="AH915" s="583"/>
      <c r="AI915" s="583"/>
      <c r="AJ915" s="583"/>
      <c r="AK915" s="583"/>
      <c r="AL915" s="583"/>
      <c r="AM915" s="583"/>
      <c r="AN915" s="583"/>
      <c r="AO915" s="583"/>
      <c r="AP915" s="583"/>
      <c r="AQ915" s="583"/>
      <c r="AR915" s="583"/>
      <c r="AS915" s="583"/>
      <c r="AT915" s="583"/>
      <c r="AU915" s="583"/>
    </row>
    <row r="916" spans="1:47" s="586" customFormat="1" x14ac:dyDescent="0.2">
      <c r="A916" s="585"/>
      <c r="B916" s="585"/>
      <c r="C916" s="585"/>
      <c r="D916" s="583"/>
      <c r="E916" s="583"/>
      <c r="F916" s="583"/>
      <c r="G916" s="583"/>
      <c r="H916" s="583"/>
      <c r="I916" s="583"/>
      <c r="J916" s="583"/>
      <c r="K916" s="583"/>
      <c r="L916" s="583"/>
      <c r="M916" s="583"/>
      <c r="N916" s="583"/>
      <c r="O916" s="583"/>
      <c r="P916" s="583"/>
      <c r="Q916" s="583"/>
      <c r="R916" s="583"/>
      <c r="S916" s="583"/>
      <c r="T916" s="583"/>
      <c r="U916" s="583"/>
      <c r="V916" s="583"/>
      <c r="W916" s="583"/>
      <c r="X916" s="583"/>
      <c r="Y916" s="583"/>
      <c r="Z916" s="583"/>
      <c r="AA916" s="583"/>
      <c r="AB916" s="583"/>
      <c r="AC916" s="583"/>
      <c r="AD916" s="583"/>
      <c r="AE916" s="583"/>
      <c r="AF916" s="583"/>
      <c r="AG916" s="583"/>
      <c r="AH916" s="583"/>
      <c r="AI916" s="583"/>
      <c r="AJ916" s="583"/>
      <c r="AK916" s="583"/>
      <c r="AL916" s="583"/>
      <c r="AM916" s="583"/>
      <c r="AN916" s="583"/>
      <c r="AO916" s="583"/>
      <c r="AP916" s="583"/>
      <c r="AQ916" s="583"/>
      <c r="AR916" s="583"/>
      <c r="AS916" s="583"/>
      <c r="AT916" s="583"/>
      <c r="AU916" s="583"/>
    </row>
    <row r="917" spans="1:47" s="586" customFormat="1" x14ac:dyDescent="0.2">
      <c r="A917" s="585"/>
      <c r="B917" s="585"/>
      <c r="C917" s="585"/>
      <c r="D917" s="583"/>
      <c r="E917" s="583"/>
      <c r="F917" s="583"/>
      <c r="G917" s="583"/>
      <c r="H917" s="583"/>
      <c r="I917" s="583"/>
      <c r="J917" s="583"/>
      <c r="K917" s="583"/>
      <c r="L917" s="583"/>
      <c r="M917" s="583"/>
      <c r="N917" s="583"/>
      <c r="O917" s="583"/>
      <c r="P917" s="583"/>
      <c r="Q917" s="583"/>
      <c r="R917" s="583"/>
      <c r="S917" s="583"/>
      <c r="T917" s="583"/>
      <c r="U917" s="583"/>
      <c r="V917" s="583"/>
      <c r="W917" s="583"/>
      <c r="X917" s="583"/>
      <c r="Y917" s="583"/>
      <c r="Z917" s="583"/>
      <c r="AA917" s="583"/>
      <c r="AB917" s="583"/>
      <c r="AC917" s="583"/>
      <c r="AD917" s="583"/>
      <c r="AE917" s="583"/>
      <c r="AF917" s="583"/>
      <c r="AG917" s="583"/>
      <c r="AH917" s="583"/>
      <c r="AI917" s="583"/>
      <c r="AJ917" s="583"/>
      <c r="AK917" s="583"/>
      <c r="AL917" s="583"/>
      <c r="AM917" s="583"/>
      <c r="AN917" s="583"/>
      <c r="AO917" s="583"/>
      <c r="AP917" s="583"/>
      <c r="AQ917" s="583"/>
      <c r="AR917" s="583"/>
      <c r="AS917" s="583"/>
      <c r="AT917" s="583"/>
      <c r="AU917" s="583"/>
    </row>
    <row r="918" spans="1:47" s="586" customFormat="1" x14ac:dyDescent="0.2">
      <c r="A918" s="585"/>
      <c r="B918" s="585"/>
      <c r="C918" s="585"/>
      <c r="D918" s="583"/>
      <c r="E918" s="583"/>
      <c r="F918" s="583"/>
      <c r="G918" s="583"/>
      <c r="H918" s="583"/>
      <c r="I918" s="583"/>
      <c r="J918" s="583"/>
      <c r="K918" s="583"/>
      <c r="L918" s="583"/>
      <c r="M918" s="583"/>
      <c r="N918" s="583"/>
      <c r="O918" s="583"/>
      <c r="P918" s="583"/>
      <c r="Q918" s="583"/>
      <c r="R918" s="583"/>
      <c r="S918" s="583"/>
      <c r="T918" s="583"/>
      <c r="U918" s="583"/>
      <c r="V918" s="583"/>
      <c r="W918" s="583"/>
      <c r="X918" s="583"/>
      <c r="Y918" s="583"/>
      <c r="Z918" s="583"/>
      <c r="AA918" s="583"/>
      <c r="AB918" s="583"/>
      <c r="AC918" s="583"/>
      <c r="AD918" s="583"/>
      <c r="AE918" s="583"/>
      <c r="AF918" s="583"/>
      <c r="AG918" s="583"/>
      <c r="AH918" s="583"/>
      <c r="AI918" s="583"/>
      <c r="AJ918" s="583"/>
      <c r="AK918" s="583"/>
      <c r="AL918" s="583"/>
      <c r="AM918" s="583"/>
      <c r="AN918" s="583"/>
      <c r="AO918" s="583"/>
      <c r="AP918" s="583"/>
      <c r="AQ918" s="583"/>
      <c r="AR918" s="583"/>
      <c r="AS918" s="583"/>
      <c r="AT918" s="583"/>
      <c r="AU918" s="583"/>
    </row>
    <row r="919" spans="1:47" s="586" customFormat="1" x14ac:dyDescent="0.2">
      <c r="A919" s="585"/>
      <c r="B919" s="585"/>
      <c r="C919" s="585"/>
      <c r="D919" s="583"/>
      <c r="E919" s="583"/>
      <c r="F919" s="583"/>
      <c r="G919" s="583"/>
      <c r="H919" s="583"/>
      <c r="I919" s="583"/>
      <c r="J919" s="583"/>
      <c r="K919" s="583"/>
      <c r="L919" s="583"/>
      <c r="M919" s="583"/>
      <c r="N919" s="583"/>
      <c r="O919" s="583"/>
      <c r="P919" s="583"/>
      <c r="Q919" s="583"/>
      <c r="R919" s="583"/>
      <c r="S919" s="583"/>
      <c r="T919" s="583"/>
      <c r="U919" s="583"/>
      <c r="V919" s="583"/>
      <c r="W919" s="583"/>
      <c r="X919" s="583"/>
      <c r="Y919" s="583"/>
      <c r="Z919" s="583"/>
      <c r="AA919" s="583"/>
      <c r="AB919" s="583"/>
      <c r="AC919" s="583"/>
      <c r="AD919" s="583"/>
      <c r="AE919" s="583"/>
      <c r="AF919" s="583"/>
      <c r="AG919" s="583"/>
      <c r="AH919" s="583"/>
      <c r="AI919" s="583"/>
      <c r="AJ919" s="583"/>
      <c r="AK919" s="583"/>
      <c r="AL919" s="583"/>
      <c r="AM919" s="583"/>
      <c r="AN919" s="583"/>
      <c r="AO919" s="583"/>
      <c r="AP919" s="583"/>
      <c r="AQ919" s="583"/>
      <c r="AR919" s="583"/>
      <c r="AS919" s="583"/>
      <c r="AT919" s="583"/>
      <c r="AU919" s="583"/>
    </row>
    <row r="920" spans="1:47" s="586" customFormat="1" x14ac:dyDescent="0.2">
      <c r="A920" s="585"/>
      <c r="B920" s="585"/>
      <c r="C920" s="585"/>
      <c r="D920" s="583"/>
      <c r="E920" s="583"/>
      <c r="F920" s="583"/>
      <c r="G920" s="583"/>
      <c r="H920" s="583"/>
      <c r="I920" s="583"/>
      <c r="J920" s="583"/>
      <c r="K920" s="583"/>
      <c r="L920" s="583"/>
      <c r="M920" s="583"/>
      <c r="N920" s="583"/>
      <c r="O920" s="583"/>
      <c r="P920" s="583"/>
      <c r="Q920" s="583"/>
      <c r="R920" s="583"/>
      <c r="S920" s="583"/>
      <c r="T920" s="583"/>
      <c r="U920" s="583"/>
      <c r="V920" s="583"/>
      <c r="W920" s="583"/>
      <c r="X920" s="583"/>
      <c r="Y920" s="583"/>
      <c r="Z920" s="583"/>
      <c r="AA920" s="583"/>
      <c r="AB920" s="583"/>
      <c r="AC920" s="583"/>
      <c r="AD920" s="583"/>
      <c r="AE920" s="583"/>
      <c r="AF920" s="583"/>
      <c r="AG920" s="583"/>
      <c r="AH920" s="583"/>
      <c r="AI920" s="583"/>
      <c r="AJ920" s="583"/>
      <c r="AK920" s="583"/>
      <c r="AL920" s="583"/>
      <c r="AM920" s="583"/>
      <c r="AN920" s="583"/>
      <c r="AO920" s="583"/>
      <c r="AP920" s="583"/>
      <c r="AQ920" s="583"/>
      <c r="AR920" s="583"/>
      <c r="AS920" s="583"/>
      <c r="AT920" s="583"/>
      <c r="AU920" s="583"/>
    </row>
    <row r="921" spans="1:47" s="586" customFormat="1" x14ac:dyDescent="0.2">
      <c r="A921" s="585"/>
      <c r="B921" s="585"/>
      <c r="C921" s="585"/>
      <c r="D921" s="583"/>
      <c r="E921" s="583"/>
      <c r="F921" s="583"/>
      <c r="G921" s="583"/>
      <c r="H921" s="583"/>
      <c r="I921" s="583"/>
      <c r="J921" s="583"/>
      <c r="K921" s="583"/>
      <c r="L921" s="583"/>
      <c r="M921" s="583"/>
      <c r="N921" s="583"/>
      <c r="O921" s="583"/>
      <c r="P921" s="583"/>
      <c r="Q921" s="583"/>
      <c r="R921" s="583"/>
      <c r="S921" s="583"/>
      <c r="T921" s="583"/>
      <c r="U921" s="583"/>
      <c r="V921" s="583"/>
      <c r="W921" s="583"/>
      <c r="X921" s="583"/>
      <c r="Y921" s="583"/>
      <c r="Z921" s="583"/>
      <c r="AA921" s="583"/>
      <c r="AB921" s="583"/>
      <c r="AC921" s="583"/>
      <c r="AD921" s="583"/>
      <c r="AE921" s="583"/>
      <c r="AF921" s="583"/>
      <c r="AG921" s="583"/>
      <c r="AH921" s="583"/>
      <c r="AI921" s="583"/>
      <c r="AJ921" s="583"/>
      <c r="AK921" s="583"/>
      <c r="AL921" s="583"/>
      <c r="AM921" s="583"/>
      <c r="AN921" s="583"/>
      <c r="AO921" s="583"/>
      <c r="AP921" s="583"/>
      <c r="AQ921" s="583"/>
      <c r="AR921" s="583"/>
      <c r="AS921" s="583"/>
      <c r="AT921" s="583"/>
      <c r="AU921" s="583"/>
    </row>
    <row r="922" spans="1:47" s="586" customFormat="1" x14ac:dyDescent="0.2">
      <c r="A922" s="585"/>
      <c r="B922" s="585"/>
      <c r="C922" s="585"/>
      <c r="D922" s="583"/>
      <c r="E922" s="583"/>
      <c r="F922" s="583"/>
      <c r="G922" s="583"/>
      <c r="H922" s="583"/>
      <c r="I922" s="583"/>
      <c r="J922" s="583"/>
      <c r="K922" s="583"/>
      <c r="L922" s="583"/>
      <c r="M922" s="583"/>
      <c r="N922" s="583"/>
      <c r="O922" s="583"/>
      <c r="P922" s="583"/>
      <c r="Q922" s="583"/>
      <c r="R922" s="583"/>
      <c r="S922" s="583"/>
      <c r="T922" s="583"/>
      <c r="U922" s="583"/>
      <c r="V922" s="583"/>
      <c r="W922" s="583"/>
      <c r="X922" s="583"/>
      <c r="Y922" s="583"/>
      <c r="Z922" s="583"/>
      <c r="AA922" s="583"/>
      <c r="AB922" s="583"/>
      <c r="AC922" s="583"/>
      <c r="AD922" s="583"/>
      <c r="AE922" s="583"/>
      <c r="AF922" s="583"/>
      <c r="AG922" s="583"/>
      <c r="AH922" s="583"/>
      <c r="AI922" s="583"/>
      <c r="AJ922" s="583"/>
      <c r="AK922" s="583"/>
      <c r="AL922" s="583"/>
      <c r="AM922" s="583"/>
      <c r="AN922" s="583"/>
      <c r="AO922" s="583"/>
      <c r="AP922" s="583"/>
      <c r="AQ922" s="583"/>
      <c r="AR922" s="583"/>
      <c r="AS922" s="583"/>
      <c r="AT922" s="583"/>
      <c r="AU922" s="583"/>
    </row>
    <row r="923" spans="1:47" s="586" customFormat="1" x14ac:dyDescent="0.2">
      <c r="A923" s="585"/>
      <c r="B923" s="585"/>
      <c r="C923" s="585"/>
      <c r="D923" s="583"/>
      <c r="E923" s="583"/>
      <c r="F923" s="583"/>
      <c r="G923" s="583"/>
      <c r="H923" s="583"/>
      <c r="I923" s="583"/>
      <c r="J923" s="583"/>
      <c r="K923" s="583"/>
      <c r="L923" s="583"/>
      <c r="M923" s="583"/>
      <c r="N923" s="583"/>
      <c r="O923" s="583"/>
      <c r="P923" s="583"/>
      <c r="Q923" s="583"/>
      <c r="R923" s="583"/>
      <c r="S923" s="583"/>
      <c r="T923" s="583"/>
      <c r="U923" s="583"/>
      <c r="V923" s="583"/>
      <c r="W923" s="583"/>
      <c r="X923" s="583"/>
      <c r="Y923" s="583"/>
      <c r="Z923" s="583"/>
      <c r="AA923" s="583"/>
      <c r="AB923" s="583"/>
      <c r="AC923" s="583"/>
      <c r="AD923" s="583"/>
      <c r="AE923" s="583"/>
      <c r="AF923" s="583"/>
      <c r="AG923" s="583"/>
      <c r="AH923" s="583"/>
      <c r="AI923" s="583"/>
      <c r="AJ923" s="583"/>
      <c r="AK923" s="583"/>
      <c r="AL923" s="583"/>
      <c r="AM923" s="583"/>
      <c r="AN923" s="583"/>
      <c r="AO923" s="583"/>
      <c r="AP923" s="583"/>
      <c r="AQ923" s="583"/>
      <c r="AR923" s="583"/>
      <c r="AS923" s="583"/>
      <c r="AT923" s="583"/>
      <c r="AU923" s="583"/>
    </row>
    <row r="924" spans="1:47" s="586" customFormat="1" x14ac:dyDescent="0.2">
      <c r="A924" s="585"/>
      <c r="B924" s="585"/>
      <c r="C924" s="585"/>
      <c r="D924" s="583"/>
      <c r="E924" s="583"/>
      <c r="F924" s="583"/>
      <c r="G924" s="583"/>
      <c r="H924" s="583"/>
      <c r="I924" s="583"/>
      <c r="J924" s="583"/>
      <c r="K924" s="583"/>
      <c r="L924" s="583"/>
      <c r="M924" s="583"/>
      <c r="N924" s="583"/>
      <c r="O924" s="583"/>
      <c r="P924" s="583"/>
      <c r="Q924" s="583"/>
      <c r="R924" s="583"/>
      <c r="S924" s="583"/>
      <c r="T924" s="583"/>
      <c r="U924" s="583"/>
      <c r="V924" s="583"/>
      <c r="W924" s="583"/>
      <c r="X924" s="583"/>
      <c r="Y924" s="583"/>
      <c r="Z924" s="583"/>
      <c r="AA924" s="583"/>
      <c r="AB924" s="583"/>
      <c r="AC924" s="583"/>
      <c r="AD924" s="583"/>
      <c r="AE924" s="583"/>
      <c r="AF924" s="583"/>
      <c r="AG924" s="583"/>
      <c r="AH924" s="583"/>
      <c r="AI924" s="583"/>
      <c r="AJ924" s="583"/>
      <c r="AK924" s="583"/>
      <c r="AL924" s="583"/>
      <c r="AM924" s="583"/>
      <c r="AN924" s="583"/>
      <c r="AO924" s="583"/>
      <c r="AP924" s="583"/>
      <c r="AQ924" s="583"/>
      <c r="AR924" s="583"/>
      <c r="AS924" s="583"/>
      <c r="AT924" s="583"/>
      <c r="AU924" s="583"/>
    </row>
    <row r="925" spans="1:47" s="586" customFormat="1" x14ac:dyDescent="0.2">
      <c r="A925" s="585"/>
      <c r="B925" s="585"/>
      <c r="C925" s="585"/>
      <c r="D925" s="583"/>
      <c r="E925" s="583"/>
      <c r="F925" s="583"/>
      <c r="G925" s="583"/>
      <c r="H925" s="583"/>
      <c r="I925" s="583"/>
      <c r="J925" s="583"/>
      <c r="K925" s="583"/>
      <c r="L925" s="583"/>
      <c r="M925" s="583"/>
      <c r="N925" s="583"/>
      <c r="O925" s="583"/>
      <c r="P925" s="583"/>
      <c r="Q925" s="583"/>
      <c r="R925" s="583"/>
      <c r="S925" s="583"/>
      <c r="T925" s="583"/>
      <c r="U925" s="583"/>
      <c r="V925" s="583"/>
      <c r="W925" s="583"/>
      <c r="X925" s="583"/>
      <c r="Y925" s="583"/>
      <c r="Z925" s="583"/>
      <c r="AA925" s="583"/>
      <c r="AB925" s="583"/>
      <c r="AC925" s="583"/>
      <c r="AD925" s="583"/>
      <c r="AE925" s="583"/>
      <c r="AF925" s="583"/>
      <c r="AG925" s="583"/>
      <c r="AH925" s="583"/>
      <c r="AI925" s="583"/>
      <c r="AJ925" s="583"/>
      <c r="AK925" s="583"/>
      <c r="AL925" s="583"/>
      <c r="AM925" s="583"/>
      <c r="AN925" s="583"/>
      <c r="AO925" s="583"/>
      <c r="AP925" s="583"/>
      <c r="AQ925" s="583"/>
      <c r="AR925" s="583"/>
      <c r="AS925" s="583"/>
      <c r="AT925" s="583"/>
      <c r="AU925" s="583"/>
    </row>
    <row r="926" spans="1:47" s="586" customFormat="1" x14ac:dyDescent="0.2">
      <c r="A926" s="585"/>
      <c r="B926" s="585"/>
      <c r="C926" s="585"/>
      <c r="D926" s="583"/>
      <c r="E926" s="583"/>
      <c r="F926" s="583"/>
      <c r="G926" s="583"/>
      <c r="H926" s="583"/>
      <c r="I926" s="583"/>
      <c r="J926" s="583"/>
      <c r="K926" s="583"/>
      <c r="L926" s="583"/>
      <c r="M926" s="583"/>
      <c r="N926" s="583"/>
      <c r="O926" s="583"/>
      <c r="P926" s="583"/>
      <c r="Q926" s="583"/>
      <c r="R926" s="583"/>
      <c r="S926" s="583"/>
      <c r="T926" s="583"/>
      <c r="U926" s="583"/>
      <c r="V926" s="583"/>
      <c r="W926" s="583"/>
      <c r="X926" s="583"/>
      <c r="Y926" s="583"/>
      <c r="Z926" s="583"/>
      <c r="AA926" s="583"/>
      <c r="AB926" s="583"/>
      <c r="AC926" s="583"/>
      <c r="AD926" s="583"/>
      <c r="AE926" s="583"/>
      <c r="AF926" s="583"/>
      <c r="AG926" s="583"/>
      <c r="AH926" s="583"/>
      <c r="AI926" s="583"/>
      <c r="AJ926" s="583"/>
      <c r="AK926" s="583"/>
      <c r="AL926" s="583"/>
      <c r="AM926" s="583"/>
      <c r="AN926" s="583"/>
      <c r="AO926" s="583"/>
      <c r="AP926" s="583"/>
      <c r="AQ926" s="583"/>
      <c r="AR926" s="583"/>
      <c r="AS926" s="583"/>
      <c r="AT926" s="583"/>
      <c r="AU926" s="583"/>
    </row>
    <row r="927" spans="1:47" s="586" customFormat="1" x14ac:dyDescent="0.2">
      <c r="A927" s="585"/>
      <c r="B927" s="585"/>
      <c r="C927" s="585"/>
      <c r="D927" s="583"/>
      <c r="E927" s="583"/>
      <c r="F927" s="583"/>
      <c r="G927" s="583"/>
      <c r="H927" s="583"/>
      <c r="I927" s="583"/>
      <c r="J927" s="583"/>
      <c r="K927" s="583"/>
      <c r="L927" s="583"/>
      <c r="M927" s="583"/>
      <c r="N927" s="583"/>
      <c r="O927" s="583"/>
      <c r="P927" s="583"/>
      <c r="Q927" s="583"/>
      <c r="R927" s="583"/>
      <c r="S927" s="583"/>
      <c r="T927" s="583"/>
      <c r="U927" s="583"/>
      <c r="V927" s="583"/>
      <c r="W927" s="583"/>
      <c r="X927" s="583"/>
      <c r="Y927" s="583"/>
      <c r="Z927" s="583"/>
      <c r="AA927" s="583"/>
      <c r="AB927" s="583"/>
      <c r="AC927" s="583"/>
      <c r="AD927" s="583"/>
      <c r="AE927" s="583"/>
      <c r="AF927" s="583"/>
      <c r="AG927" s="583"/>
      <c r="AH927" s="583"/>
      <c r="AI927" s="583"/>
      <c r="AJ927" s="583"/>
      <c r="AK927" s="583"/>
      <c r="AL927" s="583"/>
      <c r="AM927" s="583"/>
      <c r="AN927" s="583"/>
      <c r="AO927" s="583"/>
      <c r="AP927" s="583"/>
      <c r="AQ927" s="583"/>
      <c r="AR927" s="583"/>
      <c r="AS927" s="583"/>
      <c r="AT927" s="583"/>
      <c r="AU927" s="583"/>
    </row>
    <row r="928" spans="1:47" s="586" customFormat="1" x14ac:dyDescent="0.2">
      <c r="A928" s="585"/>
      <c r="B928" s="585"/>
      <c r="C928" s="585"/>
      <c r="D928" s="583"/>
      <c r="E928" s="583"/>
      <c r="F928" s="583"/>
      <c r="G928" s="583"/>
      <c r="H928" s="583"/>
      <c r="I928" s="583"/>
      <c r="J928" s="583"/>
      <c r="K928" s="583"/>
      <c r="L928" s="583"/>
      <c r="M928" s="583"/>
      <c r="N928" s="583"/>
      <c r="O928" s="583"/>
      <c r="P928" s="583"/>
      <c r="Q928" s="583"/>
      <c r="R928" s="583"/>
      <c r="S928" s="583"/>
      <c r="T928" s="583"/>
      <c r="U928" s="583"/>
      <c r="V928" s="583"/>
      <c r="W928" s="583"/>
      <c r="X928" s="583"/>
      <c r="Y928" s="583"/>
      <c r="Z928" s="583"/>
      <c r="AA928" s="583"/>
      <c r="AB928" s="583"/>
      <c r="AC928" s="583"/>
      <c r="AD928" s="583"/>
      <c r="AE928" s="583"/>
      <c r="AF928" s="583"/>
      <c r="AG928" s="583"/>
      <c r="AH928" s="583"/>
      <c r="AI928" s="583"/>
      <c r="AJ928" s="583"/>
      <c r="AK928" s="583"/>
      <c r="AL928" s="583"/>
      <c r="AM928" s="583"/>
      <c r="AN928" s="583"/>
      <c r="AO928" s="583"/>
      <c r="AP928" s="583"/>
      <c r="AQ928" s="583"/>
      <c r="AR928" s="583"/>
      <c r="AS928" s="583"/>
      <c r="AT928" s="583"/>
      <c r="AU928" s="583"/>
    </row>
    <row r="929" spans="1:47" s="586" customFormat="1" x14ac:dyDescent="0.2">
      <c r="A929" s="585"/>
      <c r="B929" s="585"/>
      <c r="C929" s="585"/>
      <c r="D929" s="583"/>
      <c r="E929" s="583"/>
      <c r="F929" s="583"/>
      <c r="G929" s="583"/>
      <c r="H929" s="583"/>
      <c r="I929" s="583"/>
      <c r="J929" s="583"/>
      <c r="K929" s="583"/>
      <c r="L929" s="583"/>
      <c r="M929" s="583"/>
      <c r="N929" s="583"/>
      <c r="O929" s="583"/>
      <c r="P929" s="583"/>
      <c r="Q929" s="583"/>
      <c r="R929" s="583"/>
      <c r="S929" s="583"/>
      <c r="T929" s="583"/>
      <c r="U929" s="583"/>
      <c r="V929" s="583"/>
      <c r="W929" s="583"/>
      <c r="X929" s="583"/>
      <c r="Y929" s="583"/>
      <c r="Z929" s="583"/>
      <c r="AA929" s="583"/>
      <c r="AB929" s="583"/>
      <c r="AC929" s="583"/>
      <c r="AD929" s="583"/>
      <c r="AE929" s="583"/>
      <c r="AF929" s="583"/>
      <c r="AG929" s="583"/>
      <c r="AH929" s="583"/>
      <c r="AI929" s="583"/>
      <c r="AJ929" s="583"/>
      <c r="AK929" s="583"/>
      <c r="AL929" s="583"/>
      <c r="AM929" s="583"/>
      <c r="AN929" s="583"/>
      <c r="AO929" s="583"/>
      <c r="AP929" s="583"/>
      <c r="AQ929" s="583"/>
      <c r="AR929" s="583"/>
      <c r="AS929" s="583"/>
      <c r="AT929" s="583"/>
      <c r="AU929" s="583"/>
    </row>
    <row r="930" spans="1:47" s="586" customFormat="1" x14ac:dyDescent="0.2">
      <c r="A930" s="585"/>
      <c r="B930" s="585"/>
      <c r="C930" s="585"/>
      <c r="D930" s="583"/>
      <c r="E930" s="583"/>
      <c r="F930" s="583"/>
      <c r="G930" s="583"/>
      <c r="H930" s="583"/>
      <c r="I930" s="583"/>
      <c r="J930" s="583"/>
      <c r="K930" s="583"/>
      <c r="L930" s="583"/>
      <c r="M930" s="583"/>
      <c r="N930" s="583"/>
      <c r="O930" s="583"/>
      <c r="P930" s="583"/>
      <c r="Q930" s="583"/>
      <c r="R930" s="583"/>
      <c r="S930" s="583"/>
      <c r="T930" s="583"/>
      <c r="U930" s="583"/>
      <c r="V930" s="583"/>
      <c r="W930" s="583"/>
      <c r="X930" s="583"/>
      <c r="Y930" s="583"/>
      <c r="Z930" s="583"/>
      <c r="AA930" s="583"/>
      <c r="AB930" s="583"/>
      <c r="AC930" s="583"/>
      <c r="AD930" s="583"/>
      <c r="AE930" s="583"/>
      <c r="AF930" s="583"/>
      <c r="AG930" s="583"/>
      <c r="AH930" s="583"/>
      <c r="AI930" s="583"/>
      <c r="AJ930" s="583"/>
      <c r="AK930" s="583"/>
      <c r="AL930" s="583"/>
      <c r="AM930" s="583"/>
      <c r="AN930" s="583"/>
      <c r="AO930" s="583"/>
      <c r="AP930" s="583"/>
      <c r="AQ930" s="583"/>
      <c r="AR930" s="583"/>
      <c r="AS930" s="583"/>
      <c r="AT930" s="583"/>
      <c r="AU930" s="583"/>
    </row>
    <row r="931" spans="1:47" s="586" customFormat="1" x14ac:dyDescent="0.2">
      <c r="A931" s="585"/>
      <c r="B931" s="585"/>
      <c r="C931" s="585"/>
      <c r="D931" s="583"/>
      <c r="E931" s="583"/>
      <c r="F931" s="583"/>
      <c r="G931" s="583"/>
      <c r="H931" s="583"/>
      <c r="I931" s="583"/>
      <c r="J931" s="583"/>
      <c r="K931" s="583"/>
      <c r="L931" s="583"/>
      <c r="M931" s="583"/>
      <c r="N931" s="583"/>
      <c r="O931" s="583"/>
      <c r="P931" s="583"/>
      <c r="Q931" s="583"/>
      <c r="R931" s="583"/>
      <c r="S931" s="583"/>
      <c r="T931" s="583"/>
      <c r="U931" s="583"/>
      <c r="V931" s="583"/>
      <c r="W931" s="583"/>
      <c r="X931" s="583"/>
      <c r="Y931" s="583"/>
      <c r="Z931" s="583"/>
      <c r="AA931" s="583"/>
      <c r="AB931" s="583"/>
      <c r="AC931" s="583"/>
      <c r="AD931" s="583"/>
      <c r="AE931" s="583"/>
      <c r="AF931" s="583"/>
      <c r="AG931" s="583"/>
      <c r="AH931" s="583"/>
      <c r="AI931" s="583"/>
      <c r="AJ931" s="583"/>
      <c r="AK931" s="583"/>
      <c r="AL931" s="583"/>
      <c r="AM931" s="583"/>
      <c r="AN931" s="583"/>
      <c r="AO931" s="583"/>
      <c r="AP931" s="583"/>
      <c r="AQ931" s="583"/>
      <c r="AR931" s="583"/>
      <c r="AS931" s="583"/>
      <c r="AT931" s="583"/>
      <c r="AU931" s="583"/>
    </row>
    <row r="932" spans="1:47" s="586" customFormat="1" x14ac:dyDescent="0.2">
      <c r="A932" s="585"/>
      <c r="B932" s="585"/>
      <c r="C932" s="585"/>
      <c r="D932" s="583"/>
      <c r="E932" s="583"/>
      <c r="F932" s="583"/>
      <c r="G932" s="583"/>
      <c r="H932" s="583"/>
      <c r="I932" s="583"/>
      <c r="J932" s="583"/>
      <c r="K932" s="583"/>
      <c r="L932" s="583"/>
      <c r="M932" s="583"/>
      <c r="N932" s="583"/>
      <c r="O932" s="583"/>
      <c r="P932" s="583"/>
      <c r="Q932" s="583"/>
      <c r="R932" s="583"/>
      <c r="S932" s="583"/>
      <c r="T932" s="583"/>
      <c r="U932" s="583"/>
      <c r="V932" s="583"/>
      <c r="W932" s="583"/>
      <c r="X932" s="583"/>
      <c r="Y932" s="583"/>
      <c r="Z932" s="583"/>
      <c r="AA932" s="583"/>
      <c r="AB932" s="583"/>
      <c r="AC932" s="583"/>
      <c r="AD932" s="583"/>
      <c r="AE932" s="583"/>
      <c r="AF932" s="583"/>
      <c r="AG932" s="583"/>
      <c r="AH932" s="583"/>
      <c r="AI932" s="583"/>
      <c r="AJ932" s="583"/>
      <c r="AK932" s="583"/>
      <c r="AL932" s="583"/>
      <c r="AM932" s="583"/>
      <c r="AN932" s="583"/>
      <c r="AO932" s="583"/>
      <c r="AP932" s="583"/>
      <c r="AQ932" s="583"/>
      <c r="AR932" s="583"/>
      <c r="AS932" s="583"/>
      <c r="AT932" s="583"/>
      <c r="AU932" s="583"/>
    </row>
    <row r="933" spans="1:47" s="586" customFormat="1" x14ac:dyDescent="0.2">
      <c r="A933" s="585"/>
      <c r="B933" s="585"/>
      <c r="C933" s="585"/>
      <c r="D933" s="583"/>
      <c r="E933" s="583"/>
      <c r="F933" s="583"/>
      <c r="G933" s="583"/>
      <c r="H933" s="583"/>
      <c r="I933" s="583"/>
      <c r="J933" s="583"/>
      <c r="K933" s="583"/>
      <c r="L933" s="583"/>
      <c r="M933" s="583"/>
      <c r="N933" s="583"/>
      <c r="O933" s="583"/>
      <c r="P933" s="583"/>
      <c r="Q933" s="583"/>
      <c r="R933" s="583"/>
      <c r="S933" s="583"/>
      <c r="T933" s="583"/>
      <c r="U933" s="583"/>
      <c r="V933" s="583"/>
      <c r="W933" s="583"/>
      <c r="X933" s="583"/>
      <c r="Y933" s="583"/>
      <c r="Z933" s="583"/>
      <c r="AA933" s="583"/>
      <c r="AB933" s="583"/>
      <c r="AC933" s="583"/>
      <c r="AD933" s="583"/>
      <c r="AE933" s="583"/>
      <c r="AF933" s="583"/>
      <c r="AG933" s="583"/>
      <c r="AH933" s="583"/>
      <c r="AI933" s="583"/>
      <c r="AJ933" s="583"/>
      <c r="AK933" s="583"/>
      <c r="AL933" s="583"/>
      <c r="AM933" s="583"/>
      <c r="AN933" s="583"/>
      <c r="AO933" s="583"/>
      <c r="AP933" s="583"/>
      <c r="AQ933" s="583"/>
      <c r="AR933" s="583"/>
      <c r="AS933" s="583"/>
      <c r="AT933" s="583"/>
      <c r="AU933" s="583"/>
    </row>
    <row r="934" spans="1:47" s="586" customFormat="1" x14ac:dyDescent="0.2">
      <c r="A934" s="585"/>
      <c r="B934" s="585"/>
      <c r="C934" s="585"/>
      <c r="D934" s="583"/>
      <c r="E934" s="583"/>
      <c r="F934" s="583"/>
      <c r="G934" s="583"/>
      <c r="H934" s="583"/>
      <c r="I934" s="583"/>
      <c r="J934" s="583"/>
      <c r="K934" s="583"/>
      <c r="L934" s="583"/>
      <c r="M934" s="583"/>
      <c r="N934" s="583"/>
      <c r="O934" s="583"/>
      <c r="P934" s="583"/>
      <c r="Q934" s="583"/>
      <c r="R934" s="583"/>
      <c r="S934" s="583"/>
      <c r="T934" s="583"/>
      <c r="U934" s="583"/>
      <c r="V934" s="583"/>
      <c r="W934" s="583"/>
      <c r="X934" s="583"/>
      <c r="Y934" s="583"/>
      <c r="Z934" s="583"/>
      <c r="AA934" s="583"/>
      <c r="AB934" s="583"/>
      <c r="AC934" s="583"/>
      <c r="AD934" s="583"/>
      <c r="AE934" s="583"/>
      <c r="AF934" s="583"/>
      <c r="AG934" s="583"/>
      <c r="AH934" s="583"/>
      <c r="AI934" s="583"/>
      <c r="AJ934" s="583"/>
      <c r="AK934" s="583"/>
      <c r="AL934" s="583"/>
      <c r="AM934" s="583"/>
      <c r="AN934" s="583"/>
      <c r="AO934" s="583"/>
      <c r="AP934" s="583"/>
      <c r="AQ934" s="583"/>
      <c r="AR934" s="583"/>
      <c r="AS934" s="583"/>
      <c r="AT934" s="583"/>
      <c r="AU934" s="583"/>
    </row>
    <row r="935" spans="1:47" s="586" customFormat="1" x14ac:dyDescent="0.2">
      <c r="A935" s="585"/>
      <c r="B935" s="585"/>
      <c r="C935" s="585"/>
      <c r="D935" s="583"/>
      <c r="E935" s="583"/>
      <c r="F935" s="583"/>
      <c r="G935" s="583"/>
      <c r="H935" s="583"/>
      <c r="I935" s="583"/>
      <c r="J935" s="583"/>
      <c r="K935" s="583"/>
      <c r="L935" s="583"/>
      <c r="M935" s="583"/>
      <c r="N935" s="583"/>
      <c r="O935" s="583"/>
      <c r="P935" s="583"/>
      <c r="Q935" s="583"/>
      <c r="R935" s="583"/>
      <c r="S935" s="583"/>
      <c r="T935" s="583"/>
      <c r="U935" s="583"/>
      <c r="V935" s="583"/>
      <c r="W935" s="583"/>
      <c r="X935" s="583"/>
      <c r="Y935" s="583"/>
      <c r="Z935" s="583"/>
      <c r="AA935" s="583"/>
      <c r="AB935" s="583"/>
      <c r="AC935" s="583"/>
      <c r="AD935" s="583"/>
      <c r="AE935" s="583"/>
      <c r="AF935" s="583"/>
      <c r="AG935" s="583"/>
      <c r="AH935" s="583"/>
      <c r="AI935" s="583"/>
      <c r="AJ935" s="583"/>
      <c r="AK935" s="583"/>
      <c r="AL935" s="583"/>
      <c r="AM935" s="583"/>
      <c r="AN935" s="583"/>
      <c r="AO935" s="583"/>
      <c r="AP935" s="583"/>
      <c r="AQ935" s="583"/>
      <c r="AR935" s="583"/>
      <c r="AS935" s="583"/>
      <c r="AT935" s="583"/>
      <c r="AU935" s="583"/>
    </row>
    <row r="936" spans="1:47" s="586" customFormat="1" x14ac:dyDescent="0.2">
      <c r="A936" s="585"/>
      <c r="B936" s="585"/>
      <c r="C936" s="585"/>
      <c r="D936" s="583"/>
      <c r="E936" s="583"/>
      <c r="F936" s="583"/>
      <c r="G936" s="583"/>
      <c r="H936" s="583"/>
      <c r="I936" s="583"/>
      <c r="J936" s="583"/>
      <c r="K936" s="583"/>
      <c r="L936" s="583"/>
      <c r="M936" s="583"/>
      <c r="N936" s="583"/>
      <c r="O936" s="583"/>
      <c r="P936" s="583"/>
      <c r="Q936" s="583"/>
      <c r="R936" s="583"/>
      <c r="S936" s="583"/>
      <c r="T936" s="583"/>
      <c r="U936" s="583"/>
      <c r="V936" s="583"/>
      <c r="W936" s="583"/>
      <c r="X936" s="583"/>
      <c r="Y936" s="583"/>
      <c r="Z936" s="583"/>
      <c r="AA936" s="583"/>
      <c r="AB936" s="583"/>
      <c r="AC936" s="583"/>
      <c r="AD936" s="583"/>
      <c r="AE936" s="583"/>
      <c r="AF936" s="583"/>
      <c r="AG936" s="583"/>
      <c r="AH936" s="583"/>
      <c r="AI936" s="583"/>
      <c r="AJ936" s="583"/>
      <c r="AK936" s="583"/>
      <c r="AL936" s="583"/>
      <c r="AM936" s="583"/>
      <c r="AN936" s="583"/>
      <c r="AO936" s="583"/>
      <c r="AP936" s="583"/>
      <c r="AQ936" s="583"/>
      <c r="AR936" s="583"/>
      <c r="AS936" s="583"/>
      <c r="AT936" s="583"/>
      <c r="AU936" s="583"/>
    </row>
    <row r="937" spans="1:47" s="586" customFormat="1" x14ac:dyDescent="0.2">
      <c r="A937" s="585"/>
      <c r="B937" s="585"/>
      <c r="C937" s="585"/>
      <c r="D937" s="583"/>
      <c r="E937" s="583"/>
      <c r="F937" s="583"/>
      <c r="G937" s="583"/>
      <c r="H937" s="583"/>
      <c r="I937" s="583"/>
      <c r="J937" s="583"/>
      <c r="K937" s="583"/>
      <c r="L937" s="583"/>
      <c r="M937" s="583"/>
      <c r="N937" s="583"/>
      <c r="O937" s="583"/>
      <c r="P937" s="583"/>
      <c r="Q937" s="583"/>
      <c r="R937" s="583"/>
      <c r="S937" s="583"/>
      <c r="T937" s="583"/>
      <c r="U937" s="583"/>
      <c r="V937" s="583"/>
      <c r="W937" s="583"/>
      <c r="X937" s="583"/>
      <c r="Y937" s="583"/>
      <c r="Z937" s="583"/>
      <c r="AA937" s="583"/>
      <c r="AB937" s="583"/>
      <c r="AC937" s="583"/>
      <c r="AD937" s="583"/>
      <c r="AE937" s="583"/>
      <c r="AF937" s="583"/>
      <c r="AG937" s="583"/>
      <c r="AH937" s="583"/>
      <c r="AI937" s="583"/>
      <c r="AJ937" s="583"/>
      <c r="AK937" s="583"/>
      <c r="AL937" s="583"/>
      <c r="AM937" s="583"/>
      <c r="AN937" s="583"/>
      <c r="AO937" s="583"/>
      <c r="AP937" s="583"/>
      <c r="AQ937" s="583"/>
      <c r="AR937" s="583"/>
      <c r="AS937" s="583"/>
      <c r="AT937" s="583"/>
      <c r="AU937" s="583"/>
    </row>
    <row r="938" spans="1:47" s="586" customFormat="1" x14ac:dyDescent="0.2">
      <c r="A938" s="585"/>
      <c r="B938" s="585"/>
      <c r="C938" s="585"/>
      <c r="D938" s="583"/>
      <c r="E938" s="583"/>
      <c r="F938" s="583"/>
      <c r="G938" s="583"/>
      <c r="H938" s="583"/>
      <c r="I938" s="583"/>
      <c r="J938" s="583"/>
      <c r="K938" s="583"/>
      <c r="L938" s="583"/>
      <c r="M938" s="583"/>
      <c r="N938" s="583"/>
      <c r="O938" s="583"/>
      <c r="P938" s="583"/>
      <c r="Q938" s="583"/>
      <c r="R938" s="583"/>
      <c r="S938" s="583"/>
      <c r="T938" s="583"/>
      <c r="U938" s="583"/>
      <c r="V938" s="583"/>
      <c r="W938" s="583"/>
      <c r="X938" s="583"/>
      <c r="Y938" s="583"/>
      <c r="Z938" s="583"/>
      <c r="AA938" s="583"/>
      <c r="AB938" s="583"/>
      <c r="AC938" s="583"/>
      <c r="AD938" s="583"/>
      <c r="AE938" s="583"/>
      <c r="AF938" s="583"/>
      <c r="AG938" s="583"/>
      <c r="AH938" s="583"/>
      <c r="AI938" s="583"/>
      <c r="AJ938" s="583"/>
      <c r="AK938" s="583"/>
      <c r="AL938" s="583"/>
      <c r="AM938" s="583"/>
      <c r="AN938" s="583"/>
      <c r="AO938" s="583"/>
      <c r="AP938" s="583"/>
      <c r="AQ938" s="583"/>
      <c r="AR938" s="583"/>
      <c r="AS938" s="583"/>
      <c r="AT938" s="583"/>
      <c r="AU938" s="583"/>
    </row>
    <row r="939" spans="1:47" s="586" customFormat="1" x14ac:dyDescent="0.2">
      <c r="A939" s="585"/>
      <c r="B939" s="585"/>
      <c r="C939" s="585"/>
      <c r="D939" s="583"/>
      <c r="E939" s="583"/>
      <c r="F939" s="583"/>
      <c r="G939" s="583"/>
      <c r="H939" s="583"/>
      <c r="I939" s="583"/>
      <c r="J939" s="583"/>
      <c r="K939" s="583"/>
      <c r="L939" s="583"/>
      <c r="M939" s="583"/>
      <c r="N939" s="583"/>
      <c r="O939" s="583"/>
      <c r="P939" s="583"/>
      <c r="Q939" s="583"/>
      <c r="R939" s="583"/>
      <c r="S939" s="583"/>
      <c r="T939" s="583"/>
      <c r="U939" s="583"/>
      <c r="V939" s="583"/>
      <c r="W939" s="583"/>
      <c r="X939" s="583"/>
      <c r="Y939" s="583"/>
      <c r="Z939" s="583"/>
      <c r="AA939" s="583"/>
      <c r="AB939" s="583"/>
      <c r="AC939" s="583"/>
      <c r="AD939" s="583"/>
      <c r="AE939" s="583"/>
      <c r="AF939" s="583"/>
      <c r="AG939" s="583"/>
      <c r="AH939" s="583"/>
      <c r="AI939" s="583"/>
      <c r="AJ939" s="583"/>
      <c r="AK939" s="583"/>
      <c r="AL939" s="583"/>
      <c r="AM939" s="583"/>
      <c r="AN939" s="583"/>
      <c r="AO939" s="583"/>
      <c r="AP939" s="583"/>
      <c r="AQ939" s="583"/>
      <c r="AR939" s="583"/>
      <c r="AS939" s="583"/>
      <c r="AT939" s="583"/>
      <c r="AU939" s="583"/>
    </row>
    <row r="940" spans="1:47" s="586" customFormat="1" x14ac:dyDescent="0.2">
      <c r="A940" s="585"/>
      <c r="B940" s="585"/>
      <c r="C940" s="585"/>
      <c r="D940" s="583"/>
      <c r="E940" s="583"/>
      <c r="F940" s="583"/>
      <c r="G940" s="583"/>
      <c r="H940" s="583"/>
      <c r="I940" s="583"/>
      <c r="J940" s="583"/>
      <c r="K940" s="583"/>
      <c r="L940" s="583"/>
      <c r="M940" s="583"/>
      <c r="N940" s="583"/>
      <c r="O940" s="583"/>
      <c r="P940" s="583"/>
      <c r="Q940" s="583"/>
      <c r="R940" s="583"/>
      <c r="S940" s="583"/>
      <c r="T940" s="583"/>
      <c r="U940" s="583"/>
      <c r="V940" s="583"/>
      <c r="W940" s="583"/>
      <c r="X940" s="583"/>
      <c r="Y940" s="583"/>
      <c r="Z940" s="583"/>
      <c r="AA940" s="583"/>
      <c r="AB940" s="583"/>
      <c r="AC940" s="583"/>
      <c r="AD940" s="583"/>
      <c r="AE940" s="583"/>
      <c r="AF940" s="583"/>
      <c r="AG940" s="583"/>
      <c r="AH940" s="583"/>
      <c r="AI940" s="583"/>
      <c r="AJ940" s="583"/>
      <c r="AK940" s="583"/>
      <c r="AL940" s="583"/>
      <c r="AM940" s="583"/>
      <c r="AN940" s="583"/>
      <c r="AO940" s="583"/>
      <c r="AP940" s="583"/>
      <c r="AQ940" s="583"/>
      <c r="AR940" s="583"/>
      <c r="AS940" s="583"/>
      <c r="AT940" s="583"/>
      <c r="AU940" s="583"/>
    </row>
    <row r="941" spans="1:47" s="586" customFormat="1" x14ac:dyDescent="0.2">
      <c r="A941" s="585"/>
      <c r="B941" s="585"/>
      <c r="C941" s="585"/>
      <c r="D941" s="583"/>
      <c r="E941" s="583"/>
      <c r="F941" s="583"/>
      <c r="G941" s="583"/>
      <c r="H941" s="583"/>
      <c r="I941" s="583"/>
      <c r="J941" s="583"/>
      <c r="K941" s="583"/>
      <c r="L941" s="583"/>
      <c r="M941" s="583"/>
      <c r="N941" s="583"/>
      <c r="O941" s="583"/>
      <c r="P941" s="583"/>
      <c r="Q941" s="583"/>
      <c r="R941" s="583"/>
      <c r="S941" s="583"/>
      <c r="T941" s="583"/>
      <c r="U941" s="583"/>
      <c r="V941" s="583"/>
      <c r="W941" s="583"/>
      <c r="X941" s="583"/>
      <c r="Y941" s="583"/>
      <c r="Z941" s="583"/>
      <c r="AA941" s="583"/>
      <c r="AB941" s="583"/>
      <c r="AC941" s="583"/>
      <c r="AD941" s="583"/>
      <c r="AE941" s="583"/>
      <c r="AF941" s="583"/>
      <c r="AG941" s="583"/>
      <c r="AH941" s="583"/>
      <c r="AI941" s="583"/>
      <c r="AJ941" s="583"/>
      <c r="AK941" s="583"/>
      <c r="AL941" s="583"/>
      <c r="AM941" s="583"/>
      <c r="AN941" s="583"/>
      <c r="AO941" s="583"/>
      <c r="AP941" s="583"/>
      <c r="AQ941" s="583"/>
      <c r="AR941" s="583"/>
      <c r="AS941" s="583"/>
      <c r="AT941" s="583"/>
      <c r="AU941" s="583"/>
    </row>
    <row r="942" spans="1:47" s="586" customFormat="1" x14ac:dyDescent="0.2">
      <c r="A942" s="585"/>
      <c r="B942" s="585"/>
      <c r="C942" s="585"/>
      <c r="D942" s="583"/>
      <c r="E942" s="583"/>
      <c r="F942" s="583"/>
      <c r="G942" s="583"/>
      <c r="H942" s="583"/>
      <c r="I942" s="583"/>
      <c r="J942" s="583"/>
      <c r="K942" s="583"/>
      <c r="L942" s="583"/>
      <c r="M942" s="583"/>
      <c r="N942" s="583"/>
      <c r="O942" s="583"/>
      <c r="P942" s="583"/>
      <c r="Q942" s="583"/>
      <c r="R942" s="583"/>
      <c r="S942" s="583"/>
      <c r="T942" s="583"/>
      <c r="U942" s="583"/>
      <c r="V942" s="583"/>
      <c r="W942" s="583"/>
      <c r="X942" s="583"/>
      <c r="Y942" s="583"/>
      <c r="Z942" s="583"/>
      <c r="AA942" s="583"/>
      <c r="AB942" s="583"/>
      <c r="AC942" s="583"/>
      <c r="AD942" s="583"/>
      <c r="AE942" s="583"/>
      <c r="AF942" s="583"/>
      <c r="AG942" s="583"/>
      <c r="AH942" s="583"/>
      <c r="AI942" s="583"/>
      <c r="AJ942" s="583"/>
      <c r="AK942" s="583"/>
      <c r="AL942" s="583"/>
      <c r="AM942" s="583"/>
      <c r="AN942" s="583"/>
      <c r="AO942" s="583"/>
      <c r="AP942" s="583"/>
      <c r="AQ942" s="583"/>
      <c r="AR942" s="583"/>
      <c r="AS942" s="583"/>
      <c r="AT942" s="583"/>
      <c r="AU942" s="583"/>
    </row>
    <row r="943" spans="1:47" s="586" customFormat="1" x14ac:dyDescent="0.2">
      <c r="A943" s="585"/>
      <c r="B943" s="585"/>
      <c r="C943" s="585"/>
      <c r="D943" s="583"/>
      <c r="E943" s="583"/>
      <c r="F943" s="583"/>
      <c r="G943" s="583"/>
      <c r="H943" s="583"/>
      <c r="I943" s="583"/>
      <c r="J943" s="583"/>
      <c r="K943" s="583"/>
      <c r="L943" s="583"/>
      <c r="M943" s="583"/>
      <c r="N943" s="583"/>
      <c r="O943" s="583"/>
      <c r="P943" s="583"/>
      <c r="Q943" s="583"/>
      <c r="R943" s="583"/>
      <c r="S943" s="583"/>
      <c r="T943" s="583"/>
      <c r="U943" s="583"/>
      <c r="V943" s="583"/>
      <c r="W943" s="583"/>
      <c r="X943" s="583"/>
      <c r="Y943" s="583"/>
      <c r="Z943" s="583"/>
      <c r="AA943" s="583"/>
      <c r="AB943" s="583"/>
      <c r="AC943" s="583"/>
      <c r="AD943" s="583"/>
      <c r="AE943" s="583"/>
      <c r="AF943" s="583"/>
      <c r="AG943" s="583"/>
      <c r="AH943" s="583"/>
      <c r="AI943" s="583"/>
      <c r="AJ943" s="583"/>
      <c r="AK943" s="583"/>
      <c r="AL943" s="583"/>
      <c r="AM943" s="583"/>
      <c r="AN943" s="583"/>
      <c r="AO943" s="583"/>
      <c r="AP943" s="583"/>
      <c r="AQ943" s="583"/>
      <c r="AR943" s="583"/>
      <c r="AS943" s="583"/>
      <c r="AT943" s="583"/>
      <c r="AU943" s="583"/>
    </row>
    <row r="944" spans="1:47" s="586" customFormat="1" x14ac:dyDescent="0.2">
      <c r="A944" s="585"/>
      <c r="B944" s="585"/>
      <c r="C944" s="585"/>
      <c r="D944" s="583"/>
      <c r="E944" s="583"/>
      <c r="F944" s="583"/>
      <c r="G944" s="583"/>
      <c r="H944" s="583"/>
      <c r="I944" s="583"/>
      <c r="J944" s="583"/>
      <c r="K944" s="583"/>
      <c r="L944" s="583"/>
      <c r="M944" s="583"/>
      <c r="N944" s="583"/>
      <c r="O944" s="583"/>
      <c r="P944" s="583"/>
      <c r="Q944" s="583"/>
      <c r="R944" s="583"/>
      <c r="S944" s="583"/>
      <c r="T944" s="583"/>
      <c r="U944" s="583"/>
      <c r="V944" s="583"/>
      <c r="W944" s="583"/>
      <c r="X944" s="583"/>
      <c r="Y944" s="583"/>
      <c r="Z944" s="583"/>
      <c r="AA944" s="583"/>
      <c r="AB944" s="583"/>
      <c r="AC944" s="583"/>
      <c r="AD944" s="583"/>
      <c r="AE944" s="583"/>
      <c r="AF944" s="583"/>
      <c r="AG944" s="583"/>
      <c r="AH944" s="583"/>
      <c r="AI944" s="583"/>
      <c r="AJ944" s="583"/>
      <c r="AK944" s="583"/>
      <c r="AL944" s="583"/>
      <c r="AM944" s="583"/>
      <c r="AN944" s="583"/>
      <c r="AO944" s="583"/>
      <c r="AP944" s="583"/>
      <c r="AQ944" s="583"/>
      <c r="AR944" s="583"/>
      <c r="AS944" s="583"/>
      <c r="AT944" s="583"/>
      <c r="AU944" s="583"/>
    </row>
    <row r="945" spans="1:47" s="586" customFormat="1" x14ac:dyDescent="0.2">
      <c r="A945" s="585"/>
      <c r="B945" s="585"/>
      <c r="C945" s="585"/>
      <c r="D945" s="583"/>
      <c r="E945" s="583"/>
      <c r="F945" s="583"/>
      <c r="G945" s="583"/>
      <c r="H945" s="583"/>
      <c r="I945" s="583"/>
      <c r="J945" s="583"/>
      <c r="K945" s="583"/>
      <c r="L945" s="583"/>
      <c r="M945" s="583"/>
      <c r="N945" s="583"/>
      <c r="O945" s="583"/>
      <c r="P945" s="583"/>
      <c r="Q945" s="583"/>
      <c r="R945" s="583"/>
      <c r="S945" s="583"/>
      <c r="T945" s="583"/>
      <c r="U945" s="583"/>
      <c r="V945" s="583"/>
      <c r="W945" s="583"/>
      <c r="X945" s="583"/>
      <c r="Y945" s="583"/>
      <c r="Z945" s="583"/>
      <c r="AA945" s="583"/>
      <c r="AB945" s="583"/>
      <c r="AC945" s="583"/>
      <c r="AD945" s="583"/>
      <c r="AE945" s="583"/>
      <c r="AF945" s="583"/>
      <c r="AG945" s="583"/>
      <c r="AH945" s="583"/>
      <c r="AI945" s="583"/>
      <c r="AJ945" s="583"/>
      <c r="AK945" s="583"/>
      <c r="AL945" s="583"/>
      <c r="AM945" s="583"/>
      <c r="AN945" s="583"/>
      <c r="AO945" s="583"/>
      <c r="AP945" s="583"/>
      <c r="AQ945" s="583"/>
      <c r="AR945" s="583"/>
      <c r="AS945" s="583"/>
      <c r="AT945" s="583"/>
      <c r="AU945" s="583"/>
    </row>
    <row r="946" spans="1:47" s="586" customFormat="1" x14ac:dyDescent="0.2">
      <c r="A946" s="585"/>
      <c r="B946" s="585"/>
      <c r="C946" s="585"/>
      <c r="D946" s="583"/>
      <c r="E946" s="583"/>
      <c r="F946" s="583"/>
      <c r="G946" s="583"/>
      <c r="H946" s="583"/>
      <c r="I946" s="583"/>
      <c r="J946" s="583"/>
      <c r="K946" s="583"/>
      <c r="L946" s="583"/>
      <c r="M946" s="583"/>
      <c r="N946" s="583"/>
      <c r="O946" s="583"/>
      <c r="P946" s="583"/>
      <c r="Q946" s="583"/>
      <c r="R946" s="583"/>
      <c r="S946" s="583"/>
      <c r="T946" s="583"/>
      <c r="U946" s="583"/>
      <c r="V946" s="583"/>
      <c r="W946" s="583"/>
      <c r="X946" s="583"/>
      <c r="Y946" s="583"/>
      <c r="Z946" s="583"/>
      <c r="AA946" s="583"/>
      <c r="AB946" s="583"/>
      <c r="AC946" s="583"/>
      <c r="AD946" s="583"/>
      <c r="AE946" s="583"/>
      <c r="AF946" s="583"/>
      <c r="AG946" s="583"/>
      <c r="AH946" s="583"/>
      <c r="AI946" s="583"/>
      <c r="AJ946" s="583"/>
      <c r="AK946" s="583"/>
      <c r="AL946" s="583"/>
      <c r="AM946" s="583"/>
      <c r="AN946" s="583"/>
      <c r="AO946" s="583"/>
      <c r="AP946" s="583"/>
      <c r="AQ946" s="583"/>
      <c r="AR946" s="583"/>
      <c r="AS946" s="583"/>
      <c r="AT946" s="583"/>
      <c r="AU946" s="583"/>
    </row>
    <row r="947" spans="1:47" s="586" customFormat="1" x14ac:dyDescent="0.2">
      <c r="A947" s="585"/>
      <c r="B947" s="585"/>
      <c r="C947" s="585"/>
      <c r="D947" s="583"/>
      <c r="E947" s="583"/>
      <c r="F947" s="583"/>
      <c r="G947" s="583"/>
      <c r="H947" s="583"/>
      <c r="I947" s="583"/>
      <c r="J947" s="583"/>
      <c r="K947" s="583"/>
      <c r="L947" s="583"/>
      <c r="M947" s="583"/>
      <c r="N947" s="583"/>
      <c r="O947" s="583"/>
      <c r="P947" s="583"/>
      <c r="Q947" s="583"/>
      <c r="R947" s="583"/>
      <c r="S947" s="583"/>
      <c r="T947" s="583"/>
      <c r="U947" s="583"/>
      <c r="V947" s="583"/>
      <c r="W947" s="583"/>
      <c r="X947" s="583"/>
      <c r="Y947" s="583"/>
      <c r="Z947" s="583"/>
      <c r="AA947" s="583"/>
      <c r="AB947" s="583"/>
      <c r="AC947" s="583"/>
      <c r="AD947" s="583"/>
      <c r="AE947" s="583"/>
      <c r="AF947" s="583"/>
      <c r="AG947" s="583"/>
      <c r="AH947" s="583"/>
      <c r="AI947" s="583"/>
      <c r="AJ947" s="583"/>
      <c r="AK947" s="583"/>
      <c r="AL947" s="583"/>
      <c r="AM947" s="583"/>
      <c r="AN947" s="583"/>
      <c r="AO947" s="583"/>
      <c r="AP947" s="583"/>
      <c r="AQ947" s="583"/>
      <c r="AR947" s="583"/>
      <c r="AS947" s="583"/>
      <c r="AT947" s="583"/>
      <c r="AU947" s="583"/>
    </row>
    <row r="948" spans="1:47" s="586" customFormat="1" x14ac:dyDescent="0.2">
      <c r="A948" s="585"/>
      <c r="B948" s="585"/>
      <c r="C948" s="585"/>
      <c r="D948" s="583"/>
      <c r="E948" s="583"/>
      <c r="F948" s="583"/>
      <c r="G948" s="583"/>
      <c r="H948" s="583"/>
      <c r="I948" s="583"/>
      <c r="J948" s="583"/>
      <c r="K948" s="583"/>
      <c r="L948" s="583"/>
      <c r="M948" s="583"/>
      <c r="N948" s="583"/>
      <c r="O948" s="583"/>
      <c r="P948" s="583"/>
      <c r="Q948" s="583"/>
      <c r="R948" s="583"/>
      <c r="S948" s="583"/>
      <c r="T948" s="583"/>
      <c r="U948" s="583"/>
      <c r="V948" s="583"/>
      <c r="W948" s="583"/>
      <c r="X948" s="583"/>
      <c r="Y948" s="583"/>
      <c r="Z948" s="583"/>
      <c r="AA948" s="583"/>
      <c r="AB948" s="583"/>
      <c r="AC948" s="583"/>
      <c r="AD948" s="583"/>
      <c r="AE948" s="583"/>
      <c r="AF948" s="583"/>
      <c r="AG948" s="583"/>
      <c r="AH948" s="583"/>
      <c r="AI948" s="583"/>
      <c r="AJ948" s="583"/>
      <c r="AK948" s="583"/>
      <c r="AL948" s="583"/>
      <c r="AM948" s="583"/>
      <c r="AN948" s="583"/>
      <c r="AO948" s="583"/>
      <c r="AP948" s="583"/>
      <c r="AQ948" s="583"/>
      <c r="AR948" s="583"/>
      <c r="AS948" s="583"/>
      <c r="AT948" s="583"/>
      <c r="AU948" s="583"/>
    </row>
    <row r="949" spans="1:47" s="586" customFormat="1" x14ac:dyDescent="0.2">
      <c r="A949" s="585"/>
      <c r="B949" s="585"/>
      <c r="C949" s="585"/>
      <c r="D949" s="583"/>
      <c r="E949" s="583"/>
      <c r="F949" s="583"/>
      <c r="G949" s="583"/>
      <c r="H949" s="583"/>
      <c r="I949" s="583"/>
      <c r="J949" s="583"/>
      <c r="K949" s="583"/>
      <c r="L949" s="583"/>
      <c r="M949" s="583"/>
      <c r="N949" s="583"/>
      <c r="O949" s="583"/>
      <c r="P949" s="583"/>
      <c r="Q949" s="583"/>
      <c r="R949" s="583"/>
      <c r="S949" s="583"/>
      <c r="T949" s="583"/>
      <c r="U949" s="583"/>
      <c r="V949" s="583"/>
      <c r="W949" s="583"/>
      <c r="X949" s="583"/>
      <c r="Y949" s="583"/>
      <c r="Z949" s="583"/>
      <c r="AA949" s="583"/>
      <c r="AB949" s="583"/>
      <c r="AC949" s="583"/>
      <c r="AD949" s="583"/>
      <c r="AE949" s="583"/>
      <c r="AF949" s="583"/>
      <c r="AG949" s="583"/>
      <c r="AH949" s="583"/>
      <c r="AI949" s="583"/>
      <c r="AJ949" s="583"/>
      <c r="AK949" s="583"/>
      <c r="AL949" s="583"/>
      <c r="AM949" s="583"/>
      <c r="AN949" s="583"/>
      <c r="AO949" s="583"/>
      <c r="AP949" s="583"/>
      <c r="AQ949" s="583"/>
      <c r="AR949" s="583"/>
      <c r="AS949" s="583"/>
      <c r="AT949" s="583"/>
      <c r="AU949" s="583"/>
    </row>
    <row r="950" spans="1:47" s="586" customFormat="1" x14ac:dyDescent="0.2">
      <c r="A950" s="585"/>
      <c r="B950" s="585"/>
      <c r="C950" s="585"/>
      <c r="D950" s="583"/>
      <c r="E950" s="583"/>
      <c r="F950" s="583"/>
      <c r="G950" s="583"/>
      <c r="H950" s="583"/>
      <c r="I950" s="583"/>
      <c r="J950" s="583"/>
      <c r="K950" s="583"/>
      <c r="L950" s="583"/>
      <c r="M950" s="583"/>
      <c r="N950" s="583"/>
      <c r="O950" s="583"/>
      <c r="P950" s="583"/>
      <c r="Q950" s="583"/>
      <c r="R950" s="583"/>
      <c r="S950" s="583"/>
      <c r="T950" s="583"/>
      <c r="U950" s="583"/>
      <c r="V950" s="583"/>
      <c r="W950" s="583"/>
      <c r="X950" s="583"/>
      <c r="Y950" s="583"/>
      <c r="Z950" s="583"/>
      <c r="AA950" s="583"/>
      <c r="AB950" s="583"/>
      <c r="AC950" s="583"/>
      <c r="AD950" s="583"/>
      <c r="AE950" s="583"/>
      <c r="AF950" s="583"/>
      <c r="AG950" s="583"/>
      <c r="AH950" s="583"/>
      <c r="AI950" s="583"/>
      <c r="AJ950" s="583"/>
      <c r="AK950" s="583"/>
      <c r="AL950" s="583"/>
      <c r="AM950" s="583"/>
      <c r="AN950" s="583"/>
      <c r="AO950" s="583"/>
      <c r="AP950" s="583"/>
      <c r="AQ950" s="583"/>
      <c r="AR950" s="583"/>
      <c r="AS950" s="583"/>
      <c r="AT950" s="583"/>
      <c r="AU950" s="583"/>
    </row>
    <row r="951" spans="1:47" s="586" customFormat="1" x14ac:dyDescent="0.2">
      <c r="A951" s="585"/>
      <c r="B951" s="585"/>
      <c r="C951" s="585"/>
      <c r="D951" s="583"/>
      <c r="E951" s="583"/>
      <c r="F951" s="583"/>
      <c r="G951" s="583"/>
      <c r="H951" s="583"/>
      <c r="I951" s="583"/>
      <c r="J951" s="583"/>
      <c r="K951" s="583"/>
      <c r="L951" s="583"/>
      <c r="M951" s="583"/>
      <c r="N951" s="583"/>
      <c r="O951" s="583"/>
      <c r="P951" s="583"/>
      <c r="Q951" s="583"/>
      <c r="R951" s="583"/>
      <c r="S951" s="583"/>
      <c r="T951" s="583"/>
      <c r="U951" s="583"/>
      <c r="V951" s="583"/>
      <c r="W951" s="583"/>
      <c r="X951" s="583"/>
      <c r="Y951" s="583"/>
      <c r="Z951" s="583"/>
      <c r="AA951" s="583"/>
      <c r="AB951" s="583"/>
      <c r="AC951" s="583"/>
      <c r="AD951" s="583"/>
      <c r="AE951" s="583"/>
      <c r="AF951" s="583"/>
      <c r="AG951" s="583"/>
      <c r="AH951" s="583"/>
      <c r="AI951" s="583"/>
      <c r="AJ951" s="583"/>
      <c r="AK951" s="583"/>
      <c r="AL951" s="583"/>
      <c r="AM951" s="583"/>
      <c r="AN951" s="583"/>
      <c r="AO951" s="583"/>
      <c r="AP951" s="583"/>
      <c r="AQ951" s="583"/>
      <c r="AR951" s="583"/>
      <c r="AS951" s="583"/>
      <c r="AT951" s="583"/>
      <c r="AU951" s="583"/>
    </row>
    <row r="952" spans="1:47" s="586" customFormat="1" x14ac:dyDescent="0.2">
      <c r="A952" s="585"/>
      <c r="B952" s="585"/>
      <c r="C952" s="585"/>
      <c r="D952" s="583"/>
      <c r="E952" s="583"/>
      <c r="F952" s="583"/>
      <c r="G952" s="583"/>
      <c r="H952" s="583"/>
      <c r="I952" s="583"/>
      <c r="J952" s="583"/>
      <c r="K952" s="583"/>
      <c r="L952" s="583"/>
      <c r="M952" s="583"/>
      <c r="N952" s="583"/>
      <c r="O952" s="583"/>
      <c r="P952" s="583"/>
      <c r="Q952" s="583"/>
      <c r="R952" s="583"/>
      <c r="S952" s="583"/>
      <c r="T952" s="583"/>
      <c r="U952" s="583"/>
      <c r="V952" s="583"/>
      <c r="W952" s="583"/>
      <c r="X952" s="583"/>
      <c r="Y952" s="583"/>
      <c r="Z952" s="583"/>
      <c r="AA952" s="583"/>
      <c r="AB952" s="583"/>
      <c r="AC952" s="583"/>
      <c r="AD952" s="583"/>
      <c r="AE952" s="583"/>
      <c r="AF952" s="583"/>
      <c r="AG952" s="583"/>
      <c r="AH952" s="583"/>
      <c r="AI952" s="583"/>
      <c r="AJ952" s="583"/>
      <c r="AK952" s="583"/>
      <c r="AL952" s="583"/>
      <c r="AM952" s="583"/>
      <c r="AN952" s="583"/>
      <c r="AO952" s="583"/>
      <c r="AP952" s="583"/>
      <c r="AQ952" s="583"/>
      <c r="AR952" s="583"/>
      <c r="AS952" s="583"/>
      <c r="AT952" s="583"/>
      <c r="AU952" s="583"/>
    </row>
    <row r="953" spans="1:47" s="586" customFormat="1" x14ac:dyDescent="0.2">
      <c r="A953" s="585"/>
      <c r="B953" s="585"/>
      <c r="C953" s="585"/>
      <c r="D953" s="583"/>
      <c r="E953" s="583"/>
      <c r="F953" s="583"/>
      <c r="G953" s="583"/>
      <c r="H953" s="583"/>
      <c r="I953" s="583"/>
      <c r="J953" s="583"/>
      <c r="K953" s="583"/>
      <c r="L953" s="583"/>
      <c r="M953" s="583"/>
      <c r="N953" s="583"/>
      <c r="O953" s="583"/>
      <c r="P953" s="583"/>
      <c r="Q953" s="583"/>
      <c r="R953" s="583"/>
      <c r="S953" s="583"/>
      <c r="T953" s="583"/>
      <c r="U953" s="583"/>
      <c r="V953" s="583"/>
      <c r="W953" s="583"/>
      <c r="X953" s="583"/>
      <c r="Y953" s="583"/>
      <c r="Z953" s="583"/>
      <c r="AA953" s="583"/>
      <c r="AB953" s="583"/>
      <c r="AC953" s="583"/>
      <c r="AD953" s="583"/>
      <c r="AE953" s="583"/>
      <c r="AF953" s="583"/>
      <c r="AG953" s="583"/>
      <c r="AH953" s="583"/>
      <c r="AI953" s="583"/>
      <c r="AJ953" s="583"/>
      <c r="AK953" s="583"/>
      <c r="AL953" s="583"/>
      <c r="AM953" s="583"/>
      <c r="AN953" s="583"/>
      <c r="AO953" s="583"/>
      <c r="AP953" s="583"/>
      <c r="AQ953" s="583"/>
      <c r="AR953" s="583"/>
      <c r="AS953" s="583"/>
      <c r="AT953" s="583"/>
      <c r="AU953" s="583"/>
    </row>
    <row r="954" spans="1:47" s="586" customFormat="1" x14ac:dyDescent="0.2">
      <c r="A954" s="585"/>
      <c r="B954" s="585"/>
      <c r="C954" s="585"/>
      <c r="D954" s="583"/>
      <c r="E954" s="583"/>
      <c r="F954" s="583"/>
      <c r="G954" s="583"/>
      <c r="H954" s="583"/>
      <c r="I954" s="583"/>
      <c r="J954" s="583"/>
      <c r="K954" s="583"/>
      <c r="L954" s="583"/>
      <c r="M954" s="583"/>
      <c r="N954" s="583"/>
      <c r="O954" s="583"/>
      <c r="P954" s="583"/>
      <c r="Q954" s="583"/>
      <c r="R954" s="583"/>
      <c r="S954" s="583"/>
      <c r="T954" s="583"/>
      <c r="U954" s="583"/>
      <c r="V954" s="583"/>
      <c r="W954" s="583"/>
      <c r="X954" s="583"/>
      <c r="Y954" s="583"/>
      <c r="Z954" s="583"/>
      <c r="AA954" s="583"/>
      <c r="AB954" s="583"/>
      <c r="AC954" s="583"/>
      <c r="AD954" s="583"/>
      <c r="AE954" s="583"/>
      <c r="AF954" s="583"/>
      <c r="AG954" s="583"/>
      <c r="AH954" s="583"/>
      <c r="AI954" s="583"/>
      <c r="AJ954" s="583"/>
      <c r="AK954" s="583"/>
      <c r="AL954" s="583"/>
      <c r="AM954" s="583"/>
      <c r="AN954" s="583"/>
      <c r="AO954" s="583"/>
      <c r="AP954" s="583"/>
      <c r="AQ954" s="583"/>
      <c r="AR954" s="583"/>
      <c r="AS954" s="583"/>
      <c r="AT954" s="583"/>
      <c r="AU954" s="583"/>
    </row>
    <row r="955" spans="1:47" s="586" customFormat="1" x14ac:dyDescent="0.2">
      <c r="A955" s="585"/>
      <c r="B955" s="585"/>
      <c r="C955" s="585"/>
      <c r="D955" s="583"/>
      <c r="E955" s="583"/>
      <c r="F955" s="583"/>
      <c r="G955" s="583"/>
      <c r="H955" s="583"/>
      <c r="I955" s="583"/>
      <c r="J955" s="583"/>
      <c r="K955" s="583"/>
      <c r="L955" s="583"/>
      <c r="M955" s="583"/>
      <c r="N955" s="583"/>
      <c r="O955" s="583"/>
      <c r="P955" s="583"/>
      <c r="Q955" s="583"/>
      <c r="R955" s="583"/>
      <c r="S955" s="583"/>
      <c r="T955" s="583"/>
      <c r="U955" s="583"/>
      <c r="V955" s="583"/>
      <c r="W955" s="583"/>
      <c r="X955" s="583"/>
      <c r="Y955" s="583"/>
      <c r="Z955" s="583"/>
      <c r="AA955" s="583"/>
      <c r="AB955" s="583"/>
      <c r="AC955" s="583"/>
      <c r="AD955" s="583"/>
      <c r="AE955" s="583"/>
      <c r="AF955" s="583"/>
      <c r="AG955" s="583"/>
      <c r="AH955" s="583"/>
      <c r="AI955" s="583"/>
      <c r="AJ955" s="583"/>
      <c r="AK955" s="583"/>
      <c r="AL955" s="583"/>
      <c r="AM955" s="583"/>
      <c r="AN955" s="583"/>
      <c r="AO955" s="583"/>
      <c r="AP955" s="583"/>
      <c r="AQ955" s="583"/>
      <c r="AR955" s="583"/>
      <c r="AS955" s="583"/>
      <c r="AT955" s="583"/>
      <c r="AU955" s="583"/>
    </row>
    <row r="956" spans="1:47" s="586" customFormat="1" x14ac:dyDescent="0.2">
      <c r="A956" s="585"/>
      <c r="B956" s="585"/>
      <c r="C956" s="585"/>
      <c r="D956" s="583"/>
      <c r="E956" s="583"/>
      <c r="F956" s="583"/>
      <c r="G956" s="583"/>
      <c r="H956" s="583"/>
      <c r="I956" s="583"/>
      <c r="J956" s="583"/>
      <c r="K956" s="583"/>
      <c r="L956" s="583"/>
      <c r="M956" s="583"/>
      <c r="N956" s="583"/>
      <c r="O956" s="583"/>
      <c r="P956" s="583"/>
      <c r="Q956" s="583"/>
      <c r="R956" s="583"/>
      <c r="S956" s="583"/>
      <c r="T956" s="583"/>
      <c r="U956" s="583"/>
      <c r="V956" s="583"/>
      <c r="W956" s="583"/>
      <c r="X956" s="583"/>
      <c r="Y956" s="583"/>
      <c r="Z956" s="583"/>
      <c r="AA956" s="583"/>
      <c r="AB956" s="583"/>
      <c r="AC956" s="583"/>
      <c r="AD956" s="583"/>
      <c r="AE956" s="583"/>
      <c r="AF956" s="583"/>
      <c r="AG956" s="583"/>
      <c r="AH956" s="583"/>
      <c r="AI956" s="583"/>
      <c r="AJ956" s="583"/>
      <c r="AK956" s="583"/>
      <c r="AL956" s="583"/>
      <c r="AM956" s="583"/>
      <c r="AN956" s="583"/>
      <c r="AO956" s="583"/>
      <c r="AP956" s="583"/>
      <c r="AQ956" s="583"/>
      <c r="AR956" s="583"/>
      <c r="AS956" s="583"/>
      <c r="AT956" s="583"/>
      <c r="AU956" s="583"/>
    </row>
    <row r="957" spans="1:47" s="586" customFormat="1" x14ac:dyDescent="0.2">
      <c r="A957" s="585"/>
      <c r="B957" s="585"/>
      <c r="C957" s="585"/>
      <c r="D957" s="583"/>
      <c r="E957" s="583"/>
      <c r="F957" s="583"/>
      <c r="G957" s="583"/>
      <c r="H957" s="583"/>
      <c r="I957" s="583"/>
      <c r="J957" s="583"/>
      <c r="K957" s="583"/>
      <c r="L957" s="583"/>
      <c r="M957" s="583"/>
      <c r="N957" s="583"/>
      <c r="O957" s="583"/>
      <c r="P957" s="583"/>
      <c r="Q957" s="583"/>
      <c r="R957" s="583"/>
      <c r="S957" s="583"/>
      <c r="T957" s="583"/>
      <c r="U957" s="583"/>
      <c r="V957" s="583"/>
      <c r="W957" s="583"/>
      <c r="X957" s="583"/>
      <c r="Y957" s="583"/>
      <c r="Z957" s="583"/>
      <c r="AA957" s="583"/>
      <c r="AB957" s="583"/>
      <c r="AC957" s="583"/>
      <c r="AD957" s="583"/>
      <c r="AE957" s="583"/>
      <c r="AF957" s="583"/>
      <c r="AG957" s="583"/>
      <c r="AH957" s="583"/>
      <c r="AI957" s="583"/>
      <c r="AJ957" s="583"/>
      <c r="AK957" s="583"/>
      <c r="AL957" s="583"/>
      <c r="AM957" s="583"/>
      <c r="AN957" s="583"/>
      <c r="AO957" s="583"/>
      <c r="AP957" s="583"/>
      <c r="AQ957" s="583"/>
      <c r="AR957" s="583"/>
      <c r="AS957" s="583"/>
      <c r="AT957" s="583"/>
      <c r="AU957" s="583"/>
    </row>
    <row r="958" spans="1:47" s="586" customFormat="1" x14ac:dyDescent="0.2">
      <c r="A958" s="585"/>
      <c r="B958" s="585"/>
      <c r="C958" s="585"/>
      <c r="D958" s="583"/>
      <c r="E958" s="583"/>
      <c r="F958" s="583"/>
      <c r="G958" s="583"/>
      <c r="H958" s="583"/>
      <c r="I958" s="583"/>
      <c r="J958" s="583"/>
      <c r="K958" s="583"/>
      <c r="L958" s="583"/>
      <c r="M958" s="583"/>
      <c r="N958" s="583"/>
      <c r="O958" s="583"/>
      <c r="P958" s="583"/>
      <c r="Q958" s="583"/>
      <c r="R958" s="583"/>
      <c r="S958" s="583"/>
      <c r="T958" s="583"/>
      <c r="U958" s="583"/>
      <c r="V958" s="583"/>
      <c r="W958" s="583"/>
      <c r="X958" s="583"/>
      <c r="Y958" s="583"/>
      <c r="Z958" s="583"/>
      <c r="AA958" s="583"/>
      <c r="AB958" s="583"/>
      <c r="AC958" s="583"/>
      <c r="AD958" s="583"/>
      <c r="AE958" s="583"/>
      <c r="AF958" s="583"/>
      <c r="AG958" s="583"/>
      <c r="AH958" s="583"/>
      <c r="AI958" s="583"/>
      <c r="AJ958" s="583"/>
      <c r="AK958" s="583"/>
      <c r="AL958" s="583"/>
      <c r="AM958" s="583"/>
      <c r="AN958" s="583"/>
      <c r="AO958" s="583"/>
      <c r="AP958" s="583"/>
      <c r="AQ958" s="583"/>
      <c r="AR958" s="583"/>
      <c r="AS958" s="583"/>
      <c r="AT958" s="583"/>
      <c r="AU958" s="583"/>
    </row>
    <row r="959" spans="1:47" s="586" customFormat="1" x14ac:dyDescent="0.2">
      <c r="A959" s="585"/>
      <c r="B959" s="585"/>
      <c r="C959" s="585"/>
      <c r="D959" s="583"/>
      <c r="E959" s="583"/>
      <c r="F959" s="583"/>
      <c r="G959" s="583"/>
      <c r="H959" s="583"/>
      <c r="I959" s="583"/>
      <c r="J959" s="583"/>
      <c r="K959" s="583"/>
      <c r="L959" s="583"/>
      <c r="M959" s="583"/>
      <c r="N959" s="583"/>
      <c r="O959" s="583"/>
      <c r="P959" s="583"/>
      <c r="Q959" s="583"/>
      <c r="R959" s="583"/>
      <c r="S959" s="583"/>
      <c r="T959" s="583"/>
      <c r="U959" s="583"/>
      <c r="V959" s="583"/>
      <c r="W959" s="583"/>
      <c r="X959" s="583"/>
      <c r="Y959" s="583"/>
      <c r="Z959" s="583"/>
      <c r="AA959" s="583"/>
      <c r="AB959" s="583"/>
      <c r="AC959" s="583"/>
      <c r="AD959" s="583"/>
      <c r="AE959" s="583"/>
      <c r="AF959" s="583"/>
      <c r="AG959" s="583"/>
      <c r="AH959" s="583"/>
      <c r="AI959" s="583"/>
      <c r="AJ959" s="583"/>
      <c r="AK959" s="583"/>
      <c r="AL959" s="583"/>
      <c r="AM959" s="583"/>
      <c r="AN959" s="583"/>
      <c r="AO959" s="583"/>
      <c r="AP959" s="583"/>
      <c r="AQ959" s="583"/>
      <c r="AR959" s="583"/>
      <c r="AS959" s="583"/>
      <c r="AT959" s="583"/>
      <c r="AU959" s="583"/>
    </row>
    <row r="960" spans="1:47" s="586" customFormat="1" x14ac:dyDescent="0.2">
      <c r="A960" s="585"/>
      <c r="B960" s="585"/>
      <c r="C960" s="585"/>
      <c r="D960" s="583"/>
      <c r="E960" s="583"/>
      <c r="F960" s="583"/>
      <c r="G960" s="583"/>
      <c r="H960" s="583"/>
      <c r="I960" s="583"/>
      <c r="J960" s="583"/>
      <c r="K960" s="583"/>
      <c r="L960" s="583"/>
      <c r="M960" s="583"/>
      <c r="N960" s="583"/>
      <c r="O960" s="583"/>
      <c r="P960" s="583"/>
      <c r="Q960" s="583"/>
      <c r="R960" s="583"/>
      <c r="S960" s="583"/>
      <c r="T960" s="583"/>
      <c r="U960" s="583"/>
      <c r="V960" s="583"/>
      <c r="W960" s="583"/>
      <c r="X960" s="583"/>
      <c r="Y960" s="583"/>
      <c r="Z960" s="583"/>
      <c r="AA960" s="583"/>
      <c r="AB960" s="583"/>
      <c r="AC960" s="583"/>
      <c r="AD960" s="583"/>
      <c r="AE960" s="583"/>
      <c r="AF960" s="583"/>
      <c r="AG960" s="583"/>
      <c r="AH960" s="583"/>
      <c r="AI960" s="583"/>
      <c r="AJ960" s="583"/>
      <c r="AK960" s="583"/>
      <c r="AL960" s="583"/>
      <c r="AM960" s="583"/>
      <c r="AN960" s="583"/>
      <c r="AO960" s="583"/>
      <c r="AP960" s="583"/>
      <c r="AQ960" s="583"/>
      <c r="AR960" s="583"/>
      <c r="AS960" s="583"/>
      <c r="AT960" s="583"/>
      <c r="AU960" s="583"/>
    </row>
    <row r="961" spans="1:47" s="586" customFormat="1" x14ac:dyDescent="0.2">
      <c r="A961" s="585"/>
      <c r="B961" s="585"/>
      <c r="C961" s="585"/>
      <c r="D961" s="583"/>
      <c r="E961" s="583"/>
      <c r="F961" s="583"/>
      <c r="G961" s="583"/>
      <c r="H961" s="583"/>
      <c r="I961" s="583"/>
      <c r="J961" s="583"/>
      <c r="K961" s="583"/>
      <c r="L961" s="583"/>
      <c r="M961" s="583"/>
      <c r="N961" s="583"/>
      <c r="O961" s="583"/>
      <c r="P961" s="583"/>
      <c r="Q961" s="583"/>
      <c r="R961" s="583"/>
      <c r="S961" s="583"/>
      <c r="T961" s="583"/>
      <c r="U961" s="583"/>
      <c r="V961" s="583"/>
      <c r="W961" s="583"/>
      <c r="X961" s="583"/>
      <c r="Y961" s="583"/>
      <c r="Z961" s="583"/>
      <c r="AA961" s="583"/>
      <c r="AB961" s="583"/>
      <c r="AC961" s="583"/>
      <c r="AD961" s="583"/>
      <c r="AE961" s="583"/>
      <c r="AF961" s="583"/>
      <c r="AG961" s="583"/>
      <c r="AH961" s="583"/>
      <c r="AI961" s="583"/>
      <c r="AJ961" s="583"/>
      <c r="AK961" s="583"/>
      <c r="AL961" s="583"/>
      <c r="AM961" s="583"/>
      <c r="AN961" s="583"/>
      <c r="AO961" s="583"/>
      <c r="AP961" s="583"/>
      <c r="AQ961" s="583"/>
      <c r="AR961" s="583"/>
      <c r="AS961" s="583"/>
      <c r="AT961" s="583"/>
      <c r="AU961" s="583"/>
    </row>
    <row r="962" spans="1:47" s="586" customFormat="1" x14ac:dyDescent="0.2">
      <c r="A962" s="585"/>
      <c r="B962" s="585"/>
      <c r="C962" s="585"/>
      <c r="D962" s="583"/>
      <c r="E962" s="583"/>
      <c r="F962" s="583"/>
      <c r="G962" s="583"/>
      <c r="H962" s="583"/>
      <c r="I962" s="583"/>
      <c r="J962" s="583"/>
      <c r="K962" s="583"/>
      <c r="L962" s="583"/>
      <c r="M962" s="583"/>
      <c r="N962" s="583"/>
      <c r="O962" s="583"/>
      <c r="P962" s="583"/>
      <c r="Q962" s="583"/>
      <c r="R962" s="583"/>
      <c r="S962" s="583"/>
      <c r="T962" s="583"/>
      <c r="U962" s="583"/>
      <c r="V962" s="583"/>
      <c r="W962" s="583"/>
      <c r="X962" s="583"/>
      <c r="Y962" s="583"/>
      <c r="Z962" s="583"/>
      <c r="AA962" s="583"/>
      <c r="AB962" s="583"/>
      <c r="AC962" s="583"/>
      <c r="AD962" s="583"/>
      <c r="AE962" s="583"/>
      <c r="AF962" s="583"/>
      <c r="AG962" s="583"/>
      <c r="AH962" s="583"/>
      <c r="AI962" s="583"/>
      <c r="AJ962" s="583"/>
      <c r="AK962" s="583"/>
      <c r="AL962" s="583"/>
      <c r="AM962" s="583"/>
      <c r="AN962" s="583"/>
      <c r="AO962" s="583"/>
      <c r="AP962" s="583"/>
      <c r="AQ962" s="583"/>
      <c r="AR962" s="583"/>
      <c r="AS962" s="583"/>
      <c r="AT962" s="583"/>
      <c r="AU962" s="583"/>
    </row>
    <row r="963" spans="1:47" s="586" customFormat="1" x14ac:dyDescent="0.2">
      <c r="A963" s="585"/>
      <c r="B963" s="585"/>
      <c r="C963" s="585"/>
      <c r="D963" s="583"/>
      <c r="E963" s="583"/>
      <c r="F963" s="583"/>
      <c r="G963" s="583"/>
      <c r="H963" s="583"/>
      <c r="I963" s="583"/>
      <c r="J963" s="583"/>
      <c r="K963" s="583"/>
      <c r="L963" s="583"/>
      <c r="M963" s="583"/>
      <c r="N963" s="583"/>
      <c r="O963" s="583"/>
      <c r="P963" s="583"/>
      <c r="Q963" s="583"/>
      <c r="R963" s="583"/>
      <c r="S963" s="583"/>
      <c r="T963" s="583"/>
      <c r="U963" s="583"/>
      <c r="V963" s="583"/>
      <c r="W963" s="583"/>
      <c r="X963" s="583"/>
      <c r="Y963" s="583"/>
      <c r="Z963" s="583"/>
      <c r="AA963" s="583"/>
      <c r="AB963" s="583"/>
      <c r="AC963" s="583"/>
      <c r="AD963" s="583"/>
      <c r="AE963" s="583"/>
      <c r="AF963" s="583"/>
      <c r="AG963" s="583"/>
      <c r="AH963" s="583"/>
      <c r="AI963" s="583"/>
      <c r="AJ963" s="583"/>
      <c r="AK963" s="583"/>
      <c r="AL963" s="583"/>
      <c r="AM963" s="583"/>
      <c r="AN963" s="583"/>
      <c r="AO963" s="583"/>
      <c r="AP963" s="583"/>
      <c r="AQ963" s="583"/>
      <c r="AR963" s="583"/>
      <c r="AS963" s="583"/>
      <c r="AT963" s="583"/>
      <c r="AU963" s="583"/>
    </row>
    <row r="964" spans="1:47" s="586" customFormat="1" x14ac:dyDescent="0.2">
      <c r="A964" s="585"/>
      <c r="B964" s="585"/>
      <c r="C964" s="585"/>
      <c r="D964" s="583"/>
      <c r="E964" s="583"/>
      <c r="F964" s="583"/>
      <c r="G964" s="583"/>
      <c r="H964" s="583"/>
      <c r="I964" s="583"/>
      <c r="J964" s="583"/>
      <c r="K964" s="583"/>
      <c r="L964" s="583"/>
      <c r="M964" s="583"/>
      <c r="N964" s="583"/>
      <c r="O964" s="583"/>
      <c r="P964" s="583"/>
      <c r="Q964" s="583"/>
      <c r="R964" s="583"/>
      <c r="S964" s="583"/>
      <c r="T964" s="583"/>
      <c r="U964" s="583"/>
      <c r="V964" s="583"/>
      <c r="W964" s="583"/>
      <c r="X964" s="583"/>
      <c r="Y964" s="583"/>
      <c r="Z964" s="583"/>
      <c r="AA964" s="583"/>
      <c r="AB964" s="583"/>
      <c r="AC964" s="583"/>
      <c r="AD964" s="583"/>
      <c r="AE964" s="583"/>
      <c r="AF964" s="583"/>
      <c r="AG964" s="583"/>
      <c r="AH964" s="583"/>
      <c r="AI964" s="583"/>
      <c r="AJ964" s="583"/>
      <c r="AK964" s="583"/>
      <c r="AL964" s="583"/>
      <c r="AM964" s="583"/>
      <c r="AN964" s="583"/>
      <c r="AO964" s="583"/>
      <c r="AP964" s="583"/>
      <c r="AQ964" s="583"/>
      <c r="AR964" s="583"/>
      <c r="AS964" s="583"/>
      <c r="AT964" s="583"/>
      <c r="AU964" s="583"/>
    </row>
    <row r="965" spans="1:47" s="586" customFormat="1" x14ac:dyDescent="0.2">
      <c r="A965" s="585"/>
      <c r="B965" s="585"/>
      <c r="C965" s="585"/>
      <c r="D965" s="583"/>
      <c r="E965" s="583"/>
      <c r="F965" s="583"/>
      <c r="G965" s="583"/>
      <c r="H965" s="583"/>
      <c r="I965" s="583"/>
      <c r="J965" s="583"/>
      <c r="K965" s="583"/>
      <c r="L965" s="583"/>
      <c r="M965" s="583"/>
      <c r="N965" s="583"/>
      <c r="O965" s="583"/>
      <c r="P965" s="583"/>
      <c r="Q965" s="583"/>
      <c r="R965" s="583"/>
      <c r="S965" s="583"/>
      <c r="T965" s="583"/>
      <c r="U965" s="583"/>
      <c r="V965" s="583"/>
      <c r="W965" s="583"/>
      <c r="X965" s="583"/>
      <c r="Y965" s="583"/>
      <c r="Z965" s="583"/>
      <c r="AA965" s="583"/>
      <c r="AB965" s="583"/>
      <c r="AC965" s="583"/>
      <c r="AD965" s="583"/>
      <c r="AE965" s="583"/>
      <c r="AF965" s="583"/>
      <c r="AG965" s="583"/>
      <c r="AH965" s="583"/>
      <c r="AI965" s="583"/>
      <c r="AJ965" s="583"/>
      <c r="AK965" s="583"/>
      <c r="AL965" s="583"/>
      <c r="AM965" s="583"/>
      <c r="AN965" s="583"/>
      <c r="AO965" s="583"/>
      <c r="AP965" s="583"/>
      <c r="AQ965" s="583"/>
      <c r="AR965" s="583"/>
      <c r="AS965" s="583"/>
      <c r="AT965" s="583"/>
      <c r="AU965" s="583"/>
    </row>
    <row r="966" spans="1:47" s="586" customFormat="1" x14ac:dyDescent="0.2">
      <c r="A966" s="585"/>
      <c r="B966" s="585"/>
      <c r="C966" s="585"/>
      <c r="D966" s="583"/>
      <c r="E966" s="583"/>
      <c r="F966" s="583"/>
      <c r="G966" s="583"/>
      <c r="H966" s="583"/>
      <c r="I966" s="583"/>
      <c r="J966" s="583"/>
      <c r="K966" s="583"/>
      <c r="L966" s="583"/>
      <c r="M966" s="583"/>
      <c r="N966" s="583"/>
      <c r="O966" s="583"/>
      <c r="P966" s="583"/>
      <c r="Q966" s="583"/>
      <c r="R966" s="583"/>
      <c r="S966" s="583"/>
      <c r="T966" s="583"/>
      <c r="U966" s="583"/>
      <c r="V966" s="583"/>
      <c r="W966" s="583"/>
      <c r="X966" s="583"/>
      <c r="Y966" s="583"/>
      <c r="Z966" s="583"/>
      <c r="AA966" s="583"/>
      <c r="AB966" s="583"/>
      <c r="AC966" s="583"/>
      <c r="AD966" s="583"/>
      <c r="AE966" s="583"/>
      <c r="AF966" s="583"/>
      <c r="AG966" s="583"/>
      <c r="AH966" s="583"/>
      <c r="AI966" s="583"/>
      <c r="AJ966" s="583"/>
      <c r="AK966" s="583"/>
      <c r="AL966" s="583"/>
      <c r="AM966" s="583"/>
      <c r="AN966" s="583"/>
      <c r="AO966" s="583"/>
      <c r="AP966" s="583"/>
      <c r="AQ966" s="583"/>
      <c r="AR966" s="583"/>
      <c r="AS966" s="583"/>
      <c r="AT966" s="583"/>
      <c r="AU966" s="583"/>
    </row>
    <row r="967" spans="1:47" s="586" customFormat="1" x14ac:dyDescent="0.2">
      <c r="A967" s="585"/>
      <c r="B967" s="585"/>
      <c r="C967" s="585"/>
      <c r="D967" s="583"/>
      <c r="E967" s="583"/>
      <c r="F967" s="583"/>
      <c r="G967" s="583"/>
      <c r="H967" s="583"/>
      <c r="I967" s="583"/>
      <c r="J967" s="583"/>
      <c r="K967" s="583"/>
      <c r="L967" s="583"/>
      <c r="M967" s="583"/>
      <c r="N967" s="583"/>
      <c r="O967" s="583"/>
      <c r="P967" s="583"/>
      <c r="Q967" s="583"/>
      <c r="R967" s="583"/>
      <c r="S967" s="583"/>
      <c r="T967" s="583"/>
      <c r="U967" s="583"/>
      <c r="V967" s="583"/>
      <c r="W967" s="583"/>
      <c r="X967" s="583"/>
      <c r="Y967" s="583"/>
      <c r="Z967" s="583"/>
      <c r="AA967" s="583"/>
      <c r="AB967" s="583"/>
      <c r="AC967" s="583"/>
      <c r="AD967" s="583"/>
      <c r="AE967" s="583"/>
      <c r="AF967" s="583"/>
      <c r="AG967" s="583"/>
      <c r="AH967" s="583"/>
      <c r="AI967" s="583"/>
      <c r="AJ967" s="583"/>
      <c r="AK967" s="583"/>
      <c r="AL967" s="583"/>
      <c r="AM967" s="583"/>
      <c r="AN967" s="583"/>
      <c r="AO967" s="583"/>
      <c r="AP967" s="583"/>
      <c r="AQ967" s="583"/>
      <c r="AR967" s="583"/>
      <c r="AS967" s="583"/>
      <c r="AT967" s="583"/>
      <c r="AU967" s="583"/>
    </row>
    <row r="968" spans="1:47" s="586" customFormat="1" x14ac:dyDescent="0.2">
      <c r="A968" s="585"/>
      <c r="B968" s="585"/>
      <c r="C968" s="585"/>
      <c r="D968" s="583"/>
      <c r="E968" s="583"/>
      <c r="F968" s="583"/>
      <c r="G968" s="583"/>
      <c r="H968" s="583"/>
      <c r="I968" s="583"/>
      <c r="J968" s="583"/>
      <c r="K968" s="583"/>
      <c r="L968" s="583"/>
      <c r="M968" s="583"/>
      <c r="N968" s="583"/>
      <c r="O968" s="583"/>
      <c r="P968" s="583"/>
      <c r="Q968" s="583"/>
      <c r="R968" s="583"/>
      <c r="S968" s="583"/>
      <c r="T968" s="583"/>
      <c r="U968" s="583"/>
      <c r="V968" s="583"/>
      <c r="W968" s="583"/>
      <c r="X968" s="583"/>
      <c r="Y968" s="583"/>
      <c r="Z968" s="583"/>
      <c r="AA968" s="583"/>
      <c r="AB968" s="583"/>
      <c r="AC968" s="583"/>
      <c r="AD968" s="583"/>
      <c r="AE968" s="583"/>
      <c r="AF968" s="583"/>
      <c r="AG968" s="583"/>
      <c r="AH968" s="583"/>
      <c r="AI968" s="583"/>
      <c r="AJ968" s="583"/>
      <c r="AK968" s="583"/>
      <c r="AL968" s="583"/>
      <c r="AM968" s="583"/>
      <c r="AN968" s="583"/>
      <c r="AO968" s="583"/>
      <c r="AP968" s="583"/>
      <c r="AQ968" s="583"/>
      <c r="AR968" s="583"/>
      <c r="AS968" s="583"/>
      <c r="AT968" s="583"/>
      <c r="AU968" s="583"/>
    </row>
    <row r="969" spans="1:47" s="586" customFormat="1" x14ac:dyDescent="0.2">
      <c r="A969" s="585"/>
      <c r="B969" s="585"/>
      <c r="C969" s="585"/>
      <c r="D969" s="583"/>
      <c r="E969" s="583"/>
      <c r="F969" s="583"/>
      <c r="G969" s="583"/>
      <c r="H969" s="583"/>
      <c r="I969" s="583"/>
      <c r="J969" s="583"/>
      <c r="K969" s="583"/>
      <c r="L969" s="583"/>
      <c r="M969" s="583"/>
      <c r="N969" s="583"/>
      <c r="O969" s="583"/>
      <c r="P969" s="583"/>
      <c r="Q969" s="583"/>
      <c r="R969" s="583"/>
      <c r="S969" s="583"/>
      <c r="T969" s="583"/>
      <c r="U969" s="583"/>
      <c r="V969" s="583"/>
      <c r="W969" s="583"/>
      <c r="X969" s="583"/>
      <c r="Y969" s="583"/>
      <c r="Z969" s="583"/>
      <c r="AA969" s="583"/>
      <c r="AB969" s="583"/>
      <c r="AC969" s="583"/>
      <c r="AD969" s="583"/>
      <c r="AE969" s="583"/>
      <c r="AF969" s="583"/>
      <c r="AG969" s="583"/>
      <c r="AH969" s="583"/>
      <c r="AI969" s="583"/>
      <c r="AJ969" s="583"/>
      <c r="AK969" s="583"/>
      <c r="AL969" s="583"/>
      <c r="AM969" s="583"/>
      <c r="AN969" s="583"/>
      <c r="AO969" s="583"/>
      <c r="AP969" s="583"/>
      <c r="AQ969" s="583"/>
      <c r="AR969" s="583"/>
      <c r="AS969" s="583"/>
      <c r="AT969" s="583"/>
      <c r="AU969" s="583"/>
    </row>
    <row r="970" spans="1:47" s="586" customFormat="1" x14ac:dyDescent="0.2">
      <c r="A970" s="585"/>
      <c r="B970" s="585"/>
      <c r="C970" s="585"/>
      <c r="D970" s="583"/>
      <c r="E970" s="583"/>
      <c r="F970" s="583"/>
      <c r="G970" s="583"/>
      <c r="H970" s="583"/>
      <c r="I970" s="583"/>
      <c r="J970" s="583"/>
      <c r="K970" s="583"/>
      <c r="L970" s="583"/>
      <c r="M970" s="583"/>
      <c r="N970" s="583"/>
      <c r="O970" s="583"/>
      <c r="P970" s="583"/>
      <c r="Q970" s="583"/>
      <c r="R970" s="583"/>
      <c r="S970" s="583"/>
      <c r="T970" s="583"/>
      <c r="U970" s="583"/>
      <c r="V970" s="583"/>
      <c r="W970" s="583"/>
      <c r="X970" s="583"/>
      <c r="Y970" s="583"/>
      <c r="Z970" s="583"/>
      <c r="AA970" s="583"/>
      <c r="AB970" s="583"/>
      <c r="AC970" s="583"/>
      <c r="AD970" s="583"/>
      <c r="AE970" s="583"/>
      <c r="AF970" s="583"/>
      <c r="AG970" s="583"/>
      <c r="AH970" s="583"/>
      <c r="AI970" s="583"/>
      <c r="AJ970" s="583"/>
      <c r="AK970" s="583"/>
      <c r="AL970" s="583"/>
      <c r="AM970" s="583"/>
      <c r="AN970" s="583"/>
      <c r="AO970" s="583"/>
      <c r="AP970" s="583"/>
      <c r="AQ970" s="583"/>
      <c r="AR970" s="583"/>
      <c r="AS970" s="583"/>
      <c r="AT970" s="583"/>
      <c r="AU970" s="583"/>
    </row>
    <row r="971" spans="1:47" s="586" customFormat="1" x14ac:dyDescent="0.2">
      <c r="A971" s="585"/>
      <c r="B971" s="585"/>
      <c r="C971" s="585"/>
      <c r="D971" s="583"/>
      <c r="E971" s="583"/>
      <c r="F971" s="583"/>
      <c r="G971" s="583"/>
      <c r="H971" s="583"/>
      <c r="I971" s="583"/>
      <c r="J971" s="583"/>
      <c r="K971" s="583"/>
      <c r="L971" s="583"/>
      <c r="M971" s="583"/>
      <c r="N971" s="583"/>
      <c r="O971" s="583"/>
      <c r="P971" s="583"/>
      <c r="Q971" s="583"/>
      <c r="R971" s="583"/>
      <c r="S971" s="583"/>
      <c r="T971" s="583"/>
      <c r="U971" s="583"/>
      <c r="V971" s="583"/>
      <c r="W971" s="583"/>
      <c r="X971" s="583"/>
      <c r="Y971" s="583"/>
      <c r="Z971" s="583"/>
      <c r="AA971" s="583"/>
      <c r="AB971" s="583"/>
      <c r="AC971" s="583"/>
      <c r="AD971" s="583"/>
      <c r="AE971" s="583"/>
      <c r="AF971" s="583"/>
      <c r="AG971" s="583"/>
      <c r="AH971" s="583"/>
      <c r="AI971" s="583"/>
      <c r="AJ971" s="583"/>
      <c r="AK971" s="583"/>
      <c r="AL971" s="583"/>
      <c r="AM971" s="583"/>
      <c r="AN971" s="583"/>
      <c r="AO971" s="583"/>
      <c r="AP971" s="583"/>
      <c r="AQ971" s="583"/>
      <c r="AR971" s="583"/>
      <c r="AS971" s="583"/>
      <c r="AT971" s="583"/>
      <c r="AU971" s="583"/>
    </row>
    <row r="972" spans="1:47" s="586" customFormat="1" x14ac:dyDescent="0.2">
      <c r="A972" s="585"/>
      <c r="B972" s="585"/>
      <c r="C972" s="585"/>
      <c r="D972" s="583"/>
      <c r="E972" s="583"/>
      <c r="F972" s="583"/>
      <c r="G972" s="583"/>
      <c r="H972" s="583"/>
      <c r="I972" s="583"/>
      <c r="J972" s="583"/>
      <c r="K972" s="583"/>
      <c r="L972" s="583"/>
      <c r="M972" s="583"/>
      <c r="N972" s="583"/>
      <c r="O972" s="583"/>
      <c r="P972" s="583"/>
      <c r="Q972" s="583"/>
      <c r="R972" s="583"/>
      <c r="S972" s="583"/>
      <c r="T972" s="583"/>
      <c r="U972" s="583"/>
      <c r="V972" s="583"/>
      <c r="W972" s="583"/>
      <c r="X972" s="583"/>
      <c r="Y972" s="583"/>
      <c r="Z972" s="583"/>
      <c r="AA972" s="583"/>
      <c r="AB972" s="583"/>
      <c r="AC972" s="583"/>
      <c r="AD972" s="583"/>
      <c r="AE972" s="583"/>
      <c r="AF972" s="583"/>
      <c r="AG972" s="583"/>
      <c r="AH972" s="583"/>
      <c r="AI972" s="583"/>
      <c r="AJ972" s="583"/>
      <c r="AK972" s="583"/>
      <c r="AL972" s="583"/>
      <c r="AM972" s="583"/>
      <c r="AN972" s="583"/>
      <c r="AO972" s="583"/>
      <c r="AP972" s="583"/>
      <c r="AQ972" s="583"/>
      <c r="AR972" s="583"/>
      <c r="AS972" s="583"/>
      <c r="AT972" s="583"/>
      <c r="AU972" s="583"/>
    </row>
    <row r="973" spans="1:47" s="586" customFormat="1" x14ac:dyDescent="0.2">
      <c r="A973" s="585"/>
      <c r="B973" s="585"/>
      <c r="C973" s="585"/>
      <c r="D973" s="583"/>
      <c r="E973" s="583"/>
      <c r="F973" s="583"/>
      <c r="G973" s="583"/>
      <c r="H973" s="583"/>
      <c r="I973" s="583"/>
      <c r="J973" s="583"/>
      <c r="K973" s="583"/>
      <c r="L973" s="583"/>
      <c r="M973" s="583"/>
      <c r="N973" s="583"/>
      <c r="O973" s="583"/>
      <c r="P973" s="583"/>
      <c r="Q973" s="583"/>
      <c r="R973" s="583"/>
      <c r="S973" s="583"/>
      <c r="T973" s="583"/>
      <c r="U973" s="583"/>
      <c r="V973" s="583"/>
      <c r="W973" s="583"/>
      <c r="X973" s="583"/>
      <c r="Y973" s="583"/>
      <c r="Z973" s="583"/>
      <c r="AA973" s="583"/>
      <c r="AB973" s="583"/>
      <c r="AC973" s="583"/>
      <c r="AD973" s="583"/>
      <c r="AE973" s="583"/>
      <c r="AF973" s="583"/>
      <c r="AG973" s="583"/>
      <c r="AH973" s="583"/>
      <c r="AI973" s="583"/>
      <c r="AJ973" s="583"/>
      <c r="AK973" s="583"/>
      <c r="AL973" s="583"/>
      <c r="AM973" s="583"/>
      <c r="AN973" s="583"/>
      <c r="AO973" s="583"/>
      <c r="AP973" s="583"/>
      <c r="AQ973" s="583"/>
      <c r="AR973" s="583"/>
      <c r="AS973" s="583"/>
      <c r="AT973" s="583"/>
      <c r="AU973" s="583"/>
    </row>
    <row r="974" spans="1:47" s="586" customFormat="1" x14ac:dyDescent="0.2">
      <c r="A974" s="585"/>
      <c r="B974" s="585"/>
      <c r="C974" s="585"/>
      <c r="D974" s="583"/>
      <c r="E974" s="583"/>
      <c r="F974" s="583"/>
      <c r="G974" s="583"/>
      <c r="H974" s="583"/>
      <c r="I974" s="583"/>
      <c r="J974" s="583"/>
      <c r="K974" s="583"/>
      <c r="L974" s="583"/>
      <c r="M974" s="583"/>
      <c r="N974" s="583"/>
      <c r="O974" s="583"/>
      <c r="P974" s="583"/>
      <c r="Q974" s="583"/>
      <c r="R974" s="583"/>
      <c r="S974" s="583"/>
      <c r="T974" s="583"/>
      <c r="U974" s="583"/>
      <c r="V974" s="583"/>
      <c r="W974" s="583"/>
      <c r="X974" s="583"/>
      <c r="Y974" s="583"/>
      <c r="Z974" s="583"/>
      <c r="AA974" s="583"/>
      <c r="AB974" s="583"/>
      <c r="AC974" s="583"/>
      <c r="AD974" s="583"/>
      <c r="AE974" s="583"/>
      <c r="AF974" s="583"/>
      <c r="AG974" s="583"/>
      <c r="AH974" s="583"/>
      <c r="AI974" s="583"/>
      <c r="AJ974" s="583"/>
      <c r="AK974" s="583"/>
      <c r="AL974" s="583"/>
      <c r="AM974" s="583"/>
      <c r="AN974" s="583"/>
      <c r="AO974" s="583"/>
      <c r="AP974" s="583"/>
      <c r="AQ974" s="583"/>
      <c r="AR974" s="583"/>
      <c r="AS974" s="583"/>
      <c r="AT974" s="583"/>
      <c r="AU974" s="583"/>
    </row>
    <row r="975" spans="1:47" s="586" customFormat="1" x14ac:dyDescent="0.2">
      <c r="A975" s="585"/>
      <c r="B975" s="585"/>
      <c r="C975" s="585"/>
      <c r="D975" s="583"/>
      <c r="E975" s="583"/>
      <c r="F975" s="583"/>
      <c r="G975" s="583"/>
      <c r="H975" s="583"/>
      <c r="I975" s="583"/>
      <c r="J975" s="583"/>
      <c r="K975" s="583"/>
      <c r="L975" s="583"/>
      <c r="M975" s="583"/>
      <c r="N975" s="583"/>
      <c r="O975" s="583"/>
      <c r="P975" s="583"/>
      <c r="Q975" s="583"/>
      <c r="R975" s="583"/>
      <c r="S975" s="583"/>
      <c r="T975" s="583"/>
      <c r="U975" s="583"/>
      <c r="V975" s="583"/>
      <c r="W975" s="583"/>
      <c r="X975" s="583"/>
      <c r="Y975" s="583"/>
      <c r="Z975" s="583"/>
      <c r="AA975" s="583"/>
      <c r="AB975" s="583"/>
      <c r="AC975" s="583"/>
      <c r="AD975" s="583"/>
      <c r="AE975" s="583"/>
      <c r="AF975" s="583"/>
      <c r="AG975" s="583"/>
      <c r="AH975" s="583"/>
      <c r="AI975" s="583"/>
      <c r="AJ975" s="583"/>
      <c r="AK975" s="583"/>
      <c r="AL975" s="583"/>
      <c r="AM975" s="583"/>
      <c r="AN975" s="583"/>
      <c r="AO975" s="583"/>
      <c r="AP975" s="583"/>
      <c r="AQ975" s="583"/>
      <c r="AR975" s="583"/>
      <c r="AS975" s="583"/>
      <c r="AT975" s="583"/>
      <c r="AU975" s="583"/>
    </row>
    <row r="976" spans="1:47" s="586" customFormat="1" x14ac:dyDescent="0.2">
      <c r="A976" s="585"/>
      <c r="B976" s="585"/>
      <c r="C976" s="585"/>
      <c r="D976" s="583"/>
      <c r="E976" s="583"/>
      <c r="F976" s="583"/>
      <c r="G976" s="583"/>
      <c r="H976" s="583"/>
      <c r="I976" s="583"/>
      <c r="J976" s="583"/>
      <c r="K976" s="583"/>
      <c r="L976" s="583"/>
      <c r="M976" s="583"/>
      <c r="N976" s="583"/>
      <c r="O976" s="583"/>
      <c r="P976" s="583"/>
      <c r="Q976" s="583"/>
      <c r="R976" s="583"/>
      <c r="S976" s="583"/>
      <c r="T976" s="583"/>
      <c r="U976" s="583"/>
      <c r="V976" s="583"/>
      <c r="W976" s="583"/>
      <c r="X976" s="583"/>
      <c r="Y976" s="583"/>
      <c r="Z976" s="583"/>
      <c r="AA976" s="583"/>
      <c r="AB976" s="583"/>
      <c r="AC976" s="583"/>
      <c r="AD976" s="583"/>
      <c r="AE976" s="583"/>
      <c r="AF976" s="583"/>
      <c r="AG976" s="583"/>
      <c r="AH976" s="583"/>
      <c r="AI976" s="583"/>
      <c r="AJ976" s="583"/>
      <c r="AK976" s="583"/>
      <c r="AL976" s="583"/>
      <c r="AM976" s="583"/>
      <c r="AN976" s="583"/>
      <c r="AO976" s="583"/>
      <c r="AP976" s="583"/>
      <c r="AQ976" s="583"/>
      <c r="AR976" s="583"/>
      <c r="AS976" s="583"/>
      <c r="AT976" s="583"/>
      <c r="AU976" s="583"/>
    </row>
    <row r="977" spans="1:47" s="586" customFormat="1" x14ac:dyDescent="0.2">
      <c r="A977" s="585"/>
      <c r="B977" s="585"/>
      <c r="C977" s="585"/>
      <c r="D977" s="583"/>
      <c r="E977" s="583"/>
      <c r="F977" s="583"/>
      <c r="G977" s="583"/>
      <c r="H977" s="583"/>
      <c r="I977" s="583"/>
      <c r="J977" s="583"/>
      <c r="K977" s="583"/>
      <c r="L977" s="583"/>
      <c r="M977" s="583"/>
      <c r="N977" s="583"/>
      <c r="O977" s="583"/>
      <c r="P977" s="583"/>
      <c r="Q977" s="583"/>
      <c r="R977" s="583"/>
      <c r="S977" s="583"/>
      <c r="T977" s="583"/>
      <c r="U977" s="583"/>
      <c r="V977" s="583"/>
      <c r="W977" s="583"/>
      <c r="X977" s="583"/>
      <c r="Y977" s="583"/>
      <c r="Z977" s="583"/>
      <c r="AA977" s="583"/>
      <c r="AB977" s="583"/>
      <c r="AC977" s="583"/>
      <c r="AD977" s="583"/>
      <c r="AE977" s="583"/>
      <c r="AF977" s="583"/>
      <c r="AG977" s="583"/>
      <c r="AH977" s="583"/>
      <c r="AI977" s="583"/>
      <c r="AJ977" s="583"/>
      <c r="AK977" s="583"/>
      <c r="AL977" s="583"/>
      <c r="AM977" s="583"/>
      <c r="AN977" s="583"/>
      <c r="AO977" s="583"/>
      <c r="AP977" s="583"/>
      <c r="AQ977" s="583"/>
      <c r="AR977" s="583"/>
      <c r="AS977" s="583"/>
      <c r="AT977" s="583"/>
      <c r="AU977" s="583"/>
    </row>
    <row r="978" spans="1:47" s="586" customFormat="1" x14ac:dyDescent="0.2">
      <c r="A978" s="585"/>
      <c r="B978" s="585"/>
      <c r="C978" s="585"/>
      <c r="D978" s="583"/>
      <c r="E978" s="583"/>
      <c r="F978" s="583"/>
      <c r="G978" s="583"/>
      <c r="H978" s="583"/>
      <c r="I978" s="583"/>
      <c r="J978" s="583"/>
      <c r="K978" s="583"/>
      <c r="L978" s="583"/>
      <c r="M978" s="583"/>
      <c r="N978" s="583"/>
      <c r="O978" s="583"/>
      <c r="P978" s="583"/>
      <c r="Q978" s="583"/>
      <c r="R978" s="583"/>
      <c r="S978" s="583"/>
      <c r="T978" s="583"/>
      <c r="U978" s="583"/>
      <c r="V978" s="583"/>
      <c r="W978" s="583"/>
      <c r="X978" s="583"/>
      <c r="Y978" s="583"/>
      <c r="Z978" s="583"/>
      <c r="AA978" s="583"/>
      <c r="AB978" s="583"/>
      <c r="AC978" s="583"/>
      <c r="AD978" s="583"/>
      <c r="AE978" s="583"/>
      <c r="AF978" s="583"/>
      <c r="AG978" s="583"/>
      <c r="AH978" s="583"/>
      <c r="AI978" s="583"/>
      <c r="AJ978" s="583"/>
      <c r="AK978" s="583"/>
      <c r="AL978" s="583"/>
      <c r="AM978" s="583"/>
      <c r="AN978" s="583"/>
      <c r="AO978" s="583"/>
      <c r="AP978" s="583"/>
      <c r="AQ978" s="583"/>
      <c r="AR978" s="583"/>
      <c r="AS978" s="583"/>
      <c r="AT978" s="583"/>
      <c r="AU978" s="583"/>
    </row>
    <row r="979" spans="1:47" s="586" customFormat="1" x14ac:dyDescent="0.2">
      <c r="A979" s="585"/>
      <c r="B979" s="585"/>
      <c r="C979" s="585"/>
      <c r="D979" s="583"/>
      <c r="E979" s="583"/>
      <c r="F979" s="583"/>
      <c r="G979" s="583"/>
      <c r="H979" s="583"/>
      <c r="I979" s="583"/>
      <c r="J979" s="583"/>
      <c r="K979" s="583"/>
      <c r="L979" s="583"/>
      <c r="M979" s="583"/>
      <c r="N979" s="583"/>
      <c r="O979" s="583"/>
      <c r="P979" s="583"/>
      <c r="Q979" s="583"/>
      <c r="R979" s="583"/>
      <c r="S979" s="583"/>
      <c r="T979" s="583"/>
      <c r="U979" s="583"/>
      <c r="V979" s="583"/>
      <c r="W979" s="583"/>
      <c r="X979" s="583"/>
      <c r="Y979" s="583"/>
      <c r="Z979" s="583"/>
      <c r="AA979" s="583"/>
      <c r="AB979" s="583"/>
      <c r="AC979" s="583"/>
      <c r="AD979" s="583"/>
      <c r="AE979" s="583"/>
      <c r="AF979" s="583"/>
      <c r="AG979" s="583"/>
      <c r="AH979" s="583"/>
      <c r="AI979" s="583"/>
      <c r="AJ979" s="583"/>
      <c r="AK979" s="583"/>
      <c r="AL979" s="583"/>
      <c r="AM979" s="583"/>
      <c r="AN979" s="583"/>
      <c r="AO979" s="583"/>
      <c r="AP979" s="583"/>
      <c r="AQ979" s="583"/>
      <c r="AR979" s="583"/>
      <c r="AS979" s="583"/>
      <c r="AT979" s="583"/>
      <c r="AU979" s="583"/>
    </row>
    <row r="980" spans="1:47" s="586" customFormat="1" x14ac:dyDescent="0.2">
      <c r="A980" s="585"/>
      <c r="B980" s="585"/>
      <c r="C980" s="585"/>
      <c r="D980" s="583"/>
      <c r="E980" s="583"/>
      <c r="F980" s="583"/>
      <c r="G980" s="583"/>
      <c r="H980" s="583"/>
      <c r="I980" s="583"/>
      <c r="J980" s="583"/>
      <c r="K980" s="583"/>
      <c r="L980" s="583"/>
      <c r="M980" s="583"/>
      <c r="N980" s="583"/>
      <c r="O980" s="583"/>
      <c r="P980" s="583"/>
      <c r="Q980" s="583"/>
      <c r="R980" s="583"/>
      <c r="S980" s="583"/>
      <c r="T980" s="583"/>
      <c r="U980" s="583"/>
      <c r="V980" s="583"/>
      <c r="W980" s="583"/>
      <c r="X980" s="583"/>
      <c r="Y980" s="583"/>
      <c r="Z980" s="583"/>
      <c r="AA980" s="583"/>
      <c r="AB980" s="583"/>
      <c r="AC980" s="583"/>
      <c r="AD980" s="583"/>
      <c r="AE980" s="583"/>
      <c r="AF980" s="583"/>
      <c r="AG980" s="583"/>
      <c r="AH980" s="583"/>
      <c r="AI980" s="583"/>
      <c r="AJ980" s="583"/>
      <c r="AK980" s="583"/>
      <c r="AL980" s="583"/>
      <c r="AM980" s="583"/>
      <c r="AN980" s="583"/>
      <c r="AO980" s="583"/>
      <c r="AP980" s="583"/>
      <c r="AQ980" s="583"/>
      <c r="AR980" s="583"/>
      <c r="AS980" s="583"/>
      <c r="AT980" s="583"/>
      <c r="AU980" s="583"/>
    </row>
    <row r="981" spans="1:47" s="586" customFormat="1" x14ac:dyDescent="0.2">
      <c r="A981" s="585"/>
      <c r="B981" s="585"/>
      <c r="C981" s="585"/>
      <c r="D981" s="583"/>
      <c r="E981" s="583"/>
      <c r="F981" s="583"/>
      <c r="G981" s="583"/>
      <c r="H981" s="583"/>
      <c r="I981" s="583"/>
      <c r="J981" s="583"/>
      <c r="K981" s="583"/>
      <c r="L981" s="583"/>
      <c r="M981" s="583"/>
      <c r="N981" s="583"/>
      <c r="O981" s="583"/>
      <c r="P981" s="583"/>
      <c r="Q981" s="583"/>
      <c r="R981" s="583"/>
      <c r="S981" s="583"/>
      <c r="T981" s="583"/>
      <c r="U981" s="583"/>
      <c r="V981" s="583"/>
      <c r="W981" s="583"/>
      <c r="X981" s="583"/>
      <c r="Y981" s="583"/>
      <c r="Z981" s="583"/>
      <c r="AA981" s="583"/>
      <c r="AB981" s="583"/>
      <c r="AC981" s="583"/>
      <c r="AD981" s="583"/>
      <c r="AE981" s="583"/>
      <c r="AF981" s="583"/>
      <c r="AG981" s="583"/>
      <c r="AH981" s="583"/>
      <c r="AI981" s="583"/>
      <c r="AJ981" s="583"/>
      <c r="AK981" s="583"/>
      <c r="AL981" s="583"/>
      <c r="AM981" s="583"/>
      <c r="AN981" s="583"/>
      <c r="AO981" s="583"/>
      <c r="AP981" s="583"/>
      <c r="AQ981" s="583"/>
      <c r="AR981" s="583"/>
      <c r="AS981" s="583"/>
      <c r="AT981" s="583"/>
      <c r="AU981" s="583"/>
    </row>
    <row r="982" spans="1:47" s="586" customFormat="1" x14ac:dyDescent="0.2">
      <c r="A982" s="585"/>
      <c r="B982" s="585"/>
      <c r="C982" s="585"/>
      <c r="D982" s="583"/>
      <c r="E982" s="583"/>
      <c r="F982" s="583"/>
      <c r="G982" s="583"/>
      <c r="H982" s="583"/>
      <c r="I982" s="583"/>
      <c r="J982" s="583"/>
      <c r="K982" s="583"/>
      <c r="L982" s="583"/>
      <c r="M982" s="583"/>
      <c r="N982" s="583"/>
      <c r="O982" s="583"/>
      <c r="P982" s="583"/>
      <c r="Q982" s="583"/>
      <c r="R982" s="583"/>
      <c r="S982" s="583"/>
      <c r="T982" s="583"/>
      <c r="U982" s="583"/>
      <c r="V982" s="583"/>
      <c r="W982" s="583"/>
      <c r="X982" s="583"/>
      <c r="Y982" s="583"/>
      <c r="Z982" s="583"/>
      <c r="AA982" s="583"/>
      <c r="AB982" s="583"/>
      <c r="AC982" s="583"/>
      <c r="AD982" s="583"/>
      <c r="AE982" s="583"/>
      <c r="AF982" s="583"/>
      <c r="AG982" s="583"/>
      <c r="AH982" s="583"/>
      <c r="AI982" s="583"/>
      <c r="AJ982" s="583"/>
      <c r="AK982" s="583"/>
      <c r="AL982" s="583"/>
      <c r="AM982" s="583"/>
      <c r="AN982" s="583"/>
      <c r="AO982" s="583"/>
      <c r="AP982" s="583"/>
      <c r="AQ982" s="583"/>
      <c r="AR982" s="583"/>
      <c r="AS982" s="583"/>
      <c r="AT982" s="583"/>
      <c r="AU982" s="583"/>
    </row>
    <row r="983" spans="1:47" s="586" customFormat="1" x14ac:dyDescent="0.2">
      <c r="A983" s="585"/>
      <c r="B983" s="585"/>
      <c r="C983" s="585"/>
      <c r="D983" s="583"/>
      <c r="E983" s="583"/>
      <c r="F983" s="583"/>
      <c r="G983" s="583"/>
      <c r="H983" s="583"/>
      <c r="I983" s="583"/>
      <c r="J983" s="583"/>
      <c r="K983" s="583"/>
      <c r="L983" s="583"/>
      <c r="M983" s="583"/>
      <c r="N983" s="583"/>
      <c r="O983" s="583"/>
      <c r="P983" s="583"/>
      <c r="Q983" s="583"/>
      <c r="R983" s="583"/>
      <c r="S983" s="583"/>
      <c r="T983" s="583"/>
      <c r="U983" s="583"/>
      <c r="V983" s="583"/>
      <c r="W983" s="583"/>
      <c r="X983" s="583"/>
      <c r="Y983" s="583"/>
      <c r="Z983" s="583"/>
      <c r="AA983" s="583"/>
      <c r="AB983" s="583"/>
      <c r="AC983" s="583"/>
      <c r="AD983" s="583"/>
      <c r="AE983" s="583"/>
      <c r="AF983" s="583"/>
      <c r="AG983" s="583"/>
      <c r="AH983" s="583"/>
      <c r="AI983" s="583"/>
      <c r="AJ983" s="583"/>
      <c r="AK983" s="583"/>
      <c r="AL983" s="583"/>
      <c r="AM983" s="583"/>
      <c r="AN983" s="583"/>
      <c r="AO983" s="583"/>
      <c r="AP983" s="583"/>
      <c r="AQ983" s="583"/>
      <c r="AR983" s="583"/>
      <c r="AS983" s="583"/>
      <c r="AT983" s="583"/>
      <c r="AU983" s="583"/>
    </row>
    <row r="984" spans="1:47" s="586" customFormat="1" x14ac:dyDescent="0.2">
      <c r="A984" s="585"/>
      <c r="B984" s="585"/>
      <c r="C984" s="585"/>
      <c r="D984" s="583"/>
      <c r="E984" s="583"/>
      <c r="F984" s="583"/>
      <c r="G984" s="583"/>
      <c r="H984" s="583"/>
      <c r="I984" s="583"/>
      <c r="J984" s="583"/>
      <c r="K984" s="583"/>
      <c r="L984" s="583"/>
      <c r="M984" s="583"/>
      <c r="N984" s="583"/>
      <c r="O984" s="583"/>
      <c r="P984" s="583"/>
      <c r="Q984" s="583"/>
      <c r="R984" s="583"/>
      <c r="S984" s="583"/>
      <c r="T984" s="583"/>
      <c r="U984" s="583"/>
      <c r="V984" s="583"/>
      <c r="W984" s="583"/>
      <c r="X984" s="583"/>
      <c r="Y984" s="583"/>
      <c r="Z984" s="583"/>
      <c r="AA984" s="583"/>
      <c r="AB984" s="583"/>
      <c r="AC984" s="583"/>
      <c r="AD984" s="583"/>
      <c r="AE984" s="583"/>
      <c r="AF984" s="583"/>
      <c r="AG984" s="583"/>
      <c r="AH984" s="583"/>
      <c r="AI984" s="583"/>
      <c r="AJ984" s="583"/>
      <c r="AK984" s="583"/>
      <c r="AL984" s="583"/>
      <c r="AM984" s="583"/>
      <c r="AN984" s="583"/>
      <c r="AO984" s="583"/>
      <c r="AP984" s="583"/>
      <c r="AQ984" s="583"/>
      <c r="AR984" s="583"/>
      <c r="AS984" s="583"/>
      <c r="AT984" s="583"/>
      <c r="AU984" s="583"/>
    </row>
    <row r="985" spans="1:47" s="586" customFormat="1" x14ac:dyDescent="0.2">
      <c r="A985" s="585"/>
      <c r="B985" s="585"/>
      <c r="C985" s="585"/>
      <c r="D985" s="583"/>
      <c r="E985" s="583"/>
      <c r="F985" s="583"/>
      <c r="G985" s="583"/>
      <c r="H985" s="583"/>
      <c r="I985" s="583"/>
      <c r="J985" s="583"/>
      <c r="K985" s="583"/>
      <c r="L985" s="583"/>
      <c r="M985" s="583"/>
      <c r="N985" s="583"/>
      <c r="O985" s="583"/>
      <c r="P985" s="583"/>
      <c r="Q985" s="583"/>
      <c r="R985" s="583"/>
      <c r="S985" s="583"/>
      <c r="T985" s="583"/>
      <c r="U985" s="583"/>
      <c r="V985" s="583"/>
      <c r="W985" s="583"/>
      <c r="X985" s="583"/>
      <c r="Y985" s="583"/>
      <c r="Z985" s="583"/>
      <c r="AA985" s="583"/>
      <c r="AB985" s="583"/>
      <c r="AC985" s="583"/>
      <c r="AD985" s="583"/>
      <c r="AE985" s="583"/>
      <c r="AF985" s="583"/>
      <c r="AG985" s="583"/>
      <c r="AH985" s="583"/>
      <c r="AI985" s="583"/>
      <c r="AJ985" s="583"/>
      <c r="AK985" s="583"/>
      <c r="AL985" s="583"/>
      <c r="AM985" s="583"/>
      <c r="AN985" s="583"/>
      <c r="AO985" s="583"/>
      <c r="AP985" s="583"/>
      <c r="AQ985" s="583"/>
      <c r="AR985" s="583"/>
      <c r="AS985" s="583"/>
      <c r="AT985" s="583"/>
      <c r="AU985" s="583"/>
    </row>
    <row r="986" spans="1:47" s="586" customFormat="1" x14ac:dyDescent="0.2">
      <c r="A986" s="585"/>
      <c r="B986" s="585"/>
      <c r="C986" s="585"/>
      <c r="D986" s="583"/>
      <c r="E986" s="583"/>
      <c r="F986" s="583"/>
      <c r="G986" s="583"/>
      <c r="H986" s="583"/>
      <c r="I986" s="583"/>
      <c r="J986" s="583"/>
      <c r="K986" s="583"/>
      <c r="L986" s="583"/>
      <c r="M986" s="583"/>
      <c r="N986" s="583"/>
      <c r="O986" s="583"/>
      <c r="P986" s="583"/>
      <c r="Q986" s="583"/>
      <c r="R986" s="583"/>
      <c r="S986" s="583"/>
      <c r="T986" s="583"/>
      <c r="U986" s="583"/>
      <c r="V986" s="583"/>
      <c r="W986" s="583"/>
      <c r="X986" s="583"/>
      <c r="Y986" s="583"/>
      <c r="Z986" s="583"/>
      <c r="AA986" s="583"/>
      <c r="AB986" s="583"/>
      <c r="AC986" s="583"/>
      <c r="AD986" s="583"/>
      <c r="AE986" s="583"/>
      <c r="AF986" s="583"/>
      <c r="AG986" s="583"/>
      <c r="AH986" s="583"/>
      <c r="AI986" s="583"/>
      <c r="AJ986" s="583"/>
      <c r="AK986" s="583"/>
      <c r="AL986" s="583"/>
      <c r="AM986" s="583"/>
      <c r="AN986" s="583"/>
      <c r="AO986" s="583"/>
      <c r="AP986" s="583"/>
      <c r="AQ986" s="583"/>
      <c r="AR986" s="583"/>
      <c r="AS986" s="583"/>
      <c r="AT986" s="583"/>
      <c r="AU986" s="583"/>
    </row>
    <row r="987" spans="1:47" s="586" customFormat="1" x14ac:dyDescent="0.2">
      <c r="A987" s="585"/>
      <c r="B987" s="585"/>
      <c r="C987" s="585"/>
      <c r="D987" s="583"/>
      <c r="E987" s="583"/>
      <c r="F987" s="583"/>
      <c r="G987" s="583"/>
      <c r="H987" s="583"/>
      <c r="I987" s="583"/>
      <c r="J987" s="583"/>
      <c r="K987" s="583"/>
      <c r="L987" s="583"/>
      <c r="M987" s="583"/>
      <c r="N987" s="583"/>
      <c r="O987" s="583"/>
      <c r="P987" s="583"/>
      <c r="Q987" s="583"/>
      <c r="R987" s="583"/>
      <c r="S987" s="583"/>
      <c r="T987" s="583"/>
      <c r="U987" s="583"/>
      <c r="V987" s="583"/>
      <c r="W987" s="583"/>
      <c r="X987" s="583"/>
      <c r="Y987" s="583"/>
      <c r="Z987" s="583"/>
      <c r="AA987" s="583"/>
      <c r="AB987" s="583"/>
      <c r="AC987" s="583"/>
      <c r="AD987" s="583"/>
      <c r="AE987" s="583"/>
      <c r="AF987" s="583"/>
      <c r="AG987" s="583"/>
      <c r="AH987" s="583"/>
      <c r="AI987" s="583"/>
      <c r="AJ987" s="583"/>
      <c r="AK987" s="583"/>
      <c r="AL987" s="583"/>
      <c r="AM987" s="583"/>
      <c r="AN987" s="583"/>
      <c r="AO987" s="583"/>
      <c r="AP987" s="583"/>
      <c r="AQ987" s="583"/>
      <c r="AR987" s="583"/>
      <c r="AS987" s="583"/>
      <c r="AT987" s="583"/>
      <c r="AU987" s="583"/>
    </row>
    <row r="988" spans="1:47" s="586" customFormat="1" x14ac:dyDescent="0.2">
      <c r="A988" s="585"/>
      <c r="B988" s="585"/>
      <c r="C988" s="585"/>
      <c r="D988" s="583"/>
      <c r="E988" s="583"/>
      <c r="F988" s="583"/>
      <c r="G988" s="583"/>
      <c r="H988" s="583"/>
      <c r="I988" s="583"/>
      <c r="J988" s="583"/>
      <c r="K988" s="583"/>
      <c r="L988" s="583"/>
      <c r="M988" s="583"/>
      <c r="N988" s="583"/>
      <c r="O988" s="583"/>
      <c r="P988" s="583"/>
      <c r="Q988" s="583"/>
      <c r="R988" s="583"/>
      <c r="S988" s="583"/>
      <c r="T988" s="583"/>
      <c r="U988" s="583"/>
      <c r="V988" s="583"/>
      <c r="W988" s="583"/>
      <c r="X988" s="583"/>
      <c r="Y988" s="583"/>
      <c r="Z988" s="583"/>
      <c r="AA988" s="583"/>
      <c r="AB988" s="583"/>
      <c r="AC988" s="583"/>
      <c r="AD988" s="583"/>
      <c r="AE988" s="583"/>
      <c r="AF988" s="583"/>
      <c r="AG988" s="583"/>
      <c r="AH988" s="583"/>
      <c r="AI988" s="583"/>
      <c r="AJ988" s="583"/>
      <c r="AK988" s="583"/>
      <c r="AL988" s="583"/>
      <c r="AM988" s="583"/>
      <c r="AN988" s="583"/>
      <c r="AO988" s="583"/>
      <c r="AP988" s="583"/>
      <c r="AQ988" s="583"/>
      <c r="AR988" s="583"/>
      <c r="AS988" s="583"/>
      <c r="AT988" s="583"/>
      <c r="AU988" s="583"/>
    </row>
    <row r="989" spans="1:47" s="586" customFormat="1" x14ac:dyDescent="0.2">
      <c r="A989" s="585"/>
      <c r="B989" s="585"/>
      <c r="C989" s="585"/>
      <c r="D989" s="583"/>
      <c r="E989" s="583"/>
      <c r="F989" s="583"/>
      <c r="G989" s="583"/>
      <c r="H989" s="583"/>
      <c r="I989" s="583"/>
      <c r="J989" s="583"/>
      <c r="K989" s="583"/>
      <c r="L989" s="583"/>
      <c r="M989" s="583"/>
      <c r="N989" s="583"/>
      <c r="O989" s="583"/>
      <c r="P989" s="583"/>
      <c r="Q989" s="583"/>
      <c r="R989" s="583"/>
      <c r="S989" s="583"/>
      <c r="T989" s="583"/>
      <c r="U989" s="583"/>
      <c r="V989" s="583"/>
      <c r="W989" s="583"/>
      <c r="X989" s="583"/>
      <c r="Y989" s="583"/>
      <c r="Z989" s="583"/>
      <c r="AA989" s="583"/>
      <c r="AB989" s="583"/>
      <c r="AC989" s="583"/>
      <c r="AD989" s="583"/>
      <c r="AE989" s="583"/>
      <c r="AF989" s="583"/>
      <c r="AG989" s="583"/>
      <c r="AH989" s="583"/>
      <c r="AI989" s="583"/>
      <c r="AJ989" s="583"/>
      <c r="AK989" s="583"/>
      <c r="AL989" s="583"/>
      <c r="AM989" s="583"/>
      <c r="AN989" s="583"/>
      <c r="AO989" s="583"/>
      <c r="AP989" s="583"/>
      <c r="AQ989" s="583"/>
      <c r="AR989" s="583"/>
      <c r="AS989" s="583"/>
      <c r="AT989" s="583"/>
      <c r="AU989" s="583"/>
    </row>
    <row r="990" spans="1:47" s="586" customFormat="1" x14ac:dyDescent="0.2">
      <c r="A990" s="585"/>
      <c r="B990" s="585"/>
      <c r="C990" s="585"/>
      <c r="D990" s="583"/>
      <c r="E990" s="583"/>
      <c r="F990" s="583"/>
      <c r="G990" s="583"/>
      <c r="H990" s="583"/>
      <c r="I990" s="583"/>
      <c r="J990" s="583"/>
      <c r="K990" s="583"/>
      <c r="L990" s="583"/>
      <c r="M990" s="583"/>
      <c r="N990" s="583"/>
      <c r="O990" s="583"/>
      <c r="P990" s="583"/>
      <c r="Q990" s="583"/>
      <c r="R990" s="583"/>
      <c r="S990" s="583"/>
      <c r="T990" s="583"/>
      <c r="U990" s="583"/>
      <c r="V990" s="583"/>
      <c r="W990" s="583"/>
      <c r="X990" s="583"/>
      <c r="Y990" s="583"/>
      <c r="Z990" s="583"/>
      <c r="AA990" s="583"/>
      <c r="AB990" s="583"/>
      <c r="AC990" s="583"/>
      <c r="AD990" s="583"/>
      <c r="AE990" s="583"/>
      <c r="AF990" s="583"/>
      <c r="AG990" s="583"/>
      <c r="AH990" s="583"/>
      <c r="AI990" s="583"/>
      <c r="AJ990" s="583"/>
      <c r="AK990" s="583"/>
      <c r="AL990" s="583"/>
      <c r="AM990" s="583"/>
      <c r="AN990" s="583"/>
      <c r="AO990" s="583"/>
      <c r="AP990" s="583"/>
      <c r="AQ990" s="583"/>
      <c r="AR990" s="583"/>
      <c r="AS990" s="583"/>
      <c r="AT990" s="583"/>
      <c r="AU990" s="583"/>
    </row>
    <row r="991" spans="1:47" s="586" customFormat="1" x14ac:dyDescent="0.2">
      <c r="A991" s="585"/>
      <c r="B991" s="585"/>
      <c r="C991" s="585"/>
      <c r="D991" s="583"/>
      <c r="E991" s="583"/>
      <c r="F991" s="583"/>
      <c r="G991" s="583"/>
      <c r="H991" s="583"/>
      <c r="I991" s="583"/>
      <c r="J991" s="583"/>
      <c r="K991" s="583"/>
      <c r="L991" s="583"/>
      <c r="M991" s="583"/>
      <c r="N991" s="583"/>
      <c r="O991" s="583"/>
      <c r="P991" s="583"/>
      <c r="Q991" s="583"/>
      <c r="R991" s="583"/>
      <c r="S991" s="583"/>
      <c r="T991" s="583"/>
      <c r="U991" s="583"/>
      <c r="V991" s="583"/>
      <c r="W991" s="583"/>
      <c r="X991" s="583"/>
      <c r="Y991" s="583"/>
      <c r="Z991" s="583"/>
      <c r="AA991" s="583"/>
      <c r="AB991" s="583"/>
      <c r="AC991" s="583"/>
      <c r="AD991" s="583"/>
      <c r="AE991" s="583"/>
      <c r="AF991" s="583"/>
      <c r="AG991" s="583"/>
      <c r="AH991" s="583"/>
      <c r="AI991" s="583"/>
      <c r="AJ991" s="583"/>
      <c r="AK991" s="583"/>
      <c r="AL991" s="583"/>
      <c r="AM991" s="583"/>
      <c r="AN991" s="583"/>
      <c r="AO991" s="583"/>
      <c r="AP991" s="583"/>
      <c r="AQ991" s="583"/>
      <c r="AR991" s="583"/>
      <c r="AS991" s="583"/>
      <c r="AT991" s="583"/>
      <c r="AU991" s="583"/>
    </row>
    <row r="992" spans="1:47" s="586" customFormat="1" x14ac:dyDescent="0.2">
      <c r="A992" s="585"/>
      <c r="B992" s="585"/>
      <c r="C992" s="585"/>
      <c r="D992" s="583"/>
      <c r="E992" s="583"/>
      <c r="F992" s="583"/>
      <c r="G992" s="583"/>
      <c r="H992" s="583"/>
      <c r="I992" s="583"/>
      <c r="J992" s="583"/>
      <c r="K992" s="583"/>
      <c r="L992" s="583"/>
      <c r="M992" s="583"/>
      <c r="N992" s="583"/>
      <c r="O992" s="583"/>
      <c r="P992" s="583"/>
      <c r="Q992" s="583"/>
      <c r="R992" s="583"/>
      <c r="S992" s="583"/>
      <c r="T992" s="583"/>
      <c r="U992" s="583"/>
      <c r="V992" s="583"/>
      <c r="W992" s="583"/>
      <c r="X992" s="583"/>
      <c r="Y992" s="583"/>
      <c r="Z992" s="583"/>
      <c r="AA992" s="583"/>
      <c r="AB992" s="583"/>
      <c r="AC992" s="583"/>
      <c r="AD992" s="583"/>
      <c r="AE992" s="583"/>
      <c r="AF992" s="583"/>
      <c r="AG992" s="583"/>
      <c r="AH992" s="583"/>
      <c r="AI992" s="583"/>
      <c r="AJ992" s="583"/>
      <c r="AK992" s="583"/>
      <c r="AL992" s="583"/>
      <c r="AM992" s="583"/>
      <c r="AN992" s="583"/>
      <c r="AO992" s="583"/>
      <c r="AP992" s="583"/>
      <c r="AQ992" s="583"/>
      <c r="AR992" s="583"/>
      <c r="AS992" s="583"/>
      <c r="AT992" s="583"/>
      <c r="AU992" s="583"/>
    </row>
    <row r="993" spans="1:47" s="586" customFormat="1" x14ac:dyDescent="0.2">
      <c r="A993" s="585"/>
      <c r="B993" s="585"/>
      <c r="C993" s="585"/>
      <c r="D993" s="583"/>
      <c r="E993" s="583"/>
      <c r="F993" s="583"/>
      <c r="G993" s="583"/>
      <c r="H993" s="583"/>
      <c r="I993" s="583"/>
      <c r="J993" s="583"/>
      <c r="K993" s="583"/>
      <c r="L993" s="583"/>
      <c r="M993" s="583"/>
      <c r="N993" s="583"/>
      <c r="O993" s="583"/>
      <c r="P993" s="583"/>
      <c r="Q993" s="583"/>
      <c r="R993" s="583"/>
      <c r="S993" s="583"/>
      <c r="T993" s="583"/>
      <c r="U993" s="583"/>
      <c r="V993" s="583"/>
      <c r="W993" s="583"/>
      <c r="X993" s="583"/>
      <c r="Y993" s="583"/>
      <c r="Z993" s="583"/>
      <c r="AA993" s="583"/>
      <c r="AB993" s="583"/>
      <c r="AC993" s="583"/>
      <c r="AD993" s="583"/>
      <c r="AE993" s="583"/>
      <c r="AF993" s="583"/>
      <c r="AG993" s="583"/>
      <c r="AH993" s="583"/>
      <c r="AI993" s="583"/>
      <c r="AJ993" s="583"/>
      <c r="AK993" s="583"/>
      <c r="AL993" s="583"/>
      <c r="AM993" s="583"/>
      <c r="AN993" s="583"/>
      <c r="AO993" s="583"/>
      <c r="AP993" s="583"/>
      <c r="AQ993" s="583"/>
      <c r="AR993" s="583"/>
      <c r="AS993" s="583"/>
      <c r="AT993" s="583"/>
      <c r="AU993" s="583"/>
    </row>
    <row r="994" spans="1:47" s="586" customFormat="1" x14ac:dyDescent="0.2">
      <c r="A994" s="585"/>
      <c r="B994" s="585"/>
      <c r="C994" s="585"/>
      <c r="D994" s="583"/>
      <c r="E994" s="583"/>
      <c r="F994" s="583"/>
      <c r="G994" s="583"/>
      <c r="H994" s="583"/>
      <c r="I994" s="583"/>
      <c r="J994" s="583"/>
      <c r="K994" s="583"/>
      <c r="L994" s="583"/>
      <c r="M994" s="583"/>
      <c r="N994" s="583"/>
      <c r="O994" s="583"/>
      <c r="P994" s="583"/>
      <c r="Q994" s="583"/>
      <c r="R994" s="583"/>
      <c r="S994" s="583"/>
      <c r="T994" s="583"/>
      <c r="U994" s="583"/>
      <c r="V994" s="583"/>
      <c r="W994" s="583"/>
      <c r="X994" s="583"/>
      <c r="Y994" s="583"/>
      <c r="Z994" s="583"/>
      <c r="AA994" s="583"/>
      <c r="AB994" s="583"/>
      <c r="AC994" s="583"/>
      <c r="AD994" s="583"/>
      <c r="AE994" s="583"/>
      <c r="AF994" s="583"/>
      <c r="AG994" s="583"/>
      <c r="AH994" s="583"/>
      <c r="AI994" s="583"/>
      <c r="AJ994" s="583"/>
      <c r="AK994" s="583"/>
      <c r="AL994" s="583"/>
      <c r="AM994" s="583"/>
      <c r="AN994" s="583"/>
      <c r="AO994" s="583"/>
      <c r="AP994" s="583"/>
      <c r="AQ994" s="583"/>
      <c r="AR994" s="583"/>
      <c r="AS994" s="583"/>
      <c r="AT994" s="583"/>
      <c r="AU994" s="583"/>
    </row>
    <row r="995" spans="1:47" s="586" customFormat="1" x14ac:dyDescent="0.2">
      <c r="A995" s="585"/>
      <c r="B995" s="585"/>
      <c r="C995" s="585"/>
      <c r="D995" s="583"/>
      <c r="E995" s="583"/>
      <c r="F995" s="583"/>
      <c r="G995" s="583"/>
      <c r="H995" s="583"/>
      <c r="I995" s="583"/>
      <c r="J995" s="583"/>
      <c r="K995" s="583"/>
      <c r="L995" s="583"/>
      <c r="M995" s="583"/>
      <c r="N995" s="583"/>
      <c r="O995" s="583"/>
      <c r="P995" s="583"/>
      <c r="Q995" s="583"/>
      <c r="R995" s="583"/>
      <c r="S995" s="583"/>
      <c r="T995" s="583"/>
      <c r="U995" s="583"/>
      <c r="V995" s="583"/>
      <c r="W995" s="583"/>
      <c r="X995" s="583"/>
      <c r="Y995" s="583"/>
      <c r="Z995" s="583"/>
      <c r="AA995" s="583"/>
      <c r="AB995" s="583"/>
      <c r="AC995" s="583"/>
      <c r="AD995" s="583"/>
      <c r="AE995" s="583"/>
      <c r="AF995" s="583"/>
      <c r="AG995" s="583"/>
      <c r="AH995" s="583"/>
      <c r="AI995" s="583"/>
      <c r="AJ995" s="583"/>
      <c r="AK995" s="583"/>
      <c r="AL995" s="583"/>
      <c r="AM995" s="583"/>
      <c r="AN995" s="583"/>
      <c r="AO995" s="583"/>
      <c r="AP995" s="583"/>
      <c r="AQ995" s="583"/>
      <c r="AR995" s="583"/>
      <c r="AS995" s="583"/>
      <c r="AT995" s="583"/>
      <c r="AU995" s="583"/>
    </row>
    <row r="996" spans="1:47" s="586" customFormat="1" x14ac:dyDescent="0.2">
      <c r="A996" s="585"/>
      <c r="B996" s="585"/>
      <c r="C996" s="585"/>
      <c r="D996" s="583"/>
      <c r="E996" s="583"/>
      <c r="F996" s="583"/>
      <c r="G996" s="583"/>
      <c r="H996" s="583"/>
      <c r="I996" s="583"/>
      <c r="J996" s="583"/>
      <c r="K996" s="583"/>
      <c r="L996" s="583"/>
      <c r="M996" s="583"/>
      <c r="N996" s="583"/>
      <c r="O996" s="583"/>
      <c r="P996" s="583"/>
      <c r="Q996" s="583"/>
      <c r="R996" s="583"/>
      <c r="S996" s="583"/>
      <c r="T996" s="583"/>
      <c r="U996" s="583"/>
      <c r="V996" s="583"/>
      <c r="W996" s="583"/>
      <c r="X996" s="583"/>
      <c r="Y996" s="583"/>
      <c r="Z996" s="583"/>
      <c r="AA996" s="583"/>
      <c r="AB996" s="583"/>
      <c r="AC996" s="583"/>
      <c r="AD996" s="583"/>
      <c r="AE996" s="583"/>
      <c r="AF996" s="583"/>
      <c r="AG996" s="583"/>
      <c r="AH996" s="583"/>
      <c r="AI996" s="583"/>
      <c r="AJ996" s="583"/>
      <c r="AK996" s="583"/>
      <c r="AL996" s="583"/>
      <c r="AM996" s="583"/>
      <c r="AN996" s="583"/>
      <c r="AO996" s="583"/>
      <c r="AP996" s="583"/>
      <c r="AQ996" s="583"/>
      <c r="AR996" s="583"/>
      <c r="AS996" s="583"/>
      <c r="AT996" s="583"/>
      <c r="AU996" s="583"/>
    </row>
    <row r="997" spans="1:47" s="586" customFormat="1" x14ac:dyDescent="0.2">
      <c r="A997" s="585"/>
      <c r="B997" s="585"/>
      <c r="C997" s="585"/>
      <c r="D997" s="583"/>
      <c r="E997" s="583"/>
      <c r="F997" s="583"/>
      <c r="G997" s="583"/>
      <c r="H997" s="583"/>
      <c r="I997" s="583"/>
      <c r="J997" s="583"/>
      <c r="K997" s="583"/>
      <c r="L997" s="583"/>
      <c r="M997" s="583"/>
      <c r="N997" s="583"/>
      <c r="O997" s="583"/>
      <c r="P997" s="583"/>
      <c r="Q997" s="583"/>
      <c r="R997" s="583"/>
      <c r="S997" s="583"/>
      <c r="T997" s="583"/>
      <c r="U997" s="583"/>
      <c r="V997" s="583"/>
      <c r="W997" s="583"/>
      <c r="X997" s="583"/>
      <c r="Y997" s="583"/>
      <c r="Z997" s="583"/>
      <c r="AA997" s="583"/>
      <c r="AB997" s="583"/>
      <c r="AC997" s="583"/>
      <c r="AD997" s="583"/>
      <c r="AE997" s="583"/>
      <c r="AF997" s="583"/>
      <c r="AG997" s="583"/>
      <c r="AH997" s="583"/>
      <c r="AI997" s="583"/>
      <c r="AJ997" s="583"/>
      <c r="AK997" s="583"/>
      <c r="AL997" s="583"/>
      <c r="AM997" s="583"/>
      <c r="AN997" s="583"/>
      <c r="AO997" s="583"/>
      <c r="AP997" s="583"/>
      <c r="AQ997" s="583"/>
      <c r="AR997" s="583"/>
      <c r="AS997" s="583"/>
      <c r="AT997" s="583"/>
      <c r="AU997" s="583"/>
    </row>
    <row r="998" spans="1:47" s="586" customFormat="1" x14ac:dyDescent="0.2">
      <c r="A998" s="585"/>
      <c r="B998" s="585"/>
      <c r="C998" s="585"/>
      <c r="D998" s="583"/>
      <c r="E998" s="583"/>
      <c r="F998" s="583"/>
      <c r="G998" s="583"/>
      <c r="H998" s="583"/>
      <c r="I998" s="583"/>
      <c r="J998" s="583"/>
      <c r="K998" s="583"/>
      <c r="L998" s="583"/>
      <c r="M998" s="583"/>
      <c r="N998" s="583"/>
      <c r="O998" s="583"/>
      <c r="P998" s="583"/>
      <c r="Q998" s="583"/>
      <c r="R998" s="583"/>
      <c r="S998" s="583"/>
      <c r="T998" s="583"/>
      <c r="U998" s="583"/>
      <c r="V998" s="583"/>
      <c r="W998" s="583"/>
      <c r="X998" s="583"/>
      <c r="Y998" s="583"/>
      <c r="Z998" s="583"/>
      <c r="AA998" s="583"/>
      <c r="AB998" s="583"/>
      <c r="AC998" s="583"/>
      <c r="AD998" s="583"/>
      <c r="AE998" s="583"/>
      <c r="AF998" s="583"/>
      <c r="AG998" s="583"/>
      <c r="AH998" s="583"/>
      <c r="AI998" s="583"/>
      <c r="AJ998" s="583"/>
      <c r="AK998" s="583"/>
      <c r="AL998" s="583"/>
      <c r="AM998" s="583"/>
      <c r="AN998" s="583"/>
      <c r="AO998" s="583"/>
      <c r="AP998" s="583"/>
      <c r="AQ998" s="583"/>
      <c r="AR998" s="583"/>
      <c r="AS998" s="583"/>
      <c r="AT998" s="583"/>
      <c r="AU998" s="583"/>
    </row>
    <row r="999" spans="1:47" s="586" customFormat="1" x14ac:dyDescent="0.2">
      <c r="A999" s="585"/>
      <c r="B999" s="585"/>
      <c r="C999" s="585"/>
      <c r="D999" s="583"/>
      <c r="E999" s="583"/>
      <c r="F999" s="583"/>
      <c r="G999" s="583"/>
      <c r="H999" s="583"/>
      <c r="I999" s="583"/>
      <c r="J999" s="583"/>
      <c r="K999" s="583"/>
      <c r="L999" s="583"/>
      <c r="M999" s="583"/>
      <c r="N999" s="583"/>
      <c r="O999" s="583"/>
      <c r="P999" s="583"/>
      <c r="Q999" s="583"/>
      <c r="R999" s="583"/>
      <c r="S999" s="583"/>
      <c r="T999" s="583"/>
      <c r="U999" s="583"/>
      <c r="V999" s="583"/>
      <c r="W999" s="583"/>
      <c r="X999" s="583"/>
      <c r="Y999" s="583"/>
      <c r="Z999" s="583"/>
      <c r="AA999" s="583"/>
      <c r="AB999" s="583"/>
      <c r="AC999" s="583"/>
      <c r="AD999" s="583"/>
      <c r="AE999" s="583"/>
      <c r="AF999" s="583"/>
      <c r="AG999" s="583"/>
      <c r="AH999" s="583"/>
      <c r="AI999" s="583"/>
      <c r="AJ999" s="583"/>
      <c r="AK999" s="583"/>
      <c r="AL999" s="583"/>
      <c r="AM999" s="583"/>
      <c r="AN999" s="583"/>
      <c r="AO999" s="583"/>
      <c r="AP999" s="583"/>
      <c r="AQ999" s="583"/>
      <c r="AR999" s="583"/>
      <c r="AS999" s="583"/>
      <c r="AT999" s="583"/>
      <c r="AU999" s="583"/>
    </row>
    <row r="1000" spans="1:47" s="586" customFormat="1" x14ac:dyDescent="0.2">
      <c r="A1000" s="585"/>
      <c r="B1000" s="585"/>
      <c r="C1000" s="585"/>
      <c r="D1000" s="583"/>
      <c r="E1000" s="583"/>
      <c r="F1000" s="583"/>
      <c r="G1000" s="583"/>
      <c r="H1000" s="583"/>
      <c r="I1000" s="583"/>
      <c r="J1000" s="583"/>
      <c r="K1000" s="583"/>
      <c r="L1000" s="583"/>
      <c r="M1000" s="583"/>
      <c r="N1000" s="583"/>
      <c r="O1000" s="583"/>
      <c r="P1000" s="583"/>
      <c r="Q1000" s="583"/>
      <c r="R1000" s="583"/>
      <c r="S1000" s="583"/>
      <c r="T1000" s="583"/>
      <c r="U1000" s="583"/>
      <c r="V1000" s="583"/>
      <c r="W1000" s="583"/>
      <c r="X1000" s="583"/>
      <c r="Y1000" s="583"/>
      <c r="Z1000" s="583"/>
      <c r="AA1000" s="583"/>
      <c r="AB1000" s="583"/>
      <c r="AC1000" s="583"/>
      <c r="AD1000" s="583"/>
      <c r="AE1000" s="583"/>
      <c r="AF1000" s="583"/>
      <c r="AG1000" s="583"/>
      <c r="AH1000" s="583"/>
      <c r="AI1000" s="583"/>
      <c r="AJ1000" s="583"/>
      <c r="AK1000" s="583"/>
      <c r="AL1000" s="583"/>
      <c r="AM1000" s="583"/>
      <c r="AN1000" s="583"/>
      <c r="AO1000" s="583"/>
      <c r="AP1000" s="583"/>
      <c r="AQ1000" s="583"/>
      <c r="AR1000" s="583"/>
      <c r="AS1000" s="583"/>
      <c r="AT1000" s="583"/>
      <c r="AU1000" s="583"/>
    </row>
  </sheetData>
  <sortState ref="E8:H324">
    <sortCondition ref="F8:F324"/>
  </sortState>
  <phoneticPr fontId="5" type="noConversion"/>
  <dataValidations count="1">
    <dataValidation type="custom" allowBlank="1" showInputMessage="1" showErrorMessage="1" sqref="B1:G319 AA2:AA234 AB1:XFD234 A1:A1048576 H235:XFD319 B321:XFD1048576 H1:Z234">
      <formula1>$AA$1="UNLOCK"</formula1>
    </dataValidation>
  </dataValidations>
  <pageMargins left="0.39370078740157483" right="0.39370078740157483" top="0.39370078740157483" bottom="0.39370078740157483" header="0.51181102362204722" footer="0.51181102362204722"/>
  <pageSetup paperSize="8" scale="63" fitToHeight="4"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IV223"/>
  <sheetViews>
    <sheetView showGridLines="0" zoomScale="90" zoomScaleNormal="90" workbookViewId="0">
      <selection activeCell="B1" sqref="B1"/>
    </sheetView>
  </sheetViews>
  <sheetFormatPr defaultColWidth="9.140625" defaultRowHeight="15" x14ac:dyDescent="0.2"/>
  <cols>
    <col min="1" max="1" width="3.140625" style="238" customWidth="1"/>
    <col min="2" max="2" width="1.7109375" style="9" customWidth="1"/>
    <col min="3" max="3" width="13.28515625" style="9" bestFit="1" customWidth="1"/>
    <col min="4" max="8" width="9.140625" style="9"/>
    <col min="9" max="9" width="13" style="9" bestFit="1" customWidth="1"/>
    <col min="10" max="10" width="3.7109375" style="9" customWidth="1"/>
    <col min="11" max="11" width="9.5703125" style="9" customWidth="1"/>
    <col min="12" max="12" width="9" style="9" customWidth="1"/>
    <col min="13" max="13" width="3.7109375" style="9" customWidth="1"/>
    <col min="14" max="15" width="10.28515625" style="9" customWidth="1"/>
    <col min="16" max="16" width="3.7109375" style="9" customWidth="1"/>
    <col min="17" max="18" width="10.28515625" style="9" customWidth="1"/>
    <col min="19" max="19" width="3.7109375" style="9" customWidth="1"/>
    <col min="20" max="21" width="10.28515625" style="9" customWidth="1"/>
    <col min="22" max="22" width="6.140625" style="9" customWidth="1"/>
    <col min="23" max="23" width="9.5703125" style="9" customWidth="1"/>
    <col min="24" max="24" width="9.7109375" style="9" customWidth="1"/>
    <col min="25" max="25" width="1.5703125" style="9" customWidth="1"/>
    <col min="26" max="26" width="1.7109375" style="9" customWidth="1"/>
    <col min="27" max="27" width="10.140625" style="8" bestFit="1" customWidth="1"/>
    <col min="28" max="28" width="12.7109375" style="88" hidden="1" customWidth="1"/>
    <col min="29" max="29" width="14.140625" style="9" hidden="1" customWidth="1"/>
    <col min="30" max="30" width="22.85546875" style="9" hidden="1" customWidth="1"/>
    <col min="31" max="32" width="10.140625" style="9" bestFit="1" customWidth="1"/>
    <col min="33" max="33" width="17.5703125" style="9" bestFit="1" customWidth="1"/>
    <col min="34" max="34" width="10.7109375" style="9" bestFit="1" customWidth="1"/>
    <col min="35" max="35" width="9.140625" style="9"/>
    <col min="36" max="36" width="16.28515625" style="9" bestFit="1" customWidth="1"/>
    <col min="37" max="16384" width="9.140625" style="9"/>
  </cols>
  <sheetData>
    <row r="1" spans="1:50" s="372" customFormat="1" ht="21" customHeight="1" x14ac:dyDescent="0.2">
      <c r="A1" s="373"/>
      <c r="B1" s="354"/>
      <c r="C1" s="354"/>
      <c r="D1" s="354"/>
      <c r="E1" s="354"/>
      <c r="F1" s="386">
        <v>318</v>
      </c>
      <c r="G1" s="354"/>
      <c r="H1" s="354"/>
      <c r="I1" s="354"/>
      <c r="J1" s="354"/>
      <c r="K1" s="354"/>
      <c r="L1" s="354"/>
      <c r="M1" s="354"/>
      <c r="N1" s="354"/>
      <c r="O1" s="354"/>
      <c r="P1" s="354"/>
      <c r="Q1" s="354"/>
      <c r="R1" s="911"/>
      <c r="S1" s="911"/>
      <c r="T1" s="354"/>
      <c r="U1" s="354"/>
      <c r="V1" s="354"/>
      <c r="W1" s="354"/>
      <c r="X1" s="354"/>
      <c r="Y1" s="354"/>
      <c r="Z1" s="374"/>
      <c r="AA1" s="375"/>
      <c r="AB1" s="376"/>
      <c r="AX1" s="372" t="s">
        <v>838</v>
      </c>
    </row>
    <row r="2" spans="1:50" ht="15.75" x14ac:dyDescent="0.25">
      <c r="A2" s="915" t="s">
        <v>659</v>
      </c>
      <c r="B2" s="916"/>
      <c r="C2" s="916"/>
      <c r="D2" s="916"/>
      <c r="E2" s="916"/>
      <c r="F2" s="916"/>
      <c r="G2" s="916"/>
      <c r="H2" s="916"/>
      <c r="I2" s="916"/>
      <c r="J2" s="916"/>
      <c r="K2" s="916"/>
      <c r="L2" s="916"/>
      <c r="M2" s="916"/>
      <c r="N2" s="916"/>
      <c r="O2" s="916"/>
      <c r="P2" s="916"/>
      <c r="Q2" s="916"/>
      <c r="R2" s="916"/>
      <c r="S2" s="916"/>
      <c r="T2" s="916"/>
      <c r="U2" s="916"/>
      <c r="V2" s="916"/>
      <c r="W2" s="916"/>
      <c r="X2" s="916"/>
      <c r="Y2" s="916"/>
      <c r="Z2" s="917"/>
    </row>
    <row r="3" spans="1:50" ht="15.75" x14ac:dyDescent="0.25">
      <c r="A3" s="915" t="s">
        <v>1096</v>
      </c>
      <c r="B3" s="916"/>
      <c r="C3" s="916"/>
      <c r="D3" s="916"/>
      <c r="E3" s="916"/>
      <c r="F3" s="916"/>
      <c r="G3" s="916"/>
      <c r="H3" s="916"/>
      <c r="I3" s="916"/>
      <c r="J3" s="916"/>
      <c r="K3" s="916"/>
      <c r="L3" s="916"/>
      <c r="M3" s="916"/>
      <c r="N3" s="916"/>
      <c r="O3" s="916"/>
      <c r="P3" s="916"/>
      <c r="Q3" s="916"/>
      <c r="R3" s="916"/>
      <c r="S3" s="916"/>
      <c r="T3" s="916"/>
      <c r="U3" s="916"/>
      <c r="V3" s="916"/>
      <c r="W3" s="916"/>
      <c r="X3" s="916"/>
      <c r="Y3" s="916"/>
      <c r="Z3" s="917"/>
    </row>
    <row r="4" spans="1:50" x14ac:dyDescent="0.2">
      <c r="A4" s="924"/>
      <c r="B4" s="925"/>
      <c r="C4" s="925"/>
      <c r="D4" s="925"/>
      <c r="E4" s="925"/>
      <c r="F4" s="925"/>
      <c r="G4" s="925"/>
      <c r="H4" s="925"/>
      <c r="I4" s="925"/>
      <c r="J4" s="925"/>
      <c r="K4" s="925"/>
      <c r="L4" s="925"/>
      <c r="M4" s="925"/>
      <c r="N4" s="925"/>
      <c r="O4" s="925"/>
      <c r="P4" s="925"/>
      <c r="Q4" s="925"/>
      <c r="R4" s="925"/>
      <c r="S4" s="925"/>
      <c r="T4" s="925"/>
      <c r="U4" s="925"/>
      <c r="V4" s="925"/>
      <c r="W4" s="925"/>
      <c r="X4" s="925"/>
      <c r="Y4" s="925"/>
      <c r="Z4" s="926"/>
    </row>
    <row r="5" spans="1:50" ht="17.25" customHeight="1" x14ac:dyDescent="0.2">
      <c r="A5" s="924"/>
      <c r="B5" s="925"/>
      <c r="C5" s="925"/>
      <c r="D5" s="925"/>
      <c r="E5" s="925"/>
      <c r="F5" s="925"/>
      <c r="G5" s="925"/>
      <c r="H5" s="925"/>
      <c r="I5" s="925"/>
      <c r="J5" s="925"/>
      <c r="K5" s="925"/>
      <c r="L5" s="925"/>
      <c r="M5" s="925"/>
      <c r="N5" s="925"/>
      <c r="O5" s="925"/>
      <c r="P5" s="925"/>
      <c r="Q5" s="925"/>
      <c r="R5" s="925"/>
      <c r="S5" s="925"/>
      <c r="T5" s="925"/>
      <c r="U5" s="925"/>
      <c r="V5" s="925"/>
      <c r="W5" s="925"/>
      <c r="X5" s="925"/>
      <c r="Y5" s="925"/>
      <c r="Z5" s="926"/>
      <c r="AA5" s="222"/>
    </row>
    <row r="6" spans="1:50" ht="15.75" thickBot="1" x14ac:dyDescent="0.25">
      <c r="A6" s="920"/>
      <c r="B6" s="921"/>
      <c r="C6" s="921"/>
      <c r="D6" s="921"/>
      <c r="E6" s="921"/>
      <c r="F6" s="921"/>
      <c r="G6" s="921"/>
      <c r="H6" s="921"/>
      <c r="I6" s="921"/>
      <c r="J6" s="921"/>
      <c r="K6" s="921"/>
      <c r="L6" s="921"/>
      <c r="M6" s="921"/>
      <c r="N6" s="921"/>
      <c r="O6" s="921"/>
      <c r="P6" s="921"/>
      <c r="Q6" s="921"/>
      <c r="R6" s="921"/>
      <c r="S6" s="921"/>
      <c r="T6" s="921"/>
      <c r="U6" s="921"/>
      <c r="V6" s="921"/>
      <c r="W6" s="921"/>
      <c r="X6" s="921"/>
      <c r="Y6" s="921"/>
      <c r="Z6" s="922"/>
    </row>
    <row r="7" spans="1:50" s="372" customFormat="1" x14ac:dyDescent="0.2">
      <c r="A7" s="373"/>
      <c r="B7" s="354"/>
      <c r="C7" s="354"/>
      <c r="D7" s="354"/>
      <c r="E7" s="354"/>
      <c r="F7" s="354"/>
      <c r="G7" s="354"/>
      <c r="H7" s="354"/>
      <c r="I7" s="354"/>
      <c r="J7" s="354"/>
      <c r="K7" s="354"/>
      <c r="L7" s="354"/>
      <c r="M7" s="354"/>
      <c r="N7" s="354"/>
      <c r="O7" s="354"/>
      <c r="P7" s="354"/>
      <c r="Q7" s="354"/>
      <c r="R7" s="354"/>
      <c r="S7" s="354"/>
      <c r="T7" s="354"/>
      <c r="U7" s="354"/>
      <c r="V7" s="354"/>
      <c r="W7" s="354"/>
      <c r="X7" s="354"/>
      <c r="Y7" s="354"/>
      <c r="Z7" s="374"/>
      <c r="AA7" s="375"/>
      <c r="AB7" s="376"/>
      <c r="AF7" s="377"/>
    </row>
    <row r="8" spans="1:50" s="372" customFormat="1" x14ac:dyDescent="0.2">
      <c r="A8" s="378"/>
      <c r="B8" s="50"/>
      <c r="C8" s="50"/>
      <c r="D8" s="50"/>
      <c r="E8" s="919" t="s">
        <v>525</v>
      </c>
      <c r="F8" s="919"/>
      <c r="G8" s="919"/>
      <c r="H8" s="919"/>
      <c r="I8" s="919"/>
      <c r="J8" s="919"/>
      <c r="K8" s="50"/>
      <c r="L8" s="46"/>
      <c r="M8" s="46"/>
      <c r="N8" s="46"/>
      <c r="O8" s="47"/>
      <c r="P8" s="50"/>
      <c r="Q8" s="50"/>
      <c r="R8" s="50"/>
      <c r="S8" s="50"/>
      <c r="T8" s="50"/>
      <c r="U8" s="50"/>
      <c r="V8" s="50"/>
      <c r="W8" s="50"/>
      <c r="X8" s="50"/>
      <c r="Y8" s="50"/>
      <c r="Z8" s="379"/>
      <c r="AA8" s="375"/>
      <c r="AB8" s="376"/>
      <c r="AF8" s="377"/>
      <c r="AJ8" s="380"/>
    </row>
    <row r="9" spans="1:50" s="372" customFormat="1" x14ac:dyDescent="0.2">
      <c r="A9" s="378"/>
      <c r="B9" s="50"/>
      <c r="C9" s="50"/>
      <c r="D9" s="50"/>
      <c r="E9" s="50"/>
      <c r="F9" s="47"/>
      <c r="G9" s="47"/>
      <c r="H9" s="47"/>
      <c r="I9" s="47"/>
      <c r="J9" s="47"/>
      <c r="K9" s="47"/>
      <c r="L9" s="46"/>
      <c r="M9" s="46"/>
      <c r="N9" s="46"/>
      <c r="O9" s="47"/>
      <c r="P9" s="50"/>
      <c r="Q9" s="50"/>
      <c r="R9" s="50"/>
      <c r="S9" s="50"/>
      <c r="T9" s="50"/>
      <c r="U9" s="50"/>
      <c r="V9" s="50"/>
      <c r="W9" s="50"/>
      <c r="X9" s="50"/>
      <c r="Y9" s="50"/>
      <c r="Z9" s="379"/>
      <c r="AA9" s="375"/>
      <c r="AB9" s="376"/>
      <c r="AF9" s="381"/>
    </row>
    <row r="10" spans="1:50" s="372" customFormat="1" x14ac:dyDescent="0.2">
      <c r="A10" s="378"/>
      <c r="B10" s="50"/>
      <c r="C10" s="50"/>
      <c r="D10" s="50"/>
      <c r="E10" s="50"/>
      <c r="F10" s="48"/>
      <c r="G10" s="48"/>
      <c r="H10" s="48"/>
      <c r="I10" s="48"/>
      <c r="J10" s="48"/>
      <c r="K10" s="48"/>
      <c r="L10" s="49"/>
      <c r="M10" s="49"/>
      <c r="N10" s="49"/>
      <c r="O10" s="48"/>
      <c r="P10" s="50"/>
      <c r="Q10" s="50"/>
      <c r="R10" s="50"/>
      <c r="S10" s="50"/>
      <c r="T10" s="50"/>
      <c r="U10" s="50"/>
      <c r="V10" s="50"/>
      <c r="W10" s="50"/>
      <c r="X10" s="50"/>
      <c r="Y10" s="50"/>
      <c r="Z10" s="379"/>
      <c r="AA10" s="375"/>
      <c r="AB10" s="376"/>
      <c r="AF10" s="377"/>
    </row>
    <row r="11" spans="1:50" s="372" customFormat="1" x14ac:dyDescent="0.2">
      <c r="A11" s="378"/>
      <c r="B11" s="50"/>
      <c r="C11" s="50"/>
      <c r="D11" s="50"/>
      <c r="E11" s="50"/>
      <c r="F11" s="48"/>
      <c r="G11" s="48"/>
      <c r="H11" s="48"/>
      <c r="I11" s="48"/>
      <c r="J11" s="48"/>
      <c r="K11" s="48"/>
      <c r="L11" s="49"/>
      <c r="M11" s="49"/>
      <c r="N11" s="49"/>
      <c r="O11" s="48"/>
      <c r="P11" s="50"/>
      <c r="Q11" s="50"/>
      <c r="R11" s="50"/>
      <c r="S11" s="50"/>
      <c r="T11" s="50"/>
      <c r="U11" s="50"/>
      <c r="V11" s="50"/>
      <c r="W11" s="50"/>
      <c r="X11" s="50"/>
      <c r="Y11" s="50"/>
      <c r="Z11" s="379"/>
      <c r="AA11" s="375"/>
      <c r="AB11" s="376"/>
      <c r="AF11" s="381"/>
    </row>
    <row r="12" spans="1:50" s="372" customFormat="1" x14ac:dyDescent="0.2">
      <c r="A12" s="378"/>
      <c r="B12" s="50"/>
      <c r="C12" s="50"/>
      <c r="D12" s="50"/>
      <c r="E12" s="50" t="s">
        <v>632</v>
      </c>
      <c r="F12" s="48"/>
      <c r="G12" s="50"/>
      <c r="H12" s="48"/>
      <c r="I12" s="50"/>
      <c r="J12" s="48"/>
      <c r="K12" s="48"/>
      <c r="L12" s="931" t="str">
        <f>VLOOKUP(F1,datar,2,FALSE)</f>
        <v>England</v>
      </c>
      <c r="M12" s="932"/>
      <c r="N12" s="932"/>
      <c r="O12" s="932"/>
      <c r="P12" s="933"/>
      <c r="Q12" s="50"/>
      <c r="R12" s="50"/>
      <c r="S12" s="50"/>
      <c r="T12" s="50"/>
      <c r="U12" s="50"/>
      <c r="V12" s="50"/>
      <c r="W12" s="50"/>
      <c r="X12" s="50"/>
      <c r="Y12" s="50"/>
      <c r="Z12" s="379"/>
      <c r="AA12" s="375"/>
      <c r="AB12" s="376"/>
    </row>
    <row r="13" spans="1:50" s="372" customFormat="1" x14ac:dyDescent="0.2">
      <c r="A13" s="378"/>
      <c r="B13" s="50"/>
      <c r="C13" s="50"/>
      <c r="D13" s="50"/>
      <c r="E13" s="50" t="s">
        <v>633</v>
      </c>
      <c r="F13" s="48"/>
      <c r="G13" s="50"/>
      <c r="H13" s="48"/>
      <c r="I13" s="50"/>
      <c r="J13" s="48"/>
      <c r="K13" s="48"/>
      <c r="L13" s="931" t="str">
        <f>VLOOKUP(F1,Data!$A$8:$C$325,3,FALSE)</f>
        <v>EZZZZ</v>
      </c>
      <c r="M13" s="932"/>
      <c r="N13" s="932"/>
      <c r="O13" s="932"/>
      <c r="P13" s="933"/>
      <c r="Q13" s="50"/>
      <c r="R13" s="50"/>
      <c r="S13" s="50"/>
      <c r="T13" s="50"/>
      <c r="U13" s="50"/>
      <c r="V13" s="50"/>
      <c r="W13" s="50"/>
      <c r="X13" s="50"/>
      <c r="Y13" s="50"/>
      <c r="Z13" s="379"/>
      <c r="AA13" s="375"/>
      <c r="AB13" s="376"/>
      <c r="AF13" s="377"/>
    </row>
    <row r="14" spans="1:50" s="372" customFormat="1" x14ac:dyDescent="0.2">
      <c r="A14" s="378"/>
      <c r="B14" s="50"/>
      <c r="C14" s="50"/>
      <c r="D14" s="50"/>
      <c r="E14" s="50"/>
      <c r="F14" s="50"/>
      <c r="G14" s="50"/>
      <c r="H14" s="50"/>
      <c r="I14" s="50"/>
      <c r="J14" s="50"/>
      <c r="K14" s="48"/>
      <c r="L14" s="48"/>
      <c r="M14" s="48"/>
      <c r="N14" s="48"/>
      <c r="O14" s="48"/>
      <c r="P14" s="48"/>
      <c r="Q14" s="48"/>
      <c r="R14" s="50"/>
      <c r="S14" s="50"/>
      <c r="T14" s="50"/>
      <c r="U14" s="50"/>
      <c r="V14" s="50"/>
      <c r="W14" s="50"/>
      <c r="X14" s="50"/>
      <c r="Y14" s="50"/>
      <c r="Z14" s="379"/>
      <c r="AA14" s="375"/>
      <c r="AB14" s="376"/>
      <c r="AF14" s="377"/>
    </row>
    <row r="15" spans="1:50" s="372" customFormat="1" ht="15.75" thickBot="1" x14ac:dyDescent="0.25">
      <c r="A15" s="382"/>
      <c r="B15" s="383"/>
      <c r="C15" s="383"/>
      <c r="D15" s="383"/>
      <c r="E15" s="383"/>
      <c r="F15" s="383"/>
      <c r="G15" s="383"/>
      <c r="H15" s="383"/>
      <c r="I15" s="383"/>
      <c r="J15" s="383"/>
      <c r="K15" s="383"/>
      <c r="L15" s="383"/>
      <c r="M15" s="383"/>
      <c r="N15" s="383"/>
      <c r="O15" s="383"/>
      <c r="P15" s="383"/>
      <c r="Q15" s="383"/>
      <c r="R15" s="383"/>
      <c r="S15" s="383"/>
      <c r="T15" s="383"/>
      <c r="U15" s="383"/>
      <c r="V15" s="383"/>
      <c r="W15" s="384"/>
      <c r="X15" s="614"/>
      <c r="Y15" s="383"/>
      <c r="Z15" s="385"/>
      <c r="AA15" s="375"/>
      <c r="AB15" s="376"/>
    </row>
    <row r="16" spans="1:50" x14ac:dyDescent="0.2">
      <c r="A16" s="233"/>
      <c r="B16" s="10"/>
      <c r="C16" s="10"/>
      <c r="D16" s="10"/>
      <c r="E16" s="10"/>
      <c r="F16" s="10"/>
      <c r="G16" s="10"/>
      <c r="H16" s="10"/>
      <c r="I16" s="10"/>
      <c r="J16" s="10"/>
      <c r="K16" s="10"/>
      <c r="L16" s="10"/>
      <c r="M16" s="10"/>
      <c r="N16" s="10"/>
      <c r="O16" s="10"/>
      <c r="P16" s="10"/>
      <c r="Q16" s="10"/>
      <c r="R16" s="10"/>
      <c r="S16" s="10"/>
      <c r="T16" s="10"/>
      <c r="U16" s="10"/>
      <c r="V16" s="10"/>
      <c r="W16" s="10"/>
      <c r="X16" s="10"/>
      <c r="Y16" s="10"/>
      <c r="Z16" s="11"/>
    </row>
    <row r="17" spans="1:30" ht="15.75" x14ac:dyDescent="0.25">
      <c r="A17" s="233"/>
      <c r="B17" s="10"/>
      <c r="C17" s="927" t="s">
        <v>35</v>
      </c>
      <c r="D17" s="927"/>
      <c r="E17" s="927"/>
      <c r="F17" s="927"/>
      <c r="G17" s="927"/>
      <c r="H17" s="10"/>
      <c r="I17" s="10"/>
      <c r="J17" s="10"/>
      <c r="K17" s="10"/>
      <c r="L17" s="10"/>
      <c r="M17" s="10"/>
      <c r="N17" s="10"/>
      <c r="O17" s="10"/>
      <c r="P17" s="10"/>
      <c r="Q17" s="10"/>
      <c r="R17" s="10"/>
      <c r="S17" s="10"/>
      <c r="T17" s="10"/>
      <c r="U17" s="10"/>
      <c r="V17" s="10"/>
      <c r="W17" s="10"/>
      <c r="X17" s="10"/>
      <c r="Y17" s="10"/>
      <c r="Z17" s="11"/>
    </row>
    <row r="18" spans="1:30" ht="16.5" thickBot="1" x14ac:dyDescent="0.3">
      <c r="A18" s="233"/>
      <c r="B18" s="10"/>
      <c r="C18" s="101" t="s">
        <v>665</v>
      </c>
      <c r="D18" s="119"/>
      <c r="E18" s="119"/>
      <c r="F18" s="119"/>
      <c r="G18" s="119"/>
      <c r="H18" s="119"/>
      <c r="I18" s="119"/>
      <c r="J18" s="10"/>
      <c r="K18" s="883" t="s">
        <v>629</v>
      </c>
      <c r="L18" s="883"/>
      <c r="M18" s="10"/>
      <c r="N18" s="10"/>
      <c r="O18" s="10"/>
      <c r="P18" s="10"/>
      <c r="Q18" s="10"/>
      <c r="R18" s="14"/>
      <c r="S18" s="10"/>
      <c r="T18" s="10"/>
      <c r="U18" s="10"/>
      <c r="V18" s="10"/>
      <c r="W18" s="10"/>
      <c r="X18" s="10"/>
      <c r="Y18" s="10"/>
      <c r="Z18" s="11"/>
    </row>
    <row r="19" spans="1:30" ht="16.5" thickBot="1" x14ac:dyDescent="0.25">
      <c r="A19" s="233"/>
      <c r="B19" s="10"/>
      <c r="C19" s="888" t="s">
        <v>673</v>
      </c>
      <c r="D19" s="896"/>
      <c r="E19" s="896"/>
      <c r="F19" s="896"/>
      <c r="G19" s="896"/>
      <c r="H19" s="896"/>
      <c r="I19" s="896"/>
      <c r="J19" s="10"/>
      <c r="K19" s="891">
        <f>VLOOKUP($L$13,DataSheet1!$B$8:$EL$325,5,FALSE)</f>
        <v>25219905851.436001</v>
      </c>
      <c r="L19" s="892"/>
      <c r="M19" s="81"/>
      <c r="N19" s="10"/>
      <c r="O19" s="85"/>
      <c r="P19" s="82"/>
      <c r="Q19" s="82"/>
      <c r="R19" s="83"/>
      <c r="S19" s="81"/>
      <c r="T19" s="81"/>
      <c r="U19" s="81"/>
      <c r="V19" s="81"/>
      <c r="W19" s="81"/>
      <c r="X19" s="81"/>
      <c r="Y19" s="10"/>
      <c r="Z19" s="11"/>
    </row>
    <row r="20" spans="1:30" ht="15.75" x14ac:dyDescent="0.2">
      <c r="A20" s="233"/>
      <c r="B20" s="10"/>
      <c r="C20" s="888"/>
      <c r="D20" s="896"/>
      <c r="E20" s="896"/>
      <c r="F20" s="896"/>
      <c r="G20" s="896"/>
      <c r="H20" s="896"/>
      <c r="I20" s="896"/>
      <c r="J20" s="81"/>
      <c r="K20" s="81"/>
      <c r="L20" s="81"/>
      <c r="M20" s="81"/>
      <c r="N20" s="10"/>
      <c r="O20" s="85"/>
      <c r="P20" s="82"/>
      <c r="Q20" s="82"/>
      <c r="R20" s="83"/>
      <c r="S20" s="81"/>
      <c r="T20" s="81"/>
      <c r="U20" s="81"/>
      <c r="V20" s="81"/>
      <c r="W20" s="81"/>
      <c r="X20" s="81"/>
      <c r="Y20" s="10"/>
      <c r="Z20" s="11"/>
    </row>
    <row r="21" spans="1:30" x14ac:dyDescent="0.2">
      <c r="A21" s="233"/>
      <c r="B21" s="10"/>
      <c r="C21" s="896"/>
      <c r="D21" s="896"/>
      <c r="E21" s="896"/>
      <c r="F21" s="896"/>
      <c r="G21" s="896"/>
      <c r="H21" s="896"/>
      <c r="I21" s="896"/>
      <c r="J21" s="10"/>
      <c r="K21" s="81"/>
      <c r="L21" s="81"/>
      <c r="M21" s="81"/>
      <c r="N21" s="81"/>
      <c r="O21" s="85"/>
      <c r="P21" s="82"/>
      <c r="Q21" s="82"/>
      <c r="R21" s="82"/>
      <c r="S21" s="81"/>
      <c r="T21" s="81"/>
      <c r="U21" s="81"/>
      <c r="V21" s="81"/>
      <c r="W21" s="81"/>
      <c r="X21" s="81"/>
      <c r="Y21" s="10"/>
      <c r="Z21" s="11"/>
    </row>
    <row r="22" spans="1:30" x14ac:dyDescent="0.2">
      <c r="A22" s="233"/>
      <c r="B22" s="10"/>
      <c r="C22" s="896"/>
      <c r="D22" s="896"/>
      <c r="E22" s="896"/>
      <c r="F22" s="896"/>
      <c r="G22" s="896"/>
      <c r="H22" s="896"/>
      <c r="I22" s="896"/>
      <c r="J22" s="10"/>
      <c r="K22" s="81"/>
      <c r="L22" s="81"/>
      <c r="M22" s="81"/>
      <c r="N22" s="81"/>
      <c r="O22" s="85"/>
      <c r="P22" s="82"/>
      <c r="Q22" s="82"/>
      <c r="R22" s="82"/>
      <c r="S22" s="81"/>
      <c r="T22" s="81"/>
      <c r="U22" s="81"/>
      <c r="V22" s="81"/>
      <c r="W22" s="81"/>
      <c r="X22" s="81"/>
      <c r="Y22" s="10"/>
      <c r="Z22" s="11"/>
    </row>
    <row r="23" spans="1:30" x14ac:dyDescent="0.2">
      <c r="A23" s="233"/>
      <c r="B23" s="10"/>
      <c r="C23" s="119"/>
      <c r="D23" s="119"/>
      <c r="E23" s="119"/>
      <c r="F23" s="119"/>
      <c r="G23" s="119"/>
      <c r="H23" s="119"/>
      <c r="I23" s="119"/>
      <c r="J23" s="15"/>
      <c r="K23" s="81"/>
      <c r="L23" s="81"/>
      <c r="M23" s="81"/>
      <c r="N23" s="81"/>
      <c r="O23" s="85"/>
      <c r="P23" s="82"/>
      <c r="Q23" s="82"/>
      <c r="R23" s="82"/>
      <c r="S23" s="81"/>
      <c r="T23" s="81"/>
      <c r="U23" s="81"/>
      <c r="V23" s="81"/>
      <c r="W23" s="81"/>
      <c r="X23" s="81"/>
      <c r="Y23" s="10"/>
      <c r="Z23" s="11"/>
    </row>
    <row r="24" spans="1:30" ht="16.5" thickBot="1" x14ac:dyDescent="0.25">
      <c r="A24" s="233"/>
      <c r="B24" s="10"/>
      <c r="C24" s="923" t="s">
        <v>666</v>
      </c>
      <c r="D24" s="923"/>
      <c r="E24" s="923"/>
      <c r="F24" s="923"/>
      <c r="G24" s="923"/>
      <c r="H24" s="923"/>
      <c r="I24" s="923"/>
      <c r="J24" s="10"/>
      <c r="K24" s="81"/>
      <c r="L24" s="81"/>
      <c r="M24" s="81"/>
      <c r="N24" s="81"/>
      <c r="O24" s="85"/>
      <c r="P24" s="82"/>
      <c r="Q24" s="82"/>
      <c r="R24" s="82"/>
      <c r="S24" s="81"/>
      <c r="T24" s="81"/>
      <c r="U24" s="81"/>
      <c r="V24" s="81"/>
      <c r="W24" s="81"/>
      <c r="X24" s="81"/>
      <c r="Y24" s="10"/>
      <c r="Z24" s="11"/>
    </row>
    <row r="25" spans="1:30" ht="16.5" thickBot="1" x14ac:dyDescent="0.25">
      <c r="A25" s="233"/>
      <c r="B25" s="10"/>
      <c r="C25" s="119" t="s">
        <v>630</v>
      </c>
      <c r="D25" s="119"/>
      <c r="E25" s="119"/>
      <c r="F25" s="119"/>
      <c r="G25" s="119"/>
      <c r="H25" s="119"/>
      <c r="I25" s="119"/>
      <c r="J25" s="10"/>
      <c r="K25" s="891">
        <f>VLOOKUP($L$13,DataSheet1!$B$8:$EL$325,6,FALSE)</f>
        <v>156653349.75</v>
      </c>
      <c r="L25" s="892"/>
      <c r="M25" s="81"/>
      <c r="N25" s="81"/>
      <c r="O25" s="85"/>
      <c r="P25" s="82"/>
      <c r="Q25" s="82"/>
      <c r="R25" s="82"/>
      <c r="S25" s="81"/>
      <c r="T25" s="81"/>
      <c r="U25" s="81"/>
      <c r="V25" s="81"/>
      <c r="W25" s="81"/>
      <c r="X25" s="81"/>
      <c r="Y25" s="10"/>
      <c r="Z25" s="11"/>
    </row>
    <row r="26" spans="1:30" ht="15.75" thickBot="1" x14ac:dyDescent="0.25">
      <c r="A26" s="233"/>
      <c r="B26" s="10"/>
      <c r="C26" s="119"/>
      <c r="D26" s="119"/>
      <c r="E26" s="119"/>
      <c r="F26" s="119"/>
      <c r="G26" s="119"/>
      <c r="H26" s="119"/>
      <c r="I26" s="119"/>
      <c r="J26" s="10"/>
      <c r="K26" s="81"/>
      <c r="L26" s="81"/>
      <c r="M26" s="81"/>
      <c r="N26" s="81"/>
      <c r="O26" s="85"/>
      <c r="P26" s="82"/>
      <c r="Q26" s="82"/>
      <c r="R26" s="82"/>
      <c r="S26" s="81"/>
      <c r="T26" s="81"/>
      <c r="U26" s="81"/>
      <c r="V26" s="81"/>
      <c r="W26" s="81"/>
      <c r="X26" s="81"/>
      <c r="Y26" s="10"/>
      <c r="Z26" s="11"/>
    </row>
    <row r="27" spans="1:30" ht="16.5" thickBot="1" x14ac:dyDescent="0.25">
      <c r="A27" s="233"/>
      <c r="B27" s="10"/>
      <c r="C27" s="119" t="s">
        <v>631</v>
      </c>
      <c r="D27" s="119"/>
      <c r="E27" s="119"/>
      <c r="F27" s="119"/>
      <c r="G27" s="119"/>
      <c r="H27" s="119"/>
      <c r="I27" s="119"/>
      <c r="J27" s="10"/>
      <c r="K27" s="891">
        <f>VLOOKUP($L$13,DataSheet1!$B$8:$EL$325,7,FALSE)</f>
        <v>185085245.61500001</v>
      </c>
      <c r="L27" s="892"/>
      <c r="M27" s="81"/>
      <c r="N27" s="81"/>
      <c r="O27" s="85"/>
      <c r="P27" s="82"/>
      <c r="Q27" s="82"/>
      <c r="R27" s="82"/>
      <c r="S27" s="81"/>
      <c r="T27" s="81"/>
      <c r="U27" s="81"/>
      <c r="V27" s="81"/>
      <c r="W27" s="81"/>
      <c r="X27" s="81"/>
      <c r="Y27" s="10"/>
      <c r="Z27" s="11"/>
    </row>
    <row r="28" spans="1:30" x14ac:dyDescent="0.2">
      <c r="A28" s="233"/>
      <c r="B28" s="10"/>
      <c r="C28" s="119"/>
      <c r="D28" s="119"/>
      <c r="E28" s="119"/>
      <c r="F28" s="119"/>
      <c r="G28" s="119"/>
      <c r="H28" s="119"/>
      <c r="I28" s="119"/>
      <c r="J28" s="10"/>
      <c r="K28" s="81"/>
      <c r="L28" s="81"/>
      <c r="M28" s="81"/>
      <c r="N28" s="81"/>
      <c r="O28" s="85"/>
      <c r="P28" s="82"/>
      <c r="Q28" s="82"/>
      <c r="R28" s="82"/>
      <c r="S28" s="81"/>
      <c r="T28" s="81"/>
      <c r="U28" s="81"/>
      <c r="V28" s="81"/>
      <c r="W28" s="81"/>
      <c r="X28" s="81"/>
      <c r="Y28" s="10"/>
      <c r="Z28" s="11"/>
    </row>
    <row r="29" spans="1:30" ht="16.5" thickBot="1" x14ac:dyDescent="0.25">
      <c r="A29" s="233"/>
      <c r="B29" s="10"/>
      <c r="C29" s="101" t="s">
        <v>36</v>
      </c>
      <c r="D29" s="101"/>
      <c r="E29" s="101"/>
      <c r="F29" s="101"/>
      <c r="G29" s="119"/>
      <c r="H29" s="119"/>
      <c r="I29" s="119"/>
      <c r="J29" s="10"/>
      <c r="K29" s="81"/>
      <c r="L29" s="81"/>
      <c r="M29" s="81"/>
      <c r="N29" s="81"/>
      <c r="O29" s="85"/>
      <c r="P29" s="82"/>
      <c r="Q29" s="82"/>
      <c r="R29" s="82"/>
      <c r="S29" s="81"/>
      <c r="T29" s="81"/>
      <c r="U29" s="81"/>
      <c r="V29" s="81"/>
      <c r="W29" s="81"/>
      <c r="X29" s="81"/>
      <c r="Y29" s="10"/>
      <c r="Z29" s="11"/>
      <c r="AB29" s="873" t="s">
        <v>852</v>
      </c>
    </row>
    <row r="30" spans="1:30" ht="16.5" thickBot="1" x14ac:dyDescent="0.25">
      <c r="A30" s="233"/>
      <c r="B30" s="10"/>
      <c r="C30" s="119" t="s">
        <v>651</v>
      </c>
      <c r="D30" s="119"/>
      <c r="E30" s="119"/>
      <c r="F30" s="119"/>
      <c r="G30" s="119"/>
      <c r="H30" s="119"/>
      <c r="I30" s="119"/>
      <c r="J30" s="10"/>
      <c r="K30" s="912">
        <f>VLOOKUP($L$13,DataSheet1!$B$8:$EL$325,8,FALSE)</f>
        <v>84000006</v>
      </c>
      <c r="L30" s="913"/>
      <c r="M30" s="81"/>
      <c r="N30" s="220"/>
      <c r="O30" s="120"/>
      <c r="P30" s="82"/>
      <c r="Q30" s="82"/>
      <c r="R30" s="82"/>
      <c r="S30" s="81"/>
      <c r="T30" s="81"/>
      <c r="U30" s="81"/>
      <c r="V30" s="81"/>
      <c r="W30" s="81"/>
      <c r="X30" s="81"/>
      <c r="Y30" s="10"/>
      <c r="Z30" s="11"/>
      <c r="AB30" s="874"/>
    </row>
    <row r="31" spans="1:30" ht="16.5" thickBot="1" x14ac:dyDescent="0.25">
      <c r="A31" s="233"/>
      <c r="B31" s="10"/>
      <c r="C31" s="119"/>
      <c r="D31" s="119"/>
      <c r="E31" s="119"/>
      <c r="F31" s="119"/>
      <c r="G31" s="119"/>
      <c r="H31" s="119"/>
      <c r="I31" s="119"/>
      <c r="J31" s="10"/>
      <c r="K31" s="121"/>
      <c r="L31" s="81"/>
      <c r="M31" s="81"/>
      <c r="N31" s="81"/>
      <c r="O31" s="85"/>
      <c r="P31" s="82"/>
      <c r="Q31" s="82"/>
      <c r="R31" s="82"/>
      <c r="S31" s="81"/>
      <c r="T31" s="81"/>
      <c r="U31" s="81"/>
      <c r="V31" s="81"/>
      <c r="W31" s="81"/>
      <c r="X31" s="81"/>
      <c r="Y31" s="10"/>
      <c r="Z31" s="11"/>
    </row>
    <row r="32" spans="1:30" ht="16.5" thickBot="1" x14ac:dyDescent="0.25">
      <c r="A32" s="233"/>
      <c r="B32" s="10"/>
      <c r="C32" s="119" t="s">
        <v>649</v>
      </c>
      <c r="D32" s="119"/>
      <c r="E32" s="119"/>
      <c r="F32" s="119"/>
      <c r="G32" s="119"/>
      <c r="H32" s="119"/>
      <c r="I32" s="119"/>
      <c r="J32" s="10"/>
      <c r="K32" s="884">
        <f>VLOOKUP($L$13,DataSheet1!$B$8:$EL$325,9,FALSE)</f>
        <v>58225</v>
      </c>
      <c r="L32" s="885"/>
      <c r="M32" s="81"/>
      <c r="N32" s="81"/>
      <c r="O32" s="85"/>
      <c r="P32" s="82"/>
      <c r="Q32" s="82"/>
      <c r="R32" s="82"/>
      <c r="S32" s="81"/>
      <c r="T32" s="81"/>
      <c r="U32" s="81"/>
      <c r="V32" s="81"/>
      <c r="W32" s="81"/>
      <c r="X32" s="81"/>
      <c r="Y32" s="10"/>
      <c r="Z32" s="11"/>
      <c r="AB32" s="144" t="s">
        <v>64</v>
      </c>
      <c r="AD32" s="224"/>
    </row>
    <row r="33" spans="1:30" ht="16.5" thickBot="1" x14ac:dyDescent="0.25">
      <c r="A33" s="233"/>
      <c r="B33" s="10"/>
      <c r="C33" s="119"/>
      <c r="D33" s="119"/>
      <c r="E33" s="119"/>
      <c r="F33" s="119"/>
      <c r="G33" s="119"/>
      <c r="H33" s="119"/>
      <c r="I33" s="119"/>
      <c r="J33" s="10"/>
      <c r="K33" s="121"/>
      <c r="L33" s="81"/>
      <c r="M33" s="81"/>
      <c r="N33" s="81"/>
      <c r="O33" s="85"/>
      <c r="P33" s="82"/>
      <c r="Q33" s="82"/>
      <c r="R33" s="82"/>
      <c r="S33" s="81"/>
      <c r="T33" s="81"/>
      <c r="U33" s="81"/>
      <c r="V33" s="81"/>
      <c r="W33" s="81"/>
      <c r="X33" s="81"/>
      <c r="Y33" s="10"/>
      <c r="Z33" s="11"/>
      <c r="AB33" s="307" t="s">
        <v>65</v>
      </c>
    </row>
    <row r="34" spans="1:30" ht="16.5" thickBot="1" x14ac:dyDescent="0.25">
      <c r="A34" s="233"/>
      <c r="B34" s="10"/>
      <c r="C34" s="119" t="s">
        <v>650</v>
      </c>
      <c r="D34" s="119"/>
      <c r="E34" s="119"/>
      <c r="F34" s="119"/>
      <c r="G34" s="119"/>
      <c r="H34" s="119"/>
      <c r="I34" s="119"/>
      <c r="J34" s="10"/>
      <c r="K34" s="886">
        <f>VLOOKUP($L$13,DataSheet1!$B$8:$EL$325,10,FALSE)</f>
        <v>84058231</v>
      </c>
      <c r="L34" s="887"/>
      <c r="M34" s="81"/>
      <c r="N34" s="81"/>
      <c r="O34" s="85"/>
      <c r="P34" s="82"/>
      <c r="Q34" s="82"/>
      <c r="R34" s="82"/>
      <c r="S34" s="81"/>
      <c r="T34" s="81"/>
      <c r="U34" s="81"/>
      <c r="V34" s="81"/>
      <c r="W34" s="81"/>
      <c r="X34" s="81"/>
      <c r="Y34" s="10"/>
      <c r="Z34" s="11"/>
      <c r="AB34" s="145"/>
    </row>
    <row r="35" spans="1:30" ht="15.75" x14ac:dyDescent="0.2">
      <c r="A35" s="233"/>
      <c r="B35" s="10"/>
      <c r="C35" s="119"/>
      <c r="D35" s="119"/>
      <c r="E35" s="119"/>
      <c r="F35" s="119"/>
      <c r="G35" s="119"/>
      <c r="H35" s="119"/>
      <c r="I35" s="119"/>
      <c r="J35" s="10"/>
      <c r="K35" s="121"/>
      <c r="L35" s="81"/>
      <c r="M35" s="81"/>
      <c r="N35" s="81"/>
      <c r="O35" s="85"/>
      <c r="P35" s="82"/>
      <c r="Q35" s="82"/>
      <c r="R35" s="82"/>
      <c r="S35" s="81"/>
      <c r="T35" s="81"/>
      <c r="U35" s="81"/>
      <c r="V35" s="81"/>
      <c r="W35" s="81"/>
      <c r="X35" s="81"/>
      <c r="Y35" s="10"/>
      <c r="Z35" s="11"/>
      <c r="AB35" s="146" t="e">
        <f>+#REF!</f>
        <v>#REF!</v>
      </c>
    </row>
    <row r="36" spans="1:30" ht="16.5" thickBot="1" x14ac:dyDescent="0.25">
      <c r="A36" s="233"/>
      <c r="B36" s="10"/>
      <c r="C36" s="101" t="s">
        <v>652</v>
      </c>
      <c r="D36" s="119"/>
      <c r="E36" s="119"/>
      <c r="F36" s="119"/>
      <c r="G36" s="119"/>
      <c r="H36" s="119"/>
      <c r="I36" s="119"/>
      <c r="J36" s="10"/>
      <c r="K36" s="121"/>
      <c r="L36" s="81"/>
      <c r="M36" s="81"/>
      <c r="N36" s="81"/>
      <c r="O36" s="85"/>
      <c r="P36" s="82"/>
      <c r="Q36" s="82"/>
      <c r="R36" s="82"/>
      <c r="S36" s="81"/>
      <c r="T36" s="81"/>
      <c r="U36" s="81"/>
      <c r="V36" s="81"/>
      <c r="W36" s="81"/>
      <c r="X36" s="81"/>
      <c r="Y36" s="10"/>
      <c r="Z36" s="11"/>
      <c r="AB36" s="146"/>
    </row>
    <row r="37" spans="1:30" ht="16.5" thickBot="1" x14ac:dyDescent="0.25">
      <c r="A37" s="233"/>
      <c r="B37" s="10"/>
      <c r="C37" s="27" t="str">
        <f>+IF($L$13="E5010","7. City of London Offset","7. City of London Offset : Not applicable for your authority")</f>
        <v>7. City of London Offset : Not applicable for your authority</v>
      </c>
      <c r="D37" s="119"/>
      <c r="E37" s="119"/>
      <c r="F37" s="119"/>
      <c r="G37" s="119"/>
      <c r="H37" s="119"/>
      <c r="I37" s="119"/>
      <c r="J37" s="10"/>
      <c r="K37" s="889">
        <f>VLOOKUP($L$13,DataSheet1!$B$8:$EL$325,11,FALSE)</f>
        <v>11871000</v>
      </c>
      <c r="L37" s="890"/>
      <c r="M37" s="81"/>
      <c r="N37" s="220"/>
      <c r="O37" s="85"/>
      <c r="P37" s="82"/>
      <c r="Q37" s="82"/>
      <c r="R37" s="82"/>
      <c r="S37" s="81"/>
      <c r="T37" s="81"/>
      <c r="U37" s="81"/>
      <c r="V37" s="81"/>
      <c r="W37" s="81"/>
      <c r="X37" s="81"/>
      <c r="Y37" s="10"/>
      <c r="Z37" s="11"/>
      <c r="AB37" s="146" t="e">
        <f>+#REF!</f>
        <v>#REF!</v>
      </c>
    </row>
    <row r="38" spans="1:30" ht="15.75" x14ac:dyDescent="0.2">
      <c r="A38" s="233"/>
      <c r="B38" s="10"/>
      <c r="C38" s="119"/>
      <c r="D38" s="119"/>
      <c r="E38" s="119"/>
      <c r="F38" s="119"/>
      <c r="G38" s="119"/>
      <c r="H38" s="119"/>
      <c r="I38" s="119"/>
      <c r="J38" s="10"/>
      <c r="K38" s="121"/>
      <c r="L38" s="81"/>
      <c r="M38" s="81"/>
      <c r="N38" s="81"/>
      <c r="O38" s="85"/>
      <c r="P38" s="82"/>
      <c r="Q38" s="82"/>
      <c r="R38" s="82"/>
      <c r="S38" s="81"/>
      <c r="T38" s="81"/>
      <c r="U38" s="81"/>
      <c r="V38" s="81"/>
      <c r="W38" s="81"/>
      <c r="X38" s="81"/>
      <c r="Y38" s="10"/>
      <c r="Z38" s="11"/>
      <c r="AB38" s="146"/>
    </row>
    <row r="39" spans="1:30" ht="16.5" thickBot="1" x14ac:dyDescent="0.25">
      <c r="A39" s="233"/>
      <c r="B39" s="10"/>
      <c r="C39" s="101" t="s">
        <v>668</v>
      </c>
      <c r="D39" s="119"/>
      <c r="E39" s="119"/>
      <c r="F39" s="119"/>
      <c r="G39" s="119"/>
      <c r="H39" s="119"/>
      <c r="I39" s="119"/>
      <c r="J39" s="10"/>
      <c r="K39" s="81"/>
      <c r="L39" s="81"/>
      <c r="M39" s="81"/>
      <c r="N39" s="81"/>
      <c r="O39" s="85"/>
      <c r="P39" s="82"/>
      <c r="Q39" s="82"/>
      <c r="R39" s="82"/>
      <c r="S39" s="81"/>
      <c r="T39" s="81"/>
      <c r="U39" s="81"/>
      <c r="V39" s="81"/>
      <c r="W39" s="81"/>
      <c r="X39" s="81"/>
      <c r="Y39" s="10"/>
      <c r="Z39" s="11"/>
      <c r="AB39" s="146" t="e">
        <f>+#REF!</f>
        <v>#REF!</v>
      </c>
    </row>
    <row r="40" spans="1:30" ht="16.5" thickBot="1" x14ac:dyDescent="0.25">
      <c r="A40" s="233"/>
      <c r="B40" s="10"/>
      <c r="C40" s="936" t="s">
        <v>890</v>
      </c>
      <c r="D40" s="936"/>
      <c r="E40" s="936"/>
      <c r="F40" s="936"/>
      <c r="G40" s="936"/>
      <c r="H40" s="936"/>
      <c r="I40" s="936"/>
      <c r="J40" s="10"/>
      <c r="K40" s="891">
        <f>VLOOKUP($L$13,DataSheet1!$B$8:$EL$325,12,FALSE)</f>
        <v>61929102</v>
      </c>
      <c r="L40" s="892"/>
      <c r="M40" s="81"/>
      <c r="N40" s="81"/>
      <c r="O40" s="85"/>
      <c r="P40" s="82"/>
      <c r="Q40" s="82"/>
      <c r="R40" s="82"/>
      <c r="S40" s="81"/>
      <c r="T40" s="81"/>
      <c r="U40" s="81"/>
      <c r="V40" s="81"/>
      <c r="W40" s="81"/>
      <c r="X40" s="81"/>
      <c r="Y40" s="10"/>
      <c r="Z40" s="11"/>
      <c r="AB40" s="146"/>
    </row>
    <row r="41" spans="1:30" ht="15.75" thickBot="1" x14ac:dyDescent="0.25">
      <c r="A41" s="233"/>
      <c r="B41" s="10"/>
      <c r="C41" s="936"/>
      <c r="D41" s="936"/>
      <c r="E41" s="936"/>
      <c r="F41" s="936"/>
      <c r="G41" s="936"/>
      <c r="H41" s="936"/>
      <c r="I41" s="936"/>
      <c r="J41" s="10"/>
      <c r="K41" s="81"/>
      <c r="L41" s="81"/>
      <c r="M41" s="81"/>
      <c r="N41" s="81"/>
      <c r="O41" s="85"/>
      <c r="P41" s="82"/>
      <c r="Q41" s="918"/>
      <c r="R41" s="918"/>
      <c r="S41" s="918"/>
      <c r="T41" s="918"/>
      <c r="U41" s="918"/>
      <c r="V41" s="918"/>
      <c r="W41" s="918"/>
      <c r="X41" s="81"/>
      <c r="Y41" s="10"/>
      <c r="Z41" s="11"/>
      <c r="AB41" s="146" t="e">
        <f>+#REF!</f>
        <v>#REF!</v>
      </c>
    </row>
    <row r="42" spans="1:30" ht="16.5" thickBot="1" x14ac:dyDescent="0.25">
      <c r="A42" s="233"/>
      <c r="B42" s="10"/>
      <c r="C42" s="888" t="s">
        <v>836</v>
      </c>
      <c r="D42" s="888"/>
      <c r="E42" s="888"/>
      <c r="F42" s="888"/>
      <c r="G42" s="888"/>
      <c r="H42" s="888"/>
      <c r="I42" s="888"/>
      <c r="J42" s="10"/>
      <c r="K42" s="891">
        <f>VLOOKUP($L$13,DataSheet1!$B$8:$EL$325,13,FALSE)</f>
        <v>66669194</v>
      </c>
      <c r="L42" s="892"/>
      <c r="M42" s="81"/>
      <c r="N42" s="220"/>
      <c r="O42" s="85"/>
      <c r="P42" s="82"/>
      <c r="Q42" s="82"/>
      <c r="R42" s="82"/>
      <c r="S42" s="81"/>
      <c r="T42" s="81"/>
      <c r="U42" s="81"/>
      <c r="V42" s="81"/>
      <c r="W42" s="81"/>
      <c r="X42" s="81"/>
      <c r="Y42" s="10"/>
      <c r="Z42" s="11"/>
      <c r="AB42" s="146"/>
    </row>
    <row r="43" spans="1:30" x14ac:dyDescent="0.2">
      <c r="A43" s="233"/>
      <c r="B43" s="10"/>
      <c r="C43" s="888"/>
      <c r="D43" s="888"/>
      <c r="E43" s="888"/>
      <c r="F43" s="888"/>
      <c r="G43" s="888"/>
      <c r="H43" s="888"/>
      <c r="I43" s="888"/>
      <c r="J43" s="10"/>
      <c r="K43" s="81"/>
      <c r="L43" s="81"/>
      <c r="M43" s="81"/>
      <c r="N43" s="81"/>
      <c r="O43" s="85"/>
      <c r="P43" s="82"/>
      <c r="Q43" s="82"/>
      <c r="R43" s="82"/>
      <c r="S43" s="81"/>
      <c r="T43" s="81"/>
      <c r="U43" s="81"/>
      <c r="V43" s="81"/>
      <c r="W43" s="81"/>
      <c r="X43" s="81"/>
      <c r="Y43" s="10"/>
      <c r="Z43" s="11"/>
      <c r="AB43" s="146" t="e">
        <f>+#REF!</f>
        <v>#REF!</v>
      </c>
    </row>
    <row r="44" spans="1:30" ht="15.75" thickBot="1" x14ac:dyDescent="0.25">
      <c r="A44" s="233"/>
      <c r="B44" s="10"/>
      <c r="C44" s="230" t="s">
        <v>39</v>
      </c>
      <c r="D44" s="10"/>
      <c r="E44" s="10"/>
      <c r="F44" s="10"/>
      <c r="G44" s="10"/>
      <c r="H44" s="10"/>
      <c r="I44" s="10"/>
      <c r="J44" s="10"/>
      <c r="K44" s="81"/>
      <c r="L44" s="81"/>
      <c r="M44" s="81"/>
      <c r="N44" s="81"/>
      <c r="O44" s="85"/>
      <c r="P44" s="82"/>
      <c r="Q44" s="82"/>
      <c r="R44" s="82"/>
      <c r="S44" s="81"/>
      <c r="T44" s="81"/>
      <c r="U44" s="81"/>
      <c r="V44" s="81"/>
      <c r="W44" s="81"/>
      <c r="X44" s="81"/>
      <c r="Y44" s="10"/>
      <c r="Z44" s="11"/>
      <c r="AB44" s="146"/>
    </row>
    <row r="45" spans="1:30" ht="16.5" thickBot="1" x14ac:dyDescent="0.25">
      <c r="A45" s="233"/>
      <c r="B45" s="10"/>
      <c r="C45" s="27" t="s">
        <v>826</v>
      </c>
      <c r="D45" s="10"/>
      <c r="E45" s="10"/>
      <c r="F45" s="10"/>
      <c r="G45" s="10"/>
      <c r="H45" s="10"/>
      <c r="I45" s="10"/>
      <c r="J45" s="10"/>
      <c r="K45" s="884">
        <f>VLOOKUP($L$13,DataSheet1!$B$8:$EL$325,14,FALSE)</f>
        <v>63539003</v>
      </c>
      <c r="L45" s="885"/>
      <c r="M45" s="81"/>
      <c r="N45" s="220"/>
      <c r="O45" s="85"/>
      <c r="P45" s="82"/>
      <c r="Q45" s="82"/>
      <c r="R45" s="82"/>
      <c r="S45" s="81"/>
      <c r="T45" s="81"/>
      <c r="U45" s="81"/>
      <c r="V45" s="81"/>
      <c r="W45" s="81"/>
      <c r="X45" s="81"/>
      <c r="Y45" s="10"/>
      <c r="Z45" s="11"/>
      <c r="AB45" s="146" t="e">
        <f>+#REF!</f>
        <v>#REF!</v>
      </c>
      <c r="AD45" s="224"/>
    </row>
    <row r="46" spans="1:30" ht="16.5" thickBot="1" x14ac:dyDescent="0.25">
      <c r="A46" s="233"/>
      <c r="B46" s="10"/>
      <c r="C46" s="10"/>
      <c r="D46" s="10"/>
      <c r="E46" s="10"/>
      <c r="F46" s="10"/>
      <c r="G46" s="10"/>
      <c r="H46" s="10"/>
      <c r="I46" s="10"/>
      <c r="J46" s="10"/>
      <c r="K46" s="324"/>
      <c r="L46" s="324"/>
      <c r="M46" s="324"/>
      <c r="N46" s="324"/>
      <c r="O46" s="324"/>
      <c r="P46" s="324"/>
      <c r="Q46" s="324"/>
      <c r="R46" s="324"/>
      <c r="S46" s="324"/>
      <c r="T46" s="324"/>
      <c r="U46" s="324"/>
      <c r="V46" s="81"/>
      <c r="W46" s="81"/>
      <c r="X46" s="81"/>
      <c r="Y46" s="10"/>
      <c r="Z46" s="11"/>
      <c r="AB46" s="146"/>
    </row>
    <row r="47" spans="1:30" ht="16.5" thickBot="1" x14ac:dyDescent="0.25">
      <c r="A47" s="233"/>
      <c r="B47" s="10"/>
      <c r="C47" s="27" t="s">
        <v>827</v>
      </c>
      <c r="D47" s="10"/>
      <c r="E47" s="10"/>
      <c r="F47" s="10"/>
      <c r="G47" s="10"/>
      <c r="H47" s="10"/>
      <c r="I47" s="10"/>
      <c r="J47" s="10"/>
      <c r="K47" s="939">
        <f>VLOOKUP($L$13,DataSheet1!$B$8:$EL$325,15,FALSE)</f>
        <v>3116830</v>
      </c>
      <c r="L47" s="940"/>
      <c r="M47" s="81"/>
      <c r="N47" s="220"/>
      <c r="O47" s="85"/>
      <c r="P47" s="82"/>
      <c r="Q47" s="82"/>
      <c r="R47" s="82"/>
      <c r="S47" s="81"/>
      <c r="T47" s="81"/>
      <c r="U47" s="81"/>
      <c r="V47" s="81"/>
      <c r="W47" s="81"/>
      <c r="X47" s="81"/>
      <c r="Y47" s="10"/>
      <c r="Z47" s="11"/>
      <c r="AB47" s="146" t="e">
        <f>+#REF!</f>
        <v>#REF!</v>
      </c>
      <c r="AD47" s="224"/>
    </row>
    <row r="48" spans="1:30" ht="16.5" thickBot="1" x14ac:dyDescent="0.25">
      <c r="A48" s="233"/>
      <c r="B48" s="10"/>
      <c r="C48" s="10"/>
      <c r="D48" s="10"/>
      <c r="E48" s="10"/>
      <c r="F48" s="10"/>
      <c r="G48" s="10"/>
      <c r="H48" s="10"/>
      <c r="I48" s="10"/>
      <c r="J48" s="10"/>
      <c r="K48" s="928"/>
      <c r="L48" s="929"/>
      <c r="M48" s="929"/>
      <c r="N48" s="929"/>
      <c r="O48" s="929"/>
      <c r="P48" s="929"/>
      <c r="Q48" s="929"/>
      <c r="R48" s="929"/>
      <c r="S48" s="929"/>
      <c r="T48" s="929"/>
      <c r="U48" s="929"/>
      <c r="V48" s="929"/>
      <c r="W48" s="929"/>
      <c r="X48" s="81"/>
      <c r="Y48" s="10"/>
      <c r="Z48" s="11"/>
      <c r="AB48" s="147" t="e">
        <f>IF(#REF!="yes",IF(K47&lt;&gt;0,1,0),0)</f>
        <v>#REF!</v>
      </c>
    </row>
    <row r="49" spans="1:114" ht="16.5" thickBot="1" x14ac:dyDescent="0.25">
      <c r="A49" s="233"/>
      <c r="B49" s="10"/>
      <c r="C49" s="10" t="s">
        <v>1183</v>
      </c>
      <c r="D49" s="10"/>
      <c r="E49" s="10"/>
      <c r="F49" s="10"/>
      <c r="G49" s="10"/>
      <c r="H49" s="10"/>
      <c r="I49" s="10"/>
      <c r="J49" s="10"/>
      <c r="K49" s="934">
        <f>VLOOKUP($L$13,DataSheet1!$B$8:$EL$325,16,FALSE)</f>
        <v>25956</v>
      </c>
      <c r="L49" s="935"/>
      <c r="M49" s="649"/>
      <c r="N49" s="649"/>
      <c r="O49" s="649"/>
      <c r="P49" s="649"/>
      <c r="Q49" s="649"/>
      <c r="R49" s="649"/>
      <c r="S49" s="649"/>
      <c r="T49" s="649"/>
      <c r="U49" s="649"/>
      <c r="V49" s="649"/>
      <c r="W49" s="649"/>
      <c r="X49" s="81"/>
      <c r="Y49" s="10"/>
      <c r="Z49" s="11"/>
      <c r="AB49" s="632"/>
    </row>
    <row r="50" spans="1:114" ht="15.75" x14ac:dyDescent="0.2">
      <c r="A50" s="233"/>
      <c r="B50" s="10"/>
      <c r="C50" s="10"/>
      <c r="D50" s="10"/>
      <c r="E50" s="10"/>
      <c r="F50" s="10"/>
      <c r="G50" s="10"/>
      <c r="H50" s="10"/>
      <c r="I50" s="10"/>
      <c r="J50" s="10"/>
      <c r="K50" s="625"/>
      <c r="L50" s="649"/>
      <c r="M50" s="649"/>
      <c r="N50" s="649"/>
      <c r="O50" s="649"/>
      <c r="P50" s="649"/>
      <c r="Q50" s="649"/>
      <c r="R50" s="649"/>
      <c r="S50" s="649"/>
      <c r="T50" s="649"/>
      <c r="U50" s="649"/>
      <c r="V50" s="649"/>
      <c r="W50" s="649"/>
      <c r="X50" s="81"/>
      <c r="Y50" s="10"/>
      <c r="Z50" s="11"/>
      <c r="AB50" s="632"/>
    </row>
    <row r="51" spans="1:114" ht="16.5" thickBot="1" x14ac:dyDescent="0.3">
      <c r="A51" s="233"/>
      <c r="B51" s="10"/>
      <c r="C51" s="16" t="s">
        <v>667</v>
      </c>
      <c r="D51" s="16"/>
      <c r="E51" s="16"/>
      <c r="F51" s="16"/>
      <c r="G51" s="16"/>
      <c r="H51" s="10"/>
      <c r="I51" s="10"/>
      <c r="J51" s="10"/>
      <c r="K51" s="81"/>
      <c r="L51" s="81"/>
      <c r="M51" s="81"/>
      <c r="N51" s="81"/>
      <c r="O51" s="85"/>
      <c r="P51" s="82"/>
      <c r="Q51" s="82"/>
      <c r="R51" s="82"/>
      <c r="S51" s="81"/>
      <c r="T51" s="81"/>
      <c r="U51" s="81"/>
      <c r="V51" s="81"/>
      <c r="W51" s="81"/>
      <c r="X51" s="81"/>
      <c r="Y51" s="10"/>
      <c r="Z51" s="11"/>
      <c r="AB51" s="95"/>
      <c r="AC51" s="92"/>
      <c r="AD51" s="92"/>
      <c r="AE51" s="92"/>
      <c r="AF51" s="92"/>
      <c r="AG51" s="92"/>
      <c r="AH51" s="92"/>
      <c r="AI51" s="92"/>
      <c r="AJ51" s="92"/>
    </row>
    <row r="52" spans="1:114" ht="16.5" thickBot="1" x14ac:dyDescent="0.25">
      <c r="A52" s="233"/>
      <c r="B52" s="10"/>
      <c r="C52" s="10" t="s">
        <v>1153</v>
      </c>
      <c r="D52" s="10"/>
      <c r="E52" s="10"/>
      <c r="F52" s="10"/>
      <c r="G52" s="10"/>
      <c r="H52" s="10"/>
      <c r="I52" s="10"/>
      <c r="J52" s="10"/>
      <c r="K52" s="937">
        <f>VLOOKUP($L$13,DataSheet1!$B$8:$EL$325,17,FALSE)</f>
        <v>24966920473</v>
      </c>
      <c r="L52" s="938"/>
      <c r="M52" s="81"/>
      <c r="N52" s="914"/>
      <c r="O52" s="914"/>
      <c r="P52" s="930"/>
      <c r="Q52" s="930"/>
      <c r="R52" s="930"/>
      <c r="S52" s="120"/>
      <c r="T52" s="86"/>
      <c r="U52" s="86"/>
      <c r="V52" s="86"/>
      <c r="W52" s="86"/>
      <c r="X52" s="81"/>
      <c r="Y52" s="10"/>
      <c r="Z52" s="11"/>
      <c r="AB52" s="95"/>
      <c r="AC52" s="92"/>
      <c r="AD52" s="92"/>
      <c r="AE52" s="92"/>
      <c r="AF52" s="92"/>
      <c r="AG52" s="92"/>
      <c r="AH52" s="92"/>
      <c r="AI52" s="92"/>
      <c r="AJ52" s="92"/>
    </row>
    <row r="53" spans="1:114" x14ac:dyDescent="0.2">
      <c r="A53" s="234"/>
      <c r="B53" s="102"/>
      <c r="C53" s="102"/>
      <c r="D53" s="102"/>
      <c r="E53" s="102"/>
      <c r="F53" s="102"/>
      <c r="G53" s="102"/>
      <c r="H53" s="102"/>
      <c r="I53" s="102"/>
      <c r="J53" s="102"/>
      <c r="K53" s="102"/>
      <c r="L53" s="102"/>
      <c r="M53" s="102"/>
      <c r="N53" s="102"/>
      <c r="O53" s="103"/>
      <c r="P53" s="104"/>
      <c r="Q53" s="104"/>
      <c r="R53" s="104"/>
      <c r="S53" s="105"/>
      <c r="T53" s="106"/>
      <c r="U53" s="106"/>
      <c r="V53" s="106"/>
      <c r="W53" s="106"/>
      <c r="X53" s="107"/>
      <c r="Y53" s="10"/>
      <c r="Z53" s="11"/>
      <c r="AB53" s="95"/>
      <c r="AC53" s="92"/>
      <c r="AD53" s="92"/>
      <c r="AE53" s="92"/>
      <c r="AF53" s="92"/>
      <c r="AG53" s="92"/>
      <c r="AH53" s="92"/>
      <c r="AI53" s="92"/>
      <c r="AJ53" s="92"/>
    </row>
    <row r="54" spans="1:114" x14ac:dyDescent="0.2">
      <c r="A54" s="235"/>
      <c r="B54" s="108"/>
      <c r="C54" s="108"/>
      <c r="D54" s="108"/>
      <c r="E54" s="108"/>
      <c r="F54" s="108"/>
      <c r="G54" s="108"/>
      <c r="H54" s="108"/>
      <c r="I54" s="108"/>
      <c r="J54" s="108"/>
      <c r="K54" s="108"/>
      <c r="L54" s="108"/>
      <c r="M54" s="108"/>
      <c r="N54" s="108"/>
      <c r="O54" s="109"/>
      <c r="P54" s="110"/>
      <c r="Q54" s="110"/>
      <c r="R54" s="110"/>
      <c r="S54" s="111"/>
      <c r="T54" s="112"/>
      <c r="U54" s="112"/>
      <c r="V54" s="112"/>
      <c r="W54" s="112"/>
      <c r="X54" s="113"/>
      <c r="Y54" s="108"/>
      <c r="Z54" s="117"/>
    </row>
    <row r="55" spans="1:114" ht="15.75" thickBot="1" x14ac:dyDescent="0.25">
      <c r="A55" s="236"/>
      <c r="B55" s="96"/>
      <c r="C55" s="96"/>
      <c r="D55" s="96"/>
      <c r="E55" s="96"/>
      <c r="F55" s="96"/>
      <c r="G55" s="96"/>
      <c r="H55" s="96"/>
      <c r="I55" s="96"/>
      <c r="J55" s="96"/>
      <c r="K55" s="96"/>
      <c r="L55" s="96"/>
      <c r="M55" s="96"/>
      <c r="N55" s="96"/>
      <c r="O55" s="114"/>
      <c r="P55" s="115"/>
      <c r="Q55" s="115"/>
      <c r="R55" s="115"/>
      <c r="S55" s="116"/>
      <c r="T55" s="115"/>
      <c r="U55" s="115"/>
      <c r="V55" s="115"/>
      <c r="W55" s="115"/>
      <c r="X55" s="115"/>
      <c r="Y55" s="96"/>
      <c r="Z55" s="118"/>
      <c r="AB55" s="92"/>
      <c r="AD55" s="98"/>
      <c r="AE55" s="98"/>
      <c r="AF55" s="98"/>
      <c r="AG55" s="98"/>
      <c r="AH55" s="98"/>
      <c r="AI55" s="98"/>
      <c r="AJ55" s="98"/>
    </row>
    <row r="56" spans="1:114" s="93" customFormat="1" ht="15.75" thickBot="1" x14ac:dyDescent="0.25">
      <c r="A56" s="233"/>
      <c r="B56" s="10"/>
      <c r="C56" s="10"/>
      <c r="D56" s="10"/>
      <c r="E56" s="10"/>
      <c r="F56" s="10"/>
      <c r="G56" s="10"/>
      <c r="H56" s="10"/>
      <c r="I56" s="10"/>
      <c r="J56" s="10"/>
      <c r="K56" s="10"/>
      <c r="L56" s="10"/>
      <c r="M56" s="10"/>
      <c r="N56" s="10"/>
      <c r="O56" s="86"/>
      <c r="P56" s="81"/>
      <c r="Q56" s="81"/>
      <c r="R56" s="81"/>
      <c r="S56" s="120"/>
      <c r="T56" s="81"/>
      <c r="U56" s="81"/>
      <c r="V56" s="81"/>
      <c r="W56" s="81"/>
      <c r="X56" s="81"/>
      <c r="Y56" s="10"/>
      <c r="Z56" s="11"/>
      <c r="AA56" s="8"/>
      <c r="AB56" s="92"/>
      <c r="AC56" s="9"/>
      <c r="AD56" s="98"/>
      <c r="AE56" s="98"/>
      <c r="AF56" s="98"/>
      <c r="AG56" s="98"/>
      <c r="AH56" s="98"/>
      <c r="AI56" s="98"/>
      <c r="AJ56" s="98"/>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row>
    <row r="57" spans="1:114" s="94" customFormat="1" ht="15.75" x14ac:dyDescent="0.25">
      <c r="A57" s="233"/>
      <c r="B57" s="10"/>
      <c r="C57" s="883" t="str">
        <f>+CONCATENATE("Local Authority : ",+'Part 1'!$L$12)</f>
        <v>Local Authority : England</v>
      </c>
      <c r="D57" s="883"/>
      <c r="E57" s="883"/>
      <c r="F57" s="883"/>
      <c r="G57" s="883"/>
      <c r="H57" s="10"/>
      <c r="I57" s="10"/>
      <c r="J57" s="10"/>
      <c r="K57" s="10"/>
      <c r="L57" s="10"/>
      <c r="M57" s="10"/>
      <c r="N57" s="10"/>
      <c r="O57" s="86"/>
      <c r="P57" s="81"/>
      <c r="Q57" s="81"/>
      <c r="R57" s="81"/>
      <c r="S57" s="120"/>
      <c r="T57" s="81"/>
      <c r="U57" s="81"/>
      <c r="V57" s="81"/>
      <c r="W57" s="362"/>
      <c r="X57" s="716"/>
      <c r="Y57" s="10"/>
      <c r="Z57" s="11"/>
      <c r="AA57" s="8"/>
      <c r="AB57" s="92"/>
      <c r="AC57" s="9"/>
      <c r="AD57" s="98"/>
      <c r="AE57" s="98"/>
      <c r="AF57" s="98"/>
      <c r="AG57" s="98"/>
      <c r="AH57" s="98"/>
      <c r="AI57" s="98"/>
      <c r="AJ57" s="98"/>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row>
    <row r="58" spans="1:114" ht="15.75" x14ac:dyDescent="0.25">
      <c r="A58" s="233"/>
      <c r="B58" s="10"/>
      <c r="C58" s="12"/>
      <c r="D58" s="10"/>
      <c r="E58" s="10"/>
      <c r="F58" s="10"/>
      <c r="G58" s="10"/>
      <c r="H58" s="10"/>
      <c r="I58" s="10"/>
      <c r="J58" s="10"/>
      <c r="K58" s="81"/>
      <c r="L58" s="81"/>
      <c r="M58" s="81"/>
      <c r="N58" s="81"/>
      <c r="O58" s="86"/>
      <c r="P58" s="81"/>
      <c r="Q58" s="81"/>
      <c r="R58" s="81"/>
      <c r="S58" s="120"/>
      <c r="T58" s="81"/>
      <c r="U58" s="81"/>
      <c r="V58" s="81"/>
      <c r="W58" s="81"/>
      <c r="X58" s="81"/>
      <c r="Y58" s="10"/>
      <c r="Z58" s="11"/>
      <c r="AB58" s="92"/>
      <c r="AD58" s="98"/>
      <c r="AE58" s="98"/>
      <c r="AF58" s="98"/>
      <c r="AG58" s="98"/>
      <c r="AH58" s="98"/>
      <c r="AI58" s="98"/>
      <c r="AJ58" s="98"/>
    </row>
    <row r="59" spans="1:114" ht="15.75" x14ac:dyDescent="0.25">
      <c r="A59" s="233"/>
      <c r="B59" s="10"/>
      <c r="C59" s="13" t="s">
        <v>260</v>
      </c>
      <c r="D59" s="13"/>
      <c r="E59" s="13"/>
      <c r="F59" s="13"/>
      <c r="G59" s="10"/>
      <c r="H59" s="10"/>
      <c r="I59" s="10"/>
      <c r="J59" s="10"/>
      <c r="K59" s="81"/>
      <c r="L59" s="81"/>
      <c r="M59" s="81"/>
      <c r="N59" s="81"/>
      <c r="O59" s="81"/>
      <c r="P59" s="81"/>
      <c r="Q59" s="81"/>
      <c r="R59" s="81"/>
      <c r="S59" s="81"/>
      <c r="T59" s="81"/>
      <c r="U59" s="81"/>
      <c r="V59" s="81"/>
      <c r="W59" s="81"/>
      <c r="X59" s="81"/>
      <c r="Y59" s="10"/>
      <c r="Z59" s="11"/>
      <c r="AB59" s="92"/>
      <c r="AD59" s="98"/>
      <c r="AE59" s="98"/>
      <c r="AF59" s="98"/>
      <c r="AG59" s="98"/>
      <c r="AH59" s="98"/>
      <c r="AI59" s="98"/>
      <c r="AJ59" s="98"/>
    </row>
    <row r="60" spans="1:114" ht="15.75" x14ac:dyDescent="0.25">
      <c r="A60" s="233"/>
      <c r="B60" s="10"/>
      <c r="C60" s="171"/>
      <c r="D60" s="10"/>
      <c r="E60" s="10"/>
      <c r="F60" s="10"/>
      <c r="G60" s="10"/>
      <c r="H60" s="10"/>
      <c r="I60" s="10"/>
      <c r="J60" s="10"/>
      <c r="K60" s="81"/>
      <c r="L60" s="81"/>
      <c r="M60" s="81"/>
      <c r="N60" s="81"/>
      <c r="O60" s="81"/>
      <c r="P60" s="81"/>
      <c r="Q60" s="81"/>
      <c r="R60" s="81"/>
      <c r="S60" s="81"/>
      <c r="T60" s="81"/>
      <c r="U60" s="81"/>
      <c r="V60" s="81"/>
      <c r="W60" s="81"/>
      <c r="X60" s="81"/>
      <c r="Y60" s="10"/>
      <c r="Z60" s="11"/>
      <c r="AB60" s="92"/>
      <c r="AD60" s="98"/>
      <c r="AE60" s="98"/>
      <c r="AF60" s="98"/>
      <c r="AG60" s="98"/>
      <c r="AH60" s="98"/>
      <c r="AI60" s="98"/>
      <c r="AJ60" s="98"/>
    </row>
    <row r="61" spans="1:114" ht="15.75" x14ac:dyDescent="0.25">
      <c r="A61" s="233"/>
      <c r="B61" s="10"/>
      <c r="C61" s="10" t="s">
        <v>1097</v>
      </c>
      <c r="D61" s="10"/>
      <c r="E61" s="10"/>
      <c r="F61" s="10"/>
      <c r="G61" s="10"/>
      <c r="H61" s="10"/>
      <c r="I61" s="10"/>
      <c r="J61" s="10"/>
      <c r="K61" s="81"/>
      <c r="L61" s="81"/>
      <c r="M61" s="81"/>
      <c r="N61" s="81"/>
      <c r="O61" s="81"/>
      <c r="P61" s="81"/>
      <c r="Q61" s="81"/>
      <c r="R61" s="81"/>
      <c r="S61" s="81"/>
      <c r="T61" s="81"/>
      <c r="U61" s="81"/>
      <c r="V61" s="81"/>
      <c r="W61" s="81"/>
      <c r="X61" s="81"/>
      <c r="Y61" s="10"/>
      <c r="Z61" s="11"/>
      <c r="AB61" s="92"/>
      <c r="AD61" s="98"/>
      <c r="AE61" s="98"/>
      <c r="AF61" s="98"/>
      <c r="AG61" s="98"/>
      <c r="AH61" s="98"/>
      <c r="AI61" s="98"/>
      <c r="AJ61" s="98"/>
    </row>
    <row r="62" spans="1:114" x14ac:dyDescent="0.2">
      <c r="A62" s="233"/>
      <c r="B62" s="10"/>
      <c r="C62" s="10"/>
      <c r="D62" s="10" t="s">
        <v>642</v>
      </c>
      <c r="E62" s="10"/>
      <c r="F62" s="10"/>
      <c r="G62" s="10"/>
      <c r="H62" s="10"/>
      <c r="I62" s="10"/>
      <c r="J62" s="10"/>
      <c r="K62" s="81"/>
      <c r="L62" s="81"/>
      <c r="M62" s="81"/>
      <c r="N62" s="81"/>
      <c r="O62" s="81"/>
      <c r="P62" s="81"/>
      <c r="Q62" s="81"/>
      <c r="R62" s="81"/>
      <c r="S62" s="81"/>
      <c r="T62" s="81"/>
      <c r="U62" s="81"/>
      <c r="V62" s="81"/>
      <c r="W62" s="81"/>
      <c r="X62" s="81"/>
      <c r="Y62" s="10"/>
      <c r="Z62" s="11"/>
      <c r="AB62" s="92"/>
      <c r="AD62" s="98"/>
      <c r="AE62" s="98"/>
      <c r="AF62" s="98"/>
      <c r="AG62" s="98"/>
      <c r="AH62" s="98"/>
      <c r="AI62" s="98"/>
      <c r="AJ62" s="98"/>
    </row>
    <row r="63" spans="1:114" x14ac:dyDescent="0.2">
      <c r="A63" s="233"/>
      <c r="B63" s="10"/>
      <c r="C63" s="10"/>
      <c r="D63" s="10" t="s">
        <v>643</v>
      </c>
      <c r="E63" s="10"/>
      <c r="F63" s="10"/>
      <c r="G63" s="10"/>
      <c r="H63" s="10"/>
      <c r="I63" s="10"/>
      <c r="J63" s="10"/>
      <c r="K63" s="81"/>
      <c r="L63" s="81"/>
      <c r="M63" s="81"/>
      <c r="N63" s="81"/>
      <c r="O63" s="81"/>
      <c r="P63" s="81"/>
      <c r="Q63" s="81"/>
      <c r="R63" s="81"/>
      <c r="S63" s="81"/>
      <c r="T63" s="81"/>
      <c r="U63" s="81"/>
      <c r="V63" s="81"/>
      <c r="W63" s="81"/>
      <c r="X63" s="81"/>
      <c r="Y63" s="10"/>
      <c r="Z63" s="11"/>
      <c r="AB63" s="92"/>
      <c r="AD63" s="98"/>
      <c r="AE63" s="98"/>
      <c r="AF63" s="98"/>
      <c r="AG63" s="98"/>
      <c r="AH63" s="98"/>
      <c r="AI63" s="98"/>
      <c r="AJ63" s="98"/>
    </row>
    <row r="64" spans="1:114" x14ac:dyDescent="0.2">
      <c r="A64" s="233"/>
      <c r="B64" s="10"/>
      <c r="C64" s="10"/>
      <c r="D64" s="10" t="s">
        <v>644</v>
      </c>
      <c r="E64" s="10"/>
      <c r="F64" s="10"/>
      <c r="G64" s="10"/>
      <c r="H64" s="10"/>
      <c r="I64" s="10"/>
      <c r="J64" s="10"/>
      <c r="K64" s="81"/>
      <c r="L64" s="81"/>
      <c r="M64" s="81"/>
      <c r="N64" s="81"/>
      <c r="O64" s="81"/>
      <c r="P64" s="81"/>
      <c r="Q64" s="81"/>
      <c r="R64" s="81"/>
      <c r="S64" s="81"/>
      <c r="T64" s="81"/>
      <c r="U64" s="81"/>
      <c r="V64" s="81"/>
      <c r="W64" s="81"/>
      <c r="X64" s="81"/>
      <c r="Y64" s="10"/>
      <c r="Z64" s="11"/>
      <c r="AB64" s="92"/>
      <c r="AD64" s="98"/>
      <c r="AE64" s="98"/>
      <c r="AF64" s="98"/>
      <c r="AG64" s="98"/>
      <c r="AH64" s="98"/>
      <c r="AI64" s="98"/>
      <c r="AJ64" s="98"/>
    </row>
    <row r="65" spans="1:36" x14ac:dyDescent="0.2">
      <c r="A65" s="233"/>
      <c r="B65" s="10"/>
      <c r="C65" s="10" t="s">
        <v>645</v>
      </c>
      <c r="D65" s="10"/>
      <c r="E65" s="10"/>
      <c r="F65" s="10"/>
      <c r="G65" s="10"/>
      <c r="H65" s="10"/>
      <c r="I65" s="10"/>
      <c r="J65" s="10"/>
      <c r="K65" s="81"/>
      <c r="L65" s="81"/>
      <c r="M65" s="81"/>
      <c r="N65" s="81"/>
      <c r="O65" s="81"/>
      <c r="P65" s="81"/>
      <c r="Q65" s="81"/>
      <c r="R65" s="81"/>
      <c r="S65" s="81"/>
      <c r="T65" s="81"/>
      <c r="U65" s="81"/>
      <c r="V65" s="81"/>
      <c r="W65" s="81"/>
      <c r="X65" s="81"/>
      <c r="Y65" s="10"/>
      <c r="Z65" s="11"/>
      <c r="AB65" s="92"/>
      <c r="AD65" s="98"/>
      <c r="AE65" s="98"/>
      <c r="AF65" s="98"/>
      <c r="AG65" s="98"/>
      <c r="AH65" s="98"/>
      <c r="AI65" s="98"/>
      <c r="AJ65" s="98"/>
    </row>
    <row r="66" spans="1:36" x14ac:dyDescent="0.2">
      <c r="A66" s="233"/>
      <c r="B66" s="10"/>
      <c r="C66" s="10"/>
      <c r="D66" s="10"/>
      <c r="E66" s="10"/>
      <c r="F66" s="10"/>
      <c r="G66" s="10"/>
      <c r="H66" s="10"/>
      <c r="I66" s="10"/>
      <c r="J66" s="10"/>
      <c r="K66" s="81"/>
      <c r="L66" s="81"/>
      <c r="M66" s="81"/>
      <c r="N66" s="81"/>
      <c r="O66" s="81"/>
      <c r="P66" s="81"/>
      <c r="Q66" s="81"/>
      <c r="R66" s="81"/>
      <c r="S66" s="81"/>
      <c r="T66" s="81"/>
      <c r="U66" s="81"/>
      <c r="V66" s="81"/>
      <c r="W66" s="81"/>
      <c r="X66" s="81"/>
      <c r="Y66" s="10"/>
      <c r="Z66" s="11"/>
      <c r="AB66" s="92"/>
      <c r="AD66" s="98"/>
      <c r="AE66" s="98"/>
      <c r="AF66" s="98"/>
      <c r="AG66" s="98"/>
      <c r="AH66" s="98"/>
      <c r="AI66" s="98"/>
      <c r="AJ66" s="98"/>
    </row>
    <row r="67" spans="1:36" x14ac:dyDescent="0.2">
      <c r="A67" s="233"/>
      <c r="B67" s="10"/>
      <c r="C67" s="10"/>
      <c r="D67" s="10"/>
      <c r="E67" s="10"/>
      <c r="F67" s="10"/>
      <c r="G67" s="10"/>
      <c r="H67" s="10"/>
      <c r="I67" s="10"/>
      <c r="J67" s="10"/>
      <c r="K67" s="894" t="s">
        <v>634</v>
      </c>
      <c r="L67" s="894"/>
      <c r="M67" s="81"/>
      <c r="N67" s="894" t="s">
        <v>635</v>
      </c>
      <c r="O67" s="894"/>
      <c r="P67" s="87"/>
      <c r="Q67" s="894" t="s">
        <v>636</v>
      </c>
      <c r="R67" s="894"/>
      <c r="S67" s="87"/>
      <c r="T67" s="894" t="s">
        <v>637</v>
      </c>
      <c r="U67" s="894"/>
      <c r="V67" s="87"/>
      <c r="W67" s="894" t="s">
        <v>653</v>
      </c>
      <c r="X67" s="894"/>
      <c r="Y67" s="10"/>
      <c r="Z67" s="11"/>
      <c r="AB67" s="92"/>
      <c r="AD67" s="98"/>
      <c r="AE67" s="98"/>
      <c r="AF67" s="98"/>
      <c r="AG67" s="98"/>
      <c r="AH67" s="98"/>
      <c r="AI67" s="98"/>
      <c r="AJ67" s="98"/>
    </row>
    <row r="68" spans="1:36" ht="15.75" x14ac:dyDescent="0.2">
      <c r="A68" s="233"/>
      <c r="B68" s="10"/>
      <c r="C68" s="10"/>
      <c r="D68" s="10"/>
      <c r="E68" s="10"/>
      <c r="F68" s="10"/>
      <c r="G68" s="10"/>
      <c r="H68" s="10"/>
      <c r="I68" s="10"/>
      <c r="J68" s="10"/>
      <c r="K68" s="895" t="s">
        <v>37</v>
      </c>
      <c r="L68" s="896"/>
      <c r="M68" s="227"/>
      <c r="N68" s="895" t="str">
        <f>+L12</f>
        <v>England</v>
      </c>
      <c r="O68" s="896"/>
      <c r="P68" s="228"/>
      <c r="Q68" s="895">
        <f>VLOOKUP($L$13,DataSheet1!$B$8:$EL$325,140,FALSE)</f>
        <v>0</v>
      </c>
      <c r="R68" s="896"/>
      <c r="S68" s="228"/>
      <c r="T68" s="895">
        <f>VLOOKUP($L$13,DataSheet1!$B$8:$EL$325,141,FALSE)</f>
        <v>0</v>
      </c>
      <c r="U68" s="896"/>
      <c r="V68" s="227"/>
      <c r="W68" s="895" t="s">
        <v>646</v>
      </c>
      <c r="X68" s="895"/>
      <c r="Y68" s="10"/>
      <c r="Z68" s="11"/>
      <c r="AB68" s="92"/>
      <c r="AD68" s="98"/>
      <c r="AE68" s="98"/>
      <c r="AF68" s="98"/>
      <c r="AG68" s="98"/>
      <c r="AH68" s="98"/>
      <c r="AI68" s="98"/>
      <c r="AJ68" s="98"/>
    </row>
    <row r="69" spans="1:36" ht="15.75" x14ac:dyDescent="0.2">
      <c r="A69" s="233"/>
      <c r="B69" s="10"/>
      <c r="C69" s="10"/>
      <c r="D69" s="10"/>
      <c r="E69" s="10"/>
      <c r="F69" s="10"/>
      <c r="G69" s="10"/>
      <c r="H69" s="10"/>
      <c r="I69" s="10"/>
      <c r="J69" s="10"/>
      <c r="K69" s="895"/>
      <c r="L69" s="896"/>
      <c r="M69" s="227"/>
      <c r="N69" s="895"/>
      <c r="O69" s="896"/>
      <c r="P69" s="228"/>
      <c r="Q69" s="895"/>
      <c r="R69" s="896"/>
      <c r="S69" s="228"/>
      <c r="T69" s="895"/>
      <c r="U69" s="896"/>
      <c r="V69" s="227"/>
      <c r="W69" s="227"/>
      <c r="X69" s="227"/>
      <c r="Y69" s="10"/>
      <c r="Z69" s="11"/>
      <c r="AB69" s="873" t="s">
        <v>852</v>
      </c>
      <c r="AD69" s="98"/>
      <c r="AE69" s="98"/>
      <c r="AF69" s="98"/>
      <c r="AG69" s="98"/>
      <c r="AH69" s="98"/>
      <c r="AI69" s="98"/>
      <c r="AJ69" s="98"/>
    </row>
    <row r="70" spans="1:36" ht="15.75" customHeight="1" x14ac:dyDescent="0.2">
      <c r="A70" s="233"/>
      <c r="B70" s="10"/>
      <c r="C70" s="10"/>
      <c r="D70" s="10"/>
      <c r="E70" s="10"/>
      <c r="F70" s="10"/>
      <c r="G70" s="10"/>
      <c r="H70" s="10"/>
      <c r="I70" s="10"/>
      <c r="J70" s="10"/>
      <c r="K70" s="896"/>
      <c r="L70" s="896"/>
      <c r="M70" s="227"/>
      <c r="N70" s="896"/>
      <c r="O70" s="896"/>
      <c r="P70" s="228"/>
      <c r="Q70" s="896"/>
      <c r="R70" s="896"/>
      <c r="S70" s="228"/>
      <c r="T70" s="896"/>
      <c r="U70" s="896"/>
      <c r="V70" s="228"/>
      <c r="W70" s="228"/>
      <c r="X70" s="228"/>
      <c r="Y70" s="10"/>
      <c r="Z70" s="11"/>
      <c r="AB70" s="874"/>
      <c r="AD70" s="98"/>
      <c r="AE70" s="98"/>
      <c r="AF70" s="98"/>
      <c r="AG70" s="98"/>
      <c r="AH70" s="98"/>
      <c r="AI70" s="98"/>
      <c r="AJ70" s="98"/>
    </row>
    <row r="71" spans="1:36" ht="15" customHeight="1" thickBot="1" x14ac:dyDescent="0.3">
      <c r="A71" s="233"/>
      <c r="B71" s="10"/>
      <c r="C71" s="26" t="s">
        <v>41</v>
      </c>
      <c r="D71" s="10"/>
      <c r="E71" s="10"/>
      <c r="F71" s="10"/>
      <c r="G71" s="10"/>
      <c r="H71" s="10"/>
      <c r="I71" s="10"/>
      <c r="J71" s="252"/>
      <c r="K71" s="893" t="s">
        <v>629</v>
      </c>
      <c r="L71" s="893"/>
      <c r="M71" s="250"/>
      <c r="N71" s="893" t="s">
        <v>629</v>
      </c>
      <c r="O71" s="893"/>
      <c r="P71" s="251"/>
      <c r="Q71" s="893" t="s">
        <v>629</v>
      </c>
      <c r="R71" s="893"/>
      <c r="S71" s="251"/>
      <c r="T71" s="893" t="s">
        <v>629</v>
      </c>
      <c r="U71" s="893"/>
      <c r="V71" s="250"/>
      <c r="W71" s="893" t="s">
        <v>629</v>
      </c>
      <c r="X71" s="893"/>
      <c r="Y71" s="252"/>
      <c r="Z71" s="11"/>
      <c r="AB71" s="9"/>
      <c r="AD71" s="98"/>
      <c r="AE71" s="98"/>
      <c r="AF71" s="98"/>
      <c r="AG71" s="98"/>
      <c r="AH71" s="98"/>
      <c r="AI71" s="98"/>
      <c r="AJ71" s="98"/>
    </row>
    <row r="72" spans="1:36" ht="15" customHeight="1" thickBot="1" x14ac:dyDescent="0.25">
      <c r="A72" s="233"/>
      <c r="B72" s="10"/>
      <c r="C72" s="10"/>
      <c r="D72" s="879" t="s">
        <v>1154</v>
      </c>
      <c r="E72" s="880"/>
      <c r="F72" s="880"/>
      <c r="G72" s="880"/>
      <c r="H72" s="880"/>
      <c r="I72" s="880"/>
      <c r="J72" s="252"/>
      <c r="K72" s="877" t="str">
        <f>VLOOKUP($L$13,DataSheet1!$B$8:$EL$325,18,FALSE)</f>
        <v>…</v>
      </c>
      <c r="L72" s="878"/>
      <c r="M72" s="841"/>
      <c r="N72" s="877" t="str">
        <f>VLOOKUP($L$13,DataSheet1!$B$8:$EL$325,19,FALSE)</f>
        <v>…</v>
      </c>
      <c r="O72" s="878"/>
      <c r="P72" s="841"/>
      <c r="Q72" s="899" t="str">
        <f>VLOOKUP($L$13,DataSheet1!$B$8:$EL$325,20,FALSE)</f>
        <v>…</v>
      </c>
      <c r="R72" s="900"/>
      <c r="S72" s="841"/>
      <c r="T72" s="899" t="str">
        <f>VLOOKUP($L$13,DataSheet1!$B$8:$EL$325,21,FALSE)</f>
        <v>…</v>
      </c>
      <c r="U72" s="900"/>
      <c r="V72" s="842"/>
      <c r="W72" s="899" t="str">
        <f>VLOOKUP($L$13,DataSheet1!$B$8:$EL$325,22,FALSE)</f>
        <v>…</v>
      </c>
      <c r="X72" s="900"/>
      <c r="Y72" s="252"/>
      <c r="Z72" s="11"/>
      <c r="AB72" s="9"/>
      <c r="AD72" s="98"/>
      <c r="AE72" s="98"/>
      <c r="AF72" s="98"/>
      <c r="AG72" s="98"/>
      <c r="AH72" s="98"/>
      <c r="AI72" s="98"/>
      <c r="AJ72" s="98"/>
    </row>
    <row r="73" spans="1:36" ht="15" customHeight="1" x14ac:dyDescent="0.2">
      <c r="A73" s="233"/>
      <c r="B73" s="10"/>
      <c r="C73" s="10"/>
      <c r="D73" s="880"/>
      <c r="E73" s="880"/>
      <c r="F73" s="880"/>
      <c r="G73" s="880"/>
      <c r="H73" s="880"/>
      <c r="I73" s="880"/>
      <c r="J73" s="252"/>
      <c r="K73" s="253"/>
      <c r="L73" s="253"/>
      <c r="M73" s="250"/>
      <c r="N73" s="253"/>
      <c r="O73" s="253"/>
      <c r="P73" s="251"/>
      <c r="Q73" s="253"/>
      <c r="R73" s="253"/>
      <c r="S73" s="251"/>
      <c r="T73" s="253"/>
      <c r="U73" s="253"/>
      <c r="V73" s="250"/>
      <c r="W73" s="253"/>
      <c r="X73" s="253"/>
      <c r="Y73" s="252"/>
      <c r="Z73" s="11"/>
      <c r="AB73" s="334" t="s">
        <v>64</v>
      </c>
      <c r="AD73" s="98"/>
      <c r="AE73" s="98"/>
      <c r="AF73" s="98"/>
      <c r="AG73" s="98"/>
      <c r="AH73" s="98"/>
      <c r="AI73" s="98"/>
      <c r="AJ73" s="98"/>
    </row>
    <row r="74" spans="1:36" ht="15" customHeight="1" x14ac:dyDescent="0.2">
      <c r="A74" s="233"/>
      <c r="B74" s="10"/>
      <c r="C74" s="10"/>
      <c r="D74" s="10"/>
      <c r="E74" s="10"/>
      <c r="F74" s="10"/>
      <c r="G74" s="10"/>
      <c r="H74" s="10"/>
      <c r="I74" s="10"/>
      <c r="J74" s="252"/>
      <c r="K74" s="253"/>
      <c r="L74" s="253"/>
      <c r="M74" s="250"/>
      <c r="N74" s="253"/>
      <c r="O74" s="253"/>
      <c r="P74" s="251"/>
      <c r="Q74" s="253"/>
      <c r="R74" s="253"/>
      <c r="S74" s="251"/>
      <c r="T74" s="253"/>
      <c r="U74" s="253"/>
      <c r="V74" s="250"/>
      <c r="W74" s="253"/>
      <c r="X74" s="253"/>
      <c r="Y74" s="252"/>
      <c r="Z74" s="11"/>
      <c r="AB74" s="147" t="s">
        <v>65</v>
      </c>
      <c r="AD74" s="98"/>
      <c r="AE74" s="98"/>
      <c r="AF74" s="98"/>
      <c r="AG74" s="98"/>
      <c r="AH74" s="98"/>
      <c r="AI74" s="98"/>
      <c r="AJ74" s="98"/>
    </row>
    <row r="75" spans="1:36" ht="16.5" thickBot="1" x14ac:dyDescent="0.3">
      <c r="A75" s="233"/>
      <c r="B75" s="10"/>
      <c r="C75" s="13" t="s">
        <v>1098</v>
      </c>
      <c r="D75" s="10"/>
      <c r="E75" s="10"/>
      <c r="F75" s="10"/>
      <c r="G75" s="10"/>
      <c r="H75" s="10"/>
      <c r="I75" s="10"/>
      <c r="J75" s="252"/>
      <c r="K75" s="251"/>
      <c r="L75" s="251"/>
      <c r="M75" s="251"/>
      <c r="N75" s="251"/>
      <c r="O75" s="251"/>
      <c r="P75" s="251"/>
      <c r="Q75" s="251"/>
      <c r="R75" s="251"/>
      <c r="S75" s="251"/>
      <c r="T75" s="251"/>
      <c r="U75" s="251"/>
      <c r="V75" s="251"/>
      <c r="W75" s="251"/>
      <c r="X75" s="251"/>
      <c r="Y75" s="252"/>
      <c r="Z75" s="11"/>
      <c r="AB75" s="146"/>
      <c r="AD75" s="98"/>
      <c r="AE75" s="98"/>
      <c r="AF75" s="98"/>
      <c r="AG75" s="98"/>
      <c r="AH75" s="98"/>
      <c r="AI75" s="98"/>
      <c r="AJ75" s="98"/>
    </row>
    <row r="76" spans="1:36" ht="16.5" thickBot="1" x14ac:dyDescent="0.25">
      <c r="A76" s="233"/>
      <c r="B76" s="10"/>
      <c r="C76" s="10"/>
      <c r="D76" s="879" t="s">
        <v>1155</v>
      </c>
      <c r="E76" s="879"/>
      <c r="F76" s="879"/>
      <c r="G76" s="879"/>
      <c r="H76" s="879"/>
      <c r="I76" s="879"/>
      <c r="J76" s="252"/>
      <c r="K76" s="875">
        <f>VLOOKUP($L$13,DataSheet1!$B$8:$EL$325,23,FALSE)</f>
        <v>7508720368</v>
      </c>
      <c r="L76" s="876"/>
      <c r="M76" s="268"/>
      <c r="N76" s="875">
        <f>VLOOKUP($L$13,DataSheet1!$B$8:$EL$325,24,FALSE)</f>
        <v>13456856337</v>
      </c>
      <c r="O76" s="876"/>
      <c r="P76" s="268"/>
      <c r="Q76" s="875">
        <f>VLOOKUP($L$13,DataSheet1!$B$8:$EL$325,25,FALSE)</f>
        <v>3862760025</v>
      </c>
      <c r="R76" s="876"/>
      <c r="S76" s="268"/>
      <c r="T76" s="875">
        <f>VLOOKUP($L$13,DataSheet1!$B$8:$EL$325,26,FALSE)</f>
        <v>138583743</v>
      </c>
      <c r="U76" s="876"/>
      <c r="V76" s="268"/>
      <c r="W76" s="875">
        <f>VLOOKUP($L$13,DataSheet1!$B$8:$EL$325,27,FALSE)</f>
        <v>24966920473</v>
      </c>
      <c r="X76" s="876"/>
      <c r="Y76" s="252"/>
      <c r="Z76" s="55"/>
      <c r="AB76" s="146">
        <f>+W76-K52</f>
        <v>0</v>
      </c>
      <c r="AD76" s="98"/>
      <c r="AE76" s="98"/>
      <c r="AF76" s="98"/>
      <c r="AG76" s="98"/>
      <c r="AH76" s="98"/>
      <c r="AI76" s="98"/>
      <c r="AJ76" s="98"/>
    </row>
    <row r="77" spans="1:36" x14ac:dyDescent="0.2">
      <c r="A77" s="233"/>
      <c r="B77" s="10"/>
      <c r="C77" s="10"/>
      <c r="D77" s="879"/>
      <c r="E77" s="879"/>
      <c r="F77" s="879"/>
      <c r="G77" s="879"/>
      <c r="H77" s="879"/>
      <c r="I77" s="879"/>
      <c r="J77" s="252"/>
      <c r="K77" s="268"/>
      <c r="L77" s="268"/>
      <c r="M77" s="268"/>
      <c r="N77" s="268"/>
      <c r="O77" s="268"/>
      <c r="P77" s="268"/>
      <c r="Q77" s="268"/>
      <c r="R77" s="268"/>
      <c r="S77" s="268"/>
      <c r="T77" s="268"/>
      <c r="U77" s="268"/>
      <c r="V77" s="268"/>
      <c r="W77" s="268"/>
      <c r="X77" s="268"/>
      <c r="Y77" s="252"/>
      <c r="Z77" s="11"/>
      <c r="AB77" s="146"/>
      <c r="AD77" s="98"/>
      <c r="AE77" s="98"/>
      <c r="AF77" s="98"/>
      <c r="AG77" s="98"/>
      <c r="AH77" s="98"/>
      <c r="AI77" s="98"/>
      <c r="AJ77" s="98"/>
    </row>
    <row r="78" spans="1:36" ht="15.75" thickBot="1" x14ac:dyDescent="0.25">
      <c r="A78" s="233"/>
      <c r="B78" s="10"/>
      <c r="C78" s="10"/>
      <c r="D78" s="10"/>
      <c r="E78" s="10"/>
      <c r="F78" s="10"/>
      <c r="G78" s="10"/>
      <c r="H78" s="10"/>
      <c r="I78" s="10"/>
      <c r="J78" s="252"/>
      <c r="K78" s="268"/>
      <c r="L78" s="268"/>
      <c r="M78" s="268"/>
      <c r="N78" s="268"/>
      <c r="O78" s="268"/>
      <c r="P78" s="268"/>
      <c r="Q78" s="268"/>
      <c r="R78" s="268"/>
      <c r="S78" s="268"/>
      <c r="T78" s="268"/>
      <c r="U78" s="268"/>
      <c r="V78" s="268"/>
      <c r="W78" s="268"/>
      <c r="X78" s="268"/>
      <c r="Y78" s="252"/>
      <c r="Z78" s="11"/>
      <c r="AB78" s="146">
        <f>IF(AND(K72=0,K52-N76-Q76-T76&lt;&gt;0),0,+IF(ABS(K76+N76+Q76+T76-W76)&lt;0.5,0,1))</f>
        <v>0</v>
      </c>
      <c r="AD78" s="98"/>
      <c r="AE78" s="98"/>
      <c r="AF78" s="98"/>
      <c r="AG78" s="98"/>
      <c r="AH78" s="98"/>
      <c r="AI78" s="98"/>
      <c r="AJ78" s="98"/>
    </row>
    <row r="79" spans="1:36" ht="16.5" thickBot="1" x14ac:dyDescent="0.25">
      <c r="A79" s="233"/>
      <c r="B79" s="10"/>
      <c r="C79" s="10"/>
      <c r="D79" s="10" t="s">
        <v>1156</v>
      </c>
      <c r="E79" s="10"/>
      <c r="F79" s="10"/>
      <c r="G79" s="10"/>
      <c r="H79" s="10"/>
      <c r="I79" s="10"/>
      <c r="J79" s="252"/>
      <c r="K79" s="875">
        <f>VLOOKUP($L$13,DataSheet1!$B$8:$EL$325,28,FALSE)</f>
        <v>14846615</v>
      </c>
      <c r="L79" s="876"/>
      <c r="M79" s="268"/>
      <c r="N79" s="875">
        <f>VLOOKUP($L$13,DataSheet1!$B$8:$EL$325,29,FALSE)</f>
        <v>0</v>
      </c>
      <c r="O79" s="876"/>
      <c r="P79" s="268"/>
      <c r="Q79" s="875">
        <f>VLOOKUP($L$13,DataSheet1!$B$8:$EL$325,30,FALSE)</f>
        <v>0</v>
      </c>
      <c r="R79" s="876"/>
      <c r="S79" s="268"/>
      <c r="T79" s="875">
        <f>VLOOKUP($L$13,DataSheet1!$B$8:$EL$325,31,FALSE)</f>
        <v>0</v>
      </c>
      <c r="U79" s="876"/>
      <c r="V79" s="268"/>
      <c r="W79" s="875">
        <f>VLOOKUP($L$13,DataSheet1!$B$8:$EL$325,32,FALSE)</f>
        <v>14846615</v>
      </c>
      <c r="X79" s="876"/>
      <c r="Y79" s="252"/>
      <c r="Z79" s="11"/>
      <c r="AB79" s="146"/>
      <c r="AD79" s="97"/>
      <c r="AE79" s="98"/>
      <c r="AF79" s="98"/>
      <c r="AG79" s="98"/>
      <c r="AH79" s="98"/>
      <c r="AI79" s="98"/>
      <c r="AJ79" s="98"/>
    </row>
    <row r="80" spans="1:36" ht="16.5" thickBot="1" x14ac:dyDescent="0.25">
      <c r="A80" s="233"/>
      <c r="B80" s="10"/>
      <c r="C80" s="10"/>
      <c r="D80" s="27"/>
      <c r="E80" s="10"/>
      <c r="F80" s="10"/>
      <c r="G80" s="10"/>
      <c r="H80" s="10"/>
      <c r="I80" s="10"/>
      <c r="J80" s="252"/>
      <c r="K80" s="308"/>
      <c r="L80" s="308"/>
      <c r="M80" s="268"/>
      <c r="N80" s="308"/>
      <c r="O80" s="308"/>
      <c r="P80" s="268"/>
      <c r="Q80" s="308"/>
      <c r="R80" s="308"/>
      <c r="S80" s="268"/>
      <c r="T80" s="308"/>
      <c r="U80" s="308"/>
      <c r="V80" s="268"/>
      <c r="W80" s="308"/>
      <c r="X80" s="308"/>
      <c r="Y80" s="252"/>
      <c r="Z80" s="11"/>
      <c r="AB80" s="146"/>
      <c r="AD80" s="97"/>
      <c r="AE80" s="98"/>
      <c r="AF80" s="98"/>
      <c r="AG80" s="98"/>
      <c r="AH80" s="98"/>
      <c r="AI80" s="98"/>
      <c r="AJ80" s="98"/>
    </row>
    <row r="81" spans="1:36" ht="16.5" thickBot="1" x14ac:dyDescent="0.3">
      <c r="A81" s="233"/>
      <c r="B81" s="10"/>
      <c r="C81" s="10"/>
      <c r="D81" s="15">
        <v>17</v>
      </c>
      <c r="E81" s="10"/>
      <c r="F81" s="10"/>
      <c r="G81" s="10"/>
      <c r="H81" s="10"/>
      <c r="I81" s="262" t="s">
        <v>674</v>
      </c>
      <c r="J81" s="260"/>
      <c r="K81" s="875">
        <f>VLOOKUP($L$13,DataSheet1!$B$8:$EL$325,33,FALSE)</f>
        <v>7493873753</v>
      </c>
      <c r="L81" s="876"/>
      <c r="M81" s="268"/>
      <c r="N81" s="875">
        <f>VLOOKUP($L$13,DataSheet1!$B$8:$EL$325,34,FALSE)</f>
        <v>13456856337</v>
      </c>
      <c r="O81" s="876"/>
      <c r="P81" s="269"/>
      <c r="Q81" s="875">
        <f>VLOOKUP($L$13,DataSheet1!$B$8:$EL$325,35,FALSE)</f>
        <v>3862760025</v>
      </c>
      <c r="R81" s="876"/>
      <c r="S81" s="269"/>
      <c r="T81" s="875">
        <f>VLOOKUP($L$13,DataSheet1!$B$8:$EL$325,36,FALSE)</f>
        <v>138583743</v>
      </c>
      <c r="U81" s="876"/>
      <c r="V81" s="268"/>
      <c r="W81" s="875">
        <f>VLOOKUP($L$13,DataSheet1!$B$8:$EL$325,37,FALSE)</f>
        <v>24952073858</v>
      </c>
      <c r="X81" s="876"/>
      <c r="Y81" s="252"/>
      <c r="Z81" s="11"/>
      <c r="AB81" s="146"/>
      <c r="AD81" s="97"/>
      <c r="AE81" s="97"/>
      <c r="AF81" s="97"/>
      <c r="AG81" s="97"/>
      <c r="AH81" s="97"/>
      <c r="AI81" s="97"/>
      <c r="AJ81" s="97"/>
    </row>
    <row r="82" spans="1:36" x14ac:dyDescent="0.2">
      <c r="A82" s="233"/>
      <c r="B82" s="10"/>
      <c r="C82" s="10"/>
      <c r="D82" s="10"/>
      <c r="E82" s="10"/>
      <c r="F82" s="10"/>
      <c r="G82" s="10"/>
      <c r="H82" s="10"/>
      <c r="I82" s="10"/>
      <c r="J82" s="252"/>
      <c r="K82" s="268"/>
      <c r="L82" s="268"/>
      <c r="M82" s="268"/>
      <c r="N82" s="268"/>
      <c r="O82" s="268"/>
      <c r="P82" s="268"/>
      <c r="Q82" s="268"/>
      <c r="R82" s="268"/>
      <c r="S82" s="268"/>
      <c r="T82" s="268"/>
      <c r="U82" s="268"/>
      <c r="V82" s="268"/>
      <c r="W82" s="268"/>
      <c r="X82" s="268"/>
      <c r="Y82" s="252"/>
      <c r="Z82" s="11"/>
      <c r="AB82" s="146">
        <f>+IF(K76-K79-K81=0,0,1)</f>
        <v>0</v>
      </c>
      <c r="AD82" s="97"/>
      <c r="AE82" s="97"/>
      <c r="AF82" s="97"/>
      <c r="AG82" s="97"/>
      <c r="AH82" s="97"/>
      <c r="AI82" s="97"/>
      <c r="AJ82" s="97"/>
    </row>
    <row r="83" spans="1:36" ht="16.5" thickBot="1" x14ac:dyDescent="0.3">
      <c r="A83" s="233"/>
      <c r="B83" s="10"/>
      <c r="C83" s="13" t="s">
        <v>1099</v>
      </c>
      <c r="D83" s="10"/>
      <c r="E83" s="10"/>
      <c r="F83" s="10"/>
      <c r="G83" s="10"/>
      <c r="H83" s="10"/>
      <c r="I83" s="10"/>
      <c r="J83" s="252"/>
      <c r="K83" s="268"/>
      <c r="L83" s="268"/>
      <c r="M83" s="268"/>
      <c r="N83" s="268"/>
      <c r="O83" s="268"/>
      <c r="P83" s="268"/>
      <c r="Q83" s="268"/>
      <c r="R83" s="268"/>
      <c r="S83" s="268"/>
      <c r="T83" s="268"/>
      <c r="U83" s="268"/>
      <c r="V83" s="268"/>
      <c r="W83" s="268"/>
      <c r="X83" s="268"/>
      <c r="Y83" s="252"/>
      <c r="Z83" s="11"/>
      <c r="AB83" s="146"/>
      <c r="AD83" s="97"/>
      <c r="AE83" s="97"/>
      <c r="AF83" s="97"/>
      <c r="AG83" s="97"/>
      <c r="AH83" s="97"/>
      <c r="AI83" s="97"/>
      <c r="AJ83" s="97"/>
    </row>
    <row r="84" spans="1:36" ht="16.5" thickBot="1" x14ac:dyDescent="0.25">
      <c r="A84" s="233"/>
      <c r="B84" s="10"/>
      <c r="C84" s="10"/>
      <c r="D84" s="10" t="s">
        <v>1157</v>
      </c>
      <c r="E84" s="10"/>
      <c r="F84" s="10"/>
      <c r="G84" s="10"/>
      <c r="H84" s="10"/>
      <c r="I84" s="10"/>
      <c r="J84" s="252"/>
      <c r="K84" s="268"/>
      <c r="L84" s="268"/>
      <c r="M84" s="268"/>
      <c r="N84" s="875">
        <f>VLOOKUP($L$13,DataSheet1!$B$8:$EL$325,38,FALSE)</f>
        <v>84058231</v>
      </c>
      <c r="O84" s="876"/>
      <c r="P84" s="268"/>
      <c r="Q84" s="268"/>
      <c r="R84" s="268"/>
      <c r="S84" s="268"/>
      <c r="T84" s="268"/>
      <c r="U84" s="268"/>
      <c r="V84" s="268"/>
      <c r="W84" s="875">
        <f>VLOOKUP($L$13,DataSheet1!$B$8:$EL$325,39,FALSE)</f>
        <v>84058231</v>
      </c>
      <c r="X84" s="876"/>
      <c r="Y84" s="252"/>
      <c r="Z84" s="55"/>
      <c r="AB84" s="146">
        <f>+IF(N84-W84=0,0,1)</f>
        <v>0</v>
      </c>
      <c r="AD84" s="97"/>
      <c r="AE84" s="97"/>
      <c r="AF84" s="97"/>
      <c r="AG84" s="97"/>
      <c r="AH84" s="97"/>
      <c r="AI84" s="97"/>
      <c r="AJ84" s="97"/>
    </row>
    <row r="85" spans="1:36" ht="15.75" thickBot="1" x14ac:dyDescent="0.25">
      <c r="A85" s="233"/>
      <c r="B85" s="10"/>
      <c r="C85" s="10"/>
      <c r="D85" s="10"/>
      <c r="E85" s="10"/>
      <c r="F85" s="10"/>
      <c r="G85" s="10"/>
      <c r="H85" s="10"/>
      <c r="I85" s="10"/>
      <c r="J85" s="252"/>
      <c r="K85" s="268"/>
      <c r="L85" s="268"/>
      <c r="M85" s="268"/>
      <c r="N85" s="268"/>
      <c r="O85" s="268"/>
      <c r="P85" s="268"/>
      <c r="Q85" s="268"/>
      <c r="R85" s="268"/>
      <c r="S85" s="268"/>
      <c r="T85" s="268"/>
      <c r="U85" s="268"/>
      <c r="V85" s="268"/>
      <c r="W85" s="268"/>
      <c r="X85" s="268"/>
      <c r="Y85" s="252"/>
      <c r="Z85" s="11"/>
      <c r="AB85" s="146"/>
      <c r="AD85" s="97"/>
      <c r="AE85" s="97"/>
      <c r="AF85" s="97"/>
      <c r="AG85" s="97"/>
      <c r="AH85" s="97"/>
      <c r="AI85" s="97"/>
      <c r="AJ85" s="97"/>
    </row>
    <row r="86" spans="1:36" ht="16.5" thickBot="1" x14ac:dyDescent="0.25">
      <c r="A86" s="233"/>
      <c r="B86" s="10"/>
      <c r="C86" s="10"/>
      <c r="D86" s="10" t="s">
        <v>1158</v>
      </c>
      <c r="E86" s="10"/>
      <c r="F86" s="10"/>
      <c r="G86" s="10"/>
      <c r="H86" s="10"/>
      <c r="I86" s="10"/>
      <c r="J86" s="252"/>
      <c r="K86" s="268"/>
      <c r="L86" s="268"/>
      <c r="M86" s="268"/>
      <c r="N86" s="875">
        <f>VLOOKUP($L$13,DataSheet1!$B$8:$EL$325,40,FALSE)</f>
        <v>61929102</v>
      </c>
      <c r="O86" s="876"/>
      <c r="P86" s="268"/>
      <c r="Q86" s="268"/>
      <c r="R86" s="268"/>
      <c r="S86" s="268"/>
      <c r="T86" s="268"/>
      <c r="U86" s="268"/>
      <c r="V86" s="268"/>
      <c r="W86" s="875">
        <f>VLOOKUP($L$13,DataSheet1!$B$8:$EL$325,41,FALSE)</f>
        <v>61929102</v>
      </c>
      <c r="X86" s="876"/>
      <c r="Y86" s="252"/>
      <c r="Z86" s="55"/>
      <c r="AB86" s="146">
        <f>+IF(N86-W86=0,0,1)</f>
        <v>0</v>
      </c>
      <c r="AD86" s="97"/>
      <c r="AE86" s="97"/>
      <c r="AF86" s="97"/>
      <c r="AG86" s="97"/>
      <c r="AH86" s="97"/>
      <c r="AI86" s="97"/>
      <c r="AJ86" s="97"/>
    </row>
    <row r="87" spans="1:36" ht="15.75" thickBot="1" x14ac:dyDescent="0.25">
      <c r="A87" s="233"/>
      <c r="B87" s="10"/>
      <c r="C87" s="10"/>
      <c r="D87" s="10"/>
      <c r="E87" s="10"/>
      <c r="F87" s="10"/>
      <c r="G87" s="10"/>
      <c r="H87" s="10"/>
      <c r="I87" s="10"/>
      <c r="J87" s="252"/>
      <c r="K87" s="268"/>
      <c r="L87" s="268"/>
      <c r="M87" s="268"/>
      <c r="N87" s="268"/>
      <c r="O87" s="268"/>
      <c r="P87" s="268"/>
      <c r="Q87" s="268"/>
      <c r="R87" s="268"/>
      <c r="S87" s="268"/>
      <c r="T87" s="268"/>
      <c r="U87" s="268"/>
      <c r="V87" s="268"/>
      <c r="W87" s="268"/>
      <c r="X87" s="268"/>
      <c r="Y87" s="252"/>
      <c r="Z87" s="11"/>
      <c r="AB87" s="146"/>
      <c r="AD87" s="97"/>
      <c r="AE87" s="97"/>
      <c r="AF87" s="97"/>
      <c r="AG87" s="97"/>
      <c r="AH87" s="97"/>
      <c r="AI87" s="97"/>
      <c r="AJ87" s="97"/>
    </row>
    <row r="88" spans="1:36" ht="16.5" thickBot="1" x14ac:dyDescent="0.25">
      <c r="A88" s="233"/>
      <c r="B88" s="10"/>
      <c r="C88" s="10"/>
      <c r="D88" s="10" t="s">
        <v>1159</v>
      </c>
      <c r="E88" s="10"/>
      <c r="F88" s="10"/>
      <c r="G88" s="10"/>
      <c r="H88" s="10"/>
      <c r="I88" s="10"/>
      <c r="J88" s="252"/>
      <c r="K88" s="268"/>
      <c r="L88" s="268"/>
      <c r="M88" s="268"/>
      <c r="N88" s="875">
        <f>VLOOKUP($L$13,DataSheet1!$B$8:$EL$325,42,FALSE)</f>
        <v>63539003</v>
      </c>
      <c r="O88" s="876"/>
      <c r="P88" s="268"/>
      <c r="Q88" s="875">
        <f>VLOOKUP($L$13,DataSheet1!$B$8:$EL$325,43,FALSE)</f>
        <v>3116830</v>
      </c>
      <c r="R88" s="876"/>
      <c r="S88" s="268"/>
      <c r="T88" s="268"/>
      <c r="U88" s="268"/>
      <c r="V88" s="268"/>
      <c r="W88" s="875">
        <f>VLOOKUP($L$13,DataSheet1!$B$8:$EL$325,44,FALSE)</f>
        <v>66669194</v>
      </c>
      <c r="X88" s="876"/>
      <c r="Y88" s="252"/>
      <c r="Z88" s="55"/>
      <c r="AB88" s="146">
        <f>+IF(N88+Q88-W88=0,0,1)</f>
        <v>1</v>
      </c>
      <c r="AD88" s="97"/>
      <c r="AE88" s="97"/>
      <c r="AF88" s="97"/>
      <c r="AG88" s="97"/>
      <c r="AH88" s="97"/>
      <c r="AI88" s="97"/>
      <c r="AJ88" s="97"/>
    </row>
    <row r="89" spans="1:36" ht="15.75" thickBot="1" x14ac:dyDescent="0.25">
      <c r="A89" s="233"/>
      <c r="B89" s="10"/>
      <c r="C89" s="10"/>
      <c r="D89" s="10"/>
      <c r="E89" s="10"/>
      <c r="F89" s="10"/>
      <c r="G89" s="10"/>
      <c r="H89" s="10"/>
      <c r="I89" s="10"/>
      <c r="J89" s="252"/>
      <c r="K89" s="268"/>
      <c r="L89" s="268"/>
      <c r="M89" s="268"/>
      <c r="N89" s="268"/>
      <c r="O89" s="268"/>
      <c r="P89" s="268"/>
      <c r="Q89" s="268"/>
      <c r="R89" s="268"/>
      <c r="S89" s="268"/>
      <c r="T89" s="268"/>
      <c r="U89" s="268"/>
      <c r="V89" s="268"/>
      <c r="W89" s="268"/>
      <c r="X89" s="268"/>
      <c r="Y89" s="252"/>
      <c r="Z89" s="11"/>
      <c r="AB89" s="146"/>
      <c r="AD89" s="97"/>
      <c r="AE89" s="97"/>
      <c r="AF89" s="97"/>
      <c r="AG89" s="97"/>
      <c r="AH89" s="97"/>
      <c r="AI89" s="97"/>
      <c r="AJ89" s="97"/>
    </row>
    <row r="90" spans="1:36" ht="16.5" thickBot="1" x14ac:dyDescent="0.25">
      <c r="A90" s="233"/>
      <c r="B90" s="10"/>
      <c r="C90" s="10"/>
      <c r="D90" s="10" t="s">
        <v>1160</v>
      </c>
      <c r="E90" s="10"/>
      <c r="F90" s="10"/>
      <c r="G90" s="10"/>
      <c r="H90" s="10"/>
      <c r="I90" s="10"/>
      <c r="J90" s="252"/>
      <c r="K90" s="268"/>
      <c r="L90" s="268"/>
      <c r="M90" s="268"/>
      <c r="N90" s="902">
        <f>VLOOKUP($L$13,DataSheet1!$B$8:$EL$325,45,FALSE)</f>
        <v>10382.400000000001</v>
      </c>
      <c r="O90" s="903"/>
      <c r="P90" s="268"/>
      <c r="Q90" s="904">
        <f>VLOOKUP($L$13,DataSheet1!$B$8:$EL$325,46,FALSE)</f>
        <v>15314.039999999999</v>
      </c>
      <c r="R90" s="905"/>
      <c r="S90" s="268"/>
      <c r="T90" s="904">
        <f>VLOOKUP($L$13,DataSheet1!$B$8:$EL$325,47,FALSE)</f>
        <v>259.56</v>
      </c>
      <c r="U90" s="905"/>
      <c r="V90" s="268"/>
      <c r="W90" s="875">
        <f>VLOOKUP($L$13,DataSheet1!$B$8:$EL$325,48,FALSE)</f>
        <v>25956</v>
      </c>
      <c r="X90" s="876"/>
      <c r="Y90" s="252"/>
      <c r="Z90" s="631"/>
      <c r="AB90" s="146">
        <f>+IF(N90+Q90-W90=0,0,1)</f>
        <v>1</v>
      </c>
      <c r="AC90" s="651" t="e">
        <f>(VLOOKUP('Part 1'!$L13,#REF!,52,FALSE))</f>
        <v>#REF!</v>
      </c>
      <c r="AD90" s="652"/>
      <c r="AE90" s="97"/>
      <c r="AF90" s="97"/>
      <c r="AG90" s="97"/>
      <c r="AH90" s="97"/>
      <c r="AI90" s="97"/>
      <c r="AJ90" s="97"/>
    </row>
    <row r="91" spans="1:36" ht="15.75" thickBot="1" x14ac:dyDescent="0.25">
      <c r="A91" s="233"/>
      <c r="B91" s="10"/>
      <c r="C91" s="10"/>
      <c r="D91" s="10"/>
      <c r="E91" s="10"/>
      <c r="F91" s="10"/>
      <c r="G91" s="10"/>
      <c r="H91" s="10"/>
      <c r="I91" s="10"/>
      <c r="J91" s="252"/>
      <c r="K91" s="268"/>
      <c r="L91" s="268"/>
      <c r="M91" s="268"/>
      <c r="N91" s="268"/>
      <c r="O91" s="268"/>
      <c r="P91" s="268"/>
      <c r="Q91" s="268"/>
      <c r="R91" s="268"/>
      <c r="S91" s="268"/>
      <c r="T91" s="268"/>
      <c r="U91" s="268"/>
      <c r="V91" s="268"/>
      <c r="W91" s="268"/>
      <c r="X91" s="268"/>
      <c r="Y91" s="252"/>
      <c r="Z91" s="631"/>
      <c r="AB91" s="146"/>
      <c r="AD91" s="97"/>
      <c r="AE91" s="97"/>
      <c r="AF91" s="97"/>
      <c r="AG91" s="97"/>
      <c r="AH91" s="97"/>
      <c r="AI91" s="97"/>
      <c r="AJ91" s="97"/>
    </row>
    <row r="92" spans="1:36" ht="16.5" thickBot="1" x14ac:dyDescent="0.25">
      <c r="A92" s="233"/>
      <c r="B92" s="10"/>
      <c r="C92" s="10"/>
      <c r="D92" s="10" t="s">
        <v>1161</v>
      </c>
      <c r="E92" s="10"/>
      <c r="F92" s="10"/>
      <c r="G92" s="10"/>
      <c r="H92" s="10"/>
      <c r="I92" s="10"/>
      <c r="J92" s="252"/>
      <c r="K92" s="268"/>
      <c r="L92" s="268"/>
      <c r="M92" s="268"/>
      <c r="N92" s="906">
        <f>VLOOKUP($L$13,DataSheet1!$B$8:$EL$325,49,FALSE)</f>
        <v>10741765</v>
      </c>
      <c r="O92" s="907"/>
      <c r="P92" s="268"/>
      <c r="Q92" s="875">
        <f>VLOOKUP($L$13,DataSheet1!$B$8:$EL$325,50,FALSE)</f>
        <v>177750</v>
      </c>
      <c r="R92" s="876"/>
      <c r="S92" s="268"/>
      <c r="T92" s="875">
        <f>VLOOKUP($L$13,DataSheet1!$B$8:$EL$325,51,FALSE)</f>
        <v>20055</v>
      </c>
      <c r="U92" s="876"/>
      <c r="V92" s="268"/>
      <c r="W92" s="875">
        <f>VLOOKUP($L$13,DataSheet1!$B$8:$EL$325,52,FALSE)</f>
        <v>10939570</v>
      </c>
      <c r="X92" s="876"/>
      <c r="Y92" s="252"/>
      <c r="Z92" s="55"/>
      <c r="AB92" s="146">
        <f>+IF(N92+Q92+T92-W92=0,0,1)</f>
        <v>0</v>
      </c>
      <c r="AD92" s="97"/>
      <c r="AE92" s="97"/>
      <c r="AF92" s="97"/>
      <c r="AG92" s="97"/>
      <c r="AH92" s="97"/>
      <c r="AI92" s="97"/>
      <c r="AJ92" s="97"/>
    </row>
    <row r="93" spans="1:36" ht="16.5" thickBot="1" x14ac:dyDescent="0.25">
      <c r="A93" s="233"/>
      <c r="B93" s="10"/>
      <c r="C93" s="10"/>
      <c r="D93" s="10"/>
      <c r="E93" s="10"/>
      <c r="F93" s="10"/>
      <c r="G93" s="10"/>
      <c r="H93" s="10"/>
      <c r="I93" s="10"/>
      <c r="J93" s="252"/>
      <c r="K93" s="251"/>
      <c r="L93" s="251"/>
      <c r="M93" s="251"/>
      <c r="N93" s="254"/>
      <c r="O93" s="251"/>
      <c r="P93" s="251"/>
      <c r="Q93" s="254"/>
      <c r="R93" s="251"/>
      <c r="S93" s="251"/>
      <c r="T93" s="254"/>
      <c r="U93" s="251"/>
      <c r="V93" s="251"/>
      <c r="W93" s="251"/>
      <c r="X93" s="251"/>
      <c r="Y93" s="252"/>
      <c r="Z93" s="11"/>
      <c r="AB93" s="146"/>
      <c r="AD93" s="97"/>
      <c r="AE93" s="97"/>
      <c r="AF93" s="97"/>
      <c r="AG93" s="97"/>
      <c r="AH93" s="97"/>
      <c r="AI93" s="97"/>
      <c r="AJ93" s="97"/>
    </row>
    <row r="94" spans="1:36" ht="16.5" thickBot="1" x14ac:dyDescent="0.25">
      <c r="A94" s="233"/>
      <c r="B94" s="10"/>
      <c r="C94" s="10"/>
      <c r="D94" s="10" t="s">
        <v>1162</v>
      </c>
      <c r="E94" s="10"/>
      <c r="F94" s="10"/>
      <c r="G94" s="10"/>
      <c r="H94" s="10"/>
      <c r="I94" s="10"/>
      <c r="J94" s="252"/>
      <c r="K94" s="251"/>
      <c r="L94" s="251"/>
      <c r="M94" s="251"/>
      <c r="N94" s="875">
        <f>VLOOKUP($L$13,DataSheet1!$B$8:$EL$325,53,FALSE)</f>
        <v>11871000</v>
      </c>
      <c r="O94" s="876"/>
      <c r="P94" s="268"/>
      <c r="Q94" s="268"/>
      <c r="R94" s="268"/>
      <c r="S94" s="268"/>
      <c r="T94" s="268"/>
      <c r="U94" s="268"/>
      <c r="V94" s="268"/>
      <c r="W94" s="875">
        <f>VLOOKUP($L$13,DataSheet1!$B$8:$EL$325,54,FALSE)</f>
        <v>11871000</v>
      </c>
      <c r="X94" s="876"/>
      <c r="Y94" s="252"/>
      <c r="Z94" s="55"/>
      <c r="AB94" s="146">
        <f>+IF(N94-W94=0,0,1)</f>
        <v>0</v>
      </c>
      <c r="AD94" s="97"/>
      <c r="AE94" s="97"/>
      <c r="AF94" s="97"/>
      <c r="AG94" s="97"/>
      <c r="AH94" s="97"/>
      <c r="AI94" s="97"/>
      <c r="AJ94" s="97"/>
    </row>
    <row r="95" spans="1:36" ht="15.75" thickBot="1" x14ac:dyDescent="0.25">
      <c r="A95" s="233"/>
      <c r="B95" s="10"/>
      <c r="C95" s="10"/>
      <c r="D95" s="27"/>
      <c r="E95" s="10"/>
      <c r="F95" s="10"/>
      <c r="G95" s="10"/>
      <c r="H95" s="10"/>
      <c r="I95" s="10"/>
      <c r="J95" s="252"/>
      <c r="K95" s="251"/>
      <c r="L95" s="251"/>
      <c r="M95" s="251"/>
      <c r="N95" s="251"/>
      <c r="O95" s="251"/>
      <c r="P95" s="251"/>
      <c r="Q95" s="251"/>
      <c r="R95" s="251"/>
      <c r="S95" s="251"/>
      <c r="T95" s="251"/>
      <c r="U95" s="251"/>
      <c r="V95" s="251"/>
      <c r="W95" s="251"/>
      <c r="X95" s="251"/>
      <c r="Y95" s="252"/>
      <c r="Z95" s="11"/>
      <c r="AB95" s="146"/>
      <c r="AD95" s="97"/>
      <c r="AE95" s="97"/>
      <c r="AF95" s="97"/>
      <c r="AG95" s="97"/>
      <c r="AH95" s="97"/>
      <c r="AI95" s="97"/>
      <c r="AJ95" s="97"/>
    </row>
    <row r="96" spans="1:36" ht="16.5" thickBot="1" x14ac:dyDescent="0.25">
      <c r="A96" s="233"/>
      <c r="B96" s="10"/>
      <c r="C96" s="10"/>
      <c r="D96" s="10" t="s">
        <v>1163</v>
      </c>
      <c r="E96" s="10"/>
      <c r="F96" s="10"/>
      <c r="G96" s="10"/>
      <c r="H96" s="10"/>
      <c r="I96" s="10"/>
      <c r="J96" s="252"/>
      <c r="K96" s="389"/>
      <c r="L96" s="389"/>
      <c r="M96" s="251"/>
      <c r="N96" s="881">
        <f>VLOOKUP($L$13,DataSheet1!$B$8:$EL$325,55,FALSE)</f>
        <v>3146258</v>
      </c>
      <c r="O96" s="882"/>
      <c r="P96" s="268"/>
      <c r="Q96" s="881">
        <f>VLOOKUP($L$13,DataSheet1!$B$8:$EL$325,56,FALSE)</f>
        <v>0</v>
      </c>
      <c r="R96" s="882"/>
      <c r="S96" s="268"/>
      <c r="T96" s="881">
        <f>VLOOKUP($L$13,DataSheet1!$B$8:$EL$325,57,FALSE)</f>
        <v>64209</v>
      </c>
      <c r="U96" s="882"/>
      <c r="V96" s="268"/>
      <c r="W96" s="881">
        <f>VLOOKUP($L$13,DataSheet1!$B$8:$EL$325,58,FALSE)</f>
        <v>3210467</v>
      </c>
      <c r="X96" s="882"/>
      <c r="Y96" s="252"/>
      <c r="Z96" s="11"/>
      <c r="AB96" s="146">
        <f>+IF(N96+Q96+T96-W96=0,0,1)</f>
        <v>0</v>
      </c>
      <c r="AD96" s="97"/>
      <c r="AE96" s="97"/>
      <c r="AF96" s="97"/>
      <c r="AG96" s="97"/>
      <c r="AH96" s="97"/>
      <c r="AI96" s="97"/>
      <c r="AJ96" s="97"/>
    </row>
    <row r="97" spans="1:36" ht="16.5" thickBot="1" x14ac:dyDescent="0.25">
      <c r="A97" s="233"/>
      <c r="B97" s="10"/>
      <c r="C97" s="10"/>
      <c r="D97" s="10"/>
      <c r="E97" s="10"/>
      <c r="F97" s="10"/>
      <c r="G97" s="10"/>
      <c r="H97" s="10"/>
      <c r="I97" s="10"/>
      <c r="J97" s="252"/>
      <c r="K97" s="251"/>
      <c r="L97" s="251"/>
      <c r="M97" s="251"/>
      <c r="N97" s="254"/>
      <c r="O97" s="251"/>
      <c r="P97" s="251"/>
      <c r="Q97" s="254"/>
      <c r="R97" s="251"/>
      <c r="S97" s="251"/>
      <c r="T97" s="254"/>
      <c r="U97" s="251"/>
      <c r="V97" s="251"/>
      <c r="W97" s="254"/>
      <c r="X97" s="251"/>
      <c r="Y97" s="252"/>
      <c r="Z97" s="11"/>
      <c r="AB97" s="146"/>
      <c r="AD97" s="97"/>
      <c r="AE97" s="97"/>
      <c r="AF97" s="97"/>
      <c r="AG97" s="97"/>
      <c r="AH97" s="97"/>
      <c r="AI97" s="97"/>
      <c r="AJ97" s="97"/>
    </row>
    <row r="98" spans="1:36" ht="16.5" thickBot="1" x14ac:dyDescent="0.25">
      <c r="A98" s="233"/>
      <c r="B98" s="10"/>
      <c r="C98" s="10"/>
      <c r="D98" s="10" t="s">
        <v>1164</v>
      </c>
      <c r="E98" s="10"/>
      <c r="F98" s="10"/>
      <c r="G98" s="10"/>
      <c r="H98" s="10"/>
      <c r="I98" s="10"/>
      <c r="J98" s="252"/>
      <c r="K98" s="251"/>
      <c r="L98" s="251"/>
      <c r="M98" s="251"/>
      <c r="N98" s="881">
        <f>VLOOKUP($L$13,DataSheet1!$B$8:$EL$325,59,FALSE)</f>
        <v>696578</v>
      </c>
      <c r="O98" s="882"/>
      <c r="P98" s="268"/>
      <c r="Q98" s="901"/>
      <c r="R98" s="901"/>
      <c r="S98" s="268"/>
      <c r="T98" s="901"/>
      <c r="U98" s="901"/>
      <c r="V98" s="268"/>
      <c r="W98" s="881">
        <f>VLOOKUP($L$13,DataSheet1!$B$8:$EL$325,60,FALSE)</f>
        <v>696578</v>
      </c>
      <c r="X98" s="882"/>
      <c r="Y98" s="252"/>
      <c r="Z98" s="11"/>
      <c r="AB98" s="146">
        <f>+IF(N98-W98=0,0,1)</f>
        <v>0</v>
      </c>
      <c r="AD98" s="97"/>
      <c r="AE98" s="97"/>
      <c r="AF98" s="97"/>
      <c r="AG98" s="97"/>
      <c r="AH98" s="97"/>
      <c r="AI98" s="97"/>
      <c r="AJ98" s="97"/>
    </row>
    <row r="99" spans="1:36" ht="15.75" x14ac:dyDescent="0.2">
      <c r="A99" s="233"/>
      <c r="B99" s="10"/>
      <c r="C99" s="10"/>
      <c r="D99" s="10"/>
      <c r="E99" s="10"/>
      <c r="F99" s="10"/>
      <c r="G99" s="10"/>
      <c r="H99" s="10"/>
      <c r="I99" s="10"/>
      <c r="J99" s="252"/>
      <c r="K99" s="251"/>
      <c r="L99" s="251"/>
      <c r="M99" s="251"/>
      <c r="N99" s="254"/>
      <c r="O99" s="251"/>
      <c r="P99" s="251"/>
      <c r="Q99" s="254"/>
      <c r="R99" s="251"/>
      <c r="S99" s="251"/>
      <c r="T99" s="254"/>
      <c r="U99" s="251"/>
      <c r="V99" s="251"/>
      <c r="W99" s="254"/>
      <c r="X99" s="251"/>
      <c r="Y99" s="252"/>
      <c r="Z99" s="11"/>
      <c r="AB99" s="146"/>
      <c r="AD99" s="97"/>
      <c r="AE99" s="97"/>
      <c r="AF99" s="97"/>
      <c r="AG99" s="97"/>
      <c r="AH99" s="97"/>
      <c r="AI99" s="97"/>
      <c r="AJ99" s="97"/>
    </row>
    <row r="100" spans="1:36" ht="15.75" x14ac:dyDescent="0.25">
      <c r="A100" s="233"/>
      <c r="B100" s="10"/>
      <c r="C100" s="13" t="s">
        <v>38</v>
      </c>
      <c r="D100" s="10"/>
      <c r="E100" s="10"/>
      <c r="F100" s="10"/>
      <c r="G100" s="10"/>
      <c r="H100" s="10"/>
      <c r="I100" s="10"/>
      <c r="J100" s="252"/>
      <c r="K100" s="893" t="s">
        <v>629</v>
      </c>
      <c r="L100" s="893"/>
      <c r="M100" s="250"/>
      <c r="N100" s="893" t="s">
        <v>629</v>
      </c>
      <c r="O100" s="893"/>
      <c r="P100" s="251"/>
      <c r="Q100" s="893" t="s">
        <v>629</v>
      </c>
      <c r="R100" s="893"/>
      <c r="S100" s="251"/>
      <c r="T100" s="893" t="s">
        <v>629</v>
      </c>
      <c r="U100" s="893"/>
      <c r="V100" s="250"/>
      <c r="W100" s="893" t="s">
        <v>629</v>
      </c>
      <c r="X100" s="893"/>
      <c r="Y100" s="252"/>
      <c r="Z100" s="11"/>
      <c r="AB100" s="146"/>
      <c r="AD100" s="97"/>
      <c r="AE100" s="97"/>
      <c r="AF100" s="97"/>
      <c r="AG100" s="97"/>
      <c r="AH100" s="97"/>
      <c r="AI100" s="97"/>
      <c r="AJ100" s="97"/>
    </row>
    <row r="101" spans="1:36" ht="15.75" x14ac:dyDescent="0.25">
      <c r="A101" s="233"/>
      <c r="B101" s="10"/>
      <c r="C101" s="13"/>
      <c r="D101" s="10"/>
      <c r="E101" s="10"/>
      <c r="F101" s="10"/>
      <c r="G101" s="10"/>
      <c r="H101" s="10"/>
      <c r="I101" s="10"/>
      <c r="J101" s="252"/>
      <c r="K101" s="624"/>
      <c r="L101" s="624"/>
      <c r="M101" s="250"/>
      <c r="N101" s="624"/>
      <c r="O101" s="624"/>
      <c r="P101" s="251"/>
      <c r="Q101" s="624"/>
      <c r="R101" s="624"/>
      <c r="S101" s="251"/>
      <c r="T101" s="624"/>
      <c r="U101" s="624"/>
      <c r="V101" s="250"/>
      <c r="W101" s="624"/>
      <c r="X101" s="624"/>
      <c r="Y101" s="252"/>
      <c r="Z101" s="631"/>
      <c r="AB101" s="146"/>
      <c r="AD101" s="97"/>
      <c r="AE101" s="97"/>
      <c r="AF101" s="97"/>
      <c r="AG101" s="97"/>
      <c r="AH101" s="97"/>
      <c r="AI101" s="97"/>
      <c r="AJ101" s="97"/>
    </row>
    <row r="102" spans="1:36" ht="15.75" x14ac:dyDescent="0.25">
      <c r="A102" s="233"/>
      <c r="B102" s="10"/>
      <c r="C102" s="13"/>
      <c r="D102" s="633" t="s">
        <v>1165</v>
      </c>
      <c r="E102" s="10"/>
      <c r="F102" s="10"/>
      <c r="G102" s="10"/>
      <c r="H102" s="10"/>
      <c r="I102" s="10"/>
      <c r="J102" s="252"/>
      <c r="K102" s="624"/>
      <c r="L102" s="624"/>
      <c r="M102" s="250"/>
      <c r="N102" s="624"/>
      <c r="O102" s="624"/>
      <c r="P102" s="251"/>
      <c r="Q102" s="624"/>
      <c r="R102" s="624"/>
      <c r="S102" s="251"/>
      <c r="T102" s="624"/>
      <c r="U102" s="624"/>
      <c r="V102" s="250"/>
      <c r="W102" s="624"/>
      <c r="X102" s="624"/>
      <c r="Y102" s="252"/>
      <c r="Z102" s="631"/>
      <c r="AB102" s="146"/>
      <c r="AD102" s="97"/>
      <c r="AE102" s="97"/>
      <c r="AF102" s="97"/>
      <c r="AG102" s="97"/>
      <c r="AH102" s="97"/>
      <c r="AI102" s="97"/>
      <c r="AJ102" s="97"/>
    </row>
    <row r="103" spans="1:36" ht="16.5" thickBot="1" x14ac:dyDescent="0.3">
      <c r="A103" s="233"/>
      <c r="B103" s="10"/>
      <c r="C103" s="13"/>
      <c r="D103" s="633"/>
      <c r="E103" s="10"/>
      <c r="F103" s="10"/>
      <c r="G103" s="10"/>
      <c r="H103" s="10"/>
      <c r="I103" s="10"/>
      <c r="J103" s="252"/>
      <c r="K103" s="624"/>
      <c r="L103" s="624"/>
      <c r="M103" s="250"/>
      <c r="N103" s="624"/>
      <c r="O103" s="624"/>
      <c r="P103" s="251"/>
      <c r="Q103" s="624"/>
      <c r="R103" s="624"/>
      <c r="S103" s="251"/>
      <c r="T103" s="624"/>
      <c r="U103" s="624"/>
      <c r="V103" s="250"/>
      <c r="W103" s="624"/>
      <c r="X103" s="624"/>
      <c r="Y103" s="252"/>
      <c r="Z103" s="631"/>
      <c r="AB103" s="146"/>
      <c r="AD103" s="97"/>
      <c r="AE103" s="97"/>
      <c r="AF103" s="97"/>
      <c r="AG103" s="97"/>
      <c r="AH103" s="97"/>
      <c r="AI103" s="97"/>
      <c r="AJ103" s="97"/>
    </row>
    <row r="104" spans="1:36" ht="15" customHeight="1" thickBot="1" x14ac:dyDescent="0.25">
      <c r="A104" s="233"/>
      <c r="B104" s="10"/>
      <c r="C104" s="10"/>
      <c r="D104" s="944" t="s">
        <v>1166</v>
      </c>
      <c r="E104" s="944"/>
      <c r="F104" s="944"/>
      <c r="G104" s="944"/>
      <c r="H104" s="944"/>
      <c r="I104" s="944"/>
      <c r="J104" s="252"/>
      <c r="K104" s="877" t="str">
        <f>VLOOKUP($L$13,DataSheet1!$B$8:$EL$325,61,FALSE)</f>
        <v>…</v>
      </c>
      <c r="L104" s="878"/>
      <c r="M104" s="843"/>
      <c r="N104" s="877" t="str">
        <f>VLOOKUP($L$13,DataSheet1!$B$8:$EL$325,62,FALSE)</f>
        <v>…</v>
      </c>
      <c r="O104" s="878"/>
      <c r="P104" s="843"/>
      <c r="Q104" s="899" t="str">
        <f>VLOOKUP($L$13,DataSheet1!$B$8:$EL$325,63,FALSE)</f>
        <v>…</v>
      </c>
      <c r="R104" s="900"/>
      <c r="S104" s="843"/>
      <c r="T104" s="899" t="str">
        <f>VLOOKUP($L$13,DataSheet1!$B$8:$EL$325,64,FALSE)</f>
        <v>…</v>
      </c>
      <c r="U104" s="900"/>
      <c r="V104" s="844"/>
      <c r="W104" s="899" t="str">
        <f>VLOOKUP($L$13,DataSheet1!$B$8:$EL$325,65,FALSE)</f>
        <v>…</v>
      </c>
      <c r="X104" s="900"/>
      <c r="Y104" s="252"/>
      <c r="Z104" s="11"/>
      <c r="AB104" s="620" t="e">
        <f>+IF(K104+N104+Q104+T104-W104=0,0,1)</f>
        <v>#VALUE!</v>
      </c>
      <c r="AD104" s="98"/>
      <c r="AE104" s="98"/>
      <c r="AF104" s="98"/>
      <c r="AG104" s="98"/>
      <c r="AH104" s="98"/>
      <c r="AI104" s="98"/>
      <c r="AJ104" s="98"/>
    </row>
    <row r="105" spans="1:36" ht="15" customHeight="1" thickBot="1" x14ac:dyDescent="0.25">
      <c r="A105" s="233"/>
      <c r="B105" s="10"/>
      <c r="C105" s="10"/>
      <c r="D105" s="944"/>
      <c r="E105" s="944"/>
      <c r="F105" s="944"/>
      <c r="G105" s="944"/>
      <c r="H105" s="944"/>
      <c r="I105" s="944"/>
      <c r="J105" s="252"/>
      <c r="K105" s="660"/>
      <c r="L105" s="660"/>
      <c r="M105" s="320"/>
      <c r="N105" s="660"/>
      <c r="O105" s="660"/>
      <c r="P105" s="320"/>
      <c r="Q105" s="661"/>
      <c r="R105" s="661"/>
      <c r="S105" s="320"/>
      <c r="T105" s="661"/>
      <c r="U105" s="661"/>
      <c r="V105" s="637"/>
      <c r="W105" s="662"/>
      <c r="X105" s="662"/>
      <c r="Y105" s="252"/>
      <c r="Z105" s="631"/>
      <c r="AB105" s="146"/>
      <c r="AD105" s="98"/>
      <c r="AE105" s="98"/>
      <c r="AF105" s="98"/>
      <c r="AG105" s="98"/>
      <c r="AH105" s="98"/>
      <c r="AI105" s="98"/>
      <c r="AJ105" s="98"/>
    </row>
    <row r="106" spans="1:36" ht="15" customHeight="1" thickBot="1" x14ac:dyDescent="0.25">
      <c r="A106" s="233"/>
      <c r="B106" s="10"/>
      <c r="C106" s="10"/>
      <c r="D106" s="945" t="s">
        <v>1189</v>
      </c>
      <c r="E106" s="945"/>
      <c r="F106" s="945"/>
      <c r="G106" s="945"/>
      <c r="H106" s="945"/>
      <c r="I106" s="945"/>
      <c r="J106" s="252"/>
      <c r="K106" s="908">
        <f>VLOOKUP($L$13,DataSheet1!$B$8:$EL$325,66,FALSE)</f>
        <v>1648866.740000017</v>
      </c>
      <c r="L106" s="910"/>
      <c r="M106" s="638"/>
      <c r="N106" s="908">
        <f>VLOOKUP($L$13,DataSheet1!$B$8:$EL$325,67,FALSE)</f>
        <v>160008032</v>
      </c>
      <c r="O106" s="910"/>
      <c r="P106" s="637"/>
      <c r="Q106" s="908">
        <f>VLOOKUP($L$13,DataSheet1!$B$8:$EL$325,68,FALSE)</f>
        <v>83412030</v>
      </c>
      <c r="R106" s="910"/>
      <c r="S106" s="637"/>
      <c r="T106" s="908">
        <f>VLOOKUP($L$13,DataSheet1!$B$8:$EL$325,69,FALSE)</f>
        <v>744542</v>
      </c>
      <c r="U106" s="909"/>
      <c r="V106" s="639"/>
      <c r="W106" s="881">
        <f>VLOOKUP($L$13,DataSheet1!$B$8:$EL$325,70,FALSE)</f>
        <v>245813470.74000001</v>
      </c>
      <c r="X106" s="943"/>
      <c r="Y106" s="252"/>
      <c r="Z106" s="11"/>
      <c r="AB106" s="620">
        <f>+IF(K106+N106+Q106+T106-W106=0,0,1)</f>
        <v>0</v>
      </c>
      <c r="AE106" s="98"/>
      <c r="AF106" s="98"/>
      <c r="AG106" s="98"/>
      <c r="AH106" s="98"/>
      <c r="AI106" s="98"/>
      <c r="AJ106" s="98"/>
    </row>
    <row r="107" spans="1:36" ht="15" customHeight="1" thickBot="1" x14ac:dyDescent="0.25">
      <c r="A107" s="233"/>
      <c r="B107" s="10"/>
      <c r="C107" s="10"/>
      <c r="D107" s="695"/>
      <c r="E107" s="695"/>
      <c r="F107" s="695"/>
      <c r="G107" s="695"/>
      <c r="H107" s="695"/>
      <c r="I107" s="695"/>
      <c r="J107" s="252"/>
      <c r="K107" s="634"/>
      <c r="L107" s="635"/>
      <c r="M107" s="598"/>
      <c r="N107" s="634"/>
      <c r="O107" s="635"/>
      <c r="P107" s="599"/>
      <c r="Q107" s="634"/>
      <c r="R107" s="635"/>
      <c r="S107" s="599"/>
      <c r="T107" s="636"/>
      <c r="U107" s="636"/>
      <c r="V107" s="598"/>
      <c r="W107" s="941"/>
      <c r="X107" s="942"/>
      <c r="Y107" s="252"/>
      <c r="Z107" s="631"/>
      <c r="AB107" s="146"/>
      <c r="AD107" s="98"/>
      <c r="AE107" s="98"/>
      <c r="AF107" s="98"/>
      <c r="AG107" s="98"/>
      <c r="AH107" s="98"/>
      <c r="AI107" s="98"/>
      <c r="AJ107" s="98"/>
    </row>
    <row r="108" spans="1:36" ht="15" customHeight="1" thickBot="1" x14ac:dyDescent="0.25">
      <c r="A108" s="233"/>
      <c r="B108" s="10"/>
      <c r="C108" s="10"/>
      <c r="D108" s="946" t="s">
        <v>1168</v>
      </c>
      <c r="E108" s="946"/>
      <c r="F108" s="946"/>
      <c r="G108" s="946"/>
      <c r="H108" s="946"/>
      <c r="I108" s="946"/>
      <c r="J108" s="252"/>
      <c r="K108" s="877" t="str">
        <f>VLOOKUP($L$13,DataSheet1!$B$8:$EL$325,71,FALSE)</f>
        <v>…</v>
      </c>
      <c r="L108" s="878"/>
      <c r="M108" s="843"/>
      <c r="N108" s="877" t="str">
        <f>VLOOKUP($L$13,DataSheet1!$B$8:$EL$325,72,FALSE)</f>
        <v>…</v>
      </c>
      <c r="O108" s="878"/>
      <c r="P108" s="843"/>
      <c r="Q108" s="899" t="str">
        <f>VLOOKUP($L$13,DataSheet1!$B$8:$EL$325,73,FALSE)</f>
        <v>…</v>
      </c>
      <c r="R108" s="900"/>
      <c r="S108" s="843"/>
      <c r="T108" s="899" t="str">
        <f>VLOOKUP($L$13,DataSheet1!$B$8:$EL$325,74,FALSE)</f>
        <v>…</v>
      </c>
      <c r="U108" s="900"/>
      <c r="V108" s="844"/>
      <c r="W108" s="899" t="str">
        <f>VLOOKUP($L$13,DataSheet1!$B$8:$EL$325,75,FALSE)</f>
        <v>…</v>
      </c>
      <c r="X108" s="900"/>
      <c r="Y108" s="252"/>
      <c r="Z108" s="631"/>
      <c r="AB108" s="620" t="e">
        <f>+IF(K108+N108+Q108+T108-W108=0,0,1)</f>
        <v>#VALUE!</v>
      </c>
      <c r="AD108" s="98"/>
      <c r="AE108" s="98"/>
      <c r="AF108" s="98"/>
      <c r="AG108" s="98"/>
      <c r="AH108" s="98"/>
      <c r="AI108" s="98"/>
      <c r="AJ108" s="98"/>
    </row>
    <row r="109" spans="1:36" ht="15" customHeight="1" thickBot="1" x14ac:dyDescent="0.25">
      <c r="A109" s="233"/>
      <c r="B109" s="10"/>
      <c r="C109" s="10"/>
      <c r="D109" s="946"/>
      <c r="E109" s="946"/>
      <c r="F109" s="946"/>
      <c r="G109" s="946"/>
      <c r="H109" s="946"/>
      <c r="I109" s="946"/>
      <c r="J109" s="252"/>
      <c r="K109" s="663"/>
      <c r="L109" s="663"/>
      <c r="M109" s="320"/>
      <c r="N109" s="663"/>
      <c r="O109" s="663"/>
      <c r="P109" s="320"/>
      <c r="Q109" s="662"/>
      <c r="R109" s="662"/>
      <c r="S109" s="320"/>
      <c r="T109" s="662"/>
      <c r="U109" s="662"/>
      <c r="V109" s="637"/>
      <c r="W109" s="661"/>
      <c r="X109" s="661"/>
      <c r="Y109" s="252"/>
      <c r="Z109" s="631"/>
      <c r="AB109" s="146"/>
      <c r="AD109" s="98"/>
      <c r="AE109" s="98"/>
      <c r="AF109" s="98"/>
      <c r="AG109" s="98"/>
      <c r="AH109" s="98"/>
      <c r="AI109" s="98"/>
      <c r="AJ109" s="98"/>
    </row>
    <row r="110" spans="1:36" ht="15" customHeight="1" thickBot="1" x14ac:dyDescent="0.25">
      <c r="A110" s="233"/>
      <c r="B110" s="10"/>
      <c r="C110" s="10"/>
      <c r="D110" s="945" t="s">
        <v>1190</v>
      </c>
      <c r="E110" s="945"/>
      <c r="F110" s="945"/>
      <c r="G110" s="945"/>
      <c r="H110" s="945"/>
      <c r="I110" s="945"/>
      <c r="J110" s="252"/>
      <c r="K110" s="881">
        <f>VLOOKUP($L$13,DataSheet1!$B$8:$EL$325,76,FALSE)</f>
        <v>-94928212.566681013</v>
      </c>
      <c r="L110" s="943"/>
      <c r="M110" s="639"/>
      <c r="N110" s="881">
        <f>VLOOKUP($L$13,DataSheet1!$B$8:$EL$325,77,FALSE)</f>
        <v>-75455184</v>
      </c>
      <c r="O110" s="882"/>
      <c r="P110" s="637"/>
      <c r="Q110" s="881">
        <f>VLOOKUP($L$13,DataSheet1!$B$8:$EL$325,78,FALSE)</f>
        <v>-19922646</v>
      </c>
      <c r="R110" s="882"/>
      <c r="S110" s="637"/>
      <c r="T110" s="881">
        <f>VLOOKUP($L$13,DataSheet1!$B$8:$EL$325,79,FALSE)</f>
        <v>-950949</v>
      </c>
      <c r="U110" s="882"/>
      <c r="V110" s="639"/>
      <c r="W110" s="908">
        <f>VLOOKUP($L$13,DataSheet1!$B$8:$EL$325,80,FALSE)</f>
        <v>-191256991.56668097</v>
      </c>
      <c r="X110" s="910"/>
      <c r="Y110" s="252"/>
      <c r="Z110" s="11"/>
      <c r="AB110" s="620">
        <f>+IF(K110+N110+Q110+T110-W110=0,0,1)</f>
        <v>1</v>
      </c>
      <c r="AE110" s="98"/>
      <c r="AF110" s="98"/>
      <c r="AG110" s="98"/>
      <c r="AH110" s="98"/>
      <c r="AI110" s="98"/>
      <c r="AJ110" s="98"/>
    </row>
    <row r="111" spans="1:36" ht="15" customHeight="1" thickBot="1" x14ac:dyDescent="0.25">
      <c r="A111" s="233"/>
      <c r="B111" s="10"/>
      <c r="C111" s="10"/>
      <c r="D111" s="695"/>
      <c r="E111" s="695"/>
      <c r="F111" s="695"/>
      <c r="G111" s="695"/>
      <c r="H111" s="695"/>
      <c r="I111" s="695"/>
      <c r="J111" s="252"/>
      <c r="K111" s="626"/>
      <c r="L111" s="627"/>
      <c r="M111" s="598"/>
      <c r="N111" s="626"/>
      <c r="O111" s="627"/>
      <c r="P111" s="599"/>
      <c r="Q111" s="626"/>
      <c r="R111" s="627"/>
      <c r="S111" s="599"/>
      <c r="T111" s="628"/>
      <c r="U111" s="628"/>
      <c r="V111" s="598"/>
      <c r="W111" s="626"/>
      <c r="X111" s="627"/>
      <c r="Y111" s="252"/>
      <c r="Z111" s="631"/>
      <c r="AB111" s="146"/>
      <c r="AD111" s="98"/>
      <c r="AE111" s="98"/>
      <c r="AF111" s="98"/>
      <c r="AG111" s="98"/>
      <c r="AH111" s="98"/>
      <c r="AI111" s="98"/>
      <c r="AJ111" s="98"/>
    </row>
    <row r="112" spans="1:36" s="224" customFormat="1" ht="16.5" thickBot="1" x14ac:dyDescent="0.25">
      <c r="A112" s="233"/>
      <c r="B112" s="617"/>
      <c r="C112" s="617"/>
      <c r="D112" s="10" t="s">
        <v>1169</v>
      </c>
      <c r="E112" s="10"/>
      <c r="F112" s="10"/>
      <c r="G112" s="10"/>
      <c r="H112" s="10"/>
      <c r="I112" s="10"/>
      <c r="J112" s="618"/>
      <c r="K112" s="875">
        <f>VLOOKUP($L$13,DataSheet1!$B$8:$EL$325,81,FALSE)</f>
        <v>-93279353</v>
      </c>
      <c r="L112" s="876"/>
      <c r="M112" s="269"/>
      <c r="N112" s="875">
        <f>VLOOKUP($L$13,DataSheet1!$B$8:$EL$325,82,FALSE)</f>
        <v>84552841</v>
      </c>
      <c r="O112" s="876"/>
      <c r="P112" s="269"/>
      <c r="Q112" s="875">
        <f>VLOOKUP($L$13,DataSheet1!$B$8:$EL$325,83,FALSE)</f>
        <v>63489389</v>
      </c>
      <c r="R112" s="876"/>
      <c r="S112" s="269"/>
      <c r="T112" s="875">
        <f>VLOOKUP($L$13,DataSheet1!$B$8:$EL$325,84,FALSE)</f>
        <v>-206400</v>
      </c>
      <c r="U112" s="876"/>
      <c r="V112" s="269"/>
      <c r="W112" s="875">
        <f>VLOOKUP($L$13,DataSheet1!$B$8:$EL$325,85,FALSE)</f>
        <v>54556479.173319004</v>
      </c>
      <c r="X112" s="876"/>
      <c r="Y112" s="618"/>
      <c r="Z112" s="619"/>
      <c r="AA112" s="222"/>
      <c r="AB112" s="620">
        <f>+IF(ROUND(K112+N112+Q112+T112-W112,0)=0,0,1)</f>
        <v>1</v>
      </c>
      <c r="AD112" s="621"/>
      <c r="AE112" s="621"/>
      <c r="AF112" s="621"/>
      <c r="AG112" s="621"/>
      <c r="AH112" s="621"/>
      <c r="AI112" s="621"/>
      <c r="AJ112" s="621"/>
    </row>
    <row r="113" spans="1:256" ht="15.75" thickBot="1" x14ac:dyDescent="0.25">
      <c r="A113" s="233"/>
      <c r="B113" s="10"/>
      <c r="C113" s="10"/>
      <c r="D113" s="10"/>
      <c r="E113" s="10"/>
      <c r="F113" s="10"/>
      <c r="G113" s="10"/>
      <c r="H113" s="10"/>
      <c r="I113" s="10"/>
      <c r="J113" s="252"/>
      <c r="K113" s="268"/>
      <c r="L113" s="268"/>
      <c r="M113" s="268"/>
      <c r="N113" s="268"/>
      <c r="O113" s="268"/>
      <c r="P113" s="268"/>
      <c r="Q113" s="268"/>
      <c r="R113" s="268"/>
      <c r="S113" s="268"/>
      <c r="T113" s="268"/>
      <c r="U113" s="268"/>
      <c r="V113" s="268"/>
      <c r="W113" s="268"/>
      <c r="X113" s="268"/>
      <c r="Y113" s="252"/>
      <c r="Z113" s="11"/>
      <c r="AB113" s="146"/>
      <c r="AD113" s="97"/>
      <c r="AE113" s="97"/>
      <c r="AF113" s="97"/>
      <c r="AG113" s="97"/>
      <c r="AH113" s="97"/>
      <c r="AI113" s="97"/>
      <c r="AJ113" s="97"/>
    </row>
    <row r="114" spans="1:256" x14ac:dyDescent="0.2">
      <c r="A114" s="233"/>
      <c r="B114" s="17"/>
      <c r="C114" s="18"/>
      <c r="D114" s="18"/>
      <c r="E114" s="18"/>
      <c r="F114" s="18"/>
      <c r="G114" s="18"/>
      <c r="H114" s="18"/>
      <c r="I114" s="18"/>
      <c r="J114" s="261"/>
      <c r="K114" s="270"/>
      <c r="L114" s="270"/>
      <c r="M114" s="270"/>
      <c r="N114" s="270"/>
      <c r="O114" s="270"/>
      <c r="P114" s="270"/>
      <c r="Q114" s="270"/>
      <c r="R114" s="270"/>
      <c r="S114" s="270"/>
      <c r="T114" s="270"/>
      <c r="U114" s="270"/>
      <c r="V114" s="270"/>
      <c r="W114" s="270"/>
      <c r="X114" s="270"/>
      <c r="Y114" s="256"/>
      <c r="Z114" s="11"/>
      <c r="AB114" s="146"/>
      <c r="AD114" s="97"/>
      <c r="AE114" s="97"/>
      <c r="AF114" s="97"/>
      <c r="AG114" s="97"/>
      <c r="AH114" s="97"/>
      <c r="AI114" s="97"/>
      <c r="AJ114" s="97"/>
    </row>
    <row r="115" spans="1:256" ht="16.5" thickBot="1" x14ac:dyDescent="0.3">
      <c r="A115" s="233"/>
      <c r="B115" s="19"/>
      <c r="C115" s="20" t="s">
        <v>647</v>
      </c>
      <c r="D115" s="8"/>
      <c r="E115" s="8"/>
      <c r="F115" s="8"/>
      <c r="G115" s="8"/>
      <c r="H115" s="8"/>
      <c r="I115" s="8"/>
      <c r="J115" s="252"/>
      <c r="K115" s="901" t="s">
        <v>629</v>
      </c>
      <c r="L115" s="901"/>
      <c r="M115" s="268"/>
      <c r="N115" s="901" t="s">
        <v>629</v>
      </c>
      <c r="O115" s="901"/>
      <c r="P115" s="268"/>
      <c r="Q115" s="901" t="s">
        <v>629</v>
      </c>
      <c r="R115" s="901"/>
      <c r="S115" s="268"/>
      <c r="T115" s="901" t="s">
        <v>629</v>
      </c>
      <c r="U115" s="901"/>
      <c r="V115" s="268"/>
      <c r="W115" s="901" t="s">
        <v>629</v>
      </c>
      <c r="X115" s="901"/>
      <c r="Y115" s="257"/>
      <c r="Z115" s="11"/>
      <c r="AB115" s="146"/>
      <c r="AD115" s="97"/>
      <c r="AE115" s="97"/>
      <c r="AF115" s="97"/>
      <c r="AG115" s="97"/>
      <c r="AH115" s="97"/>
      <c r="AI115" s="97"/>
      <c r="AJ115" s="97"/>
    </row>
    <row r="116" spans="1:256" ht="16.5" thickBot="1" x14ac:dyDescent="0.25">
      <c r="A116" s="233"/>
      <c r="B116" s="19"/>
      <c r="C116" s="8" t="s">
        <v>1170</v>
      </c>
      <c r="D116" s="8"/>
      <c r="E116" s="8"/>
      <c r="F116" s="8"/>
      <c r="G116" s="8"/>
      <c r="H116" s="8"/>
      <c r="I116" s="8"/>
      <c r="J116" s="252"/>
      <c r="K116" s="875">
        <f>VLOOKUP($L$13,DataSheet1!$B$8:$EL$325,86,FALSE)</f>
        <v>7400594400</v>
      </c>
      <c r="L116" s="876"/>
      <c r="M116" s="268"/>
      <c r="N116" s="875">
        <f>VLOOKUP($L$13,DataSheet1!$B$8:$EL$325,87,FALSE)</f>
        <v>13777401497</v>
      </c>
      <c r="O116" s="876"/>
      <c r="P116" s="268"/>
      <c r="Q116" s="875">
        <f>VLOOKUP($L$13,DataSheet1!$B$8:$EL$325,88,FALSE)</f>
        <v>3929559308</v>
      </c>
      <c r="R116" s="876"/>
      <c r="S116" s="268"/>
      <c r="T116" s="875">
        <f>VLOOKUP($L$13,DataSheet1!$B$8:$EL$325,89,FALSE)</f>
        <v>138461867</v>
      </c>
      <c r="U116" s="876"/>
      <c r="V116" s="268"/>
      <c r="W116" s="875">
        <f>VLOOKUP($L$13,DataSheet1!$B$8:$EL$325,90,FALSE)</f>
        <v>25246030435</v>
      </c>
      <c r="X116" s="876"/>
      <c r="Y116" s="257"/>
      <c r="Z116" s="55"/>
      <c r="AB116" s="147">
        <f>IF(AND(K72=0,K52-N76-Q76-T76&lt;&gt;0),0,+IF(K116+N116+Q116+T116-W116=0,0,1))</f>
        <v>1</v>
      </c>
      <c r="AC116" s="97"/>
      <c r="AD116" s="97"/>
      <c r="AE116" s="97"/>
      <c r="AF116" s="97"/>
      <c r="AG116" s="97"/>
      <c r="AH116" s="97"/>
      <c r="AI116" s="97"/>
      <c r="AJ116" s="97"/>
    </row>
    <row r="117" spans="1:256" s="673" customFormat="1" ht="15.75" thickBot="1" x14ac:dyDescent="0.25">
      <c r="A117" s="233"/>
      <c r="B117" s="667"/>
      <c r="C117" s="668"/>
      <c r="D117" s="668"/>
      <c r="E117" s="668"/>
      <c r="F117" s="668"/>
      <c r="G117" s="668"/>
      <c r="H117" s="668"/>
      <c r="I117" s="668"/>
      <c r="J117" s="669"/>
      <c r="K117" s="669"/>
      <c r="L117" s="669"/>
      <c r="M117" s="669"/>
      <c r="N117" s="669"/>
      <c r="O117" s="669"/>
      <c r="P117" s="669"/>
      <c r="Q117" s="669"/>
      <c r="R117" s="669"/>
      <c r="S117" s="669"/>
      <c r="T117" s="669"/>
      <c r="U117" s="669"/>
      <c r="V117" s="669"/>
      <c r="W117" s="669"/>
      <c r="X117" s="669"/>
      <c r="Y117" s="670"/>
      <c r="Z117" s="671"/>
      <c r="AA117" s="672"/>
      <c r="AD117" s="674"/>
      <c r="AE117" s="674"/>
      <c r="AF117" s="674"/>
      <c r="AG117" s="674"/>
      <c r="AH117" s="674"/>
      <c r="AI117" s="674"/>
      <c r="AJ117" s="674"/>
    </row>
    <row r="118" spans="1:256" s="673" customFormat="1" x14ac:dyDescent="0.2">
      <c r="A118" s="233"/>
      <c r="B118" s="675"/>
      <c r="C118" s="675"/>
      <c r="D118" s="675"/>
      <c r="E118" s="675"/>
      <c r="F118" s="675"/>
      <c r="G118" s="675"/>
      <c r="H118" s="675"/>
      <c r="I118" s="675"/>
      <c r="J118" s="675"/>
      <c r="K118" s="675"/>
      <c r="L118" s="675"/>
      <c r="M118" s="675"/>
      <c r="N118" s="675"/>
      <c r="O118" s="675"/>
      <c r="P118" s="675"/>
      <c r="Q118" s="675"/>
      <c r="R118" s="675"/>
      <c r="S118" s="675"/>
      <c r="T118" s="675"/>
      <c r="U118" s="675"/>
      <c r="V118" s="675"/>
      <c r="W118" s="675"/>
      <c r="X118" s="675"/>
      <c r="Y118" s="675"/>
      <c r="Z118" s="671"/>
      <c r="AA118" s="672"/>
      <c r="AD118" s="674"/>
      <c r="AE118" s="674"/>
      <c r="AF118" s="674"/>
      <c r="AG118" s="674"/>
      <c r="AH118" s="674"/>
      <c r="AI118" s="674"/>
      <c r="AJ118" s="674"/>
    </row>
    <row r="119" spans="1:256" s="673" customFormat="1" x14ac:dyDescent="0.2">
      <c r="A119" s="235"/>
      <c r="B119" s="676"/>
      <c r="C119" s="676"/>
      <c r="D119" s="676"/>
      <c r="E119" s="676"/>
      <c r="F119" s="676"/>
      <c r="G119" s="676"/>
      <c r="H119" s="676"/>
      <c r="I119" s="676"/>
      <c r="J119" s="676"/>
      <c r="K119" s="676"/>
      <c r="L119" s="676"/>
      <c r="M119" s="676"/>
      <c r="N119" s="676"/>
      <c r="O119" s="676"/>
      <c r="P119" s="676"/>
      <c r="Q119" s="676"/>
      <c r="R119" s="676"/>
      <c r="S119" s="676"/>
      <c r="T119" s="676"/>
      <c r="U119" s="676"/>
      <c r="V119" s="676"/>
      <c r="W119" s="676"/>
      <c r="X119" s="676"/>
      <c r="Y119" s="676"/>
      <c r="Z119" s="677"/>
      <c r="AA119" s="672"/>
      <c r="AD119" s="674"/>
      <c r="AE119" s="674"/>
      <c r="AF119" s="674"/>
      <c r="AG119" s="674"/>
      <c r="AH119" s="674"/>
      <c r="AI119" s="674"/>
      <c r="AJ119" s="674"/>
    </row>
    <row r="120" spans="1:256" ht="15.75" thickBot="1" x14ac:dyDescent="0.25">
      <c r="A120" s="236"/>
      <c r="B120" s="96"/>
      <c r="C120" s="947"/>
      <c r="D120" s="947"/>
      <c r="E120" s="947"/>
      <c r="F120" s="947"/>
      <c r="G120" s="947"/>
      <c r="H120" s="947"/>
      <c r="I120" s="947"/>
      <c r="J120" s="96"/>
      <c r="K120" s="96"/>
      <c r="L120" s="96"/>
      <c r="M120" s="96"/>
      <c r="N120" s="96"/>
      <c r="O120" s="96"/>
      <c r="P120" s="96"/>
      <c r="Q120" s="96"/>
      <c r="R120" s="96"/>
      <c r="S120" s="96"/>
      <c r="T120" s="96"/>
      <c r="U120" s="96"/>
      <c r="V120" s="96"/>
      <c r="W120" s="96"/>
      <c r="X120" s="96"/>
      <c r="Y120" s="96"/>
      <c r="Z120" s="118"/>
      <c r="AB120" s="9"/>
      <c r="AC120" s="97"/>
    </row>
    <row r="121" spans="1:256" x14ac:dyDescent="0.2">
      <c r="A121" s="300"/>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2"/>
      <c r="AB121" s="9"/>
    </row>
    <row r="122" spans="1:256" ht="15.75" x14ac:dyDescent="0.25">
      <c r="A122" s="237"/>
      <c r="B122" s="2"/>
      <c r="C122" s="12" t="str">
        <f>+CONCATENATE("Local Authority : ",+'Part 1'!$L$12)</f>
        <v>Local Authority : England</v>
      </c>
      <c r="D122" s="2"/>
      <c r="E122" s="2"/>
      <c r="F122" s="2"/>
      <c r="G122" s="2"/>
      <c r="H122" s="2"/>
      <c r="I122" s="2"/>
      <c r="J122" s="2"/>
      <c r="K122" s="2"/>
      <c r="L122" s="2"/>
      <c r="M122" s="2"/>
      <c r="N122" s="2"/>
      <c r="O122" s="2"/>
      <c r="P122" s="2"/>
      <c r="Q122" s="2"/>
      <c r="R122" s="2"/>
      <c r="S122" s="2"/>
      <c r="T122" s="2"/>
      <c r="U122" s="2"/>
      <c r="V122" s="2"/>
      <c r="W122" s="362">
        <f>+W15</f>
        <v>0</v>
      </c>
      <c r="X122" s="717">
        <f>+X57</f>
        <v>0</v>
      </c>
      <c r="Y122" s="2"/>
      <c r="Z122" s="11"/>
      <c r="AB122" s="9"/>
    </row>
    <row r="123" spans="1:256" ht="15.75" x14ac:dyDescent="0.25">
      <c r="A123" s="237"/>
      <c r="B123" s="2"/>
      <c r="C123" s="12"/>
      <c r="D123" s="2"/>
      <c r="E123" s="2"/>
      <c r="F123" s="2"/>
      <c r="G123" s="2"/>
      <c r="H123" s="2"/>
      <c r="I123" s="2"/>
      <c r="J123" s="2"/>
      <c r="K123" s="2"/>
      <c r="L123" s="2"/>
      <c r="M123" s="2"/>
      <c r="N123" s="2"/>
      <c r="O123" s="2"/>
      <c r="P123" s="2"/>
      <c r="Q123" s="2"/>
      <c r="R123" s="2"/>
      <c r="S123" s="2"/>
      <c r="T123" s="2"/>
      <c r="U123" s="2"/>
      <c r="V123" s="2"/>
      <c r="W123" s="2"/>
      <c r="X123" s="2"/>
      <c r="Y123" s="2"/>
      <c r="Z123" s="11"/>
      <c r="AB123" s="9"/>
    </row>
    <row r="124" spans="1:256" ht="15.75" x14ac:dyDescent="0.25">
      <c r="A124" s="237"/>
      <c r="B124" s="2"/>
      <c r="C124" s="13" t="s">
        <v>1200</v>
      </c>
      <c r="D124" s="2"/>
      <c r="E124" s="2"/>
      <c r="F124" s="2"/>
      <c r="G124" s="2"/>
      <c r="H124" s="2"/>
      <c r="I124" s="2"/>
      <c r="J124" s="2"/>
      <c r="K124" s="2"/>
      <c r="L124" s="2"/>
      <c r="M124" s="2"/>
      <c r="N124" s="2"/>
      <c r="O124" s="2"/>
      <c r="P124" s="2"/>
      <c r="Q124" s="2"/>
      <c r="R124" s="2"/>
      <c r="S124" s="2"/>
      <c r="T124" s="2"/>
      <c r="U124" s="2"/>
      <c r="V124" s="2"/>
      <c r="W124" s="2"/>
      <c r="X124" s="2"/>
      <c r="Y124" s="2"/>
      <c r="Z124" s="11"/>
      <c r="AA124" s="333"/>
      <c r="AB124" s="332"/>
      <c r="AC124" s="332"/>
      <c r="AD124" s="332"/>
      <c r="AE124" s="332"/>
      <c r="AF124" s="332"/>
      <c r="AG124" s="332"/>
      <c r="AH124" s="332"/>
      <c r="AI124" s="332"/>
      <c r="AJ124" s="332"/>
      <c r="AK124" s="332"/>
      <c r="AL124" s="332"/>
      <c r="AM124" s="332"/>
      <c r="AN124" s="332"/>
      <c r="AO124" s="332"/>
      <c r="AP124" s="332"/>
      <c r="AQ124" s="332"/>
      <c r="AR124" s="332"/>
      <c r="AS124" s="332"/>
      <c r="AT124" s="332"/>
      <c r="AU124" s="332"/>
      <c r="AV124" s="332"/>
      <c r="AW124" s="332"/>
      <c r="AX124" s="332"/>
      <c r="AY124" s="332"/>
      <c r="AZ124" s="332"/>
      <c r="BA124" s="332"/>
      <c r="BB124" s="332"/>
      <c r="BC124" s="332"/>
      <c r="BD124" s="332"/>
      <c r="BE124" s="332"/>
      <c r="BF124" s="332"/>
      <c r="BG124" s="332"/>
      <c r="BH124" s="332"/>
      <c r="BI124" s="332"/>
      <c r="BJ124" s="332"/>
      <c r="BK124" s="332"/>
      <c r="BL124" s="332"/>
      <c r="BM124" s="332"/>
      <c r="BN124" s="332"/>
      <c r="BO124" s="332"/>
      <c r="BP124" s="332"/>
      <c r="BQ124" s="332"/>
      <c r="BR124" s="332"/>
      <c r="BS124" s="332"/>
      <c r="BT124" s="332"/>
      <c r="BU124" s="332"/>
      <c r="BV124" s="332"/>
      <c r="BW124" s="332"/>
      <c r="BX124" s="332"/>
      <c r="BY124" s="332"/>
      <c r="BZ124" s="332"/>
      <c r="CA124" s="332"/>
      <c r="CB124" s="332"/>
      <c r="CC124" s="332"/>
      <c r="CD124" s="332"/>
      <c r="CE124" s="332"/>
      <c r="CF124" s="332"/>
      <c r="CG124" s="332"/>
      <c r="CH124" s="332"/>
      <c r="CI124" s="332"/>
      <c r="CJ124" s="332"/>
      <c r="CK124" s="332"/>
      <c r="CL124" s="332"/>
      <c r="CM124" s="332"/>
      <c r="CN124" s="332"/>
      <c r="CO124" s="332"/>
      <c r="CP124" s="332"/>
      <c r="CQ124" s="332"/>
      <c r="CR124" s="332"/>
      <c r="CS124" s="332"/>
      <c r="CT124" s="332"/>
      <c r="CU124" s="332"/>
      <c r="CV124" s="332"/>
      <c r="CW124" s="332"/>
      <c r="CX124" s="332"/>
      <c r="CY124" s="332"/>
      <c r="CZ124" s="332"/>
      <c r="DA124" s="332"/>
      <c r="DB124" s="332"/>
      <c r="DC124" s="332"/>
      <c r="DD124" s="332"/>
      <c r="DE124" s="332"/>
      <c r="DF124" s="332"/>
      <c r="DG124" s="332"/>
      <c r="DH124" s="332"/>
      <c r="DI124" s="332"/>
      <c r="DJ124" s="332"/>
      <c r="DK124" s="332"/>
      <c r="DL124" s="332"/>
      <c r="DM124" s="332"/>
      <c r="DN124" s="332"/>
      <c r="DO124" s="332"/>
      <c r="DP124" s="332"/>
      <c r="DQ124" s="332"/>
      <c r="DR124" s="332"/>
      <c r="DS124" s="332"/>
      <c r="DT124" s="332"/>
      <c r="DU124" s="332"/>
      <c r="DV124" s="332"/>
      <c r="DW124" s="332"/>
      <c r="DX124" s="332"/>
      <c r="DY124" s="332"/>
      <c r="DZ124" s="332"/>
      <c r="EA124" s="332"/>
      <c r="EB124" s="332"/>
      <c r="EC124" s="332"/>
      <c r="ED124" s="332"/>
      <c r="EE124" s="332"/>
      <c r="EF124" s="332"/>
      <c r="EG124" s="332"/>
      <c r="EH124" s="332"/>
      <c r="EI124" s="332"/>
      <c r="EJ124" s="332"/>
      <c r="EK124" s="332"/>
      <c r="EL124" s="332"/>
      <c r="EM124" s="332"/>
      <c r="EN124" s="332"/>
      <c r="EO124" s="332"/>
      <c r="EP124" s="332"/>
      <c r="EQ124" s="332"/>
      <c r="ER124" s="332"/>
      <c r="ES124" s="332"/>
      <c r="ET124" s="332"/>
      <c r="EU124" s="332"/>
      <c r="EV124" s="332"/>
      <c r="EW124" s="332"/>
      <c r="EX124" s="332"/>
      <c r="EY124" s="332"/>
      <c r="EZ124" s="332"/>
      <c r="FA124" s="332"/>
      <c r="FB124" s="332"/>
      <c r="FC124" s="332"/>
      <c r="FD124" s="332"/>
      <c r="FE124" s="332"/>
      <c r="FF124" s="332"/>
      <c r="FG124" s="332"/>
      <c r="FH124" s="332"/>
      <c r="FI124" s="332"/>
      <c r="FJ124" s="332"/>
      <c r="FK124" s="332"/>
      <c r="FL124" s="332"/>
      <c r="FM124" s="332"/>
      <c r="FN124" s="332"/>
      <c r="FO124" s="332"/>
      <c r="FP124" s="332"/>
      <c r="FQ124" s="332"/>
      <c r="FR124" s="332"/>
      <c r="FS124" s="332"/>
      <c r="FT124" s="332"/>
      <c r="FU124" s="332"/>
      <c r="FV124" s="332"/>
      <c r="FW124" s="332"/>
      <c r="FX124" s="332"/>
      <c r="FY124" s="332"/>
      <c r="FZ124" s="332"/>
      <c r="GA124" s="332"/>
      <c r="GB124" s="332"/>
      <c r="GC124" s="332"/>
      <c r="GD124" s="332"/>
    </row>
    <row r="125" spans="1:256" ht="15.75" x14ac:dyDescent="0.25">
      <c r="A125" s="303"/>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304"/>
      <c r="AA125" s="331"/>
      <c r="AB125" s="330"/>
      <c r="AC125" s="331"/>
      <c r="AD125" s="331"/>
      <c r="AE125" s="331"/>
      <c r="AF125" s="331"/>
      <c r="AG125" s="331"/>
      <c r="AH125" s="331"/>
      <c r="AI125" s="331"/>
      <c r="AJ125" s="331"/>
      <c r="AK125" s="331"/>
      <c r="AL125" s="331"/>
      <c r="AM125" s="331"/>
      <c r="AN125" s="331"/>
      <c r="AO125" s="331"/>
      <c r="AP125" s="331"/>
      <c r="AQ125" s="331"/>
      <c r="AR125" s="331"/>
      <c r="AS125" s="331"/>
      <c r="AT125" s="331"/>
      <c r="AU125" s="331"/>
      <c r="AV125" s="331"/>
      <c r="AW125" s="331"/>
      <c r="AX125" s="331"/>
      <c r="AY125" s="331"/>
      <c r="AZ125" s="331"/>
      <c r="BA125" s="331"/>
      <c r="BB125" s="331"/>
      <c r="BC125" s="331"/>
      <c r="BD125" s="331"/>
      <c r="BE125" s="331"/>
      <c r="BF125" s="331"/>
      <c r="BG125" s="331"/>
      <c r="BH125" s="331"/>
      <c r="BI125" s="331"/>
      <c r="BJ125" s="331"/>
      <c r="BK125" s="331"/>
      <c r="BL125" s="331"/>
      <c r="BM125" s="331"/>
      <c r="BN125" s="331"/>
      <c r="BO125" s="331"/>
      <c r="BP125" s="331"/>
      <c r="BQ125" s="331"/>
      <c r="BR125" s="331"/>
      <c r="BS125" s="331"/>
      <c r="BT125" s="331"/>
      <c r="BU125" s="331"/>
      <c r="BV125" s="331"/>
      <c r="BW125" s="331"/>
      <c r="BX125" s="331"/>
      <c r="BY125" s="331"/>
      <c r="BZ125" s="331"/>
      <c r="CA125" s="331"/>
      <c r="CB125" s="331"/>
      <c r="CC125" s="331"/>
      <c r="CD125" s="331"/>
      <c r="CE125" s="331"/>
      <c r="CF125" s="331"/>
      <c r="CG125" s="331"/>
      <c r="CH125" s="331"/>
      <c r="CI125" s="331"/>
      <c r="CJ125" s="331"/>
      <c r="CK125" s="331"/>
      <c r="CL125" s="331"/>
      <c r="CM125" s="331"/>
      <c r="CN125" s="331"/>
      <c r="CO125" s="331"/>
      <c r="CP125" s="331"/>
      <c r="CQ125" s="331"/>
      <c r="CR125" s="331"/>
      <c r="CS125" s="331"/>
      <c r="CT125" s="331"/>
      <c r="CU125" s="331"/>
      <c r="CV125" s="331"/>
      <c r="CW125" s="331"/>
      <c r="CX125" s="331"/>
      <c r="CY125" s="331"/>
      <c r="CZ125" s="331"/>
      <c r="DA125" s="331"/>
      <c r="DB125" s="331"/>
      <c r="DC125" s="331"/>
      <c r="DD125" s="331"/>
      <c r="DE125" s="331"/>
      <c r="DF125" s="331"/>
      <c r="DG125" s="331"/>
      <c r="DH125" s="331"/>
      <c r="DI125" s="331"/>
      <c r="DJ125" s="331"/>
      <c r="DK125" s="331"/>
      <c r="DL125" s="331"/>
      <c r="DM125" s="331"/>
      <c r="DN125" s="331"/>
      <c r="DO125" s="331"/>
      <c r="DP125" s="331"/>
      <c r="DQ125" s="331"/>
      <c r="DR125" s="331"/>
      <c r="DS125" s="331"/>
      <c r="DT125" s="331"/>
      <c r="DU125" s="331"/>
      <c r="DV125" s="331"/>
      <c r="DW125" s="331"/>
      <c r="DX125" s="331"/>
      <c r="DY125" s="331"/>
      <c r="DZ125" s="331"/>
      <c r="EA125" s="331"/>
      <c r="EB125" s="331"/>
      <c r="EC125" s="331"/>
      <c r="ED125" s="331"/>
      <c r="EE125" s="331"/>
      <c r="EF125" s="331"/>
      <c r="EG125" s="331"/>
      <c r="EH125" s="331"/>
      <c r="EI125" s="331"/>
      <c r="EJ125" s="331"/>
      <c r="EK125" s="331"/>
      <c r="EL125" s="331"/>
      <c r="EM125" s="331"/>
      <c r="EN125" s="331"/>
      <c r="EO125" s="331"/>
      <c r="EP125" s="331"/>
      <c r="EQ125" s="331"/>
      <c r="ER125" s="331"/>
      <c r="ES125" s="331"/>
      <c r="ET125" s="331"/>
      <c r="EU125" s="331"/>
      <c r="EV125" s="331"/>
      <c r="EW125" s="331"/>
      <c r="EX125" s="331"/>
      <c r="EY125" s="331"/>
      <c r="EZ125" s="331"/>
      <c r="FA125" s="331"/>
      <c r="FB125" s="331"/>
      <c r="FC125" s="331"/>
      <c r="FD125" s="331"/>
      <c r="FE125" s="331"/>
      <c r="FF125" s="331"/>
      <c r="FG125" s="331"/>
      <c r="FH125" s="331"/>
      <c r="FI125" s="331"/>
      <c r="FJ125" s="331"/>
      <c r="FK125" s="331"/>
      <c r="FL125" s="331"/>
      <c r="FM125" s="331"/>
      <c r="FN125" s="331"/>
      <c r="FO125" s="331"/>
      <c r="FP125" s="331"/>
      <c r="FQ125" s="331"/>
      <c r="FR125" s="331"/>
      <c r="FS125" s="331"/>
      <c r="FT125" s="331"/>
      <c r="FU125" s="331"/>
      <c r="FV125" s="331"/>
      <c r="FW125" s="331"/>
      <c r="FX125" s="331"/>
      <c r="FY125" s="331"/>
      <c r="FZ125" s="331"/>
      <c r="GA125" s="331"/>
      <c r="GB125" s="331"/>
      <c r="GC125" s="331"/>
      <c r="GD125" s="331"/>
      <c r="GE125" s="171"/>
      <c r="GF125" s="171"/>
      <c r="GG125" s="171"/>
      <c r="GH125" s="171"/>
      <c r="GI125" s="171"/>
      <c r="GJ125" s="171"/>
      <c r="GK125" s="171"/>
      <c r="GL125" s="171"/>
      <c r="GM125" s="171"/>
      <c r="GN125" s="171"/>
      <c r="GO125" s="171"/>
      <c r="GP125" s="171"/>
      <c r="GQ125" s="171"/>
      <c r="GR125" s="171"/>
      <c r="GS125" s="171"/>
      <c r="GT125" s="171"/>
      <c r="GU125" s="171"/>
      <c r="GV125" s="171"/>
      <c r="GW125" s="171"/>
      <c r="GX125" s="171"/>
      <c r="GY125" s="171"/>
      <c r="GZ125" s="171"/>
      <c r="HA125" s="171"/>
      <c r="HB125" s="171"/>
      <c r="HC125" s="171"/>
      <c r="HD125" s="171"/>
      <c r="HE125" s="171"/>
      <c r="HF125" s="171"/>
      <c r="HG125" s="171"/>
      <c r="HH125" s="171"/>
      <c r="HI125" s="171"/>
      <c r="HJ125" s="171"/>
      <c r="HK125" s="171"/>
      <c r="HL125" s="171"/>
      <c r="HM125" s="171"/>
      <c r="HN125" s="171"/>
      <c r="HO125" s="171"/>
      <c r="HP125" s="171"/>
      <c r="HQ125" s="171"/>
      <c r="HR125" s="171"/>
      <c r="HS125" s="171"/>
      <c r="HT125" s="171"/>
      <c r="HU125" s="171"/>
      <c r="HV125" s="171"/>
      <c r="HW125" s="171"/>
      <c r="HX125" s="171"/>
      <c r="HY125" s="171"/>
      <c r="HZ125" s="171"/>
      <c r="IA125" s="171"/>
      <c r="IB125" s="171"/>
      <c r="IC125" s="171"/>
      <c r="ID125" s="171"/>
      <c r="IE125" s="171"/>
      <c r="IF125" s="171"/>
      <c r="IG125" s="171"/>
      <c r="IH125" s="171"/>
      <c r="II125" s="171"/>
      <c r="IJ125" s="171"/>
      <c r="IK125" s="171"/>
      <c r="IL125" s="171"/>
      <c r="IM125" s="171"/>
      <c r="IN125" s="171"/>
      <c r="IO125" s="171"/>
      <c r="IP125" s="171"/>
      <c r="IQ125" s="171"/>
      <c r="IR125" s="171"/>
      <c r="IS125" s="171"/>
      <c r="IT125" s="171"/>
      <c r="IU125" s="171"/>
      <c r="IV125" s="171"/>
    </row>
    <row r="126" spans="1:256" ht="15" customHeight="1" x14ac:dyDescent="0.2">
      <c r="A126" s="237"/>
      <c r="B126" s="2"/>
      <c r="C126" s="948" t="s">
        <v>1206</v>
      </c>
      <c r="D126" s="948"/>
      <c r="E126" s="948"/>
      <c r="F126" s="948"/>
      <c r="G126" s="948"/>
      <c r="H126" s="948"/>
      <c r="I126" s="948"/>
      <c r="J126" s="948"/>
      <c r="K126" s="948"/>
      <c r="L126" s="948"/>
      <c r="M126" s="948"/>
      <c r="N126" s="948"/>
      <c r="O126" s="948"/>
      <c r="P126" s="948"/>
      <c r="Q126" s="948"/>
      <c r="R126" s="948"/>
      <c r="S126" s="948"/>
      <c r="T126" s="948"/>
      <c r="U126" s="948"/>
      <c r="V126" s="948"/>
      <c r="W126" s="948"/>
      <c r="X126" s="948"/>
      <c r="Y126" s="2"/>
      <c r="Z126" s="11"/>
      <c r="AA126" s="333"/>
      <c r="AB126" s="897" t="s">
        <v>852</v>
      </c>
      <c r="AC126" s="332"/>
      <c r="AD126" s="332"/>
      <c r="AE126" s="332"/>
      <c r="AF126" s="332"/>
      <c r="AG126" s="332"/>
      <c r="AH126" s="332"/>
      <c r="AI126" s="332"/>
      <c r="AJ126" s="332"/>
      <c r="AK126" s="332"/>
      <c r="AL126" s="332"/>
      <c r="AM126" s="332"/>
      <c r="AN126" s="332"/>
      <c r="AO126" s="332"/>
      <c r="AP126" s="332"/>
      <c r="AQ126" s="332"/>
      <c r="AR126" s="332"/>
      <c r="AS126" s="332"/>
      <c r="AT126" s="332"/>
      <c r="AU126" s="332"/>
      <c r="AV126" s="332"/>
      <c r="AW126" s="332"/>
      <c r="AX126" s="332"/>
      <c r="AY126" s="332"/>
      <c r="AZ126" s="332"/>
      <c r="BA126" s="332"/>
      <c r="BB126" s="332"/>
      <c r="BC126" s="332"/>
      <c r="BD126" s="332"/>
      <c r="BE126" s="332"/>
      <c r="BF126" s="332"/>
      <c r="BG126" s="332"/>
      <c r="BH126" s="332"/>
      <c r="BI126" s="332"/>
      <c r="BJ126" s="332"/>
      <c r="BK126" s="332"/>
      <c r="BL126" s="332"/>
      <c r="BM126" s="332"/>
      <c r="BN126" s="332"/>
      <c r="BO126" s="332"/>
      <c r="BP126" s="332"/>
      <c r="BQ126" s="332"/>
      <c r="BR126" s="332"/>
      <c r="BS126" s="332"/>
      <c r="BT126" s="332"/>
      <c r="BU126" s="332"/>
      <c r="BV126" s="332"/>
      <c r="BW126" s="332"/>
      <c r="BX126" s="332"/>
      <c r="BY126" s="332"/>
      <c r="BZ126" s="332"/>
      <c r="CA126" s="332"/>
      <c r="CB126" s="332"/>
      <c r="CC126" s="332"/>
      <c r="CD126" s="332"/>
      <c r="CE126" s="332"/>
      <c r="CF126" s="332"/>
      <c r="CG126" s="332"/>
      <c r="CH126" s="332"/>
      <c r="CI126" s="332"/>
      <c r="CJ126" s="332"/>
      <c r="CK126" s="332"/>
      <c r="CL126" s="332"/>
      <c r="CM126" s="332"/>
      <c r="CN126" s="332"/>
      <c r="CO126" s="332"/>
      <c r="CP126" s="332"/>
      <c r="CQ126" s="332"/>
      <c r="CR126" s="332"/>
      <c r="CS126" s="332"/>
      <c r="CT126" s="332"/>
      <c r="CU126" s="332"/>
      <c r="CV126" s="332"/>
      <c r="CW126" s="332"/>
      <c r="CX126" s="332"/>
      <c r="CY126" s="332"/>
      <c r="CZ126" s="332"/>
      <c r="DA126" s="332"/>
      <c r="DB126" s="332"/>
      <c r="DC126" s="332"/>
      <c r="DD126" s="332"/>
      <c r="DE126" s="332"/>
      <c r="DF126" s="332"/>
      <c r="DG126" s="332"/>
      <c r="DH126" s="332"/>
      <c r="DI126" s="332"/>
      <c r="DJ126" s="332"/>
      <c r="DK126" s="332"/>
      <c r="DL126" s="332"/>
      <c r="DM126" s="332"/>
      <c r="DN126" s="332"/>
      <c r="DO126" s="332"/>
      <c r="DP126" s="332"/>
      <c r="DQ126" s="332"/>
      <c r="DR126" s="332"/>
      <c r="DS126" s="332"/>
      <c r="DT126" s="332"/>
      <c r="DU126" s="332"/>
      <c r="DV126" s="332"/>
      <c r="DW126" s="332"/>
      <c r="DX126" s="332"/>
      <c r="DY126" s="332"/>
      <c r="DZ126" s="332"/>
      <c r="EA126" s="332"/>
      <c r="EB126" s="332"/>
      <c r="EC126" s="332"/>
      <c r="ED126" s="332"/>
      <c r="EE126" s="332"/>
      <c r="EF126" s="332"/>
      <c r="EG126" s="332"/>
      <c r="EH126" s="332"/>
      <c r="EI126" s="332"/>
      <c r="EJ126" s="332"/>
      <c r="EK126" s="332"/>
      <c r="EL126" s="332"/>
      <c r="EM126" s="332"/>
      <c r="EN126" s="332"/>
      <c r="EO126" s="332"/>
      <c r="EP126" s="332"/>
      <c r="EQ126" s="332"/>
      <c r="ER126" s="332"/>
      <c r="ES126" s="332"/>
      <c r="ET126" s="332"/>
      <c r="EU126" s="332"/>
      <c r="EV126" s="332"/>
      <c r="EW126" s="332"/>
      <c r="EX126" s="332"/>
      <c r="EY126" s="332"/>
      <c r="EZ126" s="332"/>
      <c r="FA126" s="332"/>
      <c r="FB126" s="332"/>
      <c r="FC126" s="332"/>
      <c r="FD126" s="332"/>
      <c r="FE126" s="332"/>
      <c r="FF126" s="332"/>
      <c r="FG126" s="332"/>
      <c r="FH126" s="332"/>
      <c r="FI126" s="332"/>
      <c r="FJ126" s="332"/>
      <c r="FK126" s="332"/>
      <c r="FL126" s="332"/>
      <c r="FM126" s="332"/>
      <c r="FN126" s="332"/>
      <c r="FO126" s="332"/>
      <c r="FP126" s="332"/>
      <c r="FQ126" s="332"/>
      <c r="FR126" s="332"/>
      <c r="FS126" s="332"/>
      <c r="FT126" s="332"/>
      <c r="FU126" s="332"/>
      <c r="FV126" s="332"/>
      <c r="FW126" s="332"/>
      <c r="FX126" s="332"/>
      <c r="FY126" s="332"/>
      <c r="FZ126" s="332"/>
      <c r="GA126" s="332"/>
      <c r="GB126" s="332"/>
      <c r="GC126" s="332"/>
      <c r="GD126" s="332"/>
    </row>
    <row r="127" spans="1:256" x14ac:dyDescent="0.2">
      <c r="A127" s="237"/>
      <c r="B127" s="2"/>
      <c r="C127" s="948"/>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2"/>
      <c r="Z127" s="11"/>
      <c r="AB127" s="898"/>
    </row>
    <row r="128" spans="1:256" x14ac:dyDescent="0.2">
      <c r="A128" s="237"/>
      <c r="B128" s="2"/>
      <c r="C128" s="2"/>
      <c r="D128" s="2"/>
      <c r="E128" s="2"/>
      <c r="F128" s="2"/>
      <c r="G128" s="2"/>
      <c r="H128" s="2"/>
      <c r="I128" s="2"/>
      <c r="J128" s="2"/>
      <c r="K128" s="2"/>
      <c r="L128" s="2"/>
      <c r="M128" s="2"/>
      <c r="N128" s="894" t="s">
        <v>635</v>
      </c>
      <c r="O128" s="894"/>
      <c r="P128" s="87"/>
      <c r="Q128" s="894" t="s">
        <v>636</v>
      </c>
      <c r="R128" s="894"/>
      <c r="S128" s="87"/>
      <c r="T128" s="894" t="s">
        <v>637</v>
      </c>
      <c r="U128" s="894"/>
      <c r="V128" s="87"/>
      <c r="W128" s="894" t="s">
        <v>653</v>
      </c>
      <c r="X128" s="894"/>
      <c r="Y128" s="2"/>
      <c r="Z128" s="11"/>
      <c r="AB128" s="9"/>
    </row>
    <row r="129" spans="1:31" ht="15.75" customHeight="1" x14ac:dyDescent="0.2">
      <c r="A129" s="237"/>
      <c r="B129" s="2"/>
      <c r="C129" s="2"/>
      <c r="D129" s="2"/>
      <c r="E129" s="2"/>
      <c r="F129" s="2"/>
      <c r="G129" s="2"/>
      <c r="H129" s="2"/>
      <c r="I129" s="2"/>
      <c r="J129" s="2"/>
      <c r="K129" s="2"/>
      <c r="L129" s="2"/>
      <c r="M129" s="2"/>
      <c r="N129" s="895" t="str">
        <f>+N68</f>
        <v>England</v>
      </c>
      <c r="O129" s="895"/>
      <c r="P129" s="81"/>
      <c r="Q129" s="895">
        <f>+Q68</f>
        <v>0</v>
      </c>
      <c r="R129" s="895"/>
      <c r="S129" s="81"/>
      <c r="T129" s="895">
        <f>+T68</f>
        <v>0</v>
      </c>
      <c r="U129" s="895"/>
      <c r="V129" s="293"/>
      <c r="W129" s="959" t="s">
        <v>646</v>
      </c>
      <c r="X129" s="959"/>
      <c r="Y129" s="2"/>
      <c r="Z129" s="11"/>
      <c r="AB129" s="9"/>
    </row>
    <row r="130" spans="1:31" ht="15.75" customHeight="1" x14ac:dyDescent="0.2">
      <c r="A130" s="237"/>
      <c r="B130" s="2"/>
      <c r="C130" s="2"/>
      <c r="D130" s="2"/>
      <c r="E130" s="2"/>
      <c r="F130" s="2"/>
      <c r="G130" s="2"/>
      <c r="H130" s="2"/>
      <c r="I130" s="2"/>
      <c r="J130" s="2"/>
      <c r="K130" s="2"/>
      <c r="L130" s="2"/>
      <c r="M130" s="2"/>
      <c r="N130" s="895"/>
      <c r="O130" s="895"/>
      <c r="P130" s="81"/>
      <c r="Q130" s="895"/>
      <c r="R130" s="895"/>
      <c r="S130" s="81"/>
      <c r="T130" s="895"/>
      <c r="U130" s="895"/>
      <c r="V130" s="81"/>
      <c r="W130" s="81"/>
      <c r="X130" s="81"/>
      <c r="Y130" s="2"/>
      <c r="Z130" s="11"/>
      <c r="AB130" s="334" t="s">
        <v>64</v>
      </c>
    </row>
    <row r="131" spans="1:31" ht="15.75" customHeight="1" x14ac:dyDescent="0.2">
      <c r="A131" s="237"/>
      <c r="B131" s="2"/>
      <c r="C131" s="2"/>
      <c r="D131" s="2"/>
      <c r="E131" s="2"/>
      <c r="F131" s="2"/>
      <c r="G131" s="2"/>
      <c r="H131" s="2"/>
      <c r="I131" s="2"/>
      <c r="J131" s="2"/>
      <c r="K131" s="2"/>
      <c r="L131" s="2"/>
      <c r="M131" s="2"/>
      <c r="N131" s="895"/>
      <c r="O131" s="895"/>
      <c r="P131" s="81"/>
      <c r="Q131" s="895"/>
      <c r="R131" s="895"/>
      <c r="S131" s="81"/>
      <c r="T131" s="895"/>
      <c r="U131" s="895"/>
      <c r="V131" s="81"/>
      <c r="W131" s="81"/>
      <c r="X131" s="81"/>
      <c r="Y131" s="2"/>
      <c r="Z131" s="11"/>
      <c r="AB131" s="147" t="s">
        <v>65</v>
      </c>
    </row>
    <row r="132" spans="1:31" ht="16.5" thickBot="1" x14ac:dyDescent="0.3">
      <c r="A132" s="237"/>
      <c r="B132" s="2"/>
      <c r="C132" s="13" t="s">
        <v>1085</v>
      </c>
      <c r="D132" s="13"/>
      <c r="E132" s="2"/>
      <c r="F132" s="2"/>
      <c r="G132" s="2"/>
      <c r="H132" s="2"/>
      <c r="I132" s="2"/>
      <c r="J132" s="2"/>
      <c r="K132" s="2"/>
      <c r="L132" s="2"/>
      <c r="M132" s="162"/>
      <c r="N132" s="893" t="s">
        <v>629</v>
      </c>
      <c r="O132" s="893"/>
      <c r="P132" s="251"/>
      <c r="Q132" s="893" t="s">
        <v>629</v>
      </c>
      <c r="R132" s="893"/>
      <c r="S132" s="251"/>
      <c r="T132" s="893" t="s">
        <v>629</v>
      </c>
      <c r="U132" s="893"/>
      <c r="V132" s="250"/>
      <c r="W132" s="893" t="s">
        <v>629</v>
      </c>
      <c r="X132" s="893"/>
      <c r="Y132" s="162"/>
      <c r="Z132" s="11"/>
      <c r="AB132" s="146"/>
    </row>
    <row r="133" spans="1:31" ht="16.5" thickBot="1" x14ac:dyDescent="0.25">
      <c r="A133" s="237"/>
      <c r="B133" s="2"/>
      <c r="C133" s="10"/>
      <c r="D133" s="604" t="s">
        <v>1182</v>
      </c>
      <c r="E133" s="10"/>
      <c r="F133" s="10"/>
      <c r="G133" s="10"/>
      <c r="H133" s="10"/>
      <c r="I133" s="10"/>
      <c r="J133" s="10"/>
      <c r="K133" s="10"/>
      <c r="L133" s="309"/>
      <c r="M133" s="310"/>
      <c r="N133" s="875">
        <f>VLOOKUP($L$13,DataSheet1!$B$8:$EL$325,91,FALSE)</f>
        <v>443463643</v>
      </c>
      <c r="O133" s="876"/>
      <c r="P133" s="251"/>
      <c r="Q133" s="875">
        <f>VLOOKUP($L$13,DataSheet1!$B$8:$EL$325,92,FALSE)</f>
        <v>125981907</v>
      </c>
      <c r="R133" s="876"/>
      <c r="S133" s="251"/>
      <c r="T133" s="875">
        <f>VLOOKUP($L$13,DataSheet1!$B$8:$EL$325,93,FALSE)</f>
        <v>4518716</v>
      </c>
      <c r="U133" s="876"/>
      <c r="V133" s="251"/>
      <c r="W133" s="875">
        <f>VLOOKUP($L$13,DataSheet1!$B$8:$EL$325,94,FALSE)</f>
        <v>573964266</v>
      </c>
      <c r="X133" s="876"/>
      <c r="Y133" s="162"/>
      <c r="Z133" s="55"/>
      <c r="AB133" s="146">
        <f>+IF(N133+Q133+T133-W133=0,0,1)</f>
        <v>0</v>
      </c>
    </row>
    <row r="134" spans="1:31" x14ac:dyDescent="0.2">
      <c r="A134" s="237"/>
      <c r="B134" s="2"/>
      <c r="C134" s="10"/>
      <c r="D134" s="10"/>
      <c r="E134" s="231"/>
      <c r="F134" s="231"/>
      <c r="G134" s="231"/>
      <c r="H134" s="231"/>
      <c r="I134" s="231"/>
      <c r="J134" s="231"/>
      <c r="K134" s="10"/>
      <c r="L134" s="2"/>
      <c r="M134" s="162"/>
      <c r="N134" s="263"/>
      <c r="O134" s="263"/>
      <c r="P134" s="263"/>
      <c r="Q134" s="263"/>
      <c r="R134" s="263"/>
      <c r="S134" s="263"/>
      <c r="T134" s="263"/>
      <c r="U134" s="263"/>
      <c r="V134" s="263"/>
      <c r="W134" s="263"/>
      <c r="X134" s="263"/>
      <c r="Y134" s="162"/>
      <c r="Z134" s="11"/>
      <c r="AA134" s="124"/>
      <c r="AB134" s="146"/>
    </row>
    <row r="135" spans="1:31" ht="16.5" thickBot="1" x14ac:dyDescent="0.3">
      <c r="A135" s="237"/>
      <c r="B135" s="2"/>
      <c r="C135" s="13" t="s">
        <v>638</v>
      </c>
      <c r="D135" s="10"/>
      <c r="E135" s="231"/>
      <c r="F135" s="231"/>
      <c r="G135" s="231"/>
      <c r="H135" s="231"/>
      <c r="I135" s="231"/>
      <c r="J135" s="231"/>
      <c r="K135" s="10"/>
      <c r="L135" s="2"/>
      <c r="M135" s="162"/>
      <c r="N135" s="263"/>
      <c r="O135" s="263"/>
      <c r="P135" s="263"/>
      <c r="Q135" s="263"/>
      <c r="R135" s="263"/>
      <c r="S135" s="263"/>
      <c r="T135" s="263"/>
      <c r="U135" s="263"/>
      <c r="V135" s="263"/>
      <c r="W135" s="263"/>
      <c r="X135" s="263"/>
      <c r="Y135" s="162"/>
      <c r="Z135" s="11"/>
      <c r="AA135" s="124"/>
      <c r="AB135" s="146"/>
    </row>
    <row r="136" spans="1:31" ht="16.5" thickBot="1" x14ac:dyDescent="0.3">
      <c r="A136" s="237"/>
      <c r="B136" s="2"/>
      <c r="C136" s="10"/>
      <c r="D136" s="10" t="s">
        <v>1171</v>
      </c>
      <c r="E136" s="10"/>
      <c r="F136" s="10"/>
      <c r="G136" s="10"/>
      <c r="H136" s="10"/>
      <c r="I136" s="10"/>
      <c r="J136" s="171"/>
      <c r="K136" s="10"/>
      <c r="L136" s="309"/>
      <c r="M136" s="310"/>
      <c r="N136" s="875">
        <f>VLOOKUP($L$13,DataSheet1!$B$8:$EL$325,95,FALSE)</f>
        <v>744401581</v>
      </c>
      <c r="O136" s="876"/>
      <c r="P136" s="311"/>
      <c r="Q136" s="875">
        <f>VLOOKUP($L$13,DataSheet1!$B$8:$EL$325,96,FALSE)</f>
        <v>157620676</v>
      </c>
      <c r="R136" s="876"/>
      <c r="S136" s="311"/>
      <c r="T136" s="875">
        <f>VLOOKUP($L$13,DataSheet1!$B$8:$EL$325,97,FALSE)</f>
        <v>10070432</v>
      </c>
      <c r="U136" s="876"/>
      <c r="V136" s="251"/>
      <c r="W136" s="875">
        <f>VLOOKUP($L$13,DataSheet1!$B$8:$EL$325,98,FALSE)</f>
        <v>912092689</v>
      </c>
      <c r="X136" s="876"/>
      <c r="Y136" s="162"/>
      <c r="Z136" s="55"/>
      <c r="AA136" s="124"/>
      <c r="AB136" s="146">
        <f>+IF(N136+Q136+T136-W136=0,0,1)</f>
        <v>0</v>
      </c>
      <c r="AD136" s="363"/>
      <c r="AE136" s="363"/>
    </row>
    <row r="137" spans="1:31" ht="16.5" thickBot="1" x14ac:dyDescent="0.3">
      <c r="A137" s="237"/>
      <c r="B137" s="2"/>
      <c r="C137" s="13"/>
      <c r="D137" s="10"/>
      <c r="E137" s="231"/>
      <c r="F137" s="231"/>
      <c r="G137" s="231"/>
      <c r="H137" s="231"/>
      <c r="I137" s="231"/>
      <c r="J137" s="231"/>
      <c r="K137" s="10"/>
      <c r="L137" s="2"/>
      <c r="M137" s="162"/>
      <c r="N137" s="684"/>
      <c r="O137" s="684"/>
      <c r="P137" s="684"/>
      <c r="Q137" s="684"/>
      <c r="R137" s="684"/>
      <c r="S137" s="684"/>
      <c r="T137" s="684"/>
      <c r="U137" s="684"/>
      <c r="V137" s="684"/>
      <c r="W137" s="685"/>
      <c r="X137" s="684"/>
      <c r="Y137" s="162"/>
      <c r="Z137" s="11"/>
      <c r="AA137" s="124"/>
      <c r="AB137" s="146"/>
    </row>
    <row r="138" spans="1:31" ht="16.5" thickBot="1" x14ac:dyDescent="0.3">
      <c r="A138" s="237"/>
      <c r="B138" s="2"/>
      <c r="C138" s="13"/>
      <c r="D138" s="10" t="s">
        <v>1181</v>
      </c>
      <c r="E138" s="231"/>
      <c r="F138" s="231"/>
      <c r="G138" s="231"/>
      <c r="H138" s="231"/>
      <c r="I138" s="231"/>
      <c r="J138" s="231"/>
      <c r="K138" s="10"/>
      <c r="L138" s="2"/>
      <c r="M138" s="162"/>
      <c r="N138" s="875">
        <f>VLOOKUP($L$13,DataSheet1!$B$8:$EL$325,99,FALSE)</f>
        <v>49979737</v>
      </c>
      <c r="O138" s="876"/>
      <c r="P138" s="605"/>
      <c r="Q138" s="949">
        <f>VLOOKUP($L$13,DataSheet1!$B$8:$EL$325,100,FALSE)</f>
        <v>11551708</v>
      </c>
      <c r="R138" s="950"/>
      <c r="S138" s="605"/>
      <c r="T138" s="949">
        <f>VLOOKUP($L$13,DataSheet1!$B$8:$EL$325,101,FALSE)</f>
        <v>632168</v>
      </c>
      <c r="U138" s="950"/>
      <c r="V138" s="605"/>
      <c r="W138" s="949">
        <f>VLOOKUP($L$13,DataSheet1!$B$8:$EL$325,102,FALSE)</f>
        <v>62163613</v>
      </c>
      <c r="X138" s="950"/>
      <c r="Y138" s="162"/>
      <c r="Z138" s="631"/>
      <c r="AA138" s="124"/>
      <c r="AB138" s="146">
        <f>+IF(N138+Q138+T138-W138=0,0,1)</f>
        <v>0</v>
      </c>
    </row>
    <row r="139" spans="1:31" ht="16.5" thickBot="1" x14ac:dyDescent="0.3">
      <c r="A139" s="237"/>
      <c r="B139" s="2"/>
      <c r="C139" s="13"/>
      <c r="D139" s="10"/>
      <c r="E139" s="231"/>
      <c r="F139" s="231"/>
      <c r="G139" s="231"/>
      <c r="H139" s="231"/>
      <c r="I139" s="231"/>
      <c r="J139" s="231"/>
      <c r="K139" s="10"/>
      <c r="L139" s="2"/>
      <c r="M139" s="162"/>
      <c r="N139" s="605"/>
      <c r="O139" s="605"/>
      <c r="P139" s="605"/>
      <c r="Q139" s="605"/>
      <c r="R139" s="605"/>
      <c r="S139" s="605"/>
      <c r="T139" s="605"/>
      <c r="U139" s="605"/>
      <c r="V139" s="605"/>
      <c r="W139" s="606"/>
      <c r="X139" s="605"/>
      <c r="Y139" s="162"/>
      <c r="Z139" s="631"/>
      <c r="AA139" s="124"/>
      <c r="AB139" s="146"/>
    </row>
    <row r="140" spans="1:31" ht="16.5" thickBot="1" x14ac:dyDescent="0.25">
      <c r="A140" s="237"/>
      <c r="B140" s="2"/>
      <c r="C140" s="10"/>
      <c r="D140" s="10" t="s">
        <v>1172</v>
      </c>
      <c r="E140" s="231"/>
      <c r="F140" s="231"/>
      <c r="G140" s="231"/>
      <c r="H140" s="231"/>
      <c r="I140" s="231"/>
      <c r="J140" s="231"/>
      <c r="K140" s="231"/>
      <c r="L140" s="2"/>
      <c r="M140" s="162"/>
      <c r="N140" s="875">
        <f>VLOOKUP($L$13,DataSheet1!$B$8:$EL$325,103,FALSE)</f>
        <v>1770617</v>
      </c>
      <c r="O140" s="876"/>
      <c r="P140" s="251"/>
      <c r="Q140" s="875">
        <f>VLOOKUP($L$13,DataSheet1!$B$8:$EL$325,104,FALSE)</f>
        <v>268422</v>
      </c>
      <c r="R140" s="876"/>
      <c r="S140" s="251"/>
      <c r="T140" s="875">
        <f>VLOOKUP($L$13,DataSheet1!$B$8:$EL$325,105,FALSE)</f>
        <v>26592</v>
      </c>
      <c r="U140" s="876"/>
      <c r="V140" s="251"/>
      <c r="W140" s="875">
        <f>VLOOKUP($L$13,DataSheet1!$B$8:$EL$325,106,FALSE)</f>
        <v>2065631</v>
      </c>
      <c r="X140" s="876"/>
      <c r="Y140" s="162"/>
      <c r="Z140" s="55"/>
      <c r="AB140" s="146">
        <f>+IF(N140+Q140+T140-W140=0,0,1)</f>
        <v>0</v>
      </c>
    </row>
    <row r="141" spans="1:31" x14ac:dyDescent="0.2">
      <c r="A141" s="237"/>
      <c r="B141" s="2"/>
      <c r="C141" s="10"/>
      <c r="D141" s="10"/>
      <c r="E141" s="231"/>
      <c r="F141" s="231"/>
      <c r="G141" s="231"/>
      <c r="H141" s="231"/>
      <c r="I141" s="231"/>
      <c r="J141" s="231"/>
      <c r="K141" s="231"/>
      <c r="L141" s="2"/>
      <c r="M141" s="162"/>
      <c r="N141" s="263"/>
      <c r="O141" s="263"/>
      <c r="P141" s="263"/>
      <c r="Q141" s="263"/>
      <c r="R141" s="263"/>
      <c r="S141" s="263"/>
      <c r="T141" s="263"/>
      <c r="U141" s="263"/>
      <c r="V141" s="263"/>
      <c r="W141" s="263"/>
      <c r="X141" s="263"/>
      <c r="Y141" s="162"/>
      <c r="Z141" s="11"/>
      <c r="AA141" s="124"/>
      <c r="AB141" s="146"/>
    </row>
    <row r="142" spans="1:31" ht="16.5" thickBot="1" x14ac:dyDescent="0.3">
      <c r="A142" s="237"/>
      <c r="B142" s="2"/>
      <c r="C142" s="13" t="s">
        <v>891</v>
      </c>
      <c r="D142" s="10"/>
      <c r="E142" s="231"/>
      <c r="F142" s="231"/>
      <c r="G142" s="231"/>
      <c r="H142" s="231"/>
      <c r="I142" s="231"/>
      <c r="J142" s="231"/>
      <c r="K142" s="231"/>
      <c r="L142" s="2"/>
      <c r="M142" s="162"/>
      <c r="N142" s="263"/>
      <c r="O142" s="263"/>
      <c r="P142" s="263"/>
      <c r="Q142" s="263"/>
      <c r="R142" s="263"/>
      <c r="S142" s="263"/>
      <c r="T142" s="263"/>
      <c r="U142" s="263"/>
      <c r="V142" s="263"/>
      <c r="W142" s="263"/>
      <c r="X142" s="263"/>
      <c r="Y142" s="162"/>
      <c r="Z142" s="11"/>
      <c r="AB142" s="146"/>
    </row>
    <row r="143" spans="1:31" ht="16.5" thickBot="1" x14ac:dyDescent="0.25">
      <c r="A143" s="237"/>
      <c r="B143" s="2"/>
      <c r="C143" s="10"/>
      <c r="D143" s="10" t="s">
        <v>1173</v>
      </c>
      <c r="E143" s="231"/>
      <c r="F143" s="231"/>
      <c r="G143" s="231"/>
      <c r="H143" s="231"/>
      <c r="I143" s="231"/>
      <c r="J143" s="231"/>
      <c r="K143" s="231"/>
      <c r="L143" s="2"/>
      <c r="M143" s="162"/>
      <c r="N143" s="875">
        <f>VLOOKUP($L$13,DataSheet1!$B$8:$EL$325,107,FALSE)</f>
        <v>2068574</v>
      </c>
      <c r="O143" s="876"/>
      <c r="P143" s="251"/>
      <c r="Q143" s="875">
        <f>VLOOKUP($L$13,DataSheet1!$B$8:$EL$325,108,FALSE)</f>
        <v>695823</v>
      </c>
      <c r="R143" s="876"/>
      <c r="S143" s="251"/>
      <c r="T143" s="875">
        <f>VLOOKUP($L$13,DataSheet1!$B$8:$EL$325,109,FALSE)</f>
        <v>32010</v>
      </c>
      <c r="U143" s="876"/>
      <c r="V143" s="251"/>
      <c r="W143" s="875">
        <f>VLOOKUP($L$13,DataSheet1!$B$8:$EL$325,110,FALSE)</f>
        <v>2796407</v>
      </c>
      <c r="X143" s="876"/>
      <c r="Y143" s="162"/>
      <c r="Z143" s="55"/>
      <c r="AB143" s="146">
        <f>+IF(N143+Q143+T143-W143=0,0,1)</f>
        <v>0</v>
      </c>
    </row>
    <row r="144" spans="1:31" x14ac:dyDescent="0.2">
      <c r="A144" s="237"/>
      <c r="B144" s="2"/>
      <c r="C144" s="10"/>
      <c r="D144" s="10"/>
      <c r="E144" s="10"/>
      <c r="F144" s="10"/>
      <c r="G144" s="10"/>
      <c r="H144" s="10"/>
      <c r="I144" s="10"/>
      <c r="J144" s="10"/>
      <c r="K144" s="10"/>
      <c r="L144" s="2"/>
      <c r="M144" s="162"/>
      <c r="N144" s="263"/>
      <c r="O144" s="263"/>
      <c r="P144" s="263"/>
      <c r="Q144" s="263"/>
      <c r="R144" s="263"/>
      <c r="S144" s="263"/>
      <c r="T144" s="263"/>
      <c r="U144" s="263"/>
      <c r="V144" s="263"/>
      <c r="W144" s="263"/>
      <c r="X144" s="263"/>
      <c r="Y144" s="162"/>
      <c r="Z144" s="11"/>
      <c r="AA144" s="123"/>
      <c r="AB144" s="146"/>
    </row>
    <row r="145" spans="1:28" ht="16.5" thickBot="1" x14ac:dyDescent="0.3">
      <c r="A145" s="237"/>
      <c r="B145" s="2"/>
      <c r="C145" s="13" t="s">
        <v>906</v>
      </c>
      <c r="D145" s="10"/>
      <c r="E145" s="10"/>
      <c r="F145" s="10"/>
      <c r="G145" s="10"/>
      <c r="H145" s="10"/>
      <c r="I145" s="10"/>
      <c r="J145" s="10"/>
      <c r="K145" s="10"/>
      <c r="L145" s="2"/>
      <c r="M145" s="162"/>
      <c r="N145" s="263"/>
      <c r="O145" s="263"/>
      <c r="P145" s="263"/>
      <c r="Q145" s="263"/>
      <c r="R145" s="263"/>
      <c r="S145" s="263"/>
      <c r="T145" s="263"/>
      <c r="U145" s="263"/>
      <c r="V145" s="263"/>
      <c r="W145" s="263"/>
      <c r="X145" s="263"/>
      <c r="Y145" s="162"/>
      <c r="Z145" s="11"/>
      <c r="AA145" s="123"/>
      <c r="AB145" s="146"/>
    </row>
    <row r="146" spans="1:28" ht="16.5" thickBot="1" x14ac:dyDescent="0.25">
      <c r="A146" s="237"/>
      <c r="B146" s="2"/>
      <c r="C146" s="10"/>
      <c r="D146" s="10" t="s">
        <v>1082</v>
      </c>
      <c r="E146" s="10"/>
      <c r="F146" s="10"/>
      <c r="G146" s="10"/>
      <c r="H146" s="10"/>
      <c r="I146" s="10"/>
      <c r="J146" s="10"/>
      <c r="K146" s="10"/>
      <c r="L146" s="2"/>
      <c r="M146" s="162"/>
      <c r="N146" s="875">
        <f>VLOOKUP($L$13,DataSheet1!$B$8:$EL$325,111,FALSE)</f>
        <v>110942</v>
      </c>
      <c r="O146" s="876"/>
      <c r="P146" s="251"/>
      <c r="Q146" s="875">
        <f>VLOOKUP($L$13,DataSheet1!$B$8:$EL$325,112,FALSE)</f>
        <v>27036</v>
      </c>
      <c r="R146" s="876"/>
      <c r="S146" s="251"/>
      <c r="T146" s="875">
        <f>VLOOKUP($L$13,DataSheet1!$B$8:$EL$325,113,FALSE)</f>
        <v>1396</v>
      </c>
      <c r="U146" s="876"/>
      <c r="V146" s="251"/>
      <c r="W146" s="875">
        <f>VLOOKUP($L$13,DataSheet1!$B$8:$EL$325,114,FALSE)</f>
        <v>139374</v>
      </c>
      <c r="X146" s="876"/>
      <c r="Y146" s="162"/>
      <c r="Z146" s="55"/>
      <c r="AB146" s="146">
        <f>+IF(N146+Q146+T146-W146=0,0,1)</f>
        <v>0</v>
      </c>
    </row>
    <row r="147" spans="1:28" x14ac:dyDescent="0.2">
      <c r="A147" s="237"/>
      <c r="B147" s="2"/>
      <c r="C147" s="10"/>
      <c r="D147" s="10"/>
      <c r="E147" s="10"/>
      <c r="F147" s="10"/>
      <c r="G147" s="10"/>
      <c r="H147" s="10"/>
      <c r="I147" s="10"/>
      <c r="J147" s="10"/>
      <c r="K147" s="10"/>
      <c r="L147" s="2"/>
      <c r="M147" s="162"/>
      <c r="N147" s="263"/>
      <c r="O147" s="263"/>
      <c r="P147" s="263"/>
      <c r="Q147" s="263"/>
      <c r="R147" s="263"/>
      <c r="S147" s="263"/>
      <c r="T147" s="263"/>
      <c r="U147" s="263"/>
      <c r="V147" s="263"/>
      <c r="W147" s="263"/>
      <c r="X147" s="263"/>
      <c r="Y147" s="162"/>
      <c r="Z147" s="11"/>
      <c r="AA147" s="123"/>
      <c r="AB147" s="146"/>
    </row>
    <row r="148" spans="1:28" ht="16.5" thickBot="1" x14ac:dyDescent="0.3">
      <c r="A148" s="237"/>
      <c r="B148" s="2"/>
      <c r="C148" s="13" t="s">
        <v>1081</v>
      </c>
      <c r="D148" s="10"/>
      <c r="E148" s="10"/>
      <c r="F148" s="10"/>
      <c r="G148" s="10"/>
      <c r="H148" s="10"/>
      <c r="I148" s="10"/>
      <c r="J148" s="10"/>
      <c r="K148" s="10"/>
      <c r="L148" s="309"/>
      <c r="M148" s="310"/>
      <c r="N148" s="315"/>
      <c r="O148" s="315"/>
      <c r="P148" s="315"/>
      <c r="Q148" s="315"/>
      <c r="R148" s="315"/>
      <c r="S148" s="315"/>
      <c r="T148" s="315"/>
      <c r="U148" s="315"/>
      <c r="V148" s="315"/>
      <c r="W148" s="315"/>
      <c r="X148" s="315"/>
      <c r="Y148" s="162"/>
      <c r="Z148" s="11"/>
      <c r="AB148" s="146"/>
    </row>
    <row r="149" spans="1:28" ht="16.5" thickBot="1" x14ac:dyDescent="0.25">
      <c r="A149" s="237"/>
      <c r="B149" s="2"/>
      <c r="C149" s="10"/>
      <c r="D149" s="10" t="s">
        <v>1091</v>
      </c>
      <c r="E149" s="231"/>
      <c r="F149" s="231"/>
      <c r="G149" s="231"/>
      <c r="H149" s="231"/>
      <c r="I149" s="231"/>
      <c r="J149" s="231"/>
      <c r="K149" s="231"/>
      <c r="L149" s="309"/>
      <c r="M149" s="310"/>
      <c r="N149" s="875">
        <f>VLOOKUP($L$13,DataSheet1!$B$8:$EL$325,115,FALSE)</f>
        <v>9236654</v>
      </c>
      <c r="O149" s="876"/>
      <c r="P149" s="251"/>
      <c r="Q149" s="875">
        <f>VLOOKUP($L$13,DataSheet1!$B$8:$EL$325,116,FALSE)</f>
        <v>3264520</v>
      </c>
      <c r="R149" s="876"/>
      <c r="S149" s="251"/>
      <c r="T149" s="875">
        <f>VLOOKUP($L$13,DataSheet1!$B$8:$EL$325,117,FALSE)</f>
        <v>108563</v>
      </c>
      <c r="U149" s="876"/>
      <c r="V149" s="251"/>
      <c r="W149" s="875">
        <f>VLOOKUP($L$13,DataSheet1!$B$8:$EL$325,118,FALSE)</f>
        <v>12609737</v>
      </c>
      <c r="X149" s="876"/>
      <c r="Y149" s="162"/>
      <c r="Z149" s="55"/>
      <c r="AB149" s="146">
        <f>+IF(N149+Q149+T149-W149=0,0,1)</f>
        <v>0</v>
      </c>
    </row>
    <row r="150" spans="1:28" ht="15.75" x14ac:dyDescent="0.2">
      <c r="A150" s="237"/>
      <c r="B150" s="2"/>
      <c r="C150" s="10"/>
      <c r="D150" s="10"/>
      <c r="E150" s="231"/>
      <c r="F150" s="231"/>
      <c r="G150" s="231"/>
      <c r="H150" s="231"/>
      <c r="I150" s="231"/>
      <c r="J150" s="231"/>
      <c r="K150" s="231"/>
      <c r="L150" s="309"/>
      <c r="M150" s="310"/>
      <c r="N150" s="254"/>
      <c r="O150" s="254"/>
      <c r="P150" s="251"/>
      <c r="Q150" s="254"/>
      <c r="R150" s="254"/>
      <c r="S150" s="251"/>
      <c r="T150" s="254"/>
      <c r="U150" s="254"/>
      <c r="V150" s="251"/>
      <c r="W150" s="254"/>
      <c r="X150" s="254"/>
      <c r="Y150" s="162"/>
      <c r="Z150" s="55"/>
      <c r="AB150" s="146"/>
    </row>
    <row r="151" spans="1:28" ht="16.5" thickBot="1" x14ac:dyDescent="0.3">
      <c r="A151" s="237"/>
      <c r="B151" s="2"/>
      <c r="C151" s="13" t="s">
        <v>1086</v>
      </c>
      <c r="D151" s="10"/>
      <c r="E151" s="10"/>
      <c r="F151" s="10"/>
      <c r="G151" s="10"/>
      <c r="H151" s="10"/>
      <c r="I151" s="10"/>
      <c r="J151" s="10"/>
      <c r="K151" s="10"/>
      <c r="L151" s="309"/>
      <c r="M151" s="310"/>
      <c r="N151" s="951" t="e">
        <f>ROUND(+W151-Q151-T151,0)</f>
        <v>#REF!</v>
      </c>
      <c r="O151" s="951"/>
      <c r="P151" s="693"/>
      <c r="Q151" s="951" t="e">
        <f>ROUND(+('Part 2'!$J$158+('Part 2'!$J$158*adj_factor))*-1*$Q$72,0)</f>
        <v>#REF!</v>
      </c>
      <c r="R151" s="951"/>
      <c r="S151" s="693"/>
      <c r="T151" s="951" t="e">
        <f>ROUND(+('Part 2'!$J$158+('Part 2'!$J$158*adj_factor))*-1*$T$72,0)</f>
        <v>#REF!</v>
      </c>
      <c r="U151" s="951"/>
      <c r="V151" s="693"/>
      <c r="W151" s="951" t="e">
        <f>ROUND(((ROUND(+('Part 2'!$J$158+('Part 2'!$J$158*adj_factor))*VLOOKUP('Part 1'!$L$13,#REF!,10,FALSE),0)*-1)+(ROUND(+('Part 2'!N158+('Part 2'!N158*adj_factor)),0)*-1)), 0)</f>
        <v>#REF!</v>
      </c>
      <c r="X151" s="951"/>
      <c r="Y151" s="162"/>
      <c r="Z151" s="11"/>
      <c r="AB151" s="146"/>
    </row>
    <row r="152" spans="1:28" ht="16.5" thickBot="1" x14ac:dyDescent="0.25">
      <c r="A152" s="237"/>
      <c r="B152" s="2"/>
      <c r="C152" s="10"/>
      <c r="D152" s="10" t="s">
        <v>1100</v>
      </c>
      <c r="E152" s="231"/>
      <c r="F152" s="231"/>
      <c r="G152" s="231"/>
      <c r="H152" s="231"/>
      <c r="I152" s="231"/>
      <c r="J152" s="231"/>
      <c r="K152" s="231"/>
      <c r="L152" s="309"/>
      <c r="M152" s="310"/>
      <c r="N152" s="875">
        <f>VLOOKUP($L$13,DataSheet1!$B$8:$EL$325,119,FALSE)</f>
        <v>18044749</v>
      </c>
      <c r="O152" s="876"/>
      <c r="P152" s="251"/>
      <c r="Q152" s="875">
        <f>VLOOKUP($L$13,DataSheet1!$B$8:$EL$325,120,FALSE)</f>
        <v>5885373</v>
      </c>
      <c r="R152" s="876"/>
      <c r="S152" s="251"/>
      <c r="T152" s="875">
        <f>VLOOKUP($L$13,DataSheet1!$B$8:$EL$325,121,FALSE)</f>
        <v>158363</v>
      </c>
      <c r="U152" s="876"/>
      <c r="V152" s="251"/>
      <c r="W152" s="875">
        <f>VLOOKUP($L$13,DataSheet1!$B$8:$EL$325,122,FALSE)</f>
        <v>24088485</v>
      </c>
      <c r="X152" s="876"/>
      <c r="Y152" s="162"/>
      <c r="Z152" s="55"/>
      <c r="AB152" s="146">
        <f>+IF(N152+Q152+T152-W152=0,0,1)</f>
        <v>0</v>
      </c>
    </row>
    <row r="153" spans="1:28" ht="15.75" x14ac:dyDescent="0.2">
      <c r="A153" s="237"/>
      <c r="B153" s="2"/>
      <c r="C153" s="10"/>
      <c r="D153" s="10"/>
      <c r="E153" s="231"/>
      <c r="F153" s="231"/>
      <c r="G153" s="231"/>
      <c r="H153" s="231"/>
      <c r="I153" s="231"/>
      <c r="J153" s="231"/>
      <c r="K153" s="231"/>
      <c r="L153" s="309"/>
      <c r="M153" s="310"/>
      <c r="N153" s="254"/>
      <c r="O153" s="254"/>
      <c r="P153" s="251"/>
      <c r="Q153" s="254"/>
      <c r="R153" s="254"/>
      <c r="S153" s="251"/>
      <c r="T153" s="254"/>
      <c r="U153" s="254"/>
      <c r="V153" s="251"/>
      <c r="W153" s="254"/>
      <c r="X153" s="254"/>
      <c r="Y153" s="162"/>
      <c r="Z153" s="55"/>
      <c r="AB153" s="146"/>
    </row>
    <row r="154" spans="1:28" ht="16.5" thickBot="1" x14ac:dyDescent="0.3">
      <c r="A154" s="237"/>
      <c r="B154" s="2"/>
      <c r="C154" s="13" t="s">
        <v>1191</v>
      </c>
      <c r="D154" s="10"/>
      <c r="E154" s="231"/>
      <c r="F154" s="231"/>
      <c r="G154" s="231"/>
      <c r="H154" s="231"/>
      <c r="I154" s="231"/>
      <c r="J154" s="231"/>
      <c r="K154" s="231"/>
      <c r="L154" s="309"/>
      <c r="M154" s="310"/>
      <c r="N154" s="254"/>
      <c r="O154" s="254"/>
      <c r="P154" s="251"/>
      <c r="Q154" s="254"/>
      <c r="R154" s="254"/>
      <c r="S154" s="251"/>
      <c r="T154" s="254"/>
      <c r="U154" s="254"/>
      <c r="V154" s="251"/>
      <c r="W154" s="254"/>
      <c r="X154" s="254"/>
      <c r="Y154" s="162"/>
      <c r="Z154" s="55"/>
      <c r="AB154" s="146"/>
    </row>
    <row r="155" spans="1:28" ht="16.5" thickBot="1" x14ac:dyDescent="0.25">
      <c r="A155" s="237"/>
      <c r="B155" s="2"/>
      <c r="C155" s="10"/>
      <c r="D155" s="10" t="s">
        <v>1174</v>
      </c>
      <c r="E155" s="231"/>
      <c r="F155" s="231"/>
      <c r="G155" s="231"/>
      <c r="H155" s="231"/>
      <c r="I155" s="231"/>
      <c r="J155" s="231"/>
      <c r="K155" s="231"/>
      <c r="L155" s="309"/>
      <c r="M155" s="310"/>
      <c r="N155" s="881">
        <f>VLOOKUP($L$13,DataSheet1!$B$8:$EL$325,123,FALSE)</f>
        <v>4991855.17</v>
      </c>
      <c r="O155" s="958"/>
      <c r="P155" s="251"/>
      <c r="Q155" s="881">
        <f>VLOOKUP($L$13,DataSheet1!$B$8:$EL$325,124,FALSE)</f>
        <v>0</v>
      </c>
      <c r="R155" s="958"/>
      <c r="S155" s="251"/>
      <c r="T155" s="881">
        <f>VLOOKUP($L$13,DataSheet1!$B$8:$EL$325,125,FALSE)</f>
        <v>1872.83</v>
      </c>
      <c r="U155" s="958"/>
      <c r="V155" s="251"/>
      <c r="W155" s="881">
        <f>VLOOKUP($L$13,DataSheet1!$B$8:$EL$325,126,FALSE)</f>
        <v>4993728</v>
      </c>
      <c r="X155" s="958"/>
      <c r="Y155" s="162"/>
      <c r="Z155" s="55"/>
      <c r="AB155" s="146">
        <f>+IF(N155+Q155+T155-W155=0,0,1)</f>
        <v>0</v>
      </c>
    </row>
    <row r="156" spans="1:28" ht="15.75" x14ac:dyDescent="0.25">
      <c r="A156" s="237"/>
      <c r="B156" s="2"/>
      <c r="C156" s="10"/>
      <c r="D156" s="10"/>
      <c r="E156" s="231"/>
      <c r="F156" s="231"/>
      <c r="G156" s="231"/>
      <c r="H156" s="231"/>
      <c r="I156" s="231"/>
      <c r="J156" s="231"/>
      <c r="K156" s="231"/>
      <c r="L156" s="309"/>
      <c r="M156" s="310"/>
      <c r="N156" s="254"/>
      <c r="O156" s="611"/>
      <c r="P156" s="251"/>
      <c r="Q156" s="254"/>
      <c r="R156" s="254"/>
      <c r="S156" s="251"/>
      <c r="T156" s="254"/>
      <c r="U156" s="254"/>
      <c r="V156" s="251"/>
      <c r="W156" s="611"/>
      <c r="X156" s="611"/>
      <c r="Y156" s="162"/>
      <c r="Z156" s="612"/>
      <c r="AB156" s="146"/>
    </row>
    <row r="157" spans="1:28" ht="16.5" thickBot="1" x14ac:dyDescent="0.3">
      <c r="A157" s="237"/>
      <c r="B157" s="2"/>
      <c r="C157" s="13" t="s">
        <v>1187</v>
      </c>
      <c r="D157" s="10"/>
      <c r="E157" s="231"/>
      <c r="F157" s="231"/>
      <c r="G157" s="231"/>
      <c r="H157" s="231"/>
      <c r="I157" s="231"/>
      <c r="J157" s="231"/>
      <c r="K157" s="231"/>
      <c r="L157" s="309"/>
      <c r="M157" s="310"/>
      <c r="N157" s="254"/>
      <c r="O157" s="611"/>
      <c r="P157" s="251"/>
      <c r="Q157" s="254"/>
      <c r="R157" s="254"/>
      <c r="S157" s="251"/>
      <c r="T157" s="254"/>
      <c r="U157" s="254"/>
      <c r="V157" s="251"/>
      <c r="W157" s="611"/>
      <c r="X157" s="611"/>
      <c r="Y157" s="162"/>
      <c r="Z157" s="612"/>
      <c r="AB157" s="146"/>
    </row>
    <row r="158" spans="1:28" ht="16.5" thickBot="1" x14ac:dyDescent="0.25">
      <c r="A158" s="237"/>
      <c r="B158" s="2"/>
      <c r="C158" s="10"/>
      <c r="D158" s="10" t="s">
        <v>1185</v>
      </c>
      <c r="E158" s="231"/>
      <c r="F158" s="231"/>
      <c r="G158" s="231"/>
      <c r="H158" s="231"/>
      <c r="I158" s="231"/>
      <c r="J158" s="231"/>
      <c r="K158" s="231"/>
      <c r="L158" s="309"/>
      <c r="M158" s="310"/>
      <c r="N158" s="875">
        <f>VLOOKUP($L$13,DataSheet1!$B$8:$EL$325,127,FALSE)</f>
        <v>226417</v>
      </c>
      <c r="O158" s="876"/>
      <c r="P158" s="251"/>
      <c r="Q158" s="875">
        <f>VLOOKUP($L$13,DataSheet1!$B$8:$EL$325,128,FALSE)</f>
        <v>61540</v>
      </c>
      <c r="R158" s="876"/>
      <c r="S158" s="251"/>
      <c r="T158" s="875">
        <f>VLOOKUP($L$13,DataSheet1!$B$8:$EL$325,129,FALSE)</f>
        <v>5458</v>
      </c>
      <c r="U158" s="876"/>
      <c r="V158" s="251"/>
      <c r="W158" s="875">
        <f>VLOOKUP($L$13,DataSheet1!$B$8:$EL$325,130,FALSE)</f>
        <v>293415</v>
      </c>
      <c r="X158" s="876"/>
      <c r="Y158" s="162"/>
      <c r="Z158" s="612"/>
      <c r="AB158" s="146">
        <f>+IF(N158+Q158+T158-W158=0,0,1)</f>
        <v>0</v>
      </c>
    </row>
    <row r="159" spans="1:28" ht="15.75" x14ac:dyDescent="0.2">
      <c r="A159" s="237"/>
      <c r="B159" s="2"/>
      <c r="C159" s="10"/>
      <c r="D159" s="10"/>
      <c r="E159" s="231"/>
      <c r="F159" s="231"/>
      <c r="G159" s="231"/>
      <c r="H159" s="231"/>
      <c r="I159" s="231"/>
      <c r="J159" s="231"/>
      <c r="K159" s="231"/>
      <c r="L159" s="309"/>
      <c r="M159" s="310"/>
      <c r="N159" s="254"/>
      <c r="O159" s="254"/>
      <c r="P159" s="251"/>
      <c r="Q159" s="254"/>
      <c r="R159" s="254"/>
      <c r="S159" s="251"/>
      <c r="T159" s="254"/>
      <c r="U159" s="254"/>
      <c r="V159" s="251"/>
      <c r="W159" s="254"/>
      <c r="X159" s="254"/>
      <c r="Y159" s="162"/>
      <c r="Z159" s="612"/>
      <c r="AB159" s="146"/>
    </row>
    <row r="160" spans="1:28" ht="16.5" thickBot="1" x14ac:dyDescent="0.3">
      <c r="A160" s="237"/>
      <c r="B160" s="2"/>
      <c r="C160" s="13" t="s">
        <v>1186</v>
      </c>
      <c r="D160" s="10"/>
      <c r="E160" s="231"/>
      <c r="F160" s="231"/>
      <c r="G160" s="231"/>
      <c r="H160" s="231"/>
      <c r="I160" s="231"/>
      <c r="J160" s="231"/>
      <c r="K160" s="231"/>
      <c r="L160" s="309"/>
      <c r="M160" s="310"/>
      <c r="N160" s="254"/>
      <c r="O160" s="254"/>
      <c r="P160" s="251"/>
      <c r="Q160" s="254"/>
      <c r="R160" s="254"/>
      <c r="S160" s="251"/>
      <c r="T160" s="254"/>
      <c r="U160" s="254"/>
      <c r="V160" s="251"/>
      <c r="W160" s="254"/>
      <c r="X160" s="254"/>
      <c r="Y160" s="162"/>
      <c r="Z160" s="612"/>
      <c r="AB160" s="146"/>
    </row>
    <row r="161" spans="1:28" ht="16.5" thickBot="1" x14ac:dyDescent="0.25">
      <c r="A161" s="237"/>
      <c r="B161" s="2"/>
      <c r="C161" s="10"/>
      <c r="D161" s="10" t="s">
        <v>1197</v>
      </c>
      <c r="E161" s="231"/>
      <c r="F161" s="231"/>
      <c r="G161" s="231"/>
      <c r="H161" s="231"/>
      <c r="I161" s="231"/>
      <c r="J161" s="231"/>
      <c r="K161" s="231"/>
      <c r="L161" s="309"/>
      <c r="M161" s="310"/>
      <c r="N161" s="875">
        <f>VLOOKUP($L$13,DataSheet1!$B$8:$EL$325,131,FALSE)</f>
        <v>275747121</v>
      </c>
      <c r="O161" s="876"/>
      <c r="P161" s="251"/>
      <c r="Q161" s="875">
        <f>VLOOKUP($L$13,DataSheet1!$B$8:$EL$325,132,FALSE)</f>
        <v>78232683</v>
      </c>
      <c r="R161" s="876"/>
      <c r="S161" s="251"/>
      <c r="T161" s="875">
        <f>VLOOKUP($L$13,DataSheet1!$B$8:$EL$325,133,FALSE)</f>
        <v>3127703</v>
      </c>
      <c r="U161" s="876"/>
      <c r="V161" s="251"/>
      <c r="W161" s="875">
        <f>VLOOKUP($L$13,DataSheet1!$B$8:$EL$325,134,FALSE)</f>
        <v>357107507</v>
      </c>
      <c r="X161" s="876"/>
      <c r="Y161" s="162"/>
      <c r="Z161" s="612"/>
      <c r="AB161" s="146">
        <f>+IF(N161+Q161+T161-W161=0,0,1)</f>
        <v>0</v>
      </c>
    </row>
    <row r="162" spans="1:28" ht="15.75" thickBot="1" x14ac:dyDescent="0.25">
      <c r="A162" s="237"/>
      <c r="B162" s="2"/>
      <c r="C162" s="2"/>
      <c r="D162" s="2"/>
      <c r="E162" s="2"/>
      <c r="F162" s="2"/>
      <c r="G162" s="2"/>
      <c r="H162" s="2"/>
      <c r="I162" s="2"/>
      <c r="J162" s="2"/>
      <c r="K162" s="2"/>
      <c r="L162" s="2"/>
      <c r="M162" s="162"/>
      <c r="N162" s="162"/>
      <c r="O162" s="162"/>
      <c r="P162" s="162"/>
      <c r="Q162" s="162"/>
      <c r="R162" s="162"/>
      <c r="S162" s="162"/>
      <c r="T162" s="162"/>
      <c r="U162" s="162"/>
      <c r="V162" s="162"/>
      <c r="W162" s="162"/>
      <c r="X162" s="162"/>
      <c r="Y162" s="162"/>
      <c r="Z162" s="11"/>
      <c r="AB162" s="146"/>
    </row>
    <row r="163" spans="1:28" x14ac:dyDescent="0.2">
      <c r="A163" s="233"/>
      <c r="B163" s="17"/>
      <c r="C163" s="18"/>
      <c r="D163" s="18"/>
      <c r="E163" s="18"/>
      <c r="F163" s="18"/>
      <c r="G163" s="18"/>
      <c r="H163" s="18"/>
      <c r="I163" s="18"/>
      <c r="J163" s="18"/>
      <c r="K163" s="84"/>
      <c r="L163" s="84"/>
      <c r="M163" s="255"/>
      <c r="N163" s="255"/>
      <c r="O163" s="255"/>
      <c r="P163" s="255"/>
      <c r="Q163" s="255"/>
      <c r="R163" s="255"/>
      <c r="S163" s="255"/>
      <c r="T163" s="255"/>
      <c r="U163" s="255"/>
      <c r="V163" s="255"/>
      <c r="W163" s="255"/>
      <c r="X163" s="255"/>
      <c r="Y163" s="256"/>
      <c r="Z163" s="11"/>
      <c r="AB163" s="146"/>
    </row>
    <row r="164" spans="1:28" ht="16.5" thickBot="1" x14ac:dyDescent="0.3">
      <c r="A164" s="233"/>
      <c r="B164" s="19"/>
      <c r="C164" s="20" t="s">
        <v>647</v>
      </c>
      <c r="D164" s="8"/>
      <c r="E164" s="8"/>
      <c r="F164" s="8"/>
      <c r="G164" s="8"/>
      <c r="H164" s="8"/>
      <c r="I164" s="8"/>
      <c r="J164" s="8"/>
      <c r="K164" s="8"/>
      <c r="L164" s="8"/>
      <c r="M164" s="251"/>
      <c r="N164" s="893" t="s">
        <v>629</v>
      </c>
      <c r="O164" s="893"/>
      <c r="P164" s="251"/>
      <c r="Q164" s="893" t="s">
        <v>629</v>
      </c>
      <c r="R164" s="893"/>
      <c r="S164" s="251"/>
      <c r="T164" s="893" t="s">
        <v>629</v>
      </c>
      <c r="U164" s="893"/>
      <c r="V164" s="251"/>
      <c r="W164" s="893" t="s">
        <v>629</v>
      </c>
      <c r="X164" s="893"/>
      <c r="Y164" s="257"/>
      <c r="Z164" s="11"/>
      <c r="AB164" s="146"/>
    </row>
    <row r="165" spans="1:28" ht="16.5" thickBot="1" x14ac:dyDescent="0.25">
      <c r="A165" s="233"/>
      <c r="B165" s="19"/>
      <c r="C165" s="8" t="s">
        <v>1198</v>
      </c>
      <c r="D165" s="8"/>
      <c r="E165" s="8"/>
      <c r="F165" s="8"/>
      <c r="G165" s="8"/>
      <c r="H165" s="8"/>
      <c r="I165" s="8"/>
      <c r="J165" s="8"/>
      <c r="K165" s="122"/>
      <c r="L165" s="122"/>
      <c r="M165" s="251"/>
      <c r="N165" s="875">
        <f>VLOOKUP($L$13,DataSheet1!$B$8:$EL$325,135,FALSE)</f>
        <v>1550041890.1700001</v>
      </c>
      <c r="O165" s="876"/>
      <c r="P165" s="251"/>
      <c r="Q165" s="875">
        <f>VLOOKUP($L$13,DataSheet1!$B$8:$EL$325,136,FALSE)</f>
        <v>383589688</v>
      </c>
      <c r="R165" s="876"/>
      <c r="S165" s="251"/>
      <c r="T165" s="875">
        <f>VLOOKUP($L$13,DataSheet1!$B$8:$EL$325,137,FALSE)</f>
        <v>18683273.829999998</v>
      </c>
      <c r="U165" s="876"/>
      <c r="V165" s="251"/>
      <c r="W165" s="875">
        <f>VLOOKUP($L$13,DataSheet1!$B$8:$EL$325,138,FALSE)</f>
        <v>1952314852</v>
      </c>
      <c r="X165" s="876"/>
      <c r="Y165" s="257"/>
      <c r="Z165" s="55"/>
      <c r="AB165" s="147">
        <f>+IF(N165+Q165+T165-W165=0,0,1)</f>
        <v>0</v>
      </c>
    </row>
    <row r="166" spans="1:28" ht="15.75" thickBot="1" x14ac:dyDescent="0.25">
      <c r="A166" s="233"/>
      <c r="B166" s="21"/>
      <c r="C166" s="22"/>
      <c r="D166" s="22"/>
      <c r="E166" s="22"/>
      <c r="F166" s="22"/>
      <c r="G166" s="22"/>
      <c r="H166" s="22"/>
      <c r="I166" s="22"/>
      <c r="J166" s="22"/>
      <c r="K166" s="22"/>
      <c r="L166" s="22"/>
      <c r="M166" s="258"/>
      <c r="N166" s="258"/>
      <c r="O166" s="258"/>
      <c r="P166" s="258"/>
      <c r="Q166" s="258"/>
      <c r="R166" s="258"/>
      <c r="S166" s="258"/>
      <c r="T166" s="258"/>
      <c r="U166" s="258"/>
      <c r="V166" s="258"/>
      <c r="W166" s="258"/>
      <c r="X166" s="258"/>
      <c r="Y166" s="259"/>
      <c r="Z166" s="11"/>
      <c r="AB166" s="95"/>
    </row>
    <row r="167" spans="1:28" x14ac:dyDescent="0.2">
      <c r="A167" s="233"/>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1"/>
      <c r="AB167" s="95"/>
    </row>
    <row r="168" spans="1:28" ht="18.75" customHeight="1" x14ac:dyDescent="0.2">
      <c r="A168" s="233"/>
      <c r="B168" s="10"/>
      <c r="C168" s="952"/>
      <c r="D168" s="953"/>
      <c r="E168" s="953"/>
      <c r="F168" s="953"/>
      <c r="G168" s="953"/>
      <c r="H168" s="953"/>
      <c r="I168" s="953"/>
      <c r="J168" s="953"/>
      <c r="K168" s="953"/>
      <c r="L168" s="953"/>
      <c r="M168" s="953"/>
      <c r="N168" s="953"/>
      <c r="O168" s="953"/>
      <c r="P168" s="953"/>
      <c r="Q168" s="953"/>
      <c r="R168" s="953"/>
      <c r="S168" s="953"/>
      <c r="T168" s="953"/>
      <c r="U168" s="953"/>
      <c r="V168" s="953"/>
      <c r="W168" s="953"/>
      <c r="X168" s="954"/>
      <c r="Y168" s="10"/>
      <c r="Z168" s="11"/>
      <c r="AB168" s="95"/>
    </row>
    <row r="169" spans="1:28" ht="18.75" customHeight="1" x14ac:dyDescent="0.2">
      <c r="A169" s="233"/>
      <c r="B169" s="10"/>
      <c r="C169" s="955"/>
      <c r="D169" s="956"/>
      <c r="E169" s="956"/>
      <c r="F169" s="956"/>
      <c r="G169" s="956"/>
      <c r="H169" s="956"/>
      <c r="I169" s="956"/>
      <c r="J169" s="956"/>
      <c r="K169" s="956"/>
      <c r="L169" s="956"/>
      <c r="M169" s="956"/>
      <c r="N169" s="956"/>
      <c r="O169" s="956"/>
      <c r="P169" s="956"/>
      <c r="Q169" s="956"/>
      <c r="R169" s="956"/>
      <c r="S169" s="956"/>
      <c r="T169" s="956"/>
      <c r="U169" s="956"/>
      <c r="V169" s="956"/>
      <c r="W169" s="956"/>
      <c r="X169" s="957"/>
      <c r="Y169" s="10"/>
      <c r="Z169" s="11"/>
      <c r="AB169" s="95"/>
    </row>
    <row r="170" spans="1:28" x14ac:dyDescent="0.2">
      <c r="A170" s="233"/>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1"/>
      <c r="AB170" s="95"/>
    </row>
    <row r="171" spans="1:28" s="483" customFormat="1" x14ac:dyDescent="0.2">
      <c r="AA171" s="462"/>
      <c r="AB171" s="484"/>
    </row>
    <row r="172" spans="1:28" s="483" customFormat="1" x14ac:dyDescent="0.2">
      <c r="AA172" s="462"/>
      <c r="AB172" s="484"/>
    </row>
    <row r="173" spans="1:28" s="483" customFormat="1" x14ac:dyDescent="0.2">
      <c r="AA173" s="462"/>
      <c r="AB173" s="484"/>
    </row>
    <row r="174" spans="1:28" s="483" customFormat="1" x14ac:dyDescent="0.2">
      <c r="AA174" s="462"/>
      <c r="AB174" s="484"/>
    </row>
    <row r="175" spans="1:28" s="483" customFormat="1" x14ac:dyDescent="0.2">
      <c r="AA175" s="462"/>
      <c r="AB175" s="484"/>
    </row>
    <row r="176" spans="1:28" s="483" customFormat="1" x14ac:dyDescent="0.2">
      <c r="AA176" s="462"/>
      <c r="AB176" s="484"/>
    </row>
    <row r="177" spans="1:28" s="332" customFormat="1" x14ac:dyDescent="0.2">
      <c r="A177" s="483"/>
      <c r="AA177" s="333"/>
      <c r="AB177" s="330"/>
    </row>
    <row r="178" spans="1:28" s="332" customFormat="1" x14ac:dyDescent="0.2">
      <c r="A178" s="483"/>
      <c r="AA178" s="333"/>
      <c r="AB178" s="330"/>
    </row>
    <row r="179" spans="1:28" s="332" customFormat="1" x14ac:dyDescent="0.2">
      <c r="A179" s="483"/>
      <c r="AA179" s="333"/>
      <c r="AB179" s="330"/>
    </row>
    <row r="180" spans="1:28" s="332" customFormat="1" x14ac:dyDescent="0.2">
      <c r="A180" s="483"/>
      <c r="AA180" s="333"/>
      <c r="AB180" s="330"/>
    </row>
    <row r="181" spans="1:28" s="332" customFormat="1" x14ac:dyDescent="0.2">
      <c r="A181" s="483"/>
      <c r="AA181" s="333"/>
      <c r="AB181" s="330"/>
    </row>
    <row r="182" spans="1:28" s="332" customFormat="1" x14ac:dyDescent="0.2">
      <c r="A182" s="483"/>
      <c r="AA182" s="333"/>
      <c r="AB182" s="330"/>
    </row>
    <row r="183" spans="1:28" s="332" customFormat="1" x14ac:dyDescent="0.2">
      <c r="A183" s="483"/>
      <c r="AA183" s="333"/>
      <c r="AB183" s="330"/>
    </row>
    <row r="184" spans="1:28" s="332" customFormat="1" x14ac:dyDescent="0.2">
      <c r="A184" s="483"/>
      <c r="AA184" s="333"/>
      <c r="AB184" s="330"/>
    </row>
    <row r="185" spans="1:28" s="332" customFormat="1" x14ac:dyDescent="0.2">
      <c r="A185" s="483"/>
      <c r="AA185" s="333"/>
      <c r="AB185" s="330"/>
    </row>
    <row r="186" spans="1:28" s="332" customFormat="1" x14ac:dyDescent="0.2">
      <c r="A186" s="483"/>
      <c r="AA186" s="333"/>
      <c r="AB186" s="330"/>
    </row>
    <row r="187" spans="1:28" s="332" customFormat="1" x14ac:dyDescent="0.2">
      <c r="A187" s="483"/>
      <c r="AA187" s="333"/>
      <c r="AB187" s="330"/>
    </row>
    <row r="188" spans="1:28" s="332" customFormat="1" x14ac:dyDescent="0.2">
      <c r="A188" s="483"/>
      <c r="AA188" s="333"/>
      <c r="AB188" s="330"/>
    </row>
    <row r="189" spans="1:28" s="332" customFormat="1" x14ac:dyDescent="0.2">
      <c r="A189" s="483"/>
      <c r="AA189" s="333"/>
      <c r="AB189" s="330"/>
    </row>
    <row r="190" spans="1:28" s="332" customFormat="1" x14ac:dyDescent="0.2">
      <c r="A190" s="483"/>
      <c r="AA190" s="333"/>
      <c r="AB190" s="330"/>
    </row>
    <row r="191" spans="1:28" s="332" customFormat="1" x14ac:dyDescent="0.2">
      <c r="A191" s="483"/>
      <c r="AA191" s="333"/>
      <c r="AB191" s="330"/>
    </row>
    <row r="192" spans="1:28" s="332" customFormat="1" x14ac:dyDescent="0.2">
      <c r="A192" s="483"/>
      <c r="AA192" s="333"/>
      <c r="AB192" s="330"/>
    </row>
    <row r="193" spans="1:28" s="332" customFormat="1" x14ac:dyDescent="0.2">
      <c r="A193" s="483"/>
      <c r="AA193" s="333"/>
      <c r="AB193" s="330"/>
    </row>
    <row r="194" spans="1:28" s="332" customFormat="1" x14ac:dyDescent="0.2">
      <c r="A194" s="483"/>
      <c r="AA194" s="333"/>
      <c r="AB194" s="330"/>
    </row>
    <row r="195" spans="1:28" s="332" customFormat="1" x14ac:dyDescent="0.2">
      <c r="A195" s="483"/>
      <c r="AA195" s="333"/>
      <c r="AB195" s="330"/>
    </row>
    <row r="196" spans="1:28" s="332" customFormat="1" x14ac:dyDescent="0.2">
      <c r="A196" s="483"/>
      <c r="AA196" s="333"/>
      <c r="AB196" s="330"/>
    </row>
    <row r="197" spans="1:28" s="332" customFormat="1" x14ac:dyDescent="0.2">
      <c r="A197" s="483"/>
      <c r="AA197" s="333"/>
      <c r="AB197" s="330"/>
    </row>
    <row r="198" spans="1:28" s="332" customFormat="1" x14ac:dyDescent="0.2">
      <c r="A198" s="483"/>
      <c r="AA198" s="333"/>
      <c r="AB198" s="330"/>
    </row>
    <row r="199" spans="1:28" s="332" customFormat="1" x14ac:dyDescent="0.2">
      <c r="A199" s="483"/>
      <c r="AA199" s="333"/>
      <c r="AB199" s="330"/>
    </row>
    <row r="200" spans="1:28" s="332" customFormat="1" x14ac:dyDescent="0.2">
      <c r="A200" s="483"/>
      <c r="AA200" s="333"/>
      <c r="AB200" s="330"/>
    </row>
    <row r="201" spans="1:28" s="332" customFormat="1" x14ac:dyDescent="0.2">
      <c r="A201" s="483"/>
      <c r="AA201" s="333"/>
      <c r="AB201" s="330"/>
    </row>
    <row r="202" spans="1:28" s="332" customFormat="1" x14ac:dyDescent="0.2">
      <c r="A202" s="483"/>
      <c r="AA202" s="333"/>
      <c r="AB202" s="330"/>
    </row>
    <row r="203" spans="1:28" s="332" customFormat="1" x14ac:dyDescent="0.2">
      <c r="A203" s="483"/>
      <c r="AA203" s="333"/>
      <c r="AB203" s="330"/>
    </row>
    <row r="204" spans="1:28" s="332" customFormat="1" x14ac:dyDescent="0.2">
      <c r="A204" s="483"/>
      <c r="AA204" s="333"/>
      <c r="AB204" s="330"/>
    </row>
    <row r="205" spans="1:28" s="332" customFormat="1" x14ac:dyDescent="0.2">
      <c r="A205" s="483"/>
      <c r="AA205" s="333"/>
      <c r="AB205" s="330"/>
    </row>
    <row r="206" spans="1:28" s="332" customFormat="1" x14ac:dyDescent="0.2">
      <c r="A206" s="483"/>
      <c r="AA206" s="333"/>
      <c r="AB206" s="330"/>
    </row>
    <row r="207" spans="1:28" s="332" customFormat="1" x14ac:dyDescent="0.2">
      <c r="A207" s="483"/>
      <c r="AA207" s="333"/>
      <c r="AB207" s="330"/>
    </row>
    <row r="208" spans="1:28" s="332" customFormat="1" x14ac:dyDescent="0.2">
      <c r="A208" s="483"/>
      <c r="AA208" s="333"/>
      <c r="AB208" s="330"/>
    </row>
    <row r="209" spans="1:28" s="332" customFormat="1" x14ac:dyDescent="0.2">
      <c r="A209" s="483"/>
      <c r="AA209" s="333"/>
      <c r="AB209" s="330"/>
    </row>
    <row r="210" spans="1:28" s="332" customFormat="1" x14ac:dyDescent="0.2">
      <c r="A210" s="483"/>
      <c r="AA210" s="333"/>
      <c r="AB210" s="330"/>
    </row>
    <row r="211" spans="1:28" s="332" customFormat="1" x14ac:dyDescent="0.2">
      <c r="A211" s="483"/>
      <c r="AA211" s="333"/>
      <c r="AB211" s="330"/>
    </row>
    <row r="212" spans="1:28" s="332" customFormat="1" x14ac:dyDescent="0.2">
      <c r="A212" s="483"/>
      <c r="AA212" s="333"/>
      <c r="AB212" s="330"/>
    </row>
    <row r="213" spans="1:28" s="332" customFormat="1" x14ac:dyDescent="0.2">
      <c r="A213" s="483"/>
      <c r="AA213" s="333"/>
      <c r="AB213" s="330"/>
    </row>
    <row r="214" spans="1:28" s="332" customFormat="1" x14ac:dyDescent="0.2">
      <c r="A214" s="483"/>
      <c r="AA214" s="333"/>
      <c r="AB214" s="330"/>
    </row>
    <row r="215" spans="1:28" s="332" customFormat="1" x14ac:dyDescent="0.2">
      <c r="A215" s="483"/>
      <c r="AA215" s="333"/>
      <c r="AB215" s="330"/>
    </row>
    <row r="216" spans="1:28" s="332" customFormat="1" x14ac:dyDescent="0.2">
      <c r="A216" s="483"/>
      <c r="AA216" s="333"/>
      <c r="AB216" s="330"/>
    </row>
    <row r="217" spans="1:28" s="332" customFormat="1" x14ac:dyDescent="0.2">
      <c r="A217" s="483"/>
      <c r="AA217" s="333"/>
      <c r="AB217" s="330"/>
    </row>
    <row r="218" spans="1:28" s="332" customFormat="1" x14ac:dyDescent="0.2">
      <c r="A218" s="483"/>
      <c r="AA218" s="333"/>
      <c r="AB218" s="330"/>
    </row>
    <row r="219" spans="1:28" s="332" customFormat="1" x14ac:dyDescent="0.2">
      <c r="A219" s="483"/>
      <c r="AA219" s="333"/>
      <c r="AB219" s="330"/>
    </row>
    <row r="220" spans="1:28" s="332" customFormat="1" x14ac:dyDescent="0.2">
      <c r="A220" s="483"/>
      <c r="AA220" s="333"/>
      <c r="AB220" s="330"/>
    </row>
    <row r="221" spans="1:28" s="332" customFormat="1" x14ac:dyDescent="0.2">
      <c r="A221" s="483"/>
      <c r="AA221" s="333"/>
      <c r="AB221" s="330"/>
    </row>
    <row r="222" spans="1:28" s="332" customFormat="1" x14ac:dyDescent="0.2">
      <c r="A222" s="483"/>
      <c r="AA222" s="333"/>
      <c r="AB222" s="330"/>
    </row>
    <row r="223" spans="1:28" s="332" customFormat="1" x14ac:dyDescent="0.2">
      <c r="A223" s="483"/>
      <c r="AA223" s="333"/>
      <c r="AB223" s="330"/>
    </row>
  </sheetData>
  <dataConsolidate/>
  <mergeCells count="214">
    <mergeCell ref="T132:U132"/>
    <mergeCell ref="W129:X129"/>
    <mergeCell ref="W133:X133"/>
    <mergeCell ref="N133:O133"/>
    <mergeCell ref="T129:U131"/>
    <mergeCell ref="Q133:R133"/>
    <mergeCell ref="T133:U133"/>
    <mergeCell ref="W132:X132"/>
    <mergeCell ref="T151:U151"/>
    <mergeCell ref="W151:X151"/>
    <mergeCell ref="N140:O140"/>
    <mergeCell ref="N143:O143"/>
    <mergeCell ref="Q143:R143"/>
    <mergeCell ref="T143:U143"/>
    <mergeCell ref="W136:X136"/>
    <mergeCell ref="N136:O136"/>
    <mergeCell ref="Q136:R136"/>
    <mergeCell ref="T136:U136"/>
    <mergeCell ref="C168:X169"/>
    <mergeCell ref="N164:O164"/>
    <mergeCell ref="Q164:R164"/>
    <mergeCell ref="Q152:R152"/>
    <mergeCell ref="T155:U155"/>
    <mergeCell ref="W164:X164"/>
    <mergeCell ref="W143:X143"/>
    <mergeCell ref="W149:X149"/>
    <mergeCell ref="W152:X152"/>
    <mergeCell ref="T161:U161"/>
    <mergeCell ref="W161:X161"/>
    <mergeCell ref="W155:X155"/>
    <mergeCell ref="Q155:R155"/>
    <mergeCell ref="N161:O161"/>
    <mergeCell ref="Q161:R161"/>
    <mergeCell ref="N158:O158"/>
    <mergeCell ref="Q158:R158"/>
    <mergeCell ref="T164:U164"/>
    <mergeCell ref="N155:O155"/>
    <mergeCell ref="T158:U158"/>
    <mergeCell ref="W158:X158"/>
    <mergeCell ref="N149:O149"/>
    <mergeCell ref="Q149:R149"/>
    <mergeCell ref="T149:U149"/>
    <mergeCell ref="C120:I120"/>
    <mergeCell ref="N116:O116"/>
    <mergeCell ref="N115:O115"/>
    <mergeCell ref="C126:X127"/>
    <mergeCell ref="N128:O128"/>
    <mergeCell ref="Q128:R128"/>
    <mergeCell ref="T128:U128"/>
    <mergeCell ref="W128:X128"/>
    <mergeCell ref="T165:U165"/>
    <mergeCell ref="W165:X165"/>
    <mergeCell ref="W138:X138"/>
    <mergeCell ref="T140:U140"/>
    <mergeCell ref="W140:X140"/>
    <mergeCell ref="T138:U138"/>
    <mergeCell ref="N152:O152"/>
    <mergeCell ref="T152:U152"/>
    <mergeCell ref="N151:O151"/>
    <mergeCell ref="Q140:R140"/>
    <mergeCell ref="Q138:R138"/>
    <mergeCell ref="N146:O146"/>
    <mergeCell ref="Q146:R146"/>
    <mergeCell ref="T146:U146"/>
    <mergeCell ref="W146:X146"/>
    <mergeCell ref="Q151:R151"/>
    <mergeCell ref="N165:O165"/>
    <mergeCell ref="Q165:R165"/>
    <mergeCell ref="N138:O138"/>
    <mergeCell ref="K112:L112"/>
    <mergeCell ref="Q116:R116"/>
    <mergeCell ref="Q115:R115"/>
    <mergeCell ref="K110:L110"/>
    <mergeCell ref="K116:L116"/>
    <mergeCell ref="K115:L115"/>
    <mergeCell ref="Q129:R131"/>
    <mergeCell ref="N129:O131"/>
    <mergeCell ref="N132:O132"/>
    <mergeCell ref="Q132:R132"/>
    <mergeCell ref="W92:X92"/>
    <mergeCell ref="W100:X100"/>
    <mergeCell ref="W112:X112"/>
    <mergeCell ref="W98:X98"/>
    <mergeCell ref="W110:X110"/>
    <mergeCell ref="D110:I110"/>
    <mergeCell ref="D108:I109"/>
    <mergeCell ref="K108:L108"/>
    <mergeCell ref="N108:O108"/>
    <mergeCell ref="K106:L106"/>
    <mergeCell ref="N110:O110"/>
    <mergeCell ref="N106:O106"/>
    <mergeCell ref="C40:I41"/>
    <mergeCell ref="K52:L52"/>
    <mergeCell ref="N68:O70"/>
    <mergeCell ref="N71:O71"/>
    <mergeCell ref="K45:L45"/>
    <mergeCell ref="K47:L47"/>
    <mergeCell ref="W72:X72"/>
    <mergeCell ref="Q79:R79"/>
    <mergeCell ref="W108:X108"/>
    <mergeCell ref="W107:X107"/>
    <mergeCell ref="W106:X106"/>
    <mergeCell ref="W94:X94"/>
    <mergeCell ref="Q92:R92"/>
    <mergeCell ref="T92:U92"/>
    <mergeCell ref="D104:I105"/>
    <mergeCell ref="D106:I106"/>
    <mergeCell ref="Q88:R88"/>
    <mergeCell ref="Q98:R98"/>
    <mergeCell ref="T98:U98"/>
    <mergeCell ref="K100:L100"/>
    <mergeCell ref="N100:O100"/>
    <mergeCell ref="K104:L104"/>
    <mergeCell ref="N104:O104"/>
    <mergeCell ref="T90:U90"/>
    <mergeCell ref="T72:U72"/>
    <mergeCell ref="T76:U76"/>
    <mergeCell ref="T71:U71"/>
    <mergeCell ref="N72:O72"/>
    <mergeCell ref="W84:X84"/>
    <mergeCell ref="Q76:R76"/>
    <mergeCell ref="W68:X68"/>
    <mergeCell ref="K71:L71"/>
    <mergeCell ref="K49:L49"/>
    <mergeCell ref="T67:U67"/>
    <mergeCell ref="Q81:R81"/>
    <mergeCell ref="R1:S1"/>
    <mergeCell ref="K30:L30"/>
    <mergeCell ref="K27:L27"/>
    <mergeCell ref="K19:L19"/>
    <mergeCell ref="N52:O52"/>
    <mergeCell ref="N67:O67"/>
    <mergeCell ref="Q67:R67"/>
    <mergeCell ref="A2:Z2"/>
    <mergeCell ref="A3:Z3"/>
    <mergeCell ref="Q41:W41"/>
    <mergeCell ref="K25:L25"/>
    <mergeCell ref="E8:J8"/>
    <mergeCell ref="A6:Z6"/>
    <mergeCell ref="C19:I22"/>
    <mergeCell ref="C24:I24"/>
    <mergeCell ref="A4:Z4"/>
    <mergeCell ref="K18:L18"/>
    <mergeCell ref="C17:G17"/>
    <mergeCell ref="K48:W48"/>
    <mergeCell ref="P52:R52"/>
    <mergeCell ref="W67:X67"/>
    <mergeCell ref="A5:Z5"/>
    <mergeCell ref="L12:P12"/>
    <mergeCell ref="L13:P13"/>
    <mergeCell ref="N90:O90"/>
    <mergeCell ref="Q90:R90"/>
    <mergeCell ref="N96:O96"/>
    <mergeCell ref="Q96:R96"/>
    <mergeCell ref="N94:O94"/>
    <mergeCell ref="N92:O92"/>
    <mergeCell ref="N88:O88"/>
    <mergeCell ref="Q112:R112"/>
    <mergeCell ref="T112:U112"/>
    <mergeCell ref="T110:U110"/>
    <mergeCell ref="Q108:R108"/>
    <mergeCell ref="T108:U108"/>
    <mergeCell ref="T106:U106"/>
    <mergeCell ref="Q110:R110"/>
    <mergeCell ref="Q106:R106"/>
    <mergeCell ref="N112:O112"/>
    <mergeCell ref="AB126:AB127"/>
    <mergeCell ref="AB69:AB70"/>
    <mergeCell ref="W96:X96"/>
    <mergeCell ref="Q68:R70"/>
    <mergeCell ref="T68:U70"/>
    <mergeCell ref="Q71:R71"/>
    <mergeCell ref="Q72:R72"/>
    <mergeCell ref="W88:X88"/>
    <mergeCell ref="T81:U81"/>
    <mergeCell ref="W76:X76"/>
    <mergeCell ref="W86:X86"/>
    <mergeCell ref="W79:X79"/>
    <mergeCell ref="W81:X81"/>
    <mergeCell ref="Q104:R104"/>
    <mergeCell ref="T104:U104"/>
    <mergeCell ref="W104:X104"/>
    <mergeCell ref="W116:X116"/>
    <mergeCell ref="W115:X115"/>
    <mergeCell ref="T116:U116"/>
    <mergeCell ref="T79:U79"/>
    <mergeCell ref="T115:U115"/>
    <mergeCell ref="Q100:R100"/>
    <mergeCell ref="T100:U100"/>
    <mergeCell ref="W90:X90"/>
    <mergeCell ref="AB29:AB30"/>
    <mergeCell ref="N86:O86"/>
    <mergeCell ref="K81:L81"/>
    <mergeCell ref="K72:L72"/>
    <mergeCell ref="D72:I73"/>
    <mergeCell ref="K76:L76"/>
    <mergeCell ref="N98:O98"/>
    <mergeCell ref="N79:O79"/>
    <mergeCell ref="N81:O81"/>
    <mergeCell ref="N76:O76"/>
    <mergeCell ref="C57:G57"/>
    <mergeCell ref="T96:U96"/>
    <mergeCell ref="K79:L79"/>
    <mergeCell ref="K32:L32"/>
    <mergeCell ref="K34:L34"/>
    <mergeCell ref="D76:I77"/>
    <mergeCell ref="C42:I43"/>
    <mergeCell ref="K37:L37"/>
    <mergeCell ref="K40:L40"/>
    <mergeCell ref="K42:L42"/>
    <mergeCell ref="N84:O84"/>
    <mergeCell ref="W71:X71"/>
    <mergeCell ref="K67:L67"/>
    <mergeCell ref="K68:L70"/>
  </mergeCells>
  <phoneticPr fontId="5" type="noConversion"/>
  <printOptions horizontalCentered="1"/>
  <pageMargins left="0.39370078740157483" right="0.39370078740157483" top="0.59055118110236227" bottom="0.59055118110236227" header="0.51181102362204722" footer="0.51181102362204722"/>
  <pageSetup paperSize="9" scale="49" fitToHeight="2" orientation="portrait" r:id="rId1"/>
  <headerFooter alignWithMargins="0"/>
  <rowBreaks count="2" manualBreakCount="2">
    <brk id="55" max="25" man="1"/>
    <brk id="120"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2053" r:id="rId4" name="List Box 5">
              <controlPr locked="0" defaultSize="0" autoFill="0" autoLine="0" autoPict="0">
                <anchor moveWithCells="1">
                  <from>
                    <xdr:col>10</xdr:col>
                    <xdr:colOff>561975</xdr:colOff>
                    <xdr:row>6</xdr:row>
                    <xdr:rowOff>85725</xdr:rowOff>
                  </from>
                  <to>
                    <xdr:col>14</xdr:col>
                    <xdr:colOff>609600</xdr:colOff>
                    <xdr:row>10</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Z192"/>
  <sheetViews>
    <sheetView showGridLines="0" zoomScaleNormal="100" workbookViewId="0"/>
  </sheetViews>
  <sheetFormatPr defaultRowHeight="15" x14ac:dyDescent="0.2"/>
  <cols>
    <col min="1" max="2" width="1.7109375" customWidth="1"/>
    <col min="5" max="5" width="9.140625" customWidth="1"/>
    <col min="6" max="6" width="8.5703125" customWidth="1"/>
    <col min="7" max="7" width="14.28515625" customWidth="1"/>
    <col min="8" max="9" width="3.85546875" customWidth="1"/>
    <col min="10" max="11" width="11.42578125" customWidth="1"/>
    <col min="12" max="13" width="2.7109375" customWidth="1"/>
    <col min="14" max="15" width="11.42578125" customWidth="1"/>
    <col min="16" max="17" width="2.7109375" customWidth="1"/>
    <col min="18" max="19" width="11.42578125" customWidth="1"/>
    <col min="20" max="21" width="1.7109375" customWidth="1"/>
    <col min="22" max="22" width="10.140625" customWidth="1"/>
    <col min="23" max="23" width="16.7109375" style="9" hidden="1" customWidth="1"/>
    <col min="24" max="24" width="10" hidden="1" customWidth="1"/>
    <col min="26" max="26" width="26" bestFit="1" customWidth="1"/>
    <col min="28" max="28" width="16.85546875" customWidth="1"/>
  </cols>
  <sheetData>
    <row r="1" spans="1:52" x14ac:dyDescent="0.2">
      <c r="A1" s="73"/>
      <c r="B1" s="74"/>
      <c r="C1" s="74"/>
      <c r="D1" s="74"/>
      <c r="E1" s="74"/>
      <c r="F1" s="74"/>
      <c r="G1" s="74"/>
      <c r="H1" s="74"/>
      <c r="I1" s="74"/>
      <c r="J1" s="74"/>
      <c r="K1" s="74"/>
      <c r="L1" s="74"/>
      <c r="M1" s="74"/>
      <c r="N1" s="74"/>
      <c r="O1" s="74"/>
      <c r="P1" s="74"/>
      <c r="Q1" s="74"/>
      <c r="R1" s="74"/>
      <c r="S1" s="74"/>
      <c r="T1" s="74"/>
      <c r="U1" s="75"/>
      <c r="AZ1" s="125" t="s">
        <v>838</v>
      </c>
    </row>
    <row r="2" spans="1:52" ht="15.75" x14ac:dyDescent="0.25">
      <c r="A2" s="915" t="s">
        <v>659</v>
      </c>
      <c r="B2" s="1005"/>
      <c r="C2" s="1005"/>
      <c r="D2" s="1005"/>
      <c r="E2" s="1005"/>
      <c r="F2" s="1005"/>
      <c r="G2" s="1005"/>
      <c r="H2" s="1005"/>
      <c r="I2" s="1005"/>
      <c r="J2" s="1005"/>
      <c r="K2" s="1005"/>
      <c r="L2" s="1005"/>
      <c r="M2" s="1005"/>
      <c r="N2" s="1005"/>
      <c r="O2" s="1005"/>
      <c r="P2" s="1005"/>
      <c r="Q2" s="1005"/>
      <c r="R2" s="1005"/>
      <c r="S2" s="1005"/>
      <c r="T2" s="1005"/>
      <c r="U2" s="1006"/>
    </row>
    <row r="3" spans="1:52" ht="15.75" x14ac:dyDescent="0.25">
      <c r="A3" s="915" t="s">
        <v>1120</v>
      </c>
      <c r="B3" s="1007"/>
      <c r="C3" s="1007"/>
      <c r="D3" s="1007"/>
      <c r="E3" s="1007"/>
      <c r="F3" s="1007"/>
      <c r="G3" s="1007"/>
      <c r="H3" s="1007"/>
      <c r="I3" s="1007"/>
      <c r="J3" s="1007"/>
      <c r="K3" s="1007"/>
      <c r="L3" s="1007"/>
      <c r="M3" s="1007"/>
      <c r="N3" s="1007"/>
      <c r="O3" s="1007"/>
      <c r="P3" s="1007"/>
      <c r="Q3" s="1007"/>
      <c r="R3" s="1007"/>
      <c r="S3" s="1007"/>
      <c r="T3" s="1007"/>
      <c r="U3" s="1008"/>
    </row>
    <row r="4" spans="1:52" x14ac:dyDescent="0.2">
      <c r="A4" s="924"/>
      <c r="B4" s="925"/>
      <c r="C4" s="925"/>
      <c r="D4" s="925"/>
      <c r="E4" s="925"/>
      <c r="F4" s="925"/>
      <c r="G4" s="925"/>
      <c r="H4" s="925"/>
      <c r="I4" s="925"/>
      <c r="J4" s="925"/>
      <c r="K4" s="925"/>
      <c r="L4" s="925"/>
      <c r="M4" s="925"/>
      <c r="N4" s="925"/>
      <c r="O4" s="925"/>
      <c r="P4" s="925"/>
      <c r="Q4" s="925"/>
      <c r="R4" s="925"/>
      <c r="S4" s="925"/>
      <c r="T4" s="925"/>
      <c r="U4" s="926"/>
    </row>
    <row r="5" spans="1:52" ht="15.75" thickBot="1" x14ac:dyDescent="0.25">
      <c r="A5" s="76"/>
      <c r="B5" s="77"/>
      <c r="C5" s="77"/>
      <c r="D5" s="77"/>
      <c r="E5" s="77"/>
      <c r="F5" s="77"/>
      <c r="G5" s="77"/>
      <c r="H5" s="77"/>
      <c r="I5" s="77"/>
      <c r="J5" s="77"/>
      <c r="K5" s="77"/>
      <c r="L5" s="77"/>
      <c r="M5" s="77"/>
      <c r="N5" s="77"/>
      <c r="O5" s="77"/>
      <c r="P5" s="77"/>
      <c r="Q5" s="77"/>
      <c r="R5" s="361"/>
      <c r="S5" s="615"/>
      <c r="T5" s="77"/>
      <c r="U5" s="78"/>
    </row>
    <row r="6" spans="1:52" x14ac:dyDescent="0.2">
      <c r="A6" s="52"/>
      <c r="B6" s="53"/>
      <c r="C6" s="994"/>
      <c r="D6" s="994"/>
      <c r="E6" s="994"/>
      <c r="F6" s="994"/>
      <c r="G6" s="994"/>
      <c r="H6" s="994"/>
      <c r="I6" s="53"/>
      <c r="J6" s="53"/>
      <c r="K6" s="53"/>
      <c r="L6" s="53"/>
      <c r="M6" s="53"/>
      <c r="N6" s="53"/>
      <c r="O6" s="53"/>
      <c r="P6" s="53"/>
      <c r="Q6" s="53"/>
      <c r="R6" s="53"/>
      <c r="S6" s="53"/>
      <c r="T6" s="53"/>
      <c r="U6" s="54"/>
    </row>
    <row r="7" spans="1:52" s="37" customFormat="1" ht="18" x14ac:dyDescent="0.25">
      <c r="A7" s="45"/>
      <c r="B7" s="27"/>
      <c r="C7" s="79" t="str">
        <f>+CONCATENATE("Local Authority : ",+'Part 1'!L12)</f>
        <v>Local Authority : England</v>
      </c>
      <c r="D7" s="79"/>
      <c r="E7" s="79"/>
      <c r="F7" s="274"/>
      <c r="G7" s="274"/>
      <c r="H7" s="274"/>
      <c r="I7" s="27"/>
      <c r="J7" s="27"/>
      <c r="K7" s="27"/>
      <c r="L7" s="27"/>
      <c r="M7" s="27"/>
      <c r="N7" s="27"/>
      <c r="O7" s="27"/>
      <c r="P7" s="27"/>
      <c r="Q7" s="27"/>
      <c r="R7" s="27"/>
      <c r="S7" s="27"/>
      <c r="T7" s="27"/>
      <c r="U7" s="28"/>
      <c r="V7"/>
      <c r="W7" s="9"/>
    </row>
    <row r="8" spans="1:52" s="37" customFormat="1" ht="18" x14ac:dyDescent="0.25">
      <c r="A8" s="45"/>
      <c r="B8" s="27"/>
      <c r="C8" s="79"/>
      <c r="D8" s="79"/>
      <c r="E8" s="79"/>
      <c r="F8" s="274"/>
      <c r="G8" s="274"/>
      <c r="H8" s="274"/>
      <c r="I8" s="27"/>
      <c r="J8" s="27"/>
      <c r="K8" s="27"/>
      <c r="L8" s="27"/>
      <c r="M8" s="27"/>
      <c r="N8" s="27"/>
      <c r="O8" s="27"/>
      <c r="P8" s="27"/>
      <c r="Q8" s="27"/>
      <c r="R8" s="27"/>
      <c r="S8" s="27"/>
      <c r="T8" s="27"/>
      <c r="U8" s="28"/>
      <c r="V8"/>
      <c r="W8" s="873" t="s">
        <v>852</v>
      </c>
    </row>
    <row r="9" spans="1:52" ht="15.75" x14ac:dyDescent="0.25">
      <c r="A9" s="23"/>
      <c r="B9" s="2"/>
      <c r="C9" s="973" t="s">
        <v>261</v>
      </c>
      <c r="D9" s="973"/>
      <c r="E9" s="973"/>
      <c r="F9" s="973"/>
      <c r="G9" s="973"/>
      <c r="H9" s="973"/>
      <c r="I9" s="27"/>
      <c r="J9" s="972"/>
      <c r="K9" s="972"/>
      <c r="L9" s="62"/>
      <c r="M9" s="27"/>
      <c r="N9" s="972"/>
      <c r="O9" s="972"/>
      <c r="P9" s="27"/>
      <c r="Q9" s="27"/>
      <c r="R9" s="972"/>
      <c r="S9" s="972"/>
      <c r="T9" s="1"/>
      <c r="U9" s="55"/>
      <c r="W9" s="874"/>
    </row>
    <row r="10" spans="1:52" ht="15.75" customHeight="1" x14ac:dyDescent="0.2">
      <c r="A10" s="23"/>
      <c r="B10" s="2"/>
      <c r="C10" s="969"/>
      <c r="D10" s="969"/>
      <c r="E10" s="969"/>
      <c r="F10" s="969"/>
      <c r="G10" s="969"/>
      <c r="H10" s="969"/>
      <c r="I10" s="27"/>
      <c r="J10" s="972" t="s">
        <v>634</v>
      </c>
      <c r="K10" s="972"/>
      <c r="L10" s="62"/>
      <c r="M10" s="27"/>
      <c r="N10" s="972" t="s">
        <v>635</v>
      </c>
      <c r="O10" s="972"/>
      <c r="P10" s="27"/>
      <c r="Q10" s="27"/>
      <c r="R10" s="972" t="s">
        <v>636</v>
      </c>
      <c r="S10" s="972"/>
      <c r="T10" s="3"/>
      <c r="U10" s="55"/>
      <c r="W10" s="140"/>
    </row>
    <row r="11" spans="1:52" ht="15.75" x14ac:dyDescent="0.25">
      <c r="A11" s="23"/>
      <c r="B11" s="2"/>
      <c r="C11" s="968"/>
      <c r="D11" s="968"/>
      <c r="E11" s="27"/>
      <c r="F11" s="27"/>
      <c r="G11" s="27"/>
      <c r="H11" s="27"/>
      <c r="I11" s="27"/>
      <c r="J11" s="1016" t="s">
        <v>795</v>
      </c>
      <c r="K11" s="1017"/>
      <c r="L11" s="275"/>
      <c r="M11" s="27"/>
      <c r="N11" s="1016" t="s">
        <v>796</v>
      </c>
      <c r="O11" s="1017"/>
      <c r="P11" s="27"/>
      <c r="Q11" s="27"/>
      <c r="R11" s="1016" t="s">
        <v>34</v>
      </c>
      <c r="S11" s="1017"/>
      <c r="T11" s="2"/>
      <c r="U11" s="55"/>
      <c r="W11" s="140"/>
      <c r="Z11" s="1011"/>
      <c r="AA11" s="1012"/>
      <c r="AB11" s="1012"/>
    </row>
    <row r="12" spans="1:52" ht="15.75" x14ac:dyDescent="0.25">
      <c r="A12" s="23"/>
      <c r="B12" s="2"/>
      <c r="C12" s="27"/>
      <c r="D12" s="27"/>
      <c r="E12" s="27"/>
      <c r="F12" s="27"/>
      <c r="G12" s="27"/>
      <c r="H12" s="27"/>
      <c r="I12" s="27"/>
      <c r="J12" s="1017"/>
      <c r="K12" s="1017"/>
      <c r="L12" s="275"/>
      <c r="M12" s="27"/>
      <c r="N12" s="1017"/>
      <c r="O12" s="1017"/>
      <c r="P12" s="27"/>
      <c r="Q12" s="27"/>
      <c r="R12" s="1017"/>
      <c r="S12" s="1017"/>
      <c r="T12" s="2"/>
      <c r="U12" s="55"/>
      <c r="W12" s="140"/>
      <c r="Z12" s="1012"/>
      <c r="AA12" s="1012"/>
      <c r="AB12" s="1012"/>
    </row>
    <row r="13" spans="1:52" ht="30" customHeight="1" x14ac:dyDescent="0.25">
      <c r="A13" s="23"/>
      <c r="B13" s="2"/>
      <c r="C13" s="971" t="s">
        <v>1201</v>
      </c>
      <c r="D13" s="971"/>
      <c r="E13" s="971"/>
      <c r="F13" s="971"/>
      <c r="G13" s="971"/>
      <c r="H13" s="971"/>
      <c r="I13" s="27"/>
      <c r="J13" s="1018"/>
      <c r="K13" s="1018"/>
      <c r="L13" s="275"/>
      <c r="M13" s="27"/>
      <c r="N13" s="968"/>
      <c r="O13" s="968"/>
      <c r="P13" s="27"/>
      <c r="Q13" s="27"/>
      <c r="R13" s="968"/>
      <c r="S13" s="968"/>
      <c r="T13" s="2"/>
      <c r="U13" s="55"/>
      <c r="W13" s="1013" t="s">
        <v>837</v>
      </c>
      <c r="Y13" s="322"/>
    </row>
    <row r="14" spans="1:52" ht="16.5" customHeight="1" thickBot="1" x14ac:dyDescent="0.3">
      <c r="A14" s="23"/>
      <c r="B14" s="2"/>
      <c r="C14" s="971"/>
      <c r="D14" s="971"/>
      <c r="E14" s="971"/>
      <c r="F14" s="971"/>
      <c r="G14" s="971"/>
      <c r="H14" s="971"/>
      <c r="I14" s="27"/>
      <c r="J14" s="970" t="s">
        <v>629</v>
      </c>
      <c r="K14" s="970"/>
      <c r="L14" s="27"/>
      <c r="M14" s="27"/>
      <c r="N14" s="970" t="s">
        <v>629</v>
      </c>
      <c r="O14" s="970"/>
      <c r="P14" s="27"/>
      <c r="Q14" s="169"/>
      <c r="R14" s="1019" t="s">
        <v>629</v>
      </c>
      <c r="S14" s="1019"/>
      <c r="T14" s="162"/>
      <c r="U14" s="55"/>
      <c r="W14" s="1014"/>
    </row>
    <row r="15" spans="1:52" ht="16.5" thickBot="1" x14ac:dyDescent="0.25">
      <c r="A15" s="23"/>
      <c r="B15" s="2"/>
      <c r="C15" s="27" t="s">
        <v>662</v>
      </c>
      <c r="D15" s="27"/>
      <c r="E15" s="27"/>
      <c r="F15" s="974" t="str">
        <f>VLOOKUP('Part 1'!L13,DataSheet2!$B$8:$DY$325,5,FALSE)</f>
        <v>…</v>
      </c>
      <c r="G15" s="975"/>
      <c r="H15" s="27"/>
      <c r="I15" s="27"/>
      <c r="J15" s="884">
        <f>VLOOKUP('Part 1'!L13,DataSheet2!$B$8:$DY$325,6,FALSE)</f>
        <v>63103353621</v>
      </c>
      <c r="K15" s="885"/>
      <c r="L15" s="63"/>
      <c r="M15" s="27"/>
      <c r="N15" s="884">
        <f>VLOOKUP('Part 1'!L13,DataSheet2!$B$8:$DY$325,7,FALSE)</f>
        <v>613567588</v>
      </c>
      <c r="O15" s="885"/>
      <c r="P15" s="27"/>
      <c r="Q15" s="157"/>
      <c r="R15" s="960">
        <f>VLOOKUP('Part 1'!L13,DataSheet2!$B$8:$DY$325,8,FALSE)</f>
        <v>63716921209</v>
      </c>
      <c r="S15" s="961"/>
      <c r="T15" s="162"/>
      <c r="U15" s="55"/>
      <c r="W15" s="239">
        <f>IF(+J15+N15-R15=0,0,1)</f>
        <v>0</v>
      </c>
      <c r="Y15" s="125"/>
      <c r="Z15" s="221"/>
    </row>
    <row r="16" spans="1:52" ht="15.75" thickBot="1" x14ac:dyDescent="0.25">
      <c r="A16" s="23"/>
      <c r="B16" s="2"/>
      <c r="C16" s="27"/>
      <c r="D16" s="27"/>
      <c r="E16" s="27"/>
      <c r="F16" s="62"/>
      <c r="G16" s="27"/>
      <c r="H16" s="27"/>
      <c r="I16" s="62"/>
      <c r="J16" s="63"/>
      <c r="K16" s="63"/>
      <c r="L16" s="63"/>
      <c r="M16" s="27"/>
      <c r="N16" s="63"/>
      <c r="O16" s="63"/>
      <c r="P16" s="27"/>
      <c r="Q16" s="157"/>
      <c r="R16" s="157"/>
      <c r="S16" s="157"/>
      <c r="T16" s="162"/>
      <c r="U16" s="55"/>
      <c r="W16" s="240"/>
    </row>
    <row r="17" spans="1:33" ht="16.5" thickBot="1" x14ac:dyDescent="0.3">
      <c r="A17" s="23"/>
      <c r="B17" s="2"/>
      <c r="C17" s="879" t="s">
        <v>1121</v>
      </c>
      <c r="D17" s="962"/>
      <c r="E17" s="962"/>
      <c r="F17" s="962"/>
      <c r="G17" s="683">
        <f>VLOOKUP('Part 1'!L13,DataSheet2!$B$8:$DY$325,9,FALSE)</f>
        <v>49.1</v>
      </c>
      <c r="H17" s="171"/>
      <c r="I17" s="27"/>
      <c r="J17" s="63"/>
      <c r="K17" s="63"/>
      <c r="L17" s="63"/>
      <c r="M17" s="27"/>
      <c r="N17" s="63"/>
      <c r="O17" s="63"/>
      <c r="P17" s="27"/>
      <c r="Q17" s="157"/>
      <c r="R17" s="157"/>
      <c r="S17" s="157"/>
      <c r="T17" s="162"/>
      <c r="U17" s="55"/>
      <c r="W17" s="240"/>
      <c r="X17" s="125"/>
    </row>
    <row r="18" spans="1:33" ht="15.75" thickBot="1" x14ac:dyDescent="0.25">
      <c r="A18" s="23"/>
      <c r="B18" s="2"/>
      <c r="C18" s="962"/>
      <c r="D18" s="962"/>
      <c r="E18" s="962"/>
      <c r="F18" s="962"/>
      <c r="G18" s="10"/>
      <c r="H18" s="27"/>
      <c r="I18" s="27"/>
      <c r="J18" s="63"/>
      <c r="K18" s="63"/>
      <c r="L18" s="63"/>
      <c r="M18" s="63"/>
      <c r="N18" s="63"/>
      <c r="O18" s="63"/>
      <c r="P18" s="63"/>
      <c r="Q18" s="157"/>
      <c r="R18" s="157"/>
      <c r="S18" s="157"/>
      <c r="T18" s="162"/>
      <c r="U18" s="55"/>
      <c r="W18" s="240"/>
    </row>
    <row r="19" spans="1:33" ht="15.75" thickBot="1" x14ac:dyDescent="0.25">
      <c r="A19" s="23"/>
      <c r="B19" s="2"/>
      <c r="C19" s="10"/>
      <c r="D19" s="10"/>
      <c r="E19" s="10"/>
      <c r="F19" s="10"/>
      <c r="G19" s="10"/>
      <c r="H19" s="27"/>
      <c r="I19" s="186"/>
      <c r="J19" s="187"/>
      <c r="K19" s="187"/>
      <c r="L19" s="188"/>
      <c r="M19" s="187"/>
      <c r="N19" s="187"/>
      <c r="O19" s="187"/>
      <c r="P19" s="188"/>
      <c r="Q19" s="189"/>
      <c r="R19" s="189"/>
      <c r="S19" s="189"/>
      <c r="T19" s="190"/>
      <c r="U19" s="55"/>
      <c r="W19" s="240"/>
    </row>
    <row r="20" spans="1:33" ht="16.5" thickBot="1" x14ac:dyDescent="0.25">
      <c r="A20" s="23"/>
      <c r="B20" s="2"/>
      <c r="C20" s="10" t="s">
        <v>1122</v>
      </c>
      <c r="D20" s="10"/>
      <c r="E20" s="10"/>
      <c r="F20" s="10"/>
      <c r="G20" s="10"/>
      <c r="H20" s="27"/>
      <c r="I20" s="191"/>
      <c r="J20" s="963">
        <f>VLOOKUP('Part 1'!L13,DataSheet2!$B$8:$DY$325,10,FALSE)</f>
        <v>30983746625</v>
      </c>
      <c r="K20" s="964"/>
      <c r="L20" s="65"/>
      <c r="M20" s="27"/>
      <c r="N20" s="963">
        <f>VLOOKUP('Part 1'!L13,DataSheet2!$B$8:$DY$325,11,FALSE)</f>
        <v>301261689</v>
      </c>
      <c r="O20" s="964"/>
      <c r="P20" s="65"/>
      <c r="Q20" s="157"/>
      <c r="R20" s="157"/>
      <c r="S20" s="157"/>
      <c r="T20" s="192"/>
      <c r="U20" s="55"/>
      <c r="W20" s="239">
        <f>IF(+J20+J22-J25=0,0,1)</f>
        <v>0</v>
      </c>
      <c r="Z20" s="221"/>
    </row>
    <row r="21" spans="1:33" ht="16.5" thickBot="1" x14ac:dyDescent="0.25">
      <c r="A21" s="23"/>
      <c r="B21" s="2"/>
      <c r="C21" s="10"/>
      <c r="D21" s="10"/>
      <c r="E21" s="10"/>
      <c r="F21" s="10"/>
      <c r="G21" s="10"/>
      <c r="H21" s="27"/>
      <c r="I21" s="191"/>
      <c r="J21" s="64"/>
      <c r="K21" s="63"/>
      <c r="L21" s="65"/>
      <c r="M21" s="27"/>
      <c r="N21" s="64"/>
      <c r="O21" s="63"/>
      <c r="P21" s="65"/>
      <c r="Q21" s="157"/>
      <c r="R21" s="157"/>
      <c r="S21" s="157"/>
      <c r="T21" s="192"/>
      <c r="U21" s="55"/>
      <c r="W21" s="239"/>
    </row>
    <row r="22" spans="1:33" ht="16.5" thickBot="1" x14ac:dyDescent="0.25">
      <c r="A22" s="23"/>
      <c r="B22" s="2"/>
      <c r="C22" s="10" t="s">
        <v>654</v>
      </c>
      <c r="D22" s="10"/>
      <c r="E22" s="10"/>
      <c r="F22" s="10"/>
      <c r="G22" s="10"/>
      <c r="H22" s="27"/>
      <c r="I22" s="191"/>
      <c r="J22" s="884">
        <f>VLOOKUP('Part 1'!L13,DataSheet2!$B$8:$DY$325,12,FALSE)</f>
        <v>128347389</v>
      </c>
      <c r="K22" s="885"/>
      <c r="L22" s="65"/>
      <c r="M22" s="27"/>
      <c r="N22" s="884">
        <f>VLOOKUP('Part 1'!L13,DataSheet2!$B$8:$DY$325,13,FALSE)</f>
        <v>18367824</v>
      </c>
      <c r="O22" s="885"/>
      <c r="P22" s="65"/>
      <c r="Q22" s="157"/>
      <c r="R22" s="157"/>
      <c r="S22" s="157"/>
      <c r="T22" s="192"/>
      <c r="U22" s="55"/>
      <c r="W22" s="239">
        <f>IF(+N20+N22-N25=0,0,1)</f>
        <v>0</v>
      </c>
      <c r="Z22" s="221"/>
    </row>
    <row r="23" spans="1:33" ht="15.75" x14ac:dyDescent="0.2">
      <c r="A23" s="23"/>
      <c r="B23" s="2"/>
      <c r="C23" s="10" t="s">
        <v>828</v>
      </c>
      <c r="D23" s="10"/>
      <c r="E23" s="10"/>
      <c r="F23" s="10"/>
      <c r="G23" s="10"/>
      <c r="H23" s="27"/>
      <c r="I23" s="191"/>
      <c r="J23" s="64"/>
      <c r="K23" s="63"/>
      <c r="L23" s="65"/>
      <c r="M23" s="27"/>
      <c r="N23" s="64"/>
      <c r="O23" s="63"/>
      <c r="P23" s="65"/>
      <c r="Q23" s="157"/>
      <c r="R23" s="273"/>
      <c r="S23" s="157"/>
      <c r="T23" s="192"/>
      <c r="U23" s="55"/>
      <c r="W23" s="240"/>
    </row>
    <row r="24" spans="1:33" ht="16.5" thickBot="1" x14ac:dyDescent="0.25">
      <c r="A24" s="23"/>
      <c r="B24" s="2"/>
      <c r="C24" s="10"/>
      <c r="D24" s="10"/>
      <c r="E24" s="10"/>
      <c r="F24" s="10"/>
      <c r="G24" s="10"/>
      <c r="H24" s="27"/>
      <c r="I24" s="191"/>
      <c r="J24" s="64"/>
      <c r="K24" s="63"/>
      <c r="L24" s="65"/>
      <c r="M24" s="27"/>
      <c r="N24" s="64"/>
      <c r="O24" s="63"/>
      <c r="P24" s="65"/>
      <c r="Q24" s="157"/>
      <c r="R24" s="273"/>
      <c r="S24" s="157"/>
      <c r="T24" s="192"/>
      <c r="U24" s="55"/>
      <c r="W24" s="240"/>
    </row>
    <row r="25" spans="1:33" ht="16.5" thickBot="1" x14ac:dyDescent="0.25">
      <c r="A25" s="23"/>
      <c r="B25" s="2"/>
      <c r="C25" s="10" t="s">
        <v>1123</v>
      </c>
      <c r="D25" s="10"/>
      <c r="E25" s="10"/>
      <c r="F25" s="10"/>
      <c r="G25" s="10"/>
      <c r="H25" s="27"/>
      <c r="I25" s="191"/>
      <c r="J25" s="963">
        <f>VLOOKUP('Part 1'!L13,DataSheet2!$B$8:$DY$325,14,FALSE)</f>
        <v>31112094014</v>
      </c>
      <c r="K25" s="964"/>
      <c r="L25" s="65"/>
      <c r="M25" s="27"/>
      <c r="N25" s="963">
        <f>VLOOKUP('Part 1'!L13,DataSheet2!$B$8:$DY$325,15,FALSE)</f>
        <v>319629513</v>
      </c>
      <c r="O25" s="964"/>
      <c r="P25" s="65"/>
      <c r="Q25" s="157"/>
      <c r="R25" s="960">
        <f>VLOOKUP('Part 1'!L13,DataSheet2!$B$8:$DY$325,16,FALSE)</f>
        <v>31431723527</v>
      </c>
      <c r="S25" s="961"/>
      <c r="T25" s="192"/>
      <c r="U25" s="55"/>
      <c r="W25" s="239">
        <f>IF(+J25+N25-R25=0,0,1)</f>
        <v>0</v>
      </c>
      <c r="Y25" s="125"/>
      <c r="Z25" s="221"/>
    </row>
    <row r="26" spans="1:33" ht="16.5" thickBot="1" x14ac:dyDescent="0.25">
      <c r="A26" s="23"/>
      <c r="B26" s="6"/>
      <c r="C26" s="27"/>
      <c r="D26" s="27"/>
      <c r="E26" s="27"/>
      <c r="F26" s="27"/>
      <c r="G26" s="27"/>
      <c r="H26" s="27"/>
      <c r="I26" s="193"/>
      <c r="J26" s="194"/>
      <c r="K26" s="195"/>
      <c r="L26" s="196"/>
      <c r="M26" s="194"/>
      <c r="N26" s="194"/>
      <c r="O26" s="195"/>
      <c r="P26" s="196"/>
      <c r="Q26" s="197"/>
      <c r="R26" s="198"/>
      <c r="S26" s="197"/>
      <c r="T26" s="199"/>
      <c r="U26" s="55"/>
      <c r="W26" s="240"/>
    </row>
    <row r="27" spans="1:33" ht="15.75" x14ac:dyDescent="0.2">
      <c r="A27" s="23"/>
      <c r="B27" s="391"/>
      <c r="C27" s="391"/>
      <c r="D27" s="391"/>
      <c r="E27" s="391"/>
      <c r="F27" s="391"/>
      <c r="G27" s="391"/>
      <c r="H27" s="391"/>
      <c r="I27" s="391"/>
      <c r="J27" s="391"/>
      <c r="K27" s="391"/>
      <c r="L27" s="391"/>
      <c r="M27" s="391"/>
      <c r="N27" s="391"/>
      <c r="O27" s="391"/>
      <c r="P27" s="391"/>
      <c r="Q27" s="364"/>
      <c r="R27" s="365"/>
      <c r="S27" s="364"/>
      <c r="T27" s="162"/>
      <c r="U27" s="55"/>
      <c r="W27" s="240"/>
      <c r="Z27" s="51"/>
      <c r="AA27" s="51"/>
      <c r="AB27" s="51"/>
      <c r="AC27" s="51"/>
      <c r="AD27" s="51"/>
      <c r="AE27" s="51"/>
      <c r="AF27" s="51"/>
      <c r="AG27" s="51"/>
    </row>
    <row r="28" spans="1:33" ht="16.5" customHeight="1" thickBot="1" x14ac:dyDescent="0.3">
      <c r="A28" s="23"/>
      <c r="B28" s="391"/>
      <c r="C28" s="392" t="s">
        <v>1202</v>
      </c>
      <c r="D28" s="393"/>
      <c r="E28" s="393"/>
      <c r="F28" s="393"/>
      <c r="G28" s="393"/>
      <c r="H28" s="393"/>
      <c r="I28" s="393"/>
      <c r="J28" s="393"/>
      <c r="K28" s="393"/>
      <c r="L28" s="393"/>
      <c r="M28" s="393"/>
      <c r="N28" s="394"/>
      <c r="O28" s="395"/>
      <c r="P28" s="393"/>
      <c r="Q28" s="364"/>
      <c r="R28" s="365"/>
      <c r="S28" s="364"/>
      <c r="T28" s="162"/>
      <c r="U28" s="55"/>
      <c r="W28" s="240"/>
      <c r="Z28" s="306"/>
      <c r="AA28" s="51"/>
      <c r="AB28" s="51"/>
      <c r="AC28" s="51"/>
      <c r="AD28" s="51"/>
      <c r="AE28" s="51"/>
      <c r="AF28" s="51"/>
      <c r="AG28" s="51"/>
    </row>
    <row r="29" spans="1:33" ht="16.5" thickBot="1" x14ac:dyDescent="0.25">
      <c r="A29" s="23"/>
      <c r="B29" s="391"/>
      <c r="C29" s="977" t="s">
        <v>829</v>
      </c>
      <c r="D29" s="977"/>
      <c r="E29" s="977"/>
      <c r="F29" s="977"/>
      <c r="G29" s="977"/>
      <c r="H29" s="393"/>
      <c r="I29" s="393"/>
      <c r="J29" s="965">
        <f>VLOOKUP('Part 1'!L13,DataSheet2!$B$8:$DY$325,17,FALSE)</f>
        <v>-344770105.75999999</v>
      </c>
      <c r="K29" s="966"/>
      <c r="L29" s="395"/>
      <c r="M29" s="393"/>
      <c r="N29" s="965">
        <f>VLOOKUP('Part 1'!L13,DataSheet2!$B$8:$DY$325,18,FALSE)</f>
        <v>-1922809</v>
      </c>
      <c r="O29" s="966"/>
      <c r="P29" s="393"/>
      <c r="Q29" s="364"/>
      <c r="R29" s="1009">
        <f>VLOOKUP('Part 1'!L13,DataSheet2!$B$8:$DY$325,19,FALSE)</f>
        <v>-346692914.75999999</v>
      </c>
      <c r="S29" s="1010"/>
      <c r="T29" s="162"/>
      <c r="U29" s="55"/>
      <c r="W29" s="239">
        <f>IF(+J29+N29-R29=0,0,1)</f>
        <v>0</v>
      </c>
      <c r="Y29" s="125"/>
      <c r="Z29" s="306"/>
      <c r="AA29" s="51"/>
      <c r="AB29" s="51"/>
      <c r="AC29" s="51"/>
      <c r="AD29" s="51"/>
      <c r="AE29" s="51"/>
      <c r="AF29" s="51"/>
      <c r="AG29" s="51"/>
    </row>
    <row r="30" spans="1:33" ht="15.75" customHeight="1" x14ac:dyDescent="0.2">
      <c r="A30" s="23"/>
      <c r="B30" s="391"/>
      <c r="C30" s="978"/>
      <c r="D30" s="978"/>
      <c r="E30" s="978"/>
      <c r="F30" s="978"/>
      <c r="G30" s="978"/>
      <c r="H30" s="393"/>
      <c r="I30" s="393"/>
      <c r="J30" s="393"/>
      <c r="K30" s="393"/>
      <c r="L30" s="393"/>
      <c r="M30" s="393"/>
      <c r="N30" s="393"/>
      <c r="O30" s="393"/>
      <c r="P30" s="393"/>
      <c r="Q30" s="364"/>
      <c r="R30" s="365"/>
      <c r="S30" s="364"/>
      <c r="T30" s="162"/>
      <c r="U30" s="55"/>
      <c r="W30" s="240"/>
      <c r="Z30" s="306"/>
      <c r="AA30" s="51"/>
      <c r="AB30" s="51"/>
      <c r="AC30" s="51"/>
      <c r="AD30" s="51"/>
      <c r="AE30" s="51"/>
      <c r="AF30" s="51"/>
      <c r="AG30" s="51"/>
    </row>
    <row r="31" spans="1:33" ht="16.5" customHeight="1" thickBot="1" x14ac:dyDescent="0.25">
      <c r="A31" s="23"/>
      <c r="B31" s="391"/>
      <c r="C31" s="393"/>
      <c r="D31" s="393"/>
      <c r="E31" s="393"/>
      <c r="F31" s="393"/>
      <c r="G31" s="393"/>
      <c r="H31" s="393"/>
      <c r="I31" s="393"/>
      <c r="J31" s="393"/>
      <c r="K31" s="393"/>
      <c r="L31" s="393"/>
      <c r="M31" s="393"/>
      <c r="N31" s="393"/>
      <c r="O31" s="393"/>
      <c r="P31" s="393"/>
      <c r="Q31" s="364"/>
      <c r="R31" s="365"/>
      <c r="S31" s="364"/>
      <c r="T31" s="162"/>
      <c r="U31" s="55"/>
      <c r="W31" s="240"/>
      <c r="Z31" s="306"/>
      <c r="AA31" s="51"/>
      <c r="AB31" s="51"/>
      <c r="AC31" s="51"/>
      <c r="AD31" s="51"/>
      <c r="AE31" s="51"/>
      <c r="AF31" s="51"/>
      <c r="AG31" s="51"/>
    </row>
    <row r="32" spans="1:33" ht="16.5" customHeight="1" thickBot="1" x14ac:dyDescent="0.25">
      <c r="A32" s="23"/>
      <c r="B32" s="391"/>
      <c r="C32" s="982" t="s">
        <v>839</v>
      </c>
      <c r="D32" s="983"/>
      <c r="E32" s="983"/>
      <c r="F32" s="983"/>
      <c r="G32" s="983"/>
      <c r="H32" s="393"/>
      <c r="I32" s="393"/>
      <c r="J32" s="965">
        <f>VLOOKUP('Part 1'!L13,DataSheet2!$B$8:$DY$325,20,FALSE)</f>
        <v>368764664.95999998</v>
      </c>
      <c r="K32" s="966"/>
      <c r="L32" s="395"/>
      <c r="M32" s="393"/>
      <c r="N32" s="965">
        <f>VLOOKUP('Part 1'!L13,DataSheet2!$B$8:$DY$325,21,FALSE)</f>
        <v>5258977.53</v>
      </c>
      <c r="O32" s="966"/>
      <c r="P32" s="393"/>
      <c r="Q32" s="364"/>
      <c r="R32" s="1009">
        <f>VLOOKUP('Part 1'!L13,DataSheet2!$B$8:$DY$325,22,FALSE)</f>
        <v>374023642.48999995</v>
      </c>
      <c r="S32" s="1010"/>
      <c r="T32" s="162"/>
      <c r="U32" s="55"/>
      <c r="W32" s="239">
        <f>IF(+J32+N32-R32=0,0,1)</f>
        <v>0</v>
      </c>
      <c r="Y32" s="125"/>
      <c r="Z32" s="306"/>
      <c r="AA32" s="51"/>
      <c r="AB32" s="51"/>
      <c r="AC32" s="51"/>
      <c r="AD32" s="51"/>
      <c r="AE32" s="51"/>
      <c r="AF32" s="51"/>
      <c r="AG32" s="51"/>
    </row>
    <row r="33" spans="1:33" ht="15.75" customHeight="1" x14ac:dyDescent="0.2">
      <c r="A33" s="23"/>
      <c r="B33" s="391"/>
      <c r="C33" s="983"/>
      <c r="D33" s="983"/>
      <c r="E33" s="983"/>
      <c r="F33" s="983"/>
      <c r="G33" s="983"/>
      <c r="H33" s="393"/>
      <c r="I33" s="393"/>
      <c r="J33" s="395"/>
      <c r="K33" s="395"/>
      <c r="L33" s="395"/>
      <c r="M33" s="395"/>
      <c r="N33" s="395"/>
      <c r="O33" s="395"/>
      <c r="P33" s="395"/>
      <c r="Q33" s="364"/>
      <c r="R33" s="364"/>
      <c r="S33" s="364"/>
      <c r="T33" s="162"/>
      <c r="U33" s="55"/>
      <c r="W33" s="240"/>
      <c r="Z33" s="306"/>
      <c r="AA33" s="51"/>
      <c r="AB33" s="51"/>
      <c r="AC33" s="51"/>
      <c r="AD33" s="51"/>
      <c r="AE33" s="51"/>
      <c r="AF33" s="51"/>
      <c r="AG33" s="51"/>
    </row>
    <row r="34" spans="1:33" ht="15.75" customHeight="1" thickBot="1" x14ac:dyDescent="0.25">
      <c r="A34" s="23"/>
      <c r="B34" s="391"/>
      <c r="C34" s="983"/>
      <c r="D34" s="983"/>
      <c r="E34" s="983"/>
      <c r="F34" s="983"/>
      <c r="G34" s="983"/>
      <c r="H34" s="393"/>
      <c r="I34" s="396"/>
      <c r="J34" s="397"/>
      <c r="K34" s="397"/>
      <c r="L34" s="397"/>
      <c r="M34" s="397"/>
      <c r="N34" s="397"/>
      <c r="O34" s="397"/>
      <c r="P34" s="397"/>
      <c r="Q34" s="366"/>
      <c r="R34" s="366"/>
      <c r="S34" s="366"/>
      <c r="T34" s="264"/>
      <c r="U34" s="55"/>
      <c r="W34" s="240"/>
      <c r="Z34" s="51"/>
      <c r="AA34" s="1015"/>
      <c r="AB34" s="1015"/>
      <c r="AC34" s="1015"/>
      <c r="AD34" s="1015"/>
      <c r="AE34" s="1015"/>
      <c r="AF34" s="1015"/>
      <c r="AG34" s="1015"/>
    </row>
    <row r="35" spans="1:33" ht="15.75" customHeight="1" thickBot="1" x14ac:dyDescent="0.25">
      <c r="A35" s="23"/>
      <c r="B35" s="391"/>
      <c r="C35" s="398"/>
      <c r="D35" s="398"/>
      <c r="E35" s="398"/>
      <c r="F35" s="398"/>
      <c r="G35" s="398"/>
      <c r="H35" s="393"/>
      <c r="I35" s="399"/>
      <c r="J35" s="395"/>
      <c r="K35" s="395"/>
      <c r="L35" s="400"/>
      <c r="M35" s="395"/>
      <c r="N35" s="395"/>
      <c r="O35" s="395"/>
      <c r="P35" s="400"/>
      <c r="Q35" s="364"/>
      <c r="R35" s="364"/>
      <c r="S35" s="364"/>
      <c r="T35" s="206"/>
      <c r="U35" s="55"/>
      <c r="W35" s="240"/>
      <c r="Z35" s="51"/>
      <c r="AA35" s="1015"/>
      <c r="AB35" s="1015"/>
      <c r="AC35" s="1015"/>
      <c r="AD35" s="1015"/>
      <c r="AE35" s="1015"/>
      <c r="AF35" s="1015"/>
      <c r="AG35" s="1015"/>
    </row>
    <row r="36" spans="1:33" ht="16.5" thickBot="1" x14ac:dyDescent="0.25">
      <c r="A36" s="23"/>
      <c r="B36" s="391"/>
      <c r="C36" s="398" t="s">
        <v>670</v>
      </c>
      <c r="D36" s="398"/>
      <c r="E36" s="398"/>
      <c r="F36" s="398"/>
      <c r="G36" s="398"/>
      <c r="H36" s="393"/>
      <c r="I36" s="399"/>
      <c r="J36" s="984">
        <f>VLOOKUP('Part 1'!L13,DataSheet2!$B$8:$DY$325,23,FALSE)</f>
        <v>23994559.199999999</v>
      </c>
      <c r="K36" s="985"/>
      <c r="L36" s="400"/>
      <c r="M36" s="393"/>
      <c r="N36" s="984">
        <f>VLOOKUP('Part 1'!L13,DataSheet2!$B$8:$DY$325,24,FALSE)</f>
        <v>3336168.53</v>
      </c>
      <c r="O36" s="985"/>
      <c r="P36" s="400"/>
      <c r="Q36" s="364"/>
      <c r="R36" s="364"/>
      <c r="S36" s="364"/>
      <c r="T36" s="206"/>
      <c r="U36" s="55"/>
      <c r="W36" s="239">
        <f>IF(+J36+J38-J42=0,0,1)</f>
        <v>1</v>
      </c>
      <c r="Z36" s="306"/>
      <c r="AA36" s="51"/>
      <c r="AB36" s="51"/>
      <c r="AC36" s="51"/>
      <c r="AD36" s="51"/>
      <c r="AE36" s="51"/>
      <c r="AF36" s="51"/>
      <c r="AG36" s="51"/>
    </row>
    <row r="37" spans="1:33" ht="16.5" customHeight="1" thickBot="1" x14ac:dyDescent="0.25">
      <c r="A37" s="23"/>
      <c r="B37" s="391"/>
      <c r="C37" s="398"/>
      <c r="D37" s="398"/>
      <c r="E37" s="398"/>
      <c r="F37" s="398"/>
      <c r="G37" s="398"/>
      <c r="H37" s="393"/>
      <c r="I37" s="399"/>
      <c r="J37" s="394"/>
      <c r="K37" s="395"/>
      <c r="L37" s="400"/>
      <c r="M37" s="393"/>
      <c r="N37" s="394"/>
      <c r="O37" s="395"/>
      <c r="P37" s="400"/>
      <c r="Q37" s="364"/>
      <c r="R37" s="364"/>
      <c r="S37" s="364"/>
      <c r="T37" s="206"/>
      <c r="U37" s="55"/>
      <c r="W37" s="239"/>
      <c r="Z37" s="51"/>
      <c r="AA37" s="51"/>
      <c r="AB37" s="51"/>
      <c r="AC37" s="51"/>
      <c r="AD37" s="51"/>
      <c r="AE37" s="51"/>
      <c r="AF37" s="51"/>
      <c r="AG37" s="51"/>
    </row>
    <row r="38" spans="1:33" ht="16.5" thickBot="1" x14ac:dyDescent="0.25">
      <c r="A38" s="23"/>
      <c r="B38" s="391"/>
      <c r="C38" s="986" t="s">
        <v>842</v>
      </c>
      <c r="D38" s="977"/>
      <c r="E38" s="977"/>
      <c r="F38" s="977"/>
      <c r="G38" s="977"/>
      <c r="H38" s="393"/>
      <c r="I38" s="399"/>
      <c r="J38" s="965">
        <f>VLOOKUP('Part 1'!L13,DataSheet2!$B$8:$DY$325,25,FALSE)</f>
        <v>880212.13500000001</v>
      </c>
      <c r="K38" s="966"/>
      <c r="L38" s="400"/>
      <c r="M38" s="393"/>
      <c r="N38" s="965">
        <f>VLOOKUP('Part 1'!L13,DataSheet2!$B$8:$DY$325,26,FALSE)</f>
        <v>220956</v>
      </c>
      <c r="O38" s="966"/>
      <c r="P38" s="400"/>
      <c r="Q38" s="364"/>
      <c r="R38" s="364"/>
      <c r="S38" s="364"/>
      <c r="T38" s="206"/>
      <c r="U38" s="55"/>
      <c r="W38" s="239">
        <f>IF(+N36+N38-N42=0,0,1)</f>
        <v>0</v>
      </c>
      <c r="Z38" s="306"/>
      <c r="AA38" s="51"/>
      <c r="AB38" s="51"/>
      <c r="AC38" s="51"/>
      <c r="AD38" s="51"/>
      <c r="AE38" s="51"/>
      <c r="AF38" s="51"/>
      <c r="AG38" s="51"/>
    </row>
    <row r="39" spans="1:33" ht="15.75" customHeight="1" x14ac:dyDescent="0.2">
      <c r="A39" s="23"/>
      <c r="B39" s="391"/>
      <c r="C39" s="977"/>
      <c r="D39" s="977"/>
      <c r="E39" s="977"/>
      <c r="F39" s="977"/>
      <c r="G39" s="977"/>
      <c r="H39" s="393"/>
      <c r="I39" s="399"/>
      <c r="J39" s="394"/>
      <c r="K39" s="395"/>
      <c r="L39" s="400"/>
      <c r="M39" s="393"/>
      <c r="N39" s="394"/>
      <c r="O39" s="395"/>
      <c r="P39" s="400"/>
      <c r="Q39" s="364"/>
      <c r="R39" s="365"/>
      <c r="S39" s="364"/>
      <c r="T39" s="206"/>
      <c r="U39" s="55"/>
      <c r="W39" s="240"/>
      <c r="Z39" s="51"/>
      <c r="AA39" s="51"/>
      <c r="AB39" s="51"/>
      <c r="AC39" s="51"/>
      <c r="AD39" s="51"/>
      <c r="AE39" s="51"/>
      <c r="AF39" s="51"/>
      <c r="AG39" s="51"/>
    </row>
    <row r="40" spans="1:33" ht="15.75" customHeight="1" x14ac:dyDescent="0.2">
      <c r="A40" s="23"/>
      <c r="B40" s="391"/>
      <c r="C40" s="978"/>
      <c r="D40" s="978"/>
      <c r="E40" s="978"/>
      <c r="F40" s="978"/>
      <c r="G40" s="978"/>
      <c r="H40" s="393"/>
      <c r="I40" s="399"/>
      <c r="J40" s="394"/>
      <c r="K40" s="395"/>
      <c r="L40" s="400"/>
      <c r="M40" s="393"/>
      <c r="N40" s="394"/>
      <c r="O40" s="395"/>
      <c r="P40" s="400"/>
      <c r="Q40" s="364"/>
      <c r="R40" s="365"/>
      <c r="S40" s="364"/>
      <c r="T40" s="206"/>
      <c r="U40" s="55"/>
      <c r="W40" s="240"/>
      <c r="Z40" s="51"/>
      <c r="AA40" s="51"/>
      <c r="AB40" s="51"/>
      <c r="AC40" s="51"/>
      <c r="AD40" s="51"/>
      <c r="AE40" s="51"/>
      <c r="AF40" s="51"/>
      <c r="AG40" s="51"/>
    </row>
    <row r="41" spans="1:33" ht="16.5" thickBot="1" x14ac:dyDescent="0.25">
      <c r="A41" s="23"/>
      <c r="B41" s="391"/>
      <c r="C41" s="401"/>
      <c r="D41" s="401"/>
      <c r="E41" s="401"/>
      <c r="F41" s="401"/>
      <c r="G41" s="401"/>
      <c r="H41" s="393"/>
      <c r="I41" s="399"/>
      <c r="J41" s="394"/>
      <c r="K41" s="395"/>
      <c r="L41" s="400"/>
      <c r="M41" s="393"/>
      <c r="N41" s="394"/>
      <c r="O41" s="395"/>
      <c r="P41" s="400"/>
      <c r="Q41" s="364"/>
      <c r="R41" s="365"/>
      <c r="S41" s="364"/>
      <c r="T41" s="206"/>
      <c r="U41" s="55"/>
      <c r="W41" s="240"/>
      <c r="Z41" s="51"/>
      <c r="AA41" s="51"/>
      <c r="AB41" s="51"/>
      <c r="AC41" s="51"/>
      <c r="AD41" s="51"/>
      <c r="AE41" s="51"/>
      <c r="AF41" s="51"/>
      <c r="AG41" s="51"/>
    </row>
    <row r="42" spans="1:33" ht="16.5" thickBot="1" x14ac:dyDescent="0.25">
      <c r="A42" s="23"/>
      <c r="B42" s="391"/>
      <c r="C42" s="398" t="s">
        <v>671</v>
      </c>
      <c r="D42" s="398"/>
      <c r="E42" s="398"/>
      <c r="F42" s="398"/>
      <c r="G42" s="398"/>
      <c r="H42" s="393"/>
      <c r="I42" s="399"/>
      <c r="J42" s="984">
        <f>VLOOKUP('Part 1'!L13,DataSheet2!$B$8:$DY$325,27,FALSE)</f>
        <v>24874771.334999997</v>
      </c>
      <c r="K42" s="985"/>
      <c r="L42" s="400"/>
      <c r="M42" s="393"/>
      <c r="N42" s="984">
        <f>VLOOKUP('Part 1'!L13,DataSheet2!$B$8:$DY$325,28,FALSE)</f>
        <v>3557124.53</v>
      </c>
      <c r="O42" s="985"/>
      <c r="P42" s="400"/>
      <c r="Q42" s="364"/>
      <c r="R42" s="1009">
        <f>VLOOKUP('Part 1'!L13,DataSheet2!$B$8:$DY$325,29,FALSE)</f>
        <v>28431895.864999995</v>
      </c>
      <c r="S42" s="1010"/>
      <c r="T42" s="206"/>
      <c r="U42" s="55"/>
      <c r="W42" s="239">
        <f>IF(+J42+N42-R42=0,0,1)</f>
        <v>1</v>
      </c>
      <c r="Y42" s="125"/>
      <c r="Z42" s="306"/>
      <c r="AA42" s="51"/>
      <c r="AB42" s="51"/>
      <c r="AC42" s="51"/>
      <c r="AD42" s="51"/>
      <c r="AE42" s="51"/>
      <c r="AF42" s="51"/>
      <c r="AG42" s="51"/>
    </row>
    <row r="43" spans="1:33" ht="16.5" thickBot="1" x14ac:dyDescent="0.25">
      <c r="A43" s="23"/>
      <c r="B43" s="391"/>
      <c r="C43" s="391"/>
      <c r="D43" s="391"/>
      <c r="E43" s="391"/>
      <c r="F43" s="391"/>
      <c r="G43" s="391"/>
      <c r="H43" s="393"/>
      <c r="I43" s="402"/>
      <c r="J43" s="403"/>
      <c r="K43" s="397"/>
      <c r="L43" s="404"/>
      <c r="M43" s="403"/>
      <c r="N43" s="403"/>
      <c r="O43" s="397"/>
      <c r="P43" s="405"/>
      <c r="Q43" s="366"/>
      <c r="R43" s="367"/>
      <c r="S43" s="366"/>
      <c r="T43" s="213"/>
      <c r="U43" s="55"/>
      <c r="W43" s="240"/>
      <c r="Z43" s="51"/>
      <c r="AA43" s="51"/>
      <c r="AB43" s="51"/>
      <c r="AC43" s="51"/>
      <c r="AD43" s="51"/>
      <c r="AE43" s="51"/>
      <c r="AF43" s="51"/>
      <c r="AG43" s="51"/>
    </row>
    <row r="44" spans="1:33" ht="16.5" thickBot="1" x14ac:dyDescent="0.25">
      <c r="A44" s="23"/>
      <c r="B44" s="391"/>
      <c r="C44" s="393"/>
      <c r="D44" s="393"/>
      <c r="E44" s="393"/>
      <c r="F44" s="393"/>
      <c r="G44" s="393"/>
      <c r="H44" s="393"/>
      <c r="I44" s="393"/>
      <c r="J44" s="394"/>
      <c r="K44" s="395"/>
      <c r="L44" s="395"/>
      <c r="M44" s="395"/>
      <c r="N44" s="395"/>
      <c r="O44" s="395"/>
      <c r="P44" s="395"/>
      <c r="Q44" s="364"/>
      <c r="R44" s="365"/>
      <c r="S44" s="364"/>
      <c r="T44" s="162"/>
      <c r="U44" s="55"/>
      <c r="W44" s="240"/>
      <c r="Z44" s="51"/>
      <c r="AA44" s="51"/>
      <c r="AB44" s="51"/>
      <c r="AC44" s="51"/>
      <c r="AD44" s="51"/>
      <c r="AE44" s="51"/>
      <c r="AF44" s="51"/>
      <c r="AG44" s="51"/>
    </row>
    <row r="45" spans="1:33" ht="15.75" x14ac:dyDescent="0.2">
      <c r="A45" s="23"/>
      <c r="B45" s="406"/>
      <c r="C45" s="407"/>
      <c r="D45" s="407"/>
      <c r="E45" s="407"/>
      <c r="F45" s="407"/>
      <c r="G45" s="407"/>
      <c r="H45" s="407"/>
      <c r="I45" s="407"/>
      <c r="J45" s="408"/>
      <c r="K45" s="409"/>
      <c r="L45" s="409"/>
      <c r="M45" s="409"/>
      <c r="N45" s="409"/>
      <c r="O45" s="409"/>
      <c r="P45" s="409"/>
      <c r="Q45" s="368"/>
      <c r="R45" s="369"/>
      <c r="S45" s="368"/>
      <c r="T45" s="177"/>
      <c r="U45" s="55"/>
      <c r="W45" s="240"/>
      <c r="Z45" s="51"/>
      <c r="AA45" s="51"/>
      <c r="AB45" s="51"/>
      <c r="AC45" s="51"/>
      <c r="AD45" s="51"/>
      <c r="AE45" s="51"/>
      <c r="AF45" s="51"/>
      <c r="AG45" s="51"/>
    </row>
    <row r="46" spans="1:33" ht="16.5" thickBot="1" x14ac:dyDescent="0.3">
      <c r="A46" s="23"/>
      <c r="B46" s="410"/>
      <c r="C46" s="392" t="s">
        <v>1203</v>
      </c>
      <c r="D46" s="411"/>
      <c r="E46" s="411"/>
      <c r="F46" s="411"/>
      <c r="G46" s="411"/>
      <c r="H46" s="393"/>
      <c r="I46" s="393"/>
      <c r="J46" s="394"/>
      <c r="K46" s="395"/>
      <c r="L46" s="395"/>
      <c r="M46" s="395"/>
      <c r="N46" s="395"/>
      <c r="O46" s="395"/>
      <c r="P46" s="395"/>
      <c r="Q46" s="364"/>
      <c r="R46" s="365"/>
      <c r="S46" s="364"/>
      <c r="T46" s="178"/>
      <c r="U46" s="55"/>
      <c r="W46" s="240"/>
    </row>
    <row r="47" spans="1:33" ht="16.5" thickBot="1" x14ac:dyDescent="0.25">
      <c r="A47" s="23"/>
      <c r="B47" s="410"/>
      <c r="C47" s="412" t="s">
        <v>672</v>
      </c>
      <c r="D47" s="411"/>
      <c r="E47" s="411"/>
      <c r="F47" s="411"/>
      <c r="G47" s="411"/>
      <c r="H47" s="393"/>
      <c r="I47" s="393"/>
      <c r="J47" s="984">
        <f>VLOOKUP('Part 1'!L13,DataSheet2!$B$8:$DY$325,30,FALSE)</f>
        <v>-24874771.334999997</v>
      </c>
      <c r="K47" s="985"/>
      <c r="L47" s="395"/>
      <c r="M47" s="395"/>
      <c r="N47" s="984">
        <f>VLOOKUP('Part 1'!L13,DataSheet2!$B$8:$DY$325,31,FALSE)</f>
        <v>-3557124.53</v>
      </c>
      <c r="O47" s="985"/>
      <c r="P47" s="395"/>
      <c r="Q47" s="364"/>
      <c r="R47" s="1009">
        <f>VLOOKUP('Part 1'!L13,DataSheet2!$B$8:$DY$325,32,FALSE)</f>
        <v>-28431895.864999995</v>
      </c>
      <c r="S47" s="1010"/>
      <c r="T47" s="178"/>
      <c r="U47" s="55"/>
      <c r="W47" s="239">
        <f>IF(+J47+N47-R47=0,0,1)</f>
        <v>1</v>
      </c>
      <c r="Y47" s="125"/>
      <c r="Z47" s="221"/>
    </row>
    <row r="48" spans="1:33" ht="16.5" thickBot="1" x14ac:dyDescent="0.3">
      <c r="A48" s="23"/>
      <c r="B48" s="413"/>
      <c r="C48" s="414"/>
      <c r="D48" s="415"/>
      <c r="E48" s="415"/>
      <c r="F48" s="415"/>
      <c r="G48" s="415"/>
      <c r="H48" s="415"/>
      <c r="I48" s="415"/>
      <c r="J48" s="416"/>
      <c r="K48" s="417"/>
      <c r="L48" s="417"/>
      <c r="M48" s="417"/>
      <c r="N48" s="417"/>
      <c r="O48" s="417"/>
      <c r="P48" s="417"/>
      <c r="Q48" s="370"/>
      <c r="R48" s="371"/>
      <c r="S48" s="370"/>
      <c r="T48" s="179"/>
      <c r="U48" s="55"/>
      <c r="W48" s="240"/>
    </row>
    <row r="49" spans="1:26" x14ac:dyDescent="0.2">
      <c r="A49" s="23"/>
      <c r="B49" s="2"/>
      <c r="C49" s="2"/>
      <c r="D49" s="2"/>
      <c r="E49" s="2"/>
      <c r="F49" s="2"/>
      <c r="G49" s="2"/>
      <c r="H49" s="2"/>
      <c r="I49" s="2"/>
      <c r="J49" s="2"/>
      <c r="K49" s="2"/>
      <c r="L49" s="2"/>
      <c r="M49" s="27"/>
      <c r="N49" s="2"/>
      <c r="O49" s="2"/>
      <c r="P49" s="2"/>
      <c r="Q49" s="162"/>
      <c r="R49" s="162"/>
      <c r="S49" s="162"/>
      <c r="T49" s="162"/>
      <c r="U49" s="55"/>
      <c r="W49" s="240"/>
    </row>
    <row r="50" spans="1:26" ht="15.75" customHeight="1" x14ac:dyDescent="0.25">
      <c r="A50" s="80"/>
      <c r="B50" s="63"/>
      <c r="C50" s="16" t="s">
        <v>843</v>
      </c>
      <c r="D50" s="16"/>
      <c r="E50" s="16"/>
      <c r="F50" s="16"/>
      <c r="G50" s="16"/>
      <c r="H50" s="16"/>
      <c r="I50" s="63"/>
      <c r="J50" s="63"/>
      <c r="K50" s="63"/>
      <c r="L50" s="63"/>
      <c r="M50" s="27"/>
      <c r="N50" s="63"/>
      <c r="O50" s="63"/>
      <c r="P50" s="63"/>
      <c r="Q50" s="157"/>
      <c r="R50" s="157"/>
      <c r="S50" s="157"/>
      <c r="T50" s="162"/>
      <c r="U50" s="55"/>
      <c r="W50" s="240"/>
    </row>
    <row r="51" spans="1:26" x14ac:dyDescent="0.2">
      <c r="A51" s="23"/>
      <c r="B51" s="2"/>
      <c r="C51" s="10"/>
      <c r="D51" s="27"/>
      <c r="E51" s="27"/>
      <c r="F51" s="27"/>
      <c r="G51" s="27"/>
      <c r="H51" s="27"/>
      <c r="I51" s="27"/>
      <c r="J51" s="63"/>
      <c r="K51" s="63"/>
      <c r="L51" s="63"/>
      <c r="M51" s="27"/>
      <c r="N51" s="63"/>
      <c r="O51" s="63"/>
      <c r="P51" s="63"/>
      <c r="Q51" s="157"/>
      <c r="R51" s="157"/>
      <c r="S51" s="157"/>
      <c r="T51" s="162"/>
      <c r="U51" s="55"/>
      <c r="W51" s="240"/>
    </row>
    <row r="52" spans="1:26" ht="16.5" thickBot="1" x14ac:dyDescent="0.3">
      <c r="A52" s="23"/>
      <c r="B52" s="2"/>
      <c r="C52" s="13" t="s">
        <v>638</v>
      </c>
      <c r="D52" s="10"/>
      <c r="E52" s="10"/>
      <c r="F52" s="10"/>
      <c r="G52" s="10"/>
      <c r="H52" s="27"/>
      <c r="I52" s="27"/>
      <c r="J52" s="63"/>
      <c r="K52" s="63"/>
      <c r="L52" s="63"/>
      <c r="M52" s="27"/>
      <c r="N52" s="63"/>
      <c r="O52" s="63"/>
      <c r="P52" s="63"/>
      <c r="Q52" s="157"/>
      <c r="R52" s="157"/>
      <c r="S52" s="157"/>
      <c r="T52" s="162"/>
      <c r="U52" s="55"/>
      <c r="W52" s="240"/>
    </row>
    <row r="53" spans="1:26" ht="16.5" thickBot="1" x14ac:dyDescent="0.25">
      <c r="A53" s="23"/>
      <c r="B53" s="2"/>
      <c r="C53" s="10" t="s">
        <v>1124</v>
      </c>
      <c r="D53" s="10"/>
      <c r="E53" s="10"/>
      <c r="F53" s="10"/>
      <c r="G53" s="10"/>
      <c r="H53" s="27"/>
      <c r="I53" s="27"/>
      <c r="J53" s="884">
        <f>VLOOKUP('Part 1'!L13,DataSheet2!$B$8:$DY$325,33,FALSE)</f>
        <v>-1868520343.5009999</v>
      </c>
      <c r="K53" s="885"/>
      <c r="L53" s="63"/>
      <c r="M53" s="27"/>
      <c r="N53" s="884">
        <f>VLOOKUP('Part 1'!L13,DataSheet2!$B$8:$DY$325,34,FALSE)</f>
        <v>-6373063</v>
      </c>
      <c r="O53" s="885"/>
      <c r="P53" s="63"/>
      <c r="Q53" s="157"/>
      <c r="R53" s="960">
        <f>VLOOKUP('Part 1'!L13,DataSheet2!$B$8:$DY$325,35,FALSE)</f>
        <v>-1874893406.5009999</v>
      </c>
      <c r="S53" s="961"/>
      <c r="T53" s="162"/>
      <c r="U53" s="55"/>
      <c r="W53" s="239">
        <f>IF(+J53+N53-R53=0,0,1)</f>
        <v>0</v>
      </c>
      <c r="Y53" s="125"/>
      <c r="Z53" s="221"/>
    </row>
    <row r="54" spans="1:26" ht="16.5" thickBot="1" x14ac:dyDescent="0.3">
      <c r="A54" s="23"/>
      <c r="B54" s="2"/>
      <c r="C54" s="10"/>
      <c r="D54" s="10"/>
      <c r="E54" s="10"/>
      <c r="F54" s="10"/>
      <c r="G54" s="10"/>
      <c r="H54" s="27"/>
      <c r="I54" s="27"/>
      <c r="J54" s="325">
        <f>+IF(OR(J55&lt;J53,N55&lt;N53),1,0)</f>
        <v>0</v>
      </c>
      <c r="K54" s="319"/>
      <c r="L54" s="319"/>
      <c r="M54" s="171"/>
      <c r="N54" s="325">
        <f>+IF(OR(N55&lt;N53,R55&lt;R53),1,0)</f>
        <v>0</v>
      </c>
      <c r="O54" s="319"/>
      <c r="P54" s="319" t="s">
        <v>851</v>
      </c>
      <c r="Q54" s="320"/>
      <c r="R54" s="320"/>
      <c r="S54" s="320"/>
      <c r="T54" s="162"/>
      <c r="U54" s="55"/>
      <c r="W54" s="240"/>
    </row>
    <row r="55" spans="1:26" ht="16.5" thickBot="1" x14ac:dyDescent="0.25">
      <c r="A55" s="23"/>
      <c r="B55" s="2"/>
      <c r="C55" s="879" t="s">
        <v>661</v>
      </c>
      <c r="D55" s="879"/>
      <c r="E55" s="879"/>
      <c r="F55" s="879"/>
      <c r="G55" s="879"/>
      <c r="H55" s="27"/>
      <c r="I55" s="27"/>
      <c r="J55" s="884">
        <f>VLOOKUP('Part 1'!L13,DataSheet2!$B$8:$DY$325,36,FALSE)</f>
        <v>-2980753.7749999999</v>
      </c>
      <c r="K55" s="885"/>
      <c r="L55" s="63"/>
      <c r="M55" s="27"/>
      <c r="N55" s="884">
        <f>VLOOKUP('Part 1'!L13,DataSheet2!$B$8:$DY$325,37,FALSE)</f>
        <v>-17849</v>
      </c>
      <c r="O55" s="885"/>
      <c r="P55" s="63"/>
      <c r="Q55" s="157"/>
      <c r="R55" s="960">
        <f>VLOOKUP('Part 1'!L13,DataSheet2!$B$8:$DY$325,38,FALSE)</f>
        <v>-2998602.7749999999</v>
      </c>
      <c r="S55" s="961"/>
      <c r="T55" s="162"/>
      <c r="U55" s="55"/>
      <c r="W55" s="239">
        <f>IF(+J55+N55-R55=0,0,1)</f>
        <v>0</v>
      </c>
      <c r="Y55" s="125"/>
      <c r="Z55" s="221"/>
    </row>
    <row r="56" spans="1:26" ht="15.75" x14ac:dyDescent="0.2">
      <c r="A56" s="23"/>
      <c r="B56" s="2"/>
      <c r="C56" s="879"/>
      <c r="D56" s="879"/>
      <c r="E56" s="879"/>
      <c r="F56" s="879"/>
      <c r="G56" s="879"/>
      <c r="H56" s="27"/>
      <c r="I56" s="27"/>
      <c r="J56" s="324"/>
      <c r="K56" s="323"/>
      <c r="L56" s="323"/>
      <c r="M56" s="323"/>
      <c r="N56" s="324"/>
      <c r="O56" s="323"/>
      <c r="P56" s="63"/>
      <c r="Q56" s="157"/>
      <c r="R56" s="321"/>
      <c r="S56" s="157"/>
      <c r="T56" s="162"/>
      <c r="U56" s="55"/>
      <c r="W56" s="240"/>
    </row>
    <row r="57" spans="1:26" ht="16.5" thickBot="1" x14ac:dyDescent="0.25">
      <c r="A57" s="23"/>
      <c r="B57" s="2"/>
      <c r="C57" s="10"/>
      <c r="D57" s="10"/>
      <c r="E57" s="10"/>
      <c r="F57" s="10"/>
      <c r="G57" s="10"/>
      <c r="H57" s="27"/>
      <c r="I57" s="27"/>
      <c r="J57" s="64"/>
      <c r="K57" s="63"/>
      <c r="L57" s="63"/>
      <c r="M57" s="27"/>
      <c r="N57" s="64"/>
      <c r="O57" s="63"/>
      <c r="P57" s="63"/>
      <c r="Q57" s="157"/>
      <c r="R57" s="273"/>
      <c r="S57" s="157"/>
      <c r="T57" s="162"/>
      <c r="U57" s="55"/>
      <c r="W57" s="240"/>
    </row>
    <row r="58" spans="1:26" ht="16.5" thickBot="1" x14ac:dyDescent="0.25">
      <c r="A58" s="23"/>
      <c r="B58" s="2"/>
      <c r="C58" s="879" t="s">
        <v>831</v>
      </c>
      <c r="D58" s="879"/>
      <c r="E58" s="879"/>
      <c r="F58" s="879"/>
      <c r="G58" s="879"/>
      <c r="H58" s="27"/>
      <c r="I58" s="27"/>
      <c r="J58" s="884">
        <f>VLOOKUP('Part 1'!L13,DataSheet2!$B$8:$DY$325,39,FALSE)</f>
        <v>627219524.2190001</v>
      </c>
      <c r="K58" s="885"/>
      <c r="L58" s="63"/>
      <c r="M58" s="27"/>
      <c r="N58" s="884">
        <f>VLOOKUP('Part 1'!L13,DataSheet2!$B$8:$DY$325,40,FALSE)</f>
        <v>6681162</v>
      </c>
      <c r="O58" s="885"/>
      <c r="P58" s="63"/>
      <c r="Q58" s="157"/>
      <c r="R58" s="960">
        <f>VLOOKUP('Part 1'!L13,DataSheet2!$B$8:$DY$325,41,FALSE)</f>
        <v>633900686.2190001</v>
      </c>
      <c r="S58" s="961"/>
      <c r="T58" s="162"/>
      <c r="U58" s="55"/>
      <c r="W58" s="239">
        <f>IF(+J58+N58-R58=0,0,1)</f>
        <v>0</v>
      </c>
      <c r="Y58" s="125"/>
      <c r="Z58" s="221"/>
    </row>
    <row r="59" spans="1:26" ht="15.75" customHeight="1" x14ac:dyDescent="0.2">
      <c r="A59" s="23"/>
      <c r="B59" s="2"/>
      <c r="C59" s="962"/>
      <c r="D59" s="962"/>
      <c r="E59" s="962"/>
      <c r="F59" s="962"/>
      <c r="G59" s="962"/>
      <c r="H59" s="27"/>
      <c r="I59" s="27"/>
      <c r="J59" s="64"/>
      <c r="K59" s="63"/>
      <c r="L59" s="63"/>
      <c r="M59" s="27"/>
      <c r="N59" s="64"/>
      <c r="O59" s="63"/>
      <c r="P59" s="63"/>
      <c r="Q59" s="157"/>
      <c r="R59" s="273"/>
      <c r="S59" s="157"/>
      <c r="T59" s="162"/>
      <c r="U59" s="55"/>
      <c r="W59" s="240"/>
    </row>
    <row r="60" spans="1:26" ht="16.5" thickBot="1" x14ac:dyDescent="0.25">
      <c r="A60" s="23"/>
      <c r="B60" s="2"/>
      <c r="C60" s="316"/>
      <c r="D60" s="316"/>
      <c r="E60" s="316"/>
      <c r="F60" s="316"/>
      <c r="G60" s="316"/>
      <c r="H60" s="27"/>
      <c r="I60" s="27"/>
      <c r="J60" s="64"/>
      <c r="K60" s="63"/>
      <c r="L60" s="63"/>
      <c r="M60" s="27"/>
      <c r="N60" s="64"/>
      <c r="O60" s="63"/>
      <c r="P60" s="63"/>
      <c r="Q60" s="157"/>
      <c r="R60" s="273"/>
      <c r="S60" s="157"/>
      <c r="T60" s="162"/>
      <c r="U60" s="55"/>
      <c r="W60" s="243">
        <f>+IF(J53+J58-J61=0,0,1)</f>
        <v>0</v>
      </c>
    </row>
    <row r="61" spans="1:26" ht="16.5" thickBot="1" x14ac:dyDescent="0.25">
      <c r="A61" s="23"/>
      <c r="B61" s="2"/>
      <c r="C61" s="10" t="s">
        <v>1891</v>
      </c>
      <c r="D61" s="10"/>
      <c r="E61" s="10"/>
      <c r="F61" s="10"/>
      <c r="G61" s="10"/>
      <c r="H61" s="27"/>
      <c r="I61" s="27"/>
      <c r="J61" s="963">
        <f>VLOOKUP('Part 1'!L13,DataSheet2!$B$8:$DY$325,42,FALSE)</f>
        <v>-1241300819.2819998</v>
      </c>
      <c r="K61" s="964"/>
      <c r="L61" s="63"/>
      <c r="M61" s="27"/>
      <c r="N61" s="963">
        <f>VLOOKUP('Part 1'!L13,DataSheet2!$B$8:$DY$325,43,FALSE)</f>
        <v>308099</v>
      </c>
      <c r="O61" s="964"/>
      <c r="P61" s="63"/>
      <c r="Q61" s="157"/>
      <c r="R61" s="960">
        <f>VLOOKUP('Part 1'!L13,DataSheet2!$B$8:$DY$325,44,FALSE)</f>
        <v>-1240992720.2819998</v>
      </c>
      <c r="S61" s="961"/>
      <c r="T61" s="162"/>
      <c r="U61" s="55"/>
      <c r="W61" s="239">
        <f>IF(+J61+N61-R61=0,0,1)</f>
        <v>0</v>
      </c>
      <c r="Y61" s="125"/>
      <c r="Z61" s="221"/>
    </row>
    <row r="62" spans="1:26" x14ac:dyDescent="0.2">
      <c r="A62" s="23"/>
      <c r="B62" s="2"/>
      <c r="C62" s="10"/>
      <c r="D62" s="10"/>
      <c r="E62" s="10"/>
      <c r="F62" s="10"/>
      <c r="G62" s="10"/>
      <c r="H62" s="27"/>
      <c r="I62" s="27"/>
      <c r="J62" s="63"/>
      <c r="K62" s="63"/>
      <c r="L62" s="63"/>
      <c r="M62" s="27"/>
      <c r="N62" s="63"/>
      <c r="O62" s="63"/>
      <c r="P62" s="63"/>
      <c r="Q62" s="157"/>
      <c r="R62" s="157"/>
      <c r="S62" s="157"/>
      <c r="T62" s="162"/>
      <c r="U62" s="55"/>
      <c r="W62" s="243">
        <f>+IF(N53+N58-N61=0,0,1)</f>
        <v>0</v>
      </c>
    </row>
    <row r="63" spans="1:26" ht="16.5" thickBot="1" x14ac:dyDescent="0.3">
      <c r="A63" s="23"/>
      <c r="B63" s="2"/>
      <c r="C63" s="13" t="s">
        <v>655</v>
      </c>
      <c r="D63" s="10"/>
      <c r="E63" s="10"/>
      <c r="F63" s="10"/>
      <c r="G63" s="10"/>
      <c r="H63" s="27"/>
      <c r="I63" s="27"/>
      <c r="J63" s="63"/>
      <c r="K63" s="63"/>
      <c r="L63" s="63"/>
      <c r="M63" s="27"/>
      <c r="N63" s="63"/>
      <c r="O63" s="63"/>
      <c r="P63" s="63"/>
      <c r="Q63" s="157"/>
      <c r="R63" s="157"/>
      <c r="S63" s="157"/>
      <c r="T63" s="162"/>
      <c r="U63" s="55"/>
      <c r="W63" s="240"/>
    </row>
    <row r="64" spans="1:26" ht="16.5" thickBot="1" x14ac:dyDescent="0.25">
      <c r="A64" s="23"/>
      <c r="B64" s="2"/>
      <c r="C64" s="10" t="s">
        <v>1125</v>
      </c>
      <c r="D64" s="10"/>
      <c r="E64" s="10"/>
      <c r="F64" s="10"/>
      <c r="G64" s="10"/>
      <c r="H64" s="27"/>
      <c r="I64" s="27"/>
      <c r="J64" s="884">
        <f>VLOOKUP('Part 1'!L13,DataSheet2!$B$8:$DY$325,45,FALSE)</f>
        <v>-1953988292.6699998</v>
      </c>
      <c r="K64" s="885"/>
      <c r="L64" s="63"/>
      <c r="M64" s="27"/>
      <c r="N64" s="884">
        <f>VLOOKUP('Part 1'!L13,DataSheet2!$B$8:$DY$325,46,FALSE)</f>
        <v>-13059322</v>
      </c>
      <c r="O64" s="885"/>
      <c r="P64" s="63"/>
      <c r="Q64" s="157"/>
      <c r="R64" s="960">
        <f>VLOOKUP('Part 1'!L13,DataSheet2!$B$8:$DY$325,47,FALSE)</f>
        <v>-1967047614.6699998</v>
      </c>
      <c r="S64" s="961"/>
      <c r="T64" s="162"/>
      <c r="U64" s="55"/>
      <c r="W64" s="239">
        <f>IF(+J64+N64-R64=0,0,1)</f>
        <v>0</v>
      </c>
      <c r="Y64" s="125"/>
      <c r="Z64" s="221"/>
    </row>
    <row r="65" spans="1:26" x14ac:dyDescent="0.2">
      <c r="A65" s="23"/>
      <c r="B65" s="2"/>
      <c r="C65" s="10"/>
      <c r="D65" s="10"/>
      <c r="E65" s="10"/>
      <c r="F65" s="10"/>
      <c r="G65" s="10"/>
      <c r="H65" s="27"/>
      <c r="I65" s="27"/>
      <c r="J65" s="63"/>
      <c r="K65" s="63"/>
      <c r="L65" s="63"/>
      <c r="M65" s="27"/>
      <c r="N65" s="63"/>
      <c r="O65" s="63"/>
      <c r="P65" s="63"/>
      <c r="Q65" s="157"/>
      <c r="R65" s="157"/>
      <c r="S65" s="157"/>
      <c r="T65" s="162"/>
      <c r="U65" s="55"/>
      <c r="W65" s="240"/>
    </row>
    <row r="66" spans="1:26" ht="16.5" thickBot="1" x14ac:dyDescent="0.3">
      <c r="A66" s="23"/>
      <c r="B66" s="2"/>
      <c r="C66" s="13" t="s">
        <v>639</v>
      </c>
      <c r="D66" s="10"/>
      <c r="E66" s="10"/>
      <c r="F66" s="10"/>
      <c r="G66" s="10"/>
      <c r="H66" s="27"/>
      <c r="I66" s="27"/>
      <c r="J66" s="63"/>
      <c r="K66" s="63"/>
      <c r="L66" s="63"/>
      <c r="M66" s="27"/>
      <c r="N66" s="63"/>
      <c r="O66" s="63"/>
      <c r="P66" s="63"/>
      <c r="Q66" s="157"/>
      <c r="R66" s="157"/>
      <c r="S66" s="157"/>
      <c r="T66" s="162"/>
      <c r="U66" s="55"/>
      <c r="W66" s="240"/>
    </row>
    <row r="67" spans="1:26" ht="16.5" thickBot="1" x14ac:dyDescent="0.25">
      <c r="A67" s="23"/>
      <c r="B67" s="2"/>
      <c r="C67" s="10" t="s">
        <v>1126</v>
      </c>
      <c r="D67" s="10"/>
      <c r="E67" s="10"/>
      <c r="F67" s="10"/>
      <c r="G67" s="10"/>
      <c r="H67" s="27"/>
      <c r="I67" s="27"/>
      <c r="J67" s="884">
        <f>VLOOKUP('Part 1'!L13,DataSheet2!$B$8:$DY$325,48,FALSE)</f>
        <v>-19807507.279999997</v>
      </c>
      <c r="K67" s="885"/>
      <c r="L67" s="63"/>
      <c r="M67" s="27"/>
      <c r="N67" s="884">
        <f>VLOOKUP('Part 1'!L13,DataSheet2!$B$8:$DY$325,49,FALSE)</f>
        <v>-18144</v>
      </c>
      <c r="O67" s="885"/>
      <c r="P67" s="63"/>
      <c r="Q67" s="157"/>
      <c r="R67" s="960">
        <f>VLOOKUP('Part 1'!L13,DataSheet2!$B$8:$DY$325,50,FALSE)</f>
        <v>-19825651.279999997</v>
      </c>
      <c r="S67" s="961"/>
      <c r="T67" s="162"/>
      <c r="U67" s="55"/>
      <c r="W67" s="239">
        <f>IF(+J67+N67-R67=0,0,1)</f>
        <v>0</v>
      </c>
      <c r="Y67" s="125"/>
      <c r="Z67" s="221"/>
    </row>
    <row r="68" spans="1:26" ht="15.75" x14ac:dyDescent="0.2">
      <c r="A68" s="23"/>
      <c r="B68" s="2"/>
      <c r="C68" s="27"/>
      <c r="D68" s="27"/>
      <c r="E68" s="27"/>
      <c r="F68" s="27"/>
      <c r="G68" s="27"/>
      <c r="H68" s="27"/>
      <c r="I68" s="27"/>
      <c r="J68" s="64"/>
      <c r="K68" s="63"/>
      <c r="L68" s="63"/>
      <c r="M68" s="27"/>
      <c r="N68" s="64"/>
      <c r="O68" s="63"/>
      <c r="P68" s="63"/>
      <c r="Q68" s="157"/>
      <c r="R68" s="589"/>
      <c r="S68" s="157"/>
      <c r="T68" s="162"/>
      <c r="U68" s="55"/>
      <c r="W68" s="240"/>
    </row>
    <row r="69" spans="1:26" ht="16.5" thickBot="1" x14ac:dyDescent="0.3">
      <c r="A69" s="23"/>
      <c r="B69" s="2"/>
      <c r="C69" s="26" t="s">
        <v>657</v>
      </c>
      <c r="D69" s="27"/>
      <c r="E69" s="27"/>
      <c r="F69" s="27"/>
      <c r="G69" s="27"/>
      <c r="H69" s="27"/>
      <c r="I69" s="27"/>
      <c r="J69" s="63"/>
      <c r="K69" s="63"/>
      <c r="L69" s="63"/>
      <c r="M69" s="27"/>
      <c r="N69" s="63"/>
      <c r="O69" s="63"/>
      <c r="P69" s="63"/>
      <c r="Q69" s="157"/>
      <c r="R69" s="157"/>
      <c r="S69" s="157"/>
      <c r="T69" s="162"/>
      <c r="U69" s="55"/>
      <c r="W69" s="240"/>
    </row>
    <row r="70" spans="1:26" ht="16.5" thickBot="1" x14ac:dyDescent="0.25">
      <c r="A70" s="23"/>
      <c r="B70" s="2"/>
      <c r="C70" s="10" t="s">
        <v>1127</v>
      </c>
      <c r="D70" s="27"/>
      <c r="E70" s="27"/>
      <c r="F70" s="27"/>
      <c r="G70" s="27"/>
      <c r="H70" s="27"/>
      <c r="I70" s="27"/>
      <c r="J70" s="884">
        <f>VLOOKUP('Part 1'!L13,DataSheet2!$B$8:$DY$325,51,FALSE)</f>
        <v>-4338095.9399999995</v>
      </c>
      <c r="K70" s="885"/>
      <c r="L70" s="63"/>
      <c r="M70" s="27"/>
      <c r="N70" s="884">
        <f>VLOOKUP('Part 1'!L13,DataSheet2!$B$8:$DY$325,52,FALSE)</f>
        <v>0</v>
      </c>
      <c r="O70" s="885"/>
      <c r="P70" s="63"/>
      <c r="Q70" s="157"/>
      <c r="R70" s="960">
        <f>VLOOKUP('Part 1'!L13,DataSheet2!$B$8:$DY$325,53,FALSE)</f>
        <v>-4338095.9399999995</v>
      </c>
      <c r="S70" s="961"/>
      <c r="T70" s="162"/>
      <c r="U70" s="55"/>
      <c r="W70" s="239">
        <f>IF(+J70+N70-R70=0,0,1)</f>
        <v>0</v>
      </c>
      <c r="Y70" s="125"/>
      <c r="Z70" s="221"/>
    </row>
    <row r="71" spans="1:26" ht="16.5" thickBot="1" x14ac:dyDescent="0.25">
      <c r="A71" s="24"/>
      <c r="B71" s="25"/>
      <c r="C71" s="89"/>
      <c r="D71" s="89"/>
      <c r="E71" s="89"/>
      <c r="F71" s="89"/>
      <c r="G71" s="89"/>
      <c r="H71" s="89"/>
      <c r="I71" s="89"/>
      <c r="J71" s="90"/>
      <c r="K71" s="91"/>
      <c r="L71" s="91"/>
      <c r="M71" s="91"/>
      <c r="N71" s="90"/>
      <c r="O71" s="91"/>
      <c r="P71" s="91"/>
      <c r="Q71" s="168"/>
      <c r="R71" s="167"/>
      <c r="S71" s="168"/>
      <c r="T71" s="183"/>
      <c r="U71" s="56"/>
      <c r="W71" s="240"/>
    </row>
    <row r="72" spans="1:26" ht="16.5" thickBot="1" x14ac:dyDescent="0.25">
      <c r="A72" s="23"/>
      <c r="B72" s="2"/>
      <c r="C72" s="27"/>
      <c r="D72" s="27"/>
      <c r="E72" s="27"/>
      <c r="F72" s="27"/>
      <c r="G72" s="27"/>
      <c r="H72" s="27"/>
      <c r="I72" s="27"/>
      <c r="J72" s="64"/>
      <c r="K72" s="63"/>
      <c r="L72" s="63"/>
      <c r="M72" s="63"/>
      <c r="N72" s="64"/>
      <c r="O72" s="63"/>
      <c r="P72" s="63"/>
      <c r="Q72" s="157"/>
      <c r="R72" s="305"/>
      <c r="S72" s="157"/>
      <c r="T72" s="162"/>
      <c r="U72" s="55"/>
      <c r="W72" s="240"/>
    </row>
    <row r="73" spans="1:26" ht="16.5" thickBot="1" x14ac:dyDescent="0.25">
      <c r="A73" s="23"/>
      <c r="B73" s="4"/>
      <c r="C73" s="57"/>
      <c r="D73" s="57"/>
      <c r="E73" s="57"/>
      <c r="F73" s="57"/>
      <c r="G73" s="57"/>
      <c r="H73" s="57"/>
      <c r="I73" s="57"/>
      <c r="J73" s="66"/>
      <c r="K73" s="67"/>
      <c r="L73" s="67"/>
      <c r="M73" s="67"/>
      <c r="N73" s="66"/>
      <c r="O73" s="67"/>
      <c r="P73" s="67"/>
      <c r="Q73" s="164"/>
      <c r="R73" s="163"/>
      <c r="S73" s="164"/>
      <c r="T73" s="180"/>
      <c r="U73" s="55"/>
      <c r="W73" s="240"/>
    </row>
    <row r="74" spans="1:26" ht="16.5" thickBot="1" x14ac:dyDescent="0.25">
      <c r="A74" s="23"/>
      <c r="B74" s="5"/>
      <c r="C74" s="27"/>
      <c r="D74" s="27"/>
      <c r="E74" s="27"/>
      <c r="F74" s="27"/>
      <c r="G74" s="27"/>
      <c r="H74" s="27"/>
      <c r="I74" s="200"/>
      <c r="J74" s="214"/>
      <c r="K74" s="201"/>
      <c r="L74" s="202"/>
      <c r="M74" s="201"/>
      <c r="N74" s="214"/>
      <c r="O74" s="201"/>
      <c r="P74" s="202"/>
      <c r="Q74" s="203"/>
      <c r="R74" s="215"/>
      <c r="S74" s="203"/>
      <c r="T74" s="204"/>
      <c r="U74" s="55"/>
      <c r="W74" s="240"/>
    </row>
    <row r="75" spans="1:26" ht="16.5" thickBot="1" x14ac:dyDescent="0.25">
      <c r="A75" s="23"/>
      <c r="B75" s="5"/>
      <c r="C75" s="879" t="s">
        <v>1101</v>
      </c>
      <c r="D75" s="879"/>
      <c r="E75" s="879"/>
      <c r="F75" s="879"/>
      <c r="G75" s="879"/>
      <c r="H75" s="27"/>
      <c r="I75" s="205"/>
      <c r="J75" s="963">
        <f>VLOOKUP('Part 1'!L13,DataSheet2!$B$8:$DY$325,54,FALSE)</f>
        <v>-3219434715.1719999</v>
      </c>
      <c r="K75" s="967"/>
      <c r="L75" s="65"/>
      <c r="M75" s="27"/>
      <c r="N75" s="963">
        <f>VLOOKUP('Part 1'!L13,DataSheet2!$B$8:$DY$325,55,FALSE)</f>
        <v>-12769367</v>
      </c>
      <c r="O75" s="967"/>
      <c r="P75" s="65"/>
      <c r="Q75" s="157"/>
      <c r="R75" s="157"/>
      <c r="S75" s="157"/>
      <c r="T75" s="206"/>
      <c r="U75" s="55"/>
      <c r="W75" s="239">
        <f>IF(+J75+J78-J82=0,0,1)</f>
        <v>0</v>
      </c>
      <c r="Z75" s="221"/>
    </row>
    <row r="76" spans="1:26" ht="15.75" x14ac:dyDescent="0.2">
      <c r="A76" s="23"/>
      <c r="B76" s="5"/>
      <c r="C76" s="879"/>
      <c r="D76" s="879"/>
      <c r="E76" s="879"/>
      <c r="F76" s="879"/>
      <c r="G76" s="879"/>
      <c r="H76" s="27"/>
      <c r="I76" s="205"/>
      <c r="J76" s="64"/>
      <c r="K76" s="63"/>
      <c r="L76" s="65"/>
      <c r="M76" s="27"/>
      <c r="N76" s="64"/>
      <c r="O76" s="63"/>
      <c r="P76" s="65"/>
      <c r="Q76" s="157"/>
      <c r="R76" s="157"/>
      <c r="S76" s="157"/>
      <c r="T76" s="206"/>
      <c r="U76" s="55"/>
      <c r="W76" s="239"/>
    </row>
    <row r="77" spans="1:26" ht="16.5" thickBot="1" x14ac:dyDescent="0.25">
      <c r="A77" s="23"/>
      <c r="B77" s="5"/>
      <c r="C77" s="27"/>
      <c r="D77" s="27"/>
      <c r="E77" s="27"/>
      <c r="F77" s="27"/>
      <c r="G77" s="27"/>
      <c r="H77" s="27"/>
      <c r="I77" s="205"/>
      <c r="J77" s="64"/>
      <c r="K77" s="63"/>
      <c r="L77" s="65"/>
      <c r="M77" s="27"/>
      <c r="N77" s="64"/>
      <c r="O77" s="63"/>
      <c r="P77" s="65"/>
      <c r="Q77" s="157"/>
      <c r="R77" s="157"/>
      <c r="S77" s="157"/>
      <c r="T77" s="206"/>
      <c r="U77" s="55"/>
      <c r="W77" s="239"/>
    </row>
    <row r="78" spans="1:26" ht="16.5" customHeight="1" thickBot="1" x14ac:dyDescent="0.25">
      <c r="A78" s="23"/>
      <c r="B78" s="5"/>
      <c r="C78" s="936" t="s">
        <v>840</v>
      </c>
      <c r="D78" s="976"/>
      <c r="E78" s="976"/>
      <c r="F78" s="976"/>
      <c r="G78" s="976"/>
      <c r="H78" s="27"/>
      <c r="I78" s="205"/>
      <c r="J78" s="884">
        <f>VLOOKUP('Part 1'!L13,DataSheet2!$B$8:$DY$325,56,FALSE)</f>
        <v>-23432495</v>
      </c>
      <c r="K78" s="885"/>
      <c r="L78" s="65"/>
      <c r="M78" s="27"/>
      <c r="N78" s="884">
        <f>VLOOKUP('Part 1'!L13,DataSheet2!$B$8:$DY$325,57,FALSE)</f>
        <v>-460217</v>
      </c>
      <c r="O78" s="885"/>
      <c r="P78" s="65"/>
      <c r="Q78" s="157"/>
      <c r="R78" s="157"/>
      <c r="S78" s="157"/>
      <c r="T78" s="206"/>
      <c r="U78" s="55"/>
      <c r="W78" s="239">
        <f>IF(+N75+N78-N82=0,0,1)</f>
        <v>0</v>
      </c>
      <c r="Z78" s="221"/>
    </row>
    <row r="79" spans="1:26" ht="15.75" customHeight="1" x14ac:dyDescent="0.2">
      <c r="A79" s="23"/>
      <c r="B79" s="5"/>
      <c r="C79" s="976"/>
      <c r="D79" s="976"/>
      <c r="E79" s="976"/>
      <c r="F79" s="976"/>
      <c r="G79" s="976"/>
      <c r="H79" s="27"/>
      <c r="I79" s="205"/>
      <c r="J79" s="64"/>
      <c r="K79" s="63"/>
      <c r="L79" s="65"/>
      <c r="M79" s="27"/>
      <c r="N79" s="64"/>
      <c r="O79" s="63"/>
      <c r="P79" s="65"/>
      <c r="Q79" s="157"/>
      <c r="R79" s="170"/>
      <c r="S79" s="157"/>
      <c r="T79" s="206"/>
      <c r="U79" s="55"/>
      <c r="W79" s="240"/>
    </row>
    <row r="80" spans="1:26" ht="15.75" customHeight="1" x14ac:dyDescent="0.2">
      <c r="A80" s="23"/>
      <c r="B80" s="5"/>
      <c r="C80" s="976"/>
      <c r="D80" s="976"/>
      <c r="E80" s="976"/>
      <c r="F80" s="976"/>
      <c r="G80" s="976"/>
      <c r="H80" s="27"/>
      <c r="I80" s="205"/>
      <c r="J80" s="64"/>
      <c r="K80" s="63"/>
      <c r="L80" s="65"/>
      <c r="M80" s="27"/>
      <c r="N80" s="64"/>
      <c r="O80" s="63"/>
      <c r="P80" s="65"/>
      <c r="Q80" s="157"/>
      <c r="R80" s="218"/>
      <c r="S80" s="157"/>
      <c r="T80" s="206"/>
      <c r="U80" s="55"/>
      <c r="W80" s="240"/>
    </row>
    <row r="81" spans="1:26" ht="16.5" thickBot="1" x14ac:dyDescent="0.25">
      <c r="A81" s="23"/>
      <c r="B81" s="5"/>
      <c r="C81" s="61"/>
      <c r="D81" s="61"/>
      <c r="E81" s="61"/>
      <c r="F81" s="61"/>
      <c r="G81" s="61"/>
      <c r="H81" s="27"/>
      <c r="I81" s="205"/>
      <c r="J81" s="64"/>
      <c r="K81" s="63"/>
      <c r="L81" s="65"/>
      <c r="M81" s="27"/>
      <c r="N81" s="64"/>
      <c r="O81" s="63"/>
      <c r="P81" s="65"/>
      <c r="Q81" s="157"/>
      <c r="R81" s="170"/>
      <c r="S81" s="157"/>
      <c r="T81" s="206"/>
      <c r="U81" s="55"/>
      <c r="W81" s="240"/>
    </row>
    <row r="82" spans="1:26" ht="16.5" thickBot="1" x14ac:dyDescent="0.25">
      <c r="A82" s="23"/>
      <c r="B82" s="5"/>
      <c r="C82" s="980" t="s">
        <v>1102</v>
      </c>
      <c r="D82" s="981"/>
      <c r="E82" s="981"/>
      <c r="F82" s="981"/>
      <c r="G82" s="981"/>
      <c r="H82" s="27"/>
      <c r="I82" s="205"/>
      <c r="J82" s="963">
        <f>VLOOKUP('Part 1'!L13,DataSheet2!$B$8:$DY$325,58,FALSE)</f>
        <v>-3242867210.1719999</v>
      </c>
      <c r="K82" s="967"/>
      <c r="L82" s="65"/>
      <c r="M82" s="27"/>
      <c r="N82" s="963">
        <f>VLOOKUP('Part 1'!L13,DataSheet2!$B$8:$DY$325,59,FALSE)</f>
        <v>-13229584</v>
      </c>
      <c r="O82" s="967"/>
      <c r="P82" s="65"/>
      <c r="Q82" s="157"/>
      <c r="R82" s="960">
        <f>VLOOKUP('Part 1'!L13,DataSheet2!$B$8:$DY$325,60,FALSE)</f>
        <v>-3256096794.1719999</v>
      </c>
      <c r="S82" s="961"/>
      <c r="T82" s="206"/>
      <c r="U82" s="55"/>
      <c r="W82" s="239">
        <f>IF(+J82+N82-R82=0,0,1)</f>
        <v>0</v>
      </c>
      <c r="Y82" s="125"/>
      <c r="Z82" s="221"/>
    </row>
    <row r="83" spans="1:26" ht="16.5" thickBot="1" x14ac:dyDescent="0.25">
      <c r="A83" s="23"/>
      <c r="B83" s="5"/>
      <c r="C83" s="962"/>
      <c r="D83" s="962"/>
      <c r="E83" s="962"/>
      <c r="F83" s="962"/>
      <c r="G83" s="962"/>
      <c r="H83" s="27"/>
      <c r="I83" s="207"/>
      <c r="J83" s="208"/>
      <c r="K83" s="209"/>
      <c r="L83" s="210"/>
      <c r="M83" s="208"/>
      <c r="N83" s="208"/>
      <c r="O83" s="209"/>
      <c r="P83" s="210"/>
      <c r="Q83" s="211"/>
      <c r="R83" s="212"/>
      <c r="S83" s="211"/>
      <c r="T83" s="213"/>
      <c r="U83" s="55"/>
      <c r="W83" s="240"/>
    </row>
    <row r="84" spans="1:26" ht="16.5" thickBot="1" x14ac:dyDescent="0.25">
      <c r="A84" s="23"/>
      <c r="B84" s="7"/>
      <c r="C84" s="58"/>
      <c r="D84" s="58"/>
      <c r="E84" s="58"/>
      <c r="F84" s="58"/>
      <c r="G84" s="58"/>
      <c r="H84" s="58"/>
      <c r="I84" s="58"/>
      <c r="J84" s="68"/>
      <c r="K84" s="69"/>
      <c r="L84" s="69"/>
      <c r="M84" s="69"/>
      <c r="N84" s="68"/>
      <c r="O84" s="69"/>
      <c r="P84" s="69"/>
      <c r="Q84" s="166"/>
      <c r="R84" s="165"/>
      <c r="S84" s="165"/>
      <c r="T84" s="182"/>
      <c r="U84" s="55"/>
      <c r="W84" s="240"/>
    </row>
    <row r="85" spans="1:26" ht="16.5" thickBot="1" x14ac:dyDescent="0.25">
      <c r="A85" s="24"/>
      <c r="B85" s="25"/>
      <c r="C85" s="89"/>
      <c r="D85" s="89"/>
      <c r="E85" s="89"/>
      <c r="F85" s="89"/>
      <c r="G85" s="89"/>
      <c r="H85" s="89"/>
      <c r="I85" s="89"/>
      <c r="J85" s="90"/>
      <c r="K85" s="91"/>
      <c r="L85" s="91"/>
      <c r="M85" s="91"/>
      <c r="N85" s="90"/>
      <c r="O85" s="91"/>
      <c r="P85" s="91"/>
      <c r="Q85" s="168"/>
      <c r="R85" s="167"/>
      <c r="S85" s="168"/>
      <c r="T85" s="183"/>
      <c r="U85" s="56"/>
      <c r="W85" s="240"/>
    </row>
    <row r="86" spans="1:26" ht="15.75" hidden="1" customHeight="1" x14ac:dyDescent="0.2">
      <c r="A86" s="23"/>
      <c r="B86" s="2"/>
      <c r="C86" s="27"/>
      <c r="D86" s="27"/>
      <c r="E86" s="27"/>
      <c r="F86" s="27"/>
      <c r="G86" s="27"/>
      <c r="H86" s="27"/>
      <c r="I86" s="27"/>
      <c r="J86" s="64"/>
      <c r="K86" s="63"/>
      <c r="L86" s="63"/>
      <c r="M86" s="27"/>
      <c r="N86" s="64"/>
      <c r="O86" s="63"/>
      <c r="P86" s="63"/>
      <c r="Q86" s="157"/>
      <c r="R86" s="158"/>
      <c r="S86" s="157"/>
      <c r="T86" s="162"/>
      <c r="U86" s="55"/>
      <c r="W86" s="240"/>
    </row>
    <row r="87" spans="1:26" ht="15.75" x14ac:dyDescent="0.25">
      <c r="A87" s="23"/>
      <c r="B87" s="2"/>
      <c r="C87" s="13" t="s">
        <v>844</v>
      </c>
      <c r="D87" s="27"/>
      <c r="E87" s="27"/>
      <c r="F87" s="27"/>
      <c r="G87" s="27"/>
      <c r="H87" s="27"/>
      <c r="I87" s="27"/>
      <c r="J87" s="63"/>
      <c r="K87" s="63"/>
      <c r="L87" s="63"/>
      <c r="M87" s="27"/>
      <c r="N87" s="63"/>
      <c r="O87" s="63"/>
      <c r="P87" s="63"/>
      <c r="Q87" s="157"/>
      <c r="R87" s="157"/>
      <c r="S87" s="157"/>
      <c r="T87" s="162"/>
      <c r="U87" s="55"/>
      <c r="W87" s="240"/>
    </row>
    <row r="88" spans="1:26" x14ac:dyDescent="0.2">
      <c r="A88" s="23"/>
      <c r="B88" s="2"/>
      <c r="C88" s="27"/>
      <c r="D88" s="27"/>
      <c r="E88" s="27"/>
      <c r="F88" s="27"/>
      <c r="G88" s="27"/>
      <c r="H88" s="27"/>
      <c r="I88" s="27"/>
      <c r="J88" s="63"/>
      <c r="K88" s="63"/>
      <c r="L88" s="63"/>
      <c r="M88" s="27"/>
      <c r="N88" s="63"/>
      <c r="O88" s="63"/>
      <c r="P88" s="63"/>
      <c r="Q88" s="157"/>
      <c r="R88" s="157"/>
      <c r="S88" s="157"/>
      <c r="T88" s="162"/>
      <c r="U88" s="55"/>
      <c r="W88" s="240"/>
    </row>
    <row r="89" spans="1:26" ht="16.5" thickBot="1" x14ac:dyDescent="0.3">
      <c r="A89" s="23"/>
      <c r="B89" s="2"/>
      <c r="C89" s="13" t="s">
        <v>526</v>
      </c>
      <c r="D89" s="10"/>
      <c r="E89" s="10"/>
      <c r="F89" s="10"/>
      <c r="G89" s="10"/>
      <c r="H89" s="27"/>
      <c r="I89" s="27"/>
      <c r="J89" s="63"/>
      <c r="K89" s="63"/>
      <c r="L89" s="63"/>
      <c r="M89" s="27"/>
      <c r="N89" s="63"/>
      <c r="O89" s="63"/>
      <c r="P89" s="63"/>
      <c r="Q89" s="157"/>
      <c r="R89" s="157"/>
      <c r="S89" s="157"/>
      <c r="T89" s="162"/>
      <c r="U89" s="55"/>
      <c r="W89" s="240"/>
    </row>
    <row r="90" spans="1:26" ht="16.5" thickBot="1" x14ac:dyDescent="0.25">
      <c r="A90" s="23"/>
      <c r="B90" s="2"/>
      <c r="C90" s="10" t="s">
        <v>1103</v>
      </c>
      <c r="D90" s="10"/>
      <c r="E90" s="10"/>
      <c r="F90" s="10"/>
      <c r="G90" s="10"/>
      <c r="H90" s="27"/>
      <c r="I90" s="27"/>
      <c r="J90" s="884">
        <f>VLOOKUP('Part 1'!L13,DataSheet2!$B$8:$DY$325,61,FALSE)</f>
        <v>-26264632.109999999</v>
      </c>
      <c r="K90" s="885"/>
      <c r="L90" s="63"/>
      <c r="M90" s="27"/>
      <c r="N90" s="884">
        <f>VLOOKUP('Part 1'!L13,DataSheet2!$B$8:$DY$325,62,FALSE)</f>
        <v>-146700</v>
      </c>
      <c r="O90" s="885"/>
      <c r="P90" s="63"/>
      <c r="Q90" s="157"/>
      <c r="R90" s="960">
        <f>VLOOKUP('Part 1'!L13,DataSheet2!$B$8:$DY$325,63,FALSE)</f>
        <v>-26411332.109999999</v>
      </c>
      <c r="S90" s="979"/>
      <c r="T90" s="162"/>
      <c r="U90" s="55"/>
      <c r="W90" s="239">
        <f>IF(+J90+N90-R90=0,0,1)</f>
        <v>0</v>
      </c>
      <c r="Y90" s="125"/>
      <c r="Z90" s="221"/>
    </row>
    <row r="91" spans="1:26" ht="15" customHeight="1" x14ac:dyDescent="0.2">
      <c r="A91" s="23"/>
      <c r="B91" s="2"/>
      <c r="C91" s="10"/>
      <c r="D91" s="10"/>
      <c r="E91" s="10"/>
      <c r="F91" s="10"/>
      <c r="G91" s="10"/>
      <c r="H91" s="27"/>
      <c r="I91" s="27"/>
      <c r="J91" s="63"/>
      <c r="K91" s="63"/>
      <c r="L91" s="63"/>
      <c r="M91" s="63"/>
      <c r="N91" s="63"/>
      <c r="O91" s="63"/>
      <c r="P91" s="63"/>
      <c r="Q91" s="157"/>
      <c r="R91" s="157"/>
      <c r="S91" s="157"/>
      <c r="T91" s="162"/>
      <c r="U91" s="55"/>
      <c r="W91" s="240"/>
    </row>
    <row r="92" spans="1:26" ht="16.5" thickBot="1" x14ac:dyDescent="0.3">
      <c r="A92" s="23"/>
      <c r="B92" s="2"/>
      <c r="C92" s="13" t="s">
        <v>527</v>
      </c>
      <c r="D92" s="10"/>
      <c r="E92" s="10"/>
      <c r="F92" s="10"/>
      <c r="G92" s="10"/>
      <c r="H92" s="27"/>
      <c r="I92" s="27"/>
      <c r="J92" s="63"/>
      <c r="K92" s="63"/>
      <c r="L92" s="63"/>
      <c r="M92" s="63"/>
      <c r="N92" s="63"/>
      <c r="O92" s="63"/>
      <c r="P92" s="63"/>
      <c r="Q92" s="157"/>
      <c r="R92" s="157"/>
      <c r="S92" s="157"/>
      <c r="T92" s="162"/>
      <c r="U92" s="55"/>
      <c r="W92" s="240"/>
    </row>
    <row r="93" spans="1:26" ht="16.5" customHeight="1" thickBot="1" x14ac:dyDescent="0.25">
      <c r="A93" s="23"/>
      <c r="B93" s="2"/>
      <c r="C93" s="10" t="s">
        <v>1104</v>
      </c>
      <c r="D93" s="10"/>
      <c r="E93" s="10"/>
      <c r="F93" s="10"/>
      <c r="G93" s="10"/>
      <c r="H93" s="27"/>
      <c r="I93" s="27"/>
      <c r="J93" s="884">
        <f>VLOOKUP('Part 1'!L13,DataSheet2!$B$8:$DY$325,64,FALSE)</f>
        <v>-861505179.95500004</v>
      </c>
      <c r="K93" s="885"/>
      <c r="L93" s="63"/>
      <c r="M93" s="27"/>
      <c r="N93" s="884">
        <f>VLOOKUP('Part 1'!L13,DataSheet2!$B$8:$DY$325,65,FALSE)</f>
        <v>-18984823</v>
      </c>
      <c r="O93" s="885"/>
      <c r="P93" s="63"/>
      <c r="Q93" s="157"/>
      <c r="R93" s="960">
        <f>VLOOKUP('Part 1'!L13,DataSheet2!$B$8:$DY$325,66,FALSE)</f>
        <v>-880490002.95500004</v>
      </c>
      <c r="S93" s="961"/>
      <c r="T93" s="162"/>
      <c r="U93" s="55"/>
      <c r="W93" s="239">
        <f>IF(+J93+N93-R93=0,0,1)</f>
        <v>0</v>
      </c>
      <c r="Y93" s="125"/>
      <c r="Z93" s="221"/>
    </row>
    <row r="94" spans="1:26" ht="15" customHeight="1" x14ac:dyDescent="0.2">
      <c r="A94" s="23"/>
      <c r="B94" s="2"/>
      <c r="C94" s="10"/>
      <c r="D94" s="10"/>
      <c r="E94" s="10"/>
      <c r="F94" s="10"/>
      <c r="G94" s="10"/>
      <c r="H94" s="27"/>
      <c r="I94" s="62"/>
      <c r="J94" s="63"/>
      <c r="K94" s="63"/>
      <c r="L94" s="63"/>
      <c r="M94" s="63"/>
      <c r="N94" s="63"/>
      <c r="O94" s="63"/>
      <c r="P94" s="63"/>
      <c r="Q94" s="157"/>
      <c r="R94" s="157"/>
      <c r="S94" s="157"/>
      <c r="T94" s="162"/>
      <c r="U94" s="55"/>
      <c r="W94" s="240"/>
    </row>
    <row r="95" spans="1:26" ht="16.5" thickBot="1" x14ac:dyDescent="0.25">
      <c r="A95" s="23"/>
      <c r="B95" s="2"/>
      <c r="C95" s="10"/>
      <c r="D95" s="10"/>
      <c r="E95" s="10"/>
      <c r="F95" s="10"/>
      <c r="G95" s="10"/>
      <c r="H95" s="27"/>
      <c r="I95" s="27"/>
      <c r="J95" s="64"/>
      <c r="K95" s="64"/>
      <c r="L95" s="64"/>
      <c r="M95" s="64"/>
      <c r="N95" s="64"/>
      <c r="O95" s="64"/>
      <c r="P95" s="64"/>
      <c r="Q95" s="157"/>
      <c r="R95" s="158"/>
      <c r="S95" s="157"/>
      <c r="T95" s="162"/>
      <c r="U95" s="55"/>
      <c r="W95" s="240"/>
    </row>
    <row r="96" spans="1:26" ht="16.5" thickBot="1" x14ac:dyDescent="0.25">
      <c r="A96" s="23"/>
      <c r="B96" s="4"/>
      <c r="C96" s="317"/>
      <c r="D96" s="317"/>
      <c r="E96" s="317"/>
      <c r="F96" s="317"/>
      <c r="G96" s="317"/>
      <c r="H96" s="57"/>
      <c r="I96" s="57"/>
      <c r="J96" s="66"/>
      <c r="K96" s="66"/>
      <c r="L96" s="66"/>
      <c r="M96" s="697"/>
      <c r="N96" s="66"/>
      <c r="O96" s="66"/>
      <c r="P96" s="66"/>
      <c r="Q96" s="164"/>
      <c r="R96" s="163"/>
      <c r="S96" s="164"/>
      <c r="T96" s="180"/>
      <c r="U96" s="55"/>
      <c r="W96" s="240"/>
    </row>
    <row r="97" spans="1:26" ht="16.5" thickBot="1" x14ac:dyDescent="0.25">
      <c r="A97" s="23"/>
      <c r="B97" s="5"/>
      <c r="C97" s="879" t="s">
        <v>1105</v>
      </c>
      <c r="D97" s="879"/>
      <c r="E97" s="879"/>
      <c r="F97" s="879"/>
      <c r="G97" s="879"/>
      <c r="H97" s="27"/>
      <c r="I97" s="27"/>
      <c r="J97" s="963">
        <f>VLOOKUP('Part 1'!L13,DataSheet2!$B$8:$DY$325,67,FALSE)</f>
        <v>-887769812.06500006</v>
      </c>
      <c r="K97" s="964"/>
      <c r="L97" s="63"/>
      <c r="M97" s="698"/>
      <c r="N97" s="963">
        <f>VLOOKUP('Part 1'!L13,DataSheet2!$B$8:$DY$325,68,FALSE)</f>
        <v>-19131523</v>
      </c>
      <c r="O97" s="964"/>
      <c r="P97" s="63"/>
      <c r="Q97" s="157"/>
      <c r="R97" s="157"/>
      <c r="S97" s="157"/>
      <c r="T97" s="181"/>
      <c r="U97" s="55"/>
      <c r="W97" s="239">
        <f>IF(+J97+J100-J104=0,0,1)</f>
        <v>0</v>
      </c>
    </row>
    <row r="98" spans="1:26" ht="15.75" x14ac:dyDescent="0.2">
      <c r="A98" s="23"/>
      <c r="B98" s="5"/>
      <c r="C98" s="879"/>
      <c r="D98" s="879"/>
      <c r="E98" s="879"/>
      <c r="F98" s="879"/>
      <c r="G98" s="879"/>
      <c r="H98" s="27"/>
      <c r="I98" s="27"/>
      <c r="J98" s="64"/>
      <c r="K98" s="63"/>
      <c r="L98" s="63"/>
      <c r="M98" s="699"/>
      <c r="N98" s="64"/>
      <c r="O98" s="63"/>
      <c r="P98" s="63"/>
      <c r="Q98" s="157"/>
      <c r="R98" s="157"/>
      <c r="S98" s="157"/>
      <c r="T98" s="181"/>
      <c r="U98" s="55"/>
      <c r="W98" s="239"/>
    </row>
    <row r="99" spans="1:26" ht="16.5" thickBot="1" x14ac:dyDescent="0.25">
      <c r="A99" s="23"/>
      <c r="B99" s="5"/>
      <c r="C99" s="316"/>
      <c r="D99" s="316"/>
      <c r="E99" s="316"/>
      <c r="F99" s="316"/>
      <c r="G99" s="316"/>
      <c r="H99" s="27"/>
      <c r="I99" s="27"/>
      <c r="J99" s="64"/>
      <c r="K99" s="63"/>
      <c r="L99" s="63"/>
      <c r="M99" s="699"/>
      <c r="N99" s="64"/>
      <c r="O99" s="63"/>
      <c r="P99" s="63"/>
      <c r="Q99" s="157"/>
      <c r="R99" s="157"/>
      <c r="S99" s="157"/>
      <c r="T99" s="181"/>
      <c r="U99" s="55"/>
      <c r="W99" s="239"/>
      <c r="Z99" s="221"/>
    </row>
    <row r="100" spans="1:26" ht="15.75" customHeight="1" thickBot="1" x14ac:dyDescent="0.25">
      <c r="A100" s="23"/>
      <c r="B100" s="5"/>
      <c r="C100" s="944" t="s">
        <v>830</v>
      </c>
      <c r="D100" s="944"/>
      <c r="E100" s="944"/>
      <c r="F100" s="944"/>
      <c r="G100" s="944"/>
      <c r="H100" s="27"/>
      <c r="I100" s="27"/>
      <c r="J100" s="884">
        <f>VLOOKUP('Part 1'!L13,DataSheet2!$B$8:$DY$325,69,FALSE)</f>
        <v>-63367743</v>
      </c>
      <c r="K100" s="885"/>
      <c r="L100" s="63"/>
      <c r="M100" s="698"/>
      <c r="N100" s="884">
        <f>VLOOKUP('Part 1'!L13,DataSheet2!$B$8:$DY$325,70,FALSE)</f>
        <v>-1432210</v>
      </c>
      <c r="O100" s="885"/>
      <c r="P100" s="63"/>
      <c r="Q100" s="157"/>
      <c r="R100" s="157"/>
      <c r="S100" s="157"/>
      <c r="T100" s="181"/>
      <c r="U100" s="55"/>
      <c r="W100" s="239">
        <f>IF(+N97+N100-N104=0,0,1)</f>
        <v>0</v>
      </c>
      <c r="Z100" s="221"/>
    </row>
    <row r="101" spans="1:26" ht="15.75" customHeight="1" x14ac:dyDescent="0.2">
      <c r="A101" s="23"/>
      <c r="B101" s="5"/>
      <c r="C101" s="944"/>
      <c r="D101" s="944"/>
      <c r="E101" s="944"/>
      <c r="F101" s="944"/>
      <c r="G101" s="944"/>
      <c r="H101" s="27"/>
      <c r="I101" s="27"/>
      <c r="J101" s="64"/>
      <c r="K101" s="63"/>
      <c r="L101" s="63"/>
      <c r="M101" s="698"/>
      <c r="N101" s="64"/>
      <c r="O101" s="63"/>
      <c r="P101" s="63"/>
      <c r="Q101" s="157"/>
      <c r="R101" s="158"/>
      <c r="S101" s="157"/>
      <c r="T101" s="181"/>
      <c r="U101" s="55"/>
      <c r="W101" s="240"/>
    </row>
    <row r="102" spans="1:26" ht="15.75" customHeight="1" x14ac:dyDescent="0.2">
      <c r="A102" s="23"/>
      <c r="B102" s="5"/>
      <c r="C102" s="944"/>
      <c r="D102" s="944"/>
      <c r="E102" s="944"/>
      <c r="F102" s="944"/>
      <c r="G102" s="944"/>
      <c r="H102" s="27"/>
      <c r="I102" s="27"/>
      <c r="J102" s="64"/>
      <c r="K102" s="63"/>
      <c r="L102" s="63"/>
      <c r="M102" s="698"/>
      <c r="N102" s="64"/>
      <c r="O102" s="63"/>
      <c r="P102" s="63"/>
      <c r="Q102" s="157"/>
      <c r="R102" s="218"/>
      <c r="S102" s="157"/>
      <c r="T102" s="181"/>
      <c r="U102" s="55"/>
      <c r="W102" s="240"/>
    </row>
    <row r="103" spans="1:26" ht="16.5" thickBot="1" x14ac:dyDescent="0.25">
      <c r="A103" s="23"/>
      <c r="B103" s="5"/>
      <c r="C103" s="316"/>
      <c r="D103" s="316"/>
      <c r="E103" s="316"/>
      <c r="F103" s="316"/>
      <c r="G103" s="316"/>
      <c r="H103" s="27"/>
      <c r="I103" s="27"/>
      <c r="J103" s="64"/>
      <c r="K103" s="63"/>
      <c r="L103" s="63"/>
      <c r="M103" s="698"/>
      <c r="N103" s="64"/>
      <c r="O103" s="63"/>
      <c r="P103" s="63"/>
      <c r="Q103" s="157"/>
      <c r="R103" s="158"/>
      <c r="S103" s="157"/>
      <c r="T103" s="181"/>
      <c r="U103" s="55"/>
      <c r="W103" s="240"/>
    </row>
    <row r="104" spans="1:26" ht="16.5" thickBot="1" x14ac:dyDescent="0.25">
      <c r="A104" s="23"/>
      <c r="B104" s="5"/>
      <c r="C104" s="980" t="s">
        <v>1106</v>
      </c>
      <c r="D104" s="981"/>
      <c r="E104" s="981"/>
      <c r="F104" s="981"/>
      <c r="G104" s="981"/>
      <c r="H104" s="27"/>
      <c r="I104" s="27"/>
      <c r="J104" s="963">
        <f>VLOOKUP('Part 1'!L13,DataSheet2!$B$8:$DY$325,71,FALSE)</f>
        <v>-951137555.06500006</v>
      </c>
      <c r="K104" s="964"/>
      <c r="L104" s="63"/>
      <c r="M104" s="698"/>
      <c r="N104" s="963">
        <f>VLOOKUP('Part 1'!L13,DataSheet2!$B$8:$DY$325,72,FALSE)</f>
        <v>-20563733</v>
      </c>
      <c r="O104" s="964"/>
      <c r="P104" s="63"/>
      <c r="Q104" s="157"/>
      <c r="R104" s="960">
        <f>VLOOKUP('Part 1'!L13,DataSheet2!$B$8:$DY$325,73,FALSE)</f>
        <v>-971701288.06500006</v>
      </c>
      <c r="S104" s="961"/>
      <c r="T104" s="181"/>
      <c r="U104" s="55"/>
      <c r="W104" s="239">
        <f>IF(+J104+N104-R104=0,0,1)</f>
        <v>0</v>
      </c>
      <c r="Y104" s="125"/>
      <c r="Z104" s="221"/>
    </row>
    <row r="105" spans="1:26" x14ac:dyDescent="0.2">
      <c r="A105" s="23"/>
      <c r="B105" s="5"/>
      <c r="C105" s="962"/>
      <c r="D105" s="962"/>
      <c r="E105" s="962"/>
      <c r="F105" s="962"/>
      <c r="G105" s="962"/>
      <c r="H105" s="27"/>
      <c r="I105" s="27"/>
      <c r="J105" s="27"/>
      <c r="K105" s="27"/>
      <c r="L105" s="27"/>
      <c r="M105" s="698"/>
      <c r="N105" s="27"/>
      <c r="O105" s="27"/>
      <c r="P105" s="63"/>
      <c r="Q105" s="169"/>
      <c r="R105" s="169"/>
      <c r="S105" s="169"/>
      <c r="T105" s="181"/>
      <c r="U105" s="55"/>
      <c r="W105" s="241"/>
    </row>
    <row r="106" spans="1:26" ht="16.5" thickBot="1" x14ac:dyDescent="0.25">
      <c r="A106" s="23"/>
      <c r="B106" s="7"/>
      <c r="C106" s="58"/>
      <c r="D106" s="58"/>
      <c r="E106" s="58"/>
      <c r="F106" s="58"/>
      <c r="G106" s="58"/>
      <c r="H106" s="58"/>
      <c r="I106" s="58"/>
      <c r="J106" s="68"/>
      <c r="K106" s="69"/>
      <c r="L106" s="69"/>
      <c r="M106" s="700"/>
      <c r="N106" s="69"/>
      <c r="O106" s="69"/>
      <c r="P106" s="69"/>
      <c r="Q106" s="166"/>
      <c r="R106" s="165"/>
      <c r="S106" s="166"/>
      <c r="T106" s="182"/>
      <c r="U106" s="55"/>
      <c r="W106" s="240"/>
    </row>
    <row r="107" spans="1:26" x14ac:dyDescent="0.2">
      <c r="A107" s="23"/>
      <c r="B107" s="2"/>
      <c r="C107" s="27"/>
      <c r="D107" s="27"/>
      <c r="E107" s="27"/>
      <c r="F107" s="27"/>
      <c r="G107" s="27"/>
      <c r="H107" s="27"/>
      <c r="I107" s="27"/>
      <c r="J107" s="63"/>
      <c r="K107" s="63"/>
      <c r="L107" s="63"/>
      <c r="M107" s="63"/>
      <c r="N107" s="63"/>
      <c r="O107" s="63"/>
      <c r="P107" s="63"/>
      <c r="Q107" s="157"/>
      <c r="R107" s="157"/>
      <c r="S107" s="157"/>
      <c r="T107" s="162"/>
      <c r="U107" s="55"/>
      <c r="W107" s="240"/>
    </row>
    <row r="108" spans="1:26" ht="15.75" x14ac:dyDescent="0.25">
      <c r="A108" s="23"/>
      <c r="B108" s="2"/>
      <c r="C108" s="13" t="s">
        <v>845</v>
      </c>
      <c r="D108" s="27"/>
      <c r="E108" s="27"/>
      <c r="F108" s="27"/>
      <c r="G108" s="27"/>
      <c r="H108" s="27"/>
      <c r="I108" s="27"/>
      <c r="J108" s="63"/>
      <c r="K108" s="63"/>
      <c r="L108" s="63"/>
      <c r="M108" s="27"/>
      <c r="N108" s="63"/>
      <c r="O108" s="63"/>
      <c r="P108" s="63"/>
      <c r="Q108" s="157"/>
      <c r="R108" s="157"/>
      <c r="S108" s="157"/>
      <c r="T108" s="162"/>
      <c r="U108" s="55"/>
      <c r="W108" s="240"/>
    </row>
    <row r="109" spans="1:26" ht="16.5" thickBot="1" x14ac:dyDescent="0.3">
      <c r="A109" s="23"/>
      <c r="B109" s="2"/>
      <c r="C109" s="13" t="s">
        <v>655</v>
      </c>
      <c r="D109" s="27"/>
      <c r="E109" s="27"/>
      <c r="F109" s="27"/>
      <c r="G109" s="27"/>
      <c r="H109" s="27"/>
      <c r="I109" s="27"/>
      <c r="J109" s="63"/>
      <c r="K109" s="63"/>
      <c r="L109" s="63"/>
      <c r="M109" s="27"/>
      <c r="N109" s="63"/>
      <c r="O109" s="63"/>
      <c r="P109" s="63"/>
      <c r="Q109" s="157"/>
      <c r="R109" s="157"/>
      <c r="S109" s="157"/>
      <c r="T109" s="162"/>
      <c r="U109" s="55"/>
      <c r="W109" s="240"/>
    </row>
    <row r="110" spans="1:26" ht="16.5" thickBot="1" x14ac:dyDescent="0.25">
      <c r="A110" s="23"/>
      <c r="B110" s="2"/>
      <c r="C110" s="10" t="s">
        <v>1107</v>
      </c>
      <c r="D110" s="27"/>
      <c r="E110" s="27"/>
      <c r="F110" s="27"/>
      <c r="G110" s="27"/>
      <c r="H110" s="27"/>
      <c r="I110" s="27"/>
      <c r="J110" s="884">
        <f>VLOOKUP('Part 1'!L13,DataSheet2!$B$8:$DY$325,74,FALSE)</f>
        <v>-48544470.160000004</v>
      </c>
      <c r="K110" s="885"/>
      <c r="L110" s="63"/>
      <c r="M110" s="27"/>
      <c r="N110" s="884">
        <f>VLOOKUP('Part 1'!L13,DataSheet2!$B$8:$DY$325,75,FALSE)</f>
        <v>-121105</v>
      </c>
      <c r="O110" s="885"/>
      <c r="P110" s="63"/>
      <c r="Q110" s="157"/>
      <c r="R110" s="960">
        <f>VLOOKUP('Part 1'!L13,DataSheet2!$B$8:$DY$325,76,FALSE)</f>
        <v>-48665575.160000004</v>
      </c>
      <c r="S110" s="961"/>
      <c r="T110" s="162"/>
      <c r="U110" s="55"/>
      <c r="W110" s="239">
        <f>IF(+J110+N110-R110=0,0,1)</f>
        <v>0</v>
      </c>
      <c r="Y110" s="125"/>
      <c r="Z110" s="221"/>
    </row>
    <row r="111" spans="1:26" ht="15.75" x14ac:dyDescent="0.25">
      <c r="A111" s="23"/>
      <c r="B111" s="2"/>
      <c r="C111" s="13"/>
      <c r="D111" s="27"/>
      <c r="E111" s="27"/>
      <c r="F111" s="27"/>
      <c r="G111" s="27"/>
      <c r="H111" s="27"/>
      <c r="I111" s="27"/>
      <c r="J111" s="63"/>
      <c r="K111" s="63"/>
      <c r="L111" s="63"/>
      <c r="M111" s="63"/>
      <c r="N111" s="63"/>
      <c r="O111" s="63"/>
      <c r="P111" s="63"/>
      <c r="Q111" s="157"/>
      <c r="R111" s="157"/>
      <c r="S111" s="157"/>
      <c r="T111" s="162"/>
      <c r="U111" s="55"/>
      <c r="W111" s="240"/>
    </row>
    <row r="112" spans="1:26" ht="16.5" thickBot="1" x14ac:dyDescent="0.3">
      <c r="A112" s="23"/>
      <c r="B112" s="2"/>
      <c r="C112" s="13" t="s">
        <v>640</v>
      </c>
      <c r="D112" s="27"/>
      <c r="E112" s="27"/>
      <c r="F112" s="27"/>
      <c r="G112" s="27"/>
      <c r="H112" s="27"/>
      <c r="I112" s="27"/>
      <c r="J112" s="63"/>
      <c r="K112" s="63"/>
      <c r="L112" s="63"/>
      <c r="M112" s="63"/>
      <c r="N112" s="63"/>
      <c r="O112" s="63"/>
      <c r="P112" s="63"/>
      <c r="Q112" s="157"/>
      <c r="R112" s="157"/>
      <c r="S112" s="157"/>
      <c r="T112" s="162"/>
      <c r="U112" s="55"/>
      <c r="W112" s="240"/>
    </row>
    <row r="113" spans="1:26" ht="16.5" thickBot="1" x14ac:dyDescent="0.25">
      <c r="A113" s="23"/>
      <c r="B113" s="2"/>
      <c r="C113" s="10" t="s">
        <v>1108</v>
      </c>
      <c r="D113" s="27"/>
      <c r="E113" s="27"/>
      <c r="F113" s="27"/>
      <c r="G113" s="27"/>
      <c r="H113" s="27"/>
      <c r="I113" s="27"/>
      <c r="J113" s="884">
        <f>VLOOKUP('Part 1'!L13,DataSheet2!$B$8:$DY$325,77,FALSE)</f>
        <v>-36084314.460000001</v>
      </c>
      <c r="K113" s="885"/>
      <c r="L113" s="63"/>
      <c r="M113" s="27"/>
      <c r="N113" s="884">
        <f>VLOOKUP('Part 1'!L13,DataSheet2!$B$8:$DY$325,78,FALSE)</f>
        <v>-804171</v>
      </c>
      <c r="O113" s="885"/>
      <c r="P113" s="63"/>
      <c r="Q113" s="157"/>
      <c r="R113" s="960">
        <f>VLOOKUP('Part 1'!L13,DataSheet2!$B$8:$DY$325,79,FALSE)</f>
        <v>-36888485.460000001</v>
      </c>
      <c r="S113" s="961"/>
      <c r="T113" s="162"/>
      <c r="U113" s="55"/>
      <c r="W113" s="239">
        <f>IF(+J113+N113-R113=0,0,1)</f>
        <v>0</v>
      </c>
      <c r="Y113" s="125"/>
      <c r="Z113" s="221"/>
    </row>
    <row r="114" spans="1:26" x14ac:dyDescent="0.2">
      <c r="A114" s="23"/>
      <c r="B114" s="2"/>
      <c r="C114" s="10"/>
      <c r="D114" s="27"/>
      <c r="E114" s="27"/>
      <c r="F114" s="27"/>
      <c r="G114" s="27"/>
      <c r="H114" s="27"/>
      <c r="I114" s="27"/>
      <c r="J114" s="63"/>
      <c r="K114" s="63"/>
      <c r="L114" s="63"/>
      <c r="M114" s="27"/>
      <c r="N114" s="63"/>
      <c r="O114" s="63"/>
      <c r="P114" s="63"/>
      <c r="Q114" s="157"/>
      <c r="R114" s="157"/>
      <c r="S114" s="157"/>
      <c r="T114" s="162"/>
      <c r="U114" s="55"/>
      <c r="W114" s="240"/>
    </row>
    <row r="115" spans="1:26" ht="16.5" thickBot="1" x14ac:dyDescent="0.3">
      <c r="A115" s="23"/>
      <c r="B115" s="2"/>
      <c r="C115" s="13" t="s">
        <v>639</v>
      </c>
      <c r="D115" s="27"/>
      <c r="E115" s="27"/>
      <c r="F115" s="27"/>
      <c r="G115" s="27"/>
      <c r="H115" s="27"/>
      <c r="I115" s="27"/>
      <c r="J115" s="63"/>
      <c r="K115" s="63"/>
      <c r="L115" s="63"/>
      <c r="M115" s="27"/>
      <c r="N115" s="63"/>
      <c r="O115" s="63"/>
      <c r="P115" s="63"/>
      <c r="Q115" s="157"/>
      <c r="R115" s="157"/>
      <c r="S115" s="157"/>
      <c r="T115" s="162"/>
      <c r="U115" s="55"/>
      <c r="W115" s="240"/>
    </row>
    <row r="116" spans="1:26" ht="16.5" thickBot="1" x14ac:dyDescent="0.25">
      <c r="A116" s="23"/>
      <c r="B116" s="2"/>
      <c r="C116" s="10" t="s">
        <v>1109</v>
      </c>
      <c r="D116" s="27"/>
      <c r="E116" s="27"/>
      <c r="F116" s="27"/>
      <c r="G116" s="27"/>
      <c r="H116" s="27"/>
      <c r="I116" s="27"/>
      <c r="J116" s="884">
        <f>VLOOKUP('Part 1'!L13,DataSheet2!$B$8:$DY$325,80,FALSE)</f>
        <v>-1308739.92</v>
      </c>
      <c r="K116" s="885"/>
      <c r="L116" s="63"/>
      <c r="M116" s="27"/>
      <c r="N116" s="884">
        <f>VLOOKUP('Part 1'!L13,DataSheet2!$B$8:$DY$325,81,FALSE)</f>
        <v>0</v>
      </c>
      <c r="O116" s="885"/>
      <c r="P116" s="63"/>
      <c r="Q116" s="157"/>
      <c r="R116" s="960">
        <f>VLOOKUP('Part 1'!L13,DataSheet2!$B$8:$DY$325,82,FALSE)</f>
        <v>-1308739.92</v>
      </c>
      <c r="S116" s="961"/>
      <c r="T116" s="162"/>
      <c r="U116" s="55"/>
      <c r="W116" s="239">
        <f>IF(+J116+N116-R116=0,0,1)</f>
        <v>0</v>
      </c>
      <c r="Y116" s="125"/>
      <c r="Z116" s="221"/>
    </row>
    <row r="117" spans="1:26" x14ac:dyDescent="0.2">
      <c r="A117" s="23"/>
      <c r="B117" s="2"/>
      <c r="C117" s="10"/>
      <c r="D117" s="27"/>
      <c r="E117" s="27"/>
      <c r="F117" s="27"/>
      <c r="G117" s="27"/>
      <c r="H117" s="27"/>
      <c r="I117" s="27"/>
      <c r="J117" s="63"/>
      <c r="K117" s="63"/>
      <c r="L117" s="63"/>
      <c r="M117" s="63"/>
      <c r="N117" s="63"/>
      <c r="O117" s="63"/>
      <c r="P117" s="63"/>
      <c r="Q117" s="157"/>
      <c r="R117" s="157"/>
      <c r="S117" s="157"/>
      <c r="T117" s="162"/>
      <c r="U117" s="55"/>
      <c r="W117" s="240"/>
    </row>
    <row r="118" spans="1:26" ht="16.5" thickBot="1" x14ac:dyDescent="0.3">
      <c r="A118" s="23"/>
      <c r="B118" s="2"/>
      <c r="C118" s="13" t="s">
        <v>656</v>
      </c>
      <c r="D118" s="27"/>
      <c r="E118" s="27"/>
      <c r="F118" s="27"/>
      <c r="G118" s="27"/>
      <c r="H118" s="27"/>
      <c r="I118" s="27"/>
      <c r="J118" s="63"/>
      <c r="K118" s="63"/>
      <c r="L118" s="63"/>
      <c r="M118" s="63"/>
      <c r="N118" s="63"/>
      <c r="O118" s="63"/>
      <c r="P118" s="63"/>
      <c r="Q118" s="157"/>
      <c r="R118" s="157"/>
      <c r="S118" s="157"/>
      <c r="T118" s="162"/>
      <c r="U118" s="55"/>
      <c r="W118" s="239"/>
    </row>
    <row r="119" spans="1:26" ht="16.5" thickBot="1" x14ac:dyDescent="0.25">
      <c r="A119" s="23"/>
      <c r="B119" s="2"/>
      <c r="C119" s="10" t="s">
        <v>1110</v>
      </c>
      <c r="D119" s="27"/>
      <c r="E119" s="27"/>
      <c r="F119" s="27"/>
      <c r="G119" s="27"/>
      <c r="H119" s="27"/>
      <c r="I119" s="27"/>
      <c r="J119" s="884">
        <f>VLOOKUP('Part 1'!L13,DataSheet2!$B$8:$DY$325,83,FALSE)</f>
        <v>-412811.58999999997</v>
      </c>
      <c r="K119" s="885"/>
      <c r="L119" s="63"/>
      <c r="M119" s="27"/>
      <c r="N119" s="884">
        <f>VLOOKUP('Part 1'!L13,DataSheet2!$B$8:$DY$325,84,FALSE)</f>
        <v>0</v>
      </c>
      <c r="O119" s="885"/>
      <c r="P119" s="63"/>
      <c r="Q119" s="157"/>
      <c r="R119" s="960">
        <f>VLOOKUP('Part 1'!L13,DataSheet2!$B$8:$DY$325,85,FALSE)</f>
        <v>-412811.58999999997</v>
      </c>
      <c r="S119" s="961"/>
      <c r="T119" s="162"/>
      <c r="U119" s="55"/>
      <c r="W119" s="239">
        <f>IF(+J119+N119-R119=0,0,1)</f>
        <v>0</v>
      </c>
      <c r="Y119" s="125"/>
      <c r="Z119" s="221"/>
    </row>
    <row r="120" spans="1:26" x14ac:dyDescent="0.2">
      <c r="A120" s="23"/>
      <c r="B120" s="2"/>
      <c r="C120" s="10"/>
      <c r="D120" s="27"/>
      <c r="E120" s="27"/>
      <c r="F120" s="27"/>
      <c r="G120" s="27"/>
      <c r="H120" s="27"/>
      <c r="I120" s="27"/>
      <c r="J120" s="99"/>
      <c r="K120" s="99"/>
      <c r="L120" s="99"/>
      <c r="M120" s="27"/>
      <c r="N120" s="99"/>
      <c r="O120" s="99"/>
      <c r="P120" s="63"/>
      <c r="Q120" s="157"/>
      <c r="R120" s="157"/>
      <c r="S120" s="157"/>
      <c r="T120" s="162"/>
      <c r="U120" s="55"/>
      <c r="W120" s="240"/>
    </row>
    <row r="121" spans="1:26" ht="16.5" thickBot="1" x14ac:dyDescent="0.3">
      <c r="A121" s="23"/>
      <c r="B121" s="2"/>
      <c r="C121" s="13" t="s">
        <v>641</v>
      </c>
      <c r="D121" s="27"/>
      <c r="E121" s="27"/>
      <c r="F121" s="27"/>
      <c r="G121" s="27"/>
      <c r="H121" s="27"/>
      <c r="I121" s="27"/>
      <c r="J121" s="99"/>
      <c r="K121" s="99"/>
      <c r="L121" s="99"/>
      <c r="M121" s="27"/>
      <c r="N121" s="99"/>
      <c r="O121" s="99"/>
      <c r="P121" s="63"/>
      <c r="Q121" s="157"/>
      <c r="R121" s="157"/>
      <c r="S121" s="157"/>
      <c r="T121" s="162"/>
      <c r="U121" s="55"/>
      <c r="W121" s="240"/>
    </row>
    <row r="122" spans="1:26" ht="16.5" thickBot="1" x14ac:dyDescent="0.25">
      <c r="A122" s="23"/>
      <c r="B122" s="2"/>
      <c r="C122" s="10" t="s">
        <v>1111</v>
      </c>
      <c r="D122" s="27"/>
      <c r="E122" s="27"/>
      <c r="F122" s="27"/>
      <c r="G122" s="27"/>
      <c r="H122" s="27"/>
      <c r="I122" s="27"/>
      <c r="J122" s="884">
        <f>VLOOKUP('Part 1'!L13,DataSheet2!$B$8:$DY$325,86,FALSE)</f>
        <v>-914686</v>
      </c>
      <c r="K122" s="885"/>
      <c r="L122" s="63"/>
      <c r="M122" s="27"/>
      <c r="N122" s="884">
        <f>VLOOKUP('Part 1'!L13,DataSheet2!$B$8:$DY$325,87,FALSE)</f>
        <v>0</v>
      </c>
      <c r="O122" s="885"/>
      <c r="P122" s="63"/>
      <c r="Q122" s="157"/>
      <c r="R122" s="960">
        <f>VLOOKUP('Part 1'!L13,DataSheet2!$B$8:$DY$325,88,FALSE)</f>
        <v>-914686</v>
      </c>
      <c r="S122" s="961"/>
      <c r="T122" s="162"/>
      <c r="U122" s="55"/>
      <c r="W122" s="239">
        <f>IF(+J122+N122-R122=0,0,1)</f>
        <v>0</v>
      </c>
      <c r="Y122" s="125"/>
      <c r="Z122" s="221"/>
    </row>
    <row r="123" spans="1:26" x14ac:dyDescent="0.2">
      <c r="A123" s="23"/>
      <c r="B123" s="2"/>
      <c r="C123" s="10"/>
      <c r="D123" s="27"/>
      <c r="E123" s="27"/>
      <c r="F123" s="27"/>
      <c r="G123" s="27"/>
      <c r="H123" s="27"/>
      <c r="I123" s="27"/>
      <c r="J123" s="63"/>
      <c r="K123" s="63"/>
      <c r="L123" s="63"/>
      <c r="M123" s="63"/>
      <c r="N123" s="63"/>
      <c r="O123" s="63"/>
      <c r="P123" s="63"/>
      <c r="Q123" s="157"/>
      <c r="R123" s="157"/>
      <c r="S123" s="157"/>
      <c r="T123" s="162"/>
      <c r="U123" s="55"/>
      <c r="W123" s="240"/>
    </row>
    <row r="124" spans="1:26" ht="16.5" thickBot="1" x14ac:dyDescent="0.3">
      <c r="A124" s="23"/>
      <c r="B124" s="2"/>
      <c r="C124" s="13" t="s">
        <v>658</v>
      </c>
      <c r="D124" s="27"/>
      <c r="E124" s="27"/>
      <c r="F124" s="27"/>
      <c r="G124" s="27"/>
      <c r="H124" s="27"/>
      <c r="I124" s="27"/>
      <c r="J124" s="63"/>
      <c r="K124" s="63"/>
      <c r="L124" s="63"/>
      <c r="M124" s="63"/>
      <c r="N124" s="63"/>
      <c r="O124" s="63"/>
      <c r="P124" s="63"/>
      <c r="Q124" s="157"/>
      <c r="R124" s="157"/>
      <c r="S124" s="157"/>
      <c r="T124" s="162"/>
      <c r="U124" s="55"/>
      <c r="W124" s="240"/>
    </row>
    <row r="125" spans="1:26" ht="16.5" thickBot="1" x14ac:dyDescent="0.25">
      <c r="A125" s="23"/>
      <c r="B125" s="2"/>
      <c r="C125" s="10" t="s">
        <v>1112</v>
      </c>
      <c r="D125" s="27"/>
      <c r="E125" s="27"/>
      <c r="F125" s="27"/>
      <c r="G125" s="27"/>
      <c r="H125" s="27"/>
      <c r="I125" s="27"/>
      <c r="J125" s="884">
        <f>VLOOKUP('Part 1'!L13,DataSheet2!$B$8:$DY$325,89,FALSE)</f>
        <v>-7823121</v>
      </c>
      <c r="K125" s="885"/>
      <c r="L125" s="63"/>
      <c r="M125" s="27"/>
      <c r="N125" s="884">
        <f>VLOOKUP('Part 1'!L13,DataSheet2!$B$8:$DY$325,90,FALSE)</f>
        <v>-14879588</v>
      </c>
      <c r="O125" s="885"/>
      <c r="P125" s="63"/>
      <c r="Q125" s="157"/>
      <c r="R125" s="960">
        <f>VLOOKUP('Part 1'!L13,DataSheet2!$B$8:$DY$325,91,FALSE)</f>
        <v>-22702709</v>
      </c>
      <c r="S125" s="961"/>
      <c r="T125" s="162"/>
      <c r="U125" s="55"/>
      <c r="W125" s="239">
        <f>IF(+J125+N125-R125=0,0,1)</f>
        <v>0</v>
      </c>
      <c r="Y125" s="125"/>
      <c r="Z125" s="221"/>
    </row>
    <row r="126" spans="1:26" ht="15.75" x14ac:dyDescent="0.25">
      <c r="A126" s="23"/>
      <c r="B126" s="2"/>
      <c r="C126" s="171"/>
      <c r="D126" s="27"/>
      <c r="E126" s="27"/>
      <c r="F126" s="27"/>
      <c r="G126" s="27"/>
      <c r="H126" s="27"/>
      <c r="I126" s="27"/>
      <c r="J126" s="27"/>
      <c r="K126" s="27"/>
      <c r="L126" s="27"/>
      <c r="M126" s="27"/>
      <c r="N126" s="27"/>
      <c r="O126" s="27"/>
      <c r="P126" s="63"/>
      <c r="Q126" s="157"/>
      <c r="R126" s="229"/>
      <c r="S126" s="157"/>
      <c r="T126" s="162"/>
      <c r="U126" s="55"/>
      <c r="W126" s="239"/>
      <c r="Z126" s="221"/>
    </row>
    <row r="127" spans="1:26" ht="16.5" thickBot="1" x14ac:dyDescent="0.3">
      <c r="A127" s="23"/>
      <c r="B127" s="2"/>
      <c r="C127" s="26"/>
      <c r="D127" s="27"/>
      <c r="E127" s="27"/>
      <c r="F127" s="27"/>
      <c r="G127" s="27"/>
      <c r="H127" s="27"/>
      <c r="I127" s="27"/>
      <c r="J127" s="225" t="s">
        <v>660</v>
      </c>
      <c r="K127" s="63"/>
      <c r="L127" s="63"/>
      <c r="M127" s="27"/>
      <c r="N127" s="225" t="s">
        <v>660</v>
      </c>
      <c r="O127" s="63"/>
      <c r="P127" s="63"/>
      <c r="Q127" s="157"/>
      <c r="R127" s="226"/>
      <c r="S127" s="157"/>
      <c r="T127" s="162"/>
      <c r="U127" s="55"/>
      <c r="W127" s="240"/>
    </row>
    <row r="128" spans="1:26" ht="16.5" thickBot="1" x14ac:dyDescent="0.25">
      <c r="A128" s="23"/>
      <c r="B128" s="2"/>
      <c r="C128" s="15" t="s">
        <v>832</v>
      </c>
      <c r="D128" s="27"/>
      <c r="E128" s="27"/>
      <c r="F128" s="27"/>
      <c r="G128" s="27"/>
      <c r="H128" s="27"/>
      <c r="I128" s="27"/>
      <c r="J128" s="99"/>
      <c r="K128" s="99"/>
      <c r="L128" s="99"/>
      <c r="M128" s="27"/>
      <c r="N128" s="884">
        <f>VLOOKUP('Part 1'!L13,DataSheet2!$B$8:$DY$325,92,FALSE)</f>
        <v>-14743272</v>
      </c>
      <c r="O128" s="885"/>
      <c r="P128" s="63"/>
      <c r="Q128" s="157"/>
      <c r="R128" s="157"/>
      <c r="S128" s="157"/>
      <c r="T128" s="162"/>
      <c r="U128" s="55"/>
      <c r="W128" s="240"/>
      <c r="Z128" s="221"/>
    </row>
    <row r="129" spans="1:26" ht="16.5" thickBot="1" x14ac:dyDescent="0.25">
      <c r="A129" s="23"/>
      <c r="B129" s="2"/>
      <c r="C129" s="15" t="s">
        <v>833</v>
      </c>
      <c r="D129" s="27"/>
      <c r="E129" s="27"/>
      <c r="F129" s="27"/>
      <c r="G129" s="27"/>
      <c r="H129" s="27"/>
      <c r="I129" s="27"/>
      <c r="J129" s="884">
        <f>VLOOKUP('Part 1'!L13,DataSheet2!$B$8:$DY$325,93,FALSE)</f>
        <v>-2192769</v>
      </c>
      <c r="K129" s="885"/>
      <c r="L129" s="99"/>
      <c r="M129" s="27"/>
      <c r="N129" s="63"/>
      <c r="O129" s="63"/>
      <c r="P129" s="63"/>
      <c r="Q129" s="157"/>
      <c r="R129" s="157"/>
      <c r="S129" s="157"/>
      <c r="T129" s="162"/>
      <c r="U129" s="55"/>
      <c r="W129" s="240"/>
      <c r="Z129" s="221"/>
    </row>
    <row r="130" spans="1:26" ht="16.5" thickBot="1" x14ac:dyDescent="0.3">
      <c r="A130" s="24"/>
      <c r="B130" s="25"/>
      <c r="C130" s="171"/>
      <c r="D130" s="89"/>
      <c r="E130" s="89"/>
      <c r="F130" s="89"/>
      <c r="G130" s="89"/>
      <c r="H130" s="89"/>
      <c r="I130" s="89"/>
      <c r="J130" s="91"/>
      <c r="K130" s="91"/>
      <c r="L130" s="91"/>
      <c r="M130" s="91"/>
      <c r="N130" s="91"/>
      <c r="O130" s="91"/>
      <c r="P130" s="91"/>
      <c r="Q130" s="168"/>
      <c r="R130" s="168"/>
      <c r="S130" s="168"/>
      <c r="T130" s="183"/>
      <c r="U130" s="56"/>
      <c r="W130" s="240"/>
    </row>
    <row r="131" spans="1:26" ht="15.75" thickBot="1" x14ac:dyDescent="0.25">
      <c r="A131" s="276"/>
      <c r="B131" s="277"/>
      <c r="C131" s="278"/>
      <c r="D131" s="278"/>
      <c r="E131" s="278"/>
      <c r="F131" s="278"/>
      <c r="G131" s="278"/>
      <c r="H131" s="278"/>
      <c r="I131" s="278"/>
      <c r="J131" s="279"/>
      <c r="K131" s="279"/>
      <c r="L131" s="279"/>
      <c r="M131" s="279"/>
      <c r="N131" s="279"/>
      <c r="O131" s="279"/>
      <c r="P131" s="279"/>
      <c r="Q131" s="280"/>
      <c r="R131" s="280"/>
      <c r="S131" s="280"/>
      <c r="T131" s="281"/>
      <c r="U131" s="282"/>
      <c r="W131" s="240"/>
    </row>
    <row r="132" spans="1:26" ht="15.75" thickBot="1" x14ac:dyDescent="0.25">
      <c r="A132" s="23"/>
      <c r="B132" s="2"/>
      <c r="C132" s="27"/>
      <c r="D132" s="27"/>
      <c r="E132" s="27"/>
      <c r="F132" s="27"/>
      <c r="G132" s="27"/>
      <c r="H132" s="27"/>
      <c r="I132" s="27"/>
      <c r="J132" s="63"/>
      <c r="K132" s="63"/>
      <c r="L132" s="63"/>
      <c r="M132" s="63"/>
      <c r="N132" s="63"/>
      <c r="O132" s="63"/>
      <c r="P132" s="63"/>
      <c r="Q132" s="157"/>
      <c r="R132" s="157"/>
      <c r="S132" s="157"/>
      <c r="T132" s="162"/>
      <c r="U132" s="55"/>
      <c r="W132" s="240"/>
    </row>
    <row r="133" spans="1:26" ht="15.75" thickBot="1" x14ac:dyDescent="0.25">
      <c r="A133" s="23"/>
      <c r="B133" s="4"/>
      <c r="C133" s="57"/>
      <c r="D133" s="57"/>
      <c r="E133" s="57"/>
      <c r="F133" s="57"/>
      <c r="G133" s="57"/>
      <c r="H133" s="57"/>
      <c r="I133" s="57"/>
      <c r="J133" s="67"/>
      <c r="K133" s="67"/>
      <c r="L133" s="67"/>
      <c r="M133" s="67"/>
      <c r="N133" s="67"/>
      <c r="O133" s="67"/>
      <c r="P133" s="67"/>
      <c r="Q133" s="164"/>
      <c r="R133" s="164"/>
      <c r="S133" s="164"/>
      <c r="T133" s="180"/>
      <c r="U133" s="55"/>
      <c r="W133" s="240"/>
    </row>
    <row r="134" spans="1:26" ht="15.75" thickBot="1" x14ac:dyDescent="0.25">
      <c r="A134" s="23"/>
      <c r="B134" s="5"/>
      <c r="C134" s="27"/>
      <c r="D134" s="27"/>
      <c r="E134" s="27"/>
      <c r="F134" s="27"/>
      <c r="G134" s="27"/>
      <c r="H134" s="27"/>
      <c r="I134" s="200"/>
      <c r="J134" s="201"/>
      <c r="K134" s="201"/>
      <c r="L134" s="202"/>
      <c r="M134" s="201"/>
      <c r="N134" s="201"/>
      <c r="O134" s="201"/>
      <c r="P134" s="202"/>
      <c r="Q134" s="203"/>
      <c r="R134" s="203"/>
      <c r="S134" s="203"/>
      <c r="T134" s="204"/>
      <c r="U134" s="55"/>
      <c r="W134" s="240"/>
    </row>
    <row r="135" spans="1:26" ht="16.5" thickBot="1" x14ac:dyDescent="0.25">
      <c r="A135" s="23"/>
      <c r="B135" s="5"/>
      <c r="C135" s="879" t="s">
        <v>1113</v>
      </c>
      <c r="D135" s="879"/>
      <c r="E135" s="879"/>
      <c r="F135" s="879"/>
      <c r="G135" s="879"/>
      <c r="H135" s="27"/>
      <c r="I135" s="205"/>
      <c r="J135" s="963">
        <f>VLOOKUP('Part 1'!L13,DataSheet2!$B$8:$DY$325,94,FALSE)</f>
        <v>-95088143.13000001</v>
      </c>
      <c r="K135" s="964"/>
      <c r="L135" s="65"/>
      <c r="M135" s="27"/>
      <c r="N135" s="963">
        <f>VLOOKUP('Part 1'!L13,DataSheet2!$B$8:$DY$325,95,FALSE)</f>
        <v>-15804864</v>
      </c>
      <c r="O135" s="964"/>
      <c r="P135" s="65"/>
      <c r="Q135" s="157"/>
      <c r="R135" s="157"/>
      <c r="S135" s="157"/>
      <c r="T135" s="206"/>
      <c r="U135" s="55"/>
      <c r="W135" s="239">
        <f>IF(+J135+J138-J142=0,0,1)</f>
        <v>0</v>
      </c>
    </row>
    <row r="136" spans="1:26" ht="15.75" x14ac:dyDescent="0.2">
      <c r="A136" s="23"/>
      <c r="B136" s="5"/>
      <c r="C136" s="879"/>
      <c r="D136" s="879"/>
      <c r="E136" s="879"/>
      <c r="F136" s="879"/>
      <c r="G136" s="879"/>
      <c r="H136" s="27"/>
      <c r="I136" s="205"/>
      <c r="J136" s="64"/>
      <c r="K136" s="63"/>
      <c r="L136" s="65"/>
      <c r="M136" s="27"/>
      <c r="N136" s="64"/>
      <c r="O136" s="63"/>
      <c r="P136" s="65"/>
      <c r="Q136" s="157"/>
      <c r="R136" s="157"/>
      <c r="S136" s="157"/>
      <c r="T136" s="206"/>
      <c r="U136" s="55"/>
      <c r="W136" s="239"/>
    </row>
    <row r="137" spans="1:26" ht="16.5" customHeight="1" thickBot="1" x14ac:dyDescent="0.25">
      <c r="A137" s="23"/>
      <c r="B137" s="5"/>
      <c r="C137" s="316"/>
      <c r="D137" s="316"/>
      <c r="E137" s="316"/>
      <c r="F137" s="316"/>
      <c r="G137" s="316"/>
      <c r="H137" s="27"/>
      <c r="I137" s="205"/>
      <c r="J137" s="64"/>
      <c r="K137" s="63"/>
      <c r="L137" s="65"/>
      <c r="M137" s="27"/>
      <c r="N137" s="64"/>
      <c r="O137" s="63"/>
      <c r="P137" s="65"/>
      <c r="Q137" s="157"/>
      <c r="R137" s="157"/>
      <c r="S137" s="157"/>
      <c r="T137" s="206"/>
      <c r="U137" s="55"/>
      <c r="W137" s="239"/>
    </row>
    <row r="138" spans="1:26" ht="16.5" customHeight="1" thickBot="1" x14ac:dyDescent="0.25">
      <c r="A138" s="23"/>
      <c r="B138" s="5"/>
      <c r="C138" s="944" t="s">
        <v>834</v>
      </c>
      <c r="D138" s="944"/>
      <c r="E138" s="944"/>
      <c r="F138" s="944"/>
      <c r="G138" s="944"/>
      <c r="H138" s="27"/>
      <c r="I138" s="205"/>
      <c r="J138" s="884">
        <f>VLOOKUP('Part 1'!L13,DataSheet2!$B$8:$DY$325,96,FALSE)</f>
        <v>-971182</v>
      </c>
      <c r="K138" s="885"/>
      <c r="L138" s="63"/>
      <c r="M138" s="696"/>
      <c r="N138" s="884">
        <f>VLOOKUP('Part 1'!L13,DataSheet2!$B$8:$DY$325,97,FALSE)</f>
        <v>-791686</v>
      </c>
      <c r="O138" s="885"/>
      <c r="P138" s="100"/>
      <c r="Q138" s="157"/>
      <c r="R138" s="157"/>
      <c r="S138" s="157"/>
      <c r="T138" s="206"/>
      <c r="U138" s="55"/>
      <c r="W138" s="239">
        <f>IF(+N135+N138-N142=0,0,1)</f>
        <v>0</v>
      </c>
      <c r="Z138" s="221"/>
    </row>
    <row r="139" spans="1:26" ht="15.75" customHeight="1" x14ac:dyDescent="0.2">
      <c r="A139" s="23"/>
      <c r="B139" s="5"/>
      <c r="C139" s="944"/>
      <c r="D139" s="944"/>
      <c r="E139" s="944"/>
      <c r="F139" s="944"/>
      <c r="G139" s="944"/>
      <c r="H139" s="27"/>
      <c r="I139" s="205"/>
      <c r="J139" s="64"/>
      <c r="K139" s="63"/>
      <c r="L139" s="65"/>
      <c r="M139" s="27"/>
      <c r="N139" s="64"/>
      <c r="O139" s="63"/>
      <c r="P139" s="65"/>
      <c r="Q139" s="157"/>
      <c r="R139" s="170"/>
      <c r="S139" s="157"/>
      <c r="T139" s="206"/>
      <c r="U139" s="55"/>
      <c r="W139" s="240"/>
    </row>
    <row r="140" spans="1:26" ht="15.75" customHeight="1" x14ac:dyDescent="0.2">
      <c r="A140" s="23"/>
      <c r="B140" s="5"/>
      <c r="C140" s="944"/>
      <c r="D140" s="944"/>
      <c r="E140" s="944"/>
      <c r="F140" s="944"/>
      <c r="G140" s="944"/>
      <c r="H140" s="27"/>
      <c r="I140" s="205"/>
      <c r="J140" s="64"/>
      <c r="K140" s="63"/>
      <c r="L140" s="65"/>
      <c r="M140" s="27"/>
      <c r="N140" s="64"/>
      <c r="O140" s="63"/>
      <c r="P140" s="65"/>
      <c r="Q140" s="157"/>
      <c r="R140" s="226"/>
      <c r="S140" s="157"/>
      <c r="T140" s="206"/>
      <c r="U140" s="55"/>
      <c r="W140" s="240"/>
    </row>
    <row r="141" spans="1:26" ht="16.5" thickBot="1" x14ac:dyDescent="0.25">
      <c r="A141" s="23"/>
      <c r="B141" s="5"/>
      <c r="C141" s="316"/>
      <c r="D141" s="316"/>
      <c r="E141" s="316"/>
      <c r="F141" s="316"/>
      <c r="G141" s="316"/>
      <c r="H141" s="27"/>
      <c r="I141" s="205"/>
      <c r="J141" s="64"/>
      <c r="K141" s="63"/>
      <c r="L141" s="65"/>
      <c r="M141" s="27"/>
      <c r="N141" s="64"/>
      <c r="O141" s="63"/>
      <c r="P141" s="65"/>
      <c r="Q141" s="157"/>
      <c r="R141" s="170"/>
      <c r="S141" s="157"/>
      <c r="T141" s="206"/>
      <c r="U141" s="55"/>
      <c r="W141" s="240"/>
    </row>
    <row r="142" spans="1:26" ht="16.5" thickBot="1" x14ac:dyDescent="0.25">
      <c r="A142" s="23"/>
      <c r="B142" s="5"/>
      <c r="C142" s="980" t="s">
        <v>1114</v>
      </c>
      <c r="D142" s="981"/>
      <c r="E142" s="981"/>
      <c r="F142" s="981"/>
      <c r="G142" s="981"/>
      <c r="H142" s="27"/>
      <c r="I142" s="205"/>
      <c r="J142" s="963">
        <f>VLOOKUP('Part 1'!L13,DataSheet2!$B$8:$DY$325,98,FALSE)</f>
        <v>-96059325.13000001</v>
      </c>
      <c r="K142" s="964"/>
      <c r="L142" s="65"/>
      <c r="M142" s="27"/>
      <c r="N142" s="963">
        <f>VLOOKUP('Part 1'!L13,DataSheet2!$B$8:$DY$325,99,FALSE)</f>
        <v>-16596550</v>
      </c>
      <c r="O142" s="964"/>
      <c r="P142" s="65"/>
      <c r="Q142" s="157"/>
      <c r="R142" s="960">
        <f>VLOOKUP('Part 1'!L13,DataSheet2!$B$8:$DY$325,100,FALSE)</f>
        <v>-112655875.13000001</v>
      </c>
      <c r="S142" s="961"/>
      <c r="T142" s="206"/>
      <c r="U142" s="55"/>
      <c r="W142" s="239">
        <f>IF(+J142+N142-R142=0,0,1)</f>
        <v>0</v>
      </c>
      <c r="Y142" s="125"/>
    </row>
    <row r="143" spans="1:26" ht="15.75" x14ac:dyDescent="0.2">
      <c r="A143" s="23"/>
      <c r="B143" s="5"/>
      <c r="C143" s="962"/>
      <c r="D143" s="962"/>
      <c r="E143" s="962"/>
      <c r="F143" s="962"/>
      <c r="G143" s="962"/>
      <c r="H143" s="27"/>
      <c r="I143" s="205"/>
      <c r="J143" s="64"/>
      <c r="K143" s="63"/>
      <c r="L143" s="65"/>
      <c r="M143" s="27"/>
      <c r="N143" s="64"/>
      <c r="O143" s="63"/>
      <c r="P143" s="65"/>
      <c r="Q143" s="157"/>
      <c r="R143" s="170"/>
      <c r="S143" s="157"/>
      <c r="T143" s="206"/>
      <c r="U143" s="55"/>
      <c r="W143" s="241"/>
    </row>
    <row r="144" spans="1:26" ht="16.5" thickBot="1" x14ac:dyDescent="0.3">
      <c r="A144" s="23"/>
      <c r="B144" s="5"/>
      <c r="C144" s="26"/>
      <c r="D144" s="27"/>
      <c r="E144" s="27"/>
      <c r="F144" s="27"/>
      <c r="G144" s="27"/>
      <c r="H144" s="27"/>
      <c r="I144" s="207"/>
      <c r="J144" s="208"/>
      <c r="K144" s="209"/>
      <c r="L144" s="210"/>
      <c r="M144" s="208"/>
      <c r="N144" s="208"/>
      <c r="O144" s="208"/>
      <c r="P144" s="210"/>
      <c r="Q144" s="211"/>
      <c r="R144" s="212"/>
      <c r="S144" s="211"/>
      <c r="T144" s="213"/>
      <c r="U144" s="55"/>
      <c r="W144" s="240"/>
    </row>
    <row r="145" spans="1:26" ht="15.75" thickBot="1" x14ac:dyDescent="0.25">
      <c r="A145" s="23"/>
      <c r="B145" s="7"/>
      <c r="C145" s="58"/>
      <c r="D145" s="58"/>
      <c r="E145" s="58"/>
      <c r="F145" s="58"/>
      <c r="G145" s="58"/>
      <c r="H145" s="58"/>
      <c r="I145" s="58"/>
      <c r="J145" s="69"/>
      <c r="K145" s="69"/>
      <c r="L145" s="69"/>
      <c r="M145" s="69"/>
      <c r="N145" s="69"/>
      <c r="O145" s="69"/>
      <c r="P145" s="69"/>
      <c r="Q145" s="166"/>
      <c r="R145" s="166"/>
      <c r="S145" s="166"/>
      <c r="T145" s="182"/>
      <c r="U145" s="55"/>
      <c r="W145" s="240"/>
    </row>
    <row r="146" spans="1:26" ht="15.75" thickBot="1" x14ac:dyDescent="0.25">
      <c r="A146" s="24"/>
      <c r="B146" s="25"/>
      <c r="C146" s="89"/>
      <c r="D146" s="89"/>
      <c r="E146" s="89"/>
      <c r="F146" s="89"/>
      <c r="G146" s="89"/>
      <c r="H146" s="89"/>
      <c r="I146" s="89"/>
      <c r="J146" s="91"/>
      <c r="K146" s="91"/>
      <c r="L146" s="91"/>
      <c r="M146" s="91"/>
      <c r="N146" s="91"/>
      <c r="O146" s="91"/>
      <c r="P146" s="91"/>
      <c r="Q146" s="168"/>
      <c r="R146" s="168"/>
      <c r="S146" s="168"/>
      <c r="T146" s="183"/>
      <c r="U146" s="56"/>
      <c r="W146" s="240"/>
    </row>
    <row r="147" spans="1:26" ht="15.75" customHeight="1" x14ac:dyDescent="0.25">
      <c r="A147" s="52"/>
      <c r="B147" s="53"/>
      <c r="C147" s="989" t="s">
        <v>846</v>
      </c>
      <c r="D147" s="989"/>
      <c r="E147" s="989"/>
      <c r="F147" s="989"/>
      <c r="G147" s="989"/>
      <c r="H147" s="989"/>
      <c r="I147" s="989"/>
      <c r="J147" s="989"/>
      <c r="K147" s="989"/>
      <c r="L147" s="989"/>
      <c r="M147" s="297"/>
      <c r="N147" s="297"/>
      <c r="O147" s="297"/>
      <c r="P147" s="297"/>
      <c r="Q147" s="298"/>
      <c r="R147" s="298"/>
      <c r="S147" s="298"/>
      <c r="T147" s="184"/>
      <c r="U147" s="54"/>
      <c r="W147" s="240"/>
    </row>
    <row r="148" spans="1:26" ht="15.75" customHeight="1" x14ac:dyDescent="0.25">
      <c r="A148" s="23"/>
      <c r="B148" s="2"/>
      <c r="C148" s="971"/>
      <c r="D148" s="971"/>
      <c r="E148" s="971"/>
      <c r="F148" s="971"/>
      <c r="G148" s="971"/>
      <c r="H148" s="971"/>
      <c r="I148" s="971"/>
      <c r="J148" s="971"/>
      <c r="K148" s="971"/>
      <c r="L148" s="971"/>
      <c r="M148" s="296"/>
      <c r="N148" s="296"/>
      <c r="O148" s="296"/>
      <c r="P148" s="296"/>
      <c r="Q148" s="299"/>
      <c r="R148" s="299"/>
      <c r="S148" s="299"/>
      <c r="T148" s="162"/>
      <c r="U148" s="55"/>
      <c r="W148" s="240"/>
    </row>
    <row r="149" spans="1:26" s="267" customFormat="1" ht="16.5" thickBot="1" x14ac:dyDescent="0.3">
      <c r="A149" s="591"/>
      <c r="B149" s="359"/>
      <c r="C149" s="390" t="s">
        <v>891</v>
      </c>
      <c r="D149" s="418"/>
      <c r="E149" s="418"/>
      <c r="F149" s="418"/>
      <c r="G149" s="418"/>
      <c r="H149" s="358"/>
      <c r="I149" s="358"/>
      <c r="J149" s="418"/>
      <c r="K149" s="418"/>
      <c r="L149" s="358"/>
      <c r="M149" s="358"/>
      <c r="N149" s="358"/>
      <c r="O149" s="358"/>
      <c r="P149" s="358"/>
      <c r="Q149" s="157"/>
      <c r="R149" s="157"/>
      <c r="S149" s="157"/>
      <c r="T149" s="162"/>
      <c r="U149" s="595"/>
      <c r="W149" s="653"/>
    </row>
    <row r="150" spans="1:26" s="267" customFormat="1" ht="16.5" customHeight="1" thickBot="1" x14ac:dyDescent="0.25">
      <c r="A150" s="591"/>
      <c r="B150" s="359"/>
      <c r="C150" s="990" t="s">
        <v>1115</v>
      </c>
      <c r="D150" s="991"/>
      <c r="E150" s="991"/>
      <c r="F150" s="991"/>
      <c r="G150" s="991"/>
      <c r="H150" s="593"/>
      <c r="I150" s="358"/>
      <c r="J150" s="992">
        <f>VLOOKUP('Part 1'!L13,DataSheet2!$B$8:$DY$325,101,FALSE)</f>
        <v>-4436108</v>
      </c>
      <c r="K150" s="993"/>
      <c r="L150" s="592"/>
      <c r="M150" s="358"/>
      <c r="N150" s="987">
        <f>VLOOKUP('Part 1'!L13,DataSheet2!$B$8:$DY$325,102,FALSE)</f>
        <v>0</v>
      </c>
      <c r="O150" s="988"/>
      <c r="P150" s="418"/>
      <c r="Q150" s="157"/>
      <c r="R150" s="960">
        <f>VLOOKUP('Part 1'!L13,DataSheet2!$B$8:$DY$325,103,FALSE)</f>
        <v>-4436108</v>
      </c>
      <c r="S150" s="961"/>
      <c r="T150" s="162"/>
      <c r="U150" s="595"/>
      <c r="W150" s="654">
        <f>IF(+J150+N150-R150=0,0,1)</f>
        <v>0</v>
      </c>
      <c r="Y150" s="478"/>
      <c r="Z150" s="479"/>
    </row>
    <row r="151" spans="1:26" s="267" customFormat="1" ht="16.5" customHeight="1" x14ac:dyDescent="0.2">
      <c r="A151" s="591"/>
      <c r="B151" s="359"/>
      <c r="C151" s="593"/>
      <c r="D151" s="593"/>
      <c r="E151" s="593"/>
      <c r="F151" s="593"/>
      <c r="G151" s="593"/>
      <c r="H151" s="593"/>
      <c r="I151" s="593"/>
      <c r="J151" s="593"/>
      <c r="K151" s="593"/>
      <c r="L151" s="592"/>
      <c r="M151" s="358"/>
      <c r="N151" s="358"/>
      <c r="O151" s="358"/>
      <c r="P151" s="418"/>
      <c r="Q151" s="157"/>
      <c r="R151" s="589"/>
      <c r="S151" s="157"/>
      <c r="T151" s="162"/>
      <c r="U151" s="595"/>
      <c r="V151" s="590"/>
      <c r="W151" s="654"/>
      <c r="Y151" s="478"/>
      <c r="Z151" s="479"/>
    </row>
    <row r="152" spans="1:26" s="267" customFormat="1" ht="16.5" customHeight="1" thickBot="1" x14ac:dyDescent="0.3">
      <c r="A152" s="591"/>
      <c r="B152" s="359"/>
      <c r="C152" s="390" t="s">
        <v>1192</v>
      </c>
      <c r="D152" s="418"/>
      <c r="E152" s="418"/>
      <c r="F152" s="418"/>
      <c r="G152" s="418"/>
      <c r="H152" s="687"/>
      <c r="I152" s="687"/>
      <c r="J152" s="687"/>
      <c r="K152" s="687"/>
      <c r="L152" s="592"/>
      <c r="M152" s="358"/>
      <c r="N152" s="358"/>
      <c r="O152" s="358"/>
      <c r="P152" s="418"/>
      <c r="Q152" s="157"/>
      <c r="R152" s="686"/>
      <c r="S152" s="157"/>
      <c r="T152" s="162"/>
      <c r="U152" s="595"/>
      <c r="V152" s="590"/>
      <c r="W152" s="654"/>
      <c r="Y152" s="478"/>
      <c r="Z152" s="479"/>
    </row>
    <row r="153" spans="1:26" s="267" customFormat="1" ht="16.5" customHeight="1" thickBot="1" x14ac:dyDescent="0.25">
      <c r="A153" s="591"/>
      <c r="B153" s="359"/>
      <c r="C153" s="990" t="s">
        <v>1116</v>
      </c>
      <c r="D153" s="991"/>
      <c r="E153" s="991"/>
      <c r="F153" s="991"/>
      <c r="G153" s="991"/>
      <c r="H153" s="687"/>
      <c r="I153" s="687"/>
      <c r="J153" s="992">
        <f>VLOOKUP('Part 1'!L13,DataSheet2!$B$8:$DY$325,104,FALSE)</f>
        <v>-212906</v>
      </c>
      <c r="K153" s="993"/>
      <c r="L153" s="592"/>
      <c r="M153" s="358"/>
      <c r="N153" s="987">
        <f>VLOOKUP('Part 1'!L13,DataSheet2!$B$8:$DY$325,105,FALSE)</f>
        <v>0</v>
      </c>
      <c r="O153" s="988"/>
      <c r="P153" s="418"/>
      <c r="Q153" s="157"/>
      <c r="R153" s="960">
        <f>VLOOKUP('Part 1'!L13,DataSheet2!$B$8:$DY$325,106,FALSE)</f>
        <v>-212906</v>
      </c>
      <c r="S153" s="961"/>
      <c r="T153" s="162"/>
      <c r="U153" s="595"/>
      <c r="V153" s="590"/>
      <c r="W153" s="654">
        <f>IF(+J153+N153-R153=0,0,1)</f>
        <v>0</v>
      </c>
      <c r="Y153" s="478"/>
      <c r="Z153" s="479"/>
    </row>
    <row r="154" spans="1:26" s="267" customFormat="1" ht="16.5" customHeight="1" x14ac:dyDescent="0.2">
      <c r="A154" s="591"/>
      <c r="B154" s="359"/>
      <c r="C154" s="687"/>
      <c r="D154" s="687"/>
      <c r="E154" s="687"/>
      <c r="F154" s="687"/>
      <c r="G154" s="687"/>
      <c r="H154" s="687"/>
      <c r="I154" s="687"/>
      <c r="J154" s="687"/>
      <c r="K154" s="687"/>
      <c r="L154" s="592"/>
      <c r="M154" s="358"/>
      <c r="N154" s="358"/>
      <c r="O154" s="358"/>
      <c r="P154" s="418"/>
      <c r="Q154" s="157"/>
      <c r="R154" s="686"/>
      <c r="S154" s="157"/>
      <c r="T154" s="162"/>
      <c r="U154" s="595"/>
      <c r="V154" s="590"/>
      <c r="W154" s="654"/>
      <c r="Y154" s="478"/>
      <c r="Z154" s="479"/>
    </row>
    <row r="155" spans="1:26" s="267" customFormat="1" ht="16.5" thickBot="1" x14ac:dyDescent="0.3">
      <c r="A155" s="591"/>
      <c r="B155" s="359"/>
      <c r="C155" s="390" t="s">
        <v>1081</v>
      </c>
      <c r="D155" s="418"/>
      <c r="E155" s="418"/>
      <c r="F155" s="418"/>
      <c r="G155" s="418"/>
      <c r="H155" s="358"/>
      <c r="I155" s="358"/>
      <c r="J155" s="418"/>
      <c r="K155" s="418"/>
      <c r="L155" s="358"/>
      <c r="M155" s="358"/>
      <c r="N155" s="358"/>
      <c r="O155" s="358"/>
      <c r="P155" s="358"/>
      <c r="Q155" s="157"/>
      <c r="R155" s="157"/>
      <c r="S155" s="157"/>
      <c r="T155" s="162"/>
      <c r="U155" s="595"/>
      <c r="W155" s="653"/>
    </row>
    <row r="156" spans="1:26" s="267" customFormat="1" ht="16.5" customHeight="1" thickBot="1" x14ac:dyDescent="0.25">
      <c r="A156" s="591"/>
      <c r="B156" s="359"/>
      <c r="C156" s="990" t="s">
        <v>1117</v>
      </c>
      <c r="D156" s="991"/>
      <c r="E156" s="991"/>
      <c r="F156" s="991"/>
      <c r="G156" s="991"/>
      <c r="H156" s="593"/>
      <c r="I156" s="358"/>
      <c r="J156" s="992">
        <f>VLOOKUP('Part 1'!L13,DataSheet2!$B$8:$DY$325,107,FALSE)</f>
        <v>-17452765.939999998</v>
      </c>
      <c r="K156" s="993"/>
      <c r="L156" s="592"/>
      <c r="M156" s="358"/>
      <c r="N156" s="987">
        <f>VLOOKUP('Part 1'!L13,DataSheet2!$B$8:$DY$325,108,FALSE)</f>
        <v>-27714</v>
      </c>
      <c r="O156" s="988"/>
      <c r="P156" s="418"/>
      <c r="Q156" s="157"/>
      <c r="R156" s="960">
        <f>VLOOKUP('Part 1'!L13,DataSheet2!$B$8:$DY$325,109,FALSE)</f>
        <v>-17480479.939999998</v>
      </c>
      <c r="S156" s="961"/>
      <c r="T156" s="162"/>
      <c r="U156" s="595"/>
      <c r="W156" s="654">
        <f>IF(+J156+N156-R156=0,0,1)</f>
        <v>0</v>
      </c>
      <c r="Y156" s="478"/>
      <c r="Z156" s="479"/>
    </row>
    <row r="157" spans="1:26" s="267" customFormat="1" ht="16.5" customHeight="1" x14ac:dyDescent="0.2">
      <c r="A157" s="591"/>
      <c r="B157" s="359"/>
      <c r="C157" s="593"/>
      <c r="D157" s="593"/>
      <c r="E157" s="593"/>
      <c r="F157" s="593"/>
      <c r="G157" s="593"/>
      <c r="H157" s="593"/>
      <c r="I157" s="593"/>
      <c r="J157" s="593"/>
      <c r="K157" s="593"/>
      <c r="L157" s="592"/>
      <c r="M157" s="358"/>
      <c r="N157" s="594"/>
      <c r="O157" s="594"/>
      <c r="P157" s="418"/>
      <c r="Q157" s="157"/>
      <c r="R157" s="589"/>
      <c r="S157" s="157"/>
      <c r="T157" s="162"/>
      <c r="U157" s="595"/>
      <c r="V157" s="590"/>
      <c r="W157" s="654"/>
      <c r="Y157" s="478"/>
      <c r="Z157" s="479"/>
    </row>
    <row r="158" spans="1:26" s="267" customFormat="1" ht="16.5" thickBot="1" x14ac:dyDescent="0.3">
      <c r="A158" s="591"/>
      <c r="B158" s="359"/>
      <c r="C158" s="390" t="s">
        <v>1086</v>
      </c>
      <c r="D158" s="418"/>
      <c r="E158" s="418"/>
      <c r="F158" s="418"/>
      <c r="G158" s="418"/>
      <c r="H158" s="358"/>
      <c r="I158" s="358"/>
      <c r="J158" s="694"/>
      <c r="K158" s="418"/>
      <c r="L158" s="358"/>
      <c r="M158" s="358"/>
      <c r="N158" s="694"/>
      <c r="O158" s="358"/>
      <c r="P158" s="358"/>
      <c r="Q158" s="157"/>
      <c r="R158" s="157"/>
      <c r="S158" s="157"/>
      <c r="T158" s="162"/>
      <c r="U158" s="595"/>
      <c r="W158" s="653"/>
    </row>
    <row r="159" spans="1:26" s="267" customFormat="1" ht="16.5" customHeight="1" thickBot="1" x14ac:dyDescent="0.25">
      <c r="A159" s="591"/>
      <c r="B159" s="359"/>
      <c r="C159" s="990" t="s">
        <v>1118</v>
      </c>
      <c r="D159" s="991"/>
      <c r="E159" s="991"/>
      <c r="F159" s="991"/>
      <c r="G159" s="991"/>
      <c r="H159" s="593"/>
      <c r="I159" s="358"/>
      <c r="J159" s="992">
        <f>VLOOKUP('Part 1'!L13,DataSheet2!$B$8:$DY$325,110,FALSE)</f>
        <v>-33010933</v>
      </c>
      <c r="K159" s="993"/>
      <c r="L159" s="592"/>
      <c r="M159" s="358"/>
      <c r="N159" s="987">
        <f>VLOOKUP('Part 1'!L13,DataSheet2!$B$8:$DY$325,111,FALSE)</f>
        <v>-204039</v>
      </c>
      <c r="O159" s="988"/>
      <c r="P159" s="418"/>
      <c r="Q159" s="157"/>
      <c r="R159" s="960">
        <f>VLOOKUP('Part 1'!L13,DataSheet2!$B$8:$DY$325,112,FALSE)</f>
        <v>-33214972</v>
      </c>
      <c r="S159" s="961"/>
      <c r="T159" s="162"/>
      <c r="U159" s="595"/>
      <c r="W159" s="654">
        <f>IF(+J159+N159-R159=0,0,1)</f>
        <v>0</v>
      </c>
      <c r="X159" s="715" t="e">
        <f>ROUND(VLOOKUP('Part 1'!#REF!,#REF!,6,FALSE)*1000,0)</f>
        <v>#REF!</v>
      </c>
      <c r="Y159" s="478"/>
      <c r="Z159" s="479"/>
    </row>
    <row r="160" spans="1:26" s="267" customFormat="1" ht="16.5" customHeight="1" x14ac:dyDescent="0.2">
      <c r="A160" s="591"/>
      <c r="B160" s="359"/>
      <c r="C160" s="600"/>
      <c r="D160" s="601"/>
      <c r="E160" s="601"/>
      <c r="F160" s="601"/>
      <c r="G160" s="601"/>
      <c r="H160" s="600"/>
      <c r="I160" s="358"/>
      <c r="J160" s="358"/>
      <c r="K160" s="358"/>
      <c r="L160" s="358"/>
      <c r="M160" s="358"/>
      <c r="N160" s="594"/>
      <c r="O160" s="594"/>
      <c r="P160" s="418"/>
      <c r="Q160" s="157"/>
      <c r="R160" s="616"/>
      <c r="S160" s="157"/>
      <c r="T160" s="162"/>
      <c r="U160" s="595"/>
      <c r="W160" s="654"/>
      <c r="Y160" s="478"/>
      <c r="Z160" s="479"/>
    </row>
    <row r="161" spans="1:26" s="267" customFormat="1" ht="16.5" customHeight="1" thickBot="1" x14ac:dyDescent="0.3">
      <c r="A161" s="591"/>
      <c r="B161" s="359"/>
      <c r="C161" s="390" t="s">
        <v>1204</v>
      </c>
      <c r="D161" s="609"/>
      <c r="E161" s="609"/>
      <c r="F161" s="609"/>
      <c r="G161" s="609"/>
      <c r="H161" s="608"/>
      <c r="I161" s="358"/>
      <c r="J161" s="418"/>
      <c r="K161" s="418"/>
      <c r="L161" s="592"/>
      <c r="M161" s="358"/>
      <c r="N161" s="358"/>
      <c r="O161" s="358"/>
      <c r="P161" s="418"/>
      <c r="Q161" s="157"/>
      <c r="R161" s="610"/>
      <c r="S161" s="157"/>
      <c r="T161" s="162"/>
      <c r="U161" s="613"/>
      <c r="W161" s="654"/>
      <c r="Y161" s="478"/>
      <c r="Z161" s="479"/>
    </row>
    <row r="162" spans="1:26" s="267" customFormat="1" ht="16.5" customHeight="1" thickBot="1" x14ac:dyDescent="0.25">
      <c r="A162" s="591"/>
      <c r="B162" s="359"/>
      <c r="C162" s="990" t="s">
        <v>1119</v>
      </c>
      <c r="D162" s="991"/>
      <c r="E162" s="991"/>
      <c r="F162" s="991"/>
      <c r="G162" s="991"/>
      <c r="H162" s="608"/>
      <c r="I162" s="358"/>
      <c r="J162" s="992">
        <f>VLOOKUP('Part 1'!L13,DataSheet2!$B$8:$DY$325,113,FALSE)</f>
        <v>-522669.74</v>
      </c>
      <c r="K162" s="993"/>
      <c r="L162" s="592"/>
      <c r="M162" s="358"/>
      <c r="N162" s="987">
        <f>VLOOKUP('Part 1'!L13,DataSheet2!$B$8:$DY$325,114,FALSE)</f>
        <v>-7000</v>
      </c>
      <c r="O162" s="988"/>
      <c r="P162" s="418"/>
      <c r="Q162" s="157"/>
      <c r="R162" s="960">
        <f>VLOOKUP('Part 1'!L13,DataSheet2!$B$8:$DY$325,115,FALSE)</f>
        <v>-529669.74</v>
      </c>
      <c r="S162" s="961"/>
      <c r="T162" s="162"/>
      <c r="U162" s="613"/>
      <c r="W162" s="654">
        <f>IF(+J162+N162-R162=0,0,1)</f>
        <v>0</v>
      </c>
      <c r="Y162" s="478"/>
      <c r="Z162" s="479"/>
    </row>
    <row r="163" spans="1:26" s="267" customFormat="1" ht="16.5" customHeight="1" x14ac:dyDescent="0.2">
      <c r="A163" s="591"/>
      <c r="B163" s="359"/>
      <c r="C163" s="665"/>
      <c r="D163" s="666"/>
      <c r="E163" s="666"/>
      <c r="F163" s="666"/>
      <c r="G163" s="666"/>
      <c r="H163" s="665"/>
      <c r="I163" s="358"/>
      <c r="J163" s="358"/>
      <c r="K163" s="358"/>
      <c r="L163" s="592"/>
      <c r="M163" s="358"/>
      <c r="N163" s="594"/>
      <c r="O163" s="594"/>
      <c r="P163" s="418"/>
      <c r="Q163" s="157"/>
      <c r="R163" s="664"/>
      <c r="S163" s="157"/>
      <c r="T163" s="162"/>
      <c r="U163" s="613"/>
      <c r="W163" s="654"/>
      <c r="Y163" s="478"/>
      <c r="Z163" s="479"/>
    </row>
    <row r="164" spans="1:26" s="267" customFormat="1" ht="16.5" customHeight="1" thickBot="1" x14ac:dyDescent="0.25">
      <c r="A164" s="591"/>
      <c r="B164" s="359"/>
      <c r="C164" s="679" t="s">
        <v>1188</v>
      </c>
      <c r="D164" s="666"/>
      <c r="E164" s="666"/>
      <c r="F164" s="666"/>
      <c r="G164" s="666"/>
      <c r="H164" s="665"/>
      <c r="I164" s="358"/>
      <c r="J164" s="418"/>
      <c r="K164" s="418"/>
      <c r="L164" s="592"/>
      <c r="M164" s="358"/>
      <c r="N164" s="594"/>
      <c r="O164" s="594"/>
      <c r="P164" s="418"/>
      <c r="Q164" s="157"/>
      <c r="R164" s="664"/>
      <c r="S164" s="157"/>
      <c r="T164" s="162"/>
      <c r="U164" s="613"/>
      <c r="W164" s="654"/>
      <c r="Y164" s="478"/>
      <c r="Z164" s="479"/>
    </row>
    <row r="165" spans="1:26" s="267" customFormat="1" ht="16.5" customHeight="1" thickBot="1" x14ac:dyDescent="0.25">
      <c r="A165" s="591"/>
      <c r="B165" s="359"/>
      <c r="C165" s="990" t="s">
        <v>1193</v>
      </c>
      <c r="D165" s="991"/>
      <c r="E165" s="991"/>
      <c r="F165" s="991"/>
      <c r="G165" s="991"/>
      <c r="H165" s="665"/>
      <c r="I165" s="358"/>
      <c r="J165" s="992">
        <f>VLOOKUP('Part 1'!L13,DataSheet2!$B$8:$DY$325,116,FALSE)</f>
        <v>-499703172.08000004</v>
      </c>
      <c r="K165" s="993"/>
      <c r="L165" s="592"/>
      <c r="M165" s="358"/>
      <c r="N165" s="987">
        <f>VLOOKUP('Part 1'!L13,DataSheet2!$B$8:$DY$325,117,FALSE)</f>
        <v>-2249125</v>
      </c>
      <c r="O165" s="988"/>
      <c r="P165" s="418"/>
      <c r="Q165" s="157"/>
      <c r="R165" s="960">
        <f>VLOOKUP('Part 1'!L13,DataSheet2!$B$8:$DY$325,118,FALSE)</f>
        <v>-501952297.08000004</v>
      </c>
      <c r="S165" s="961"/>
      <c r="T165" s="162"/>
      <c r="U165" s="613"/>
      <c r="W165" s="654">
        <f>IF(+J165+N165-R165=0,0,1)</f>
        <v>0</v>
      </c>
      <c r="Y165" s="478"/>
      <c r="Z165" s="479"/>
    </row>
    <row r="166" spans="1:26" ht="15.75" thickBot="1" x14ac:dyDescent="0.25">
      <c r="A166" s="23"/>
      <c r="B166" s="2"/>
      <c r="C166" s="27"/>
      <c r="D166" s="27"/>
      <c r="E166" s="27"/>
      <c r="F166" s="27"/>
      <c r="G166" s="27"/>
      <c r="H166" s="27"/>
      <c r="I166" s="27"/>
      <c r="J166" s="63"/>
      <c r="K166" s="63"/>
      <c r="L166" s="63"/>
      <c r="M166" s="63"/>
      <c r="N166" s="63"/>
      <c r="O166" s="63"/>
      <c r="P166" s="63"/>
      <c r="Q166" s="157"/>
      <c r="R166" s="157"/>
      <c r="S166" s="157"/>
      <c r="T166" s="162"/>
      <c r="U166" s="55"/>
      <c r="W166" s="240"/>
    </row>
    <row r="167" spans="1:26" ht="16.5" thickBot="1" x14ac:dyDescent="0.25">
      <c r="A167" s="23"/>
      <c r="B167" s="4"/>
      <c r="C167" s="57"/>
      <c r="D167" s="57"/>
      <c r="E167" s="57"/>
      <c r="F167" s="57"/>
      <c r="G167" s="57"/>
      <c r="H167" s="57"/>
      <c r="I167" s="57"/>
      <c r="J167" s="66"/>
      <c r="K167" s="67"/>
      <c r="L167" s="67"/>
      <c r="M167" s="67"/>
      <c r="N167" s="67"/>
      <c r="O167" s="67"/>
      <c r="P167" s="67"/>
      <c r="Q167" s="164"/>
      <c r="R167" s="163"/>
      <c r="S167" s="164"/>
      <c r="T167" s="180"/>
      <c r="U167" s="55"/>
      <c r="W167" s="240"/>
    </row>
    <row r="168" spans="1:26" ht="16.5" thickBot="1" x14ac:dyDescent="0.25">
      <c r="A168" s="23"/>
      <c r="B168" s="5"/>
      <c r="C168" s="879" t="s">
        <v>1194</v>
      </c>
      <c r="D168" s="879"/>
      <c r="E168" s="879"/>
      <c r="F168" s="879"/>
      <c r="G168" s="879"/>
      <c r="H168" s="27"/>
      <c r="I168" s="27"/>
      <c r="J168" s="963">
        <f>VLOOKUP('Part 1'!L13,DataSheet2!$B$8:$DY$325,119,FALSE)</f>
        <v>-555338554.75999999</v>
      </c>
      <c r="K168" s="964"/>
      <c r="L168" s="63"/>
      <c r="M168" s="27"/>
      <c r="N168" s="963">
        <f>VLOOKUP('Part 1'!L13,DataSheet2!$B$8:$DY$325,120,FALSE)</f>
        <v>-2487878</v>
      </c>
      <c r="O168" s="964"/>
      <c r="P168" s="63"/>
      <c r="Q168" s="157"/>
      <c r="R168" s="157"/>
      <c r="S168" s="157"/>
      <c r="T168" s="181"/>
      <c r="U168" s="55"/>
      <c r="W168" s="239">
        <f>IF(+J168+J172-J176=0,0,1)</f>
        <v>0</v>
      </c>
    </row>
    <row r="169" spans="1:26" ht="15.75" x14ac:dyDescent="0.2">
      <c r="A169" s="23"/>
      <c r="B169" s="5"/>
      <c r="C169" s="879"/>
      <c r="D169" s="879"/>
      <c r="E169" s="879"/>
      <c r="F169" s="879"/>
      <c r="G169" s="879"/>
      <c r="H169" s="27"/>
      <c r="I169" s="27"/>
      <c r="J169" s="64"/>
      <c r="K169" s="63"/>
      <c r="L169" s="63"/>
      <c r="M169" s="27"/>
      <c r="N169" s="64"/>
      <c r="O169" s="63"/>
      <c r="P169" s="63"/>
      <c r="Q169" s="157"/>
      <c r="R169" s="157"/>
      <c r="S169" s="157"/>
      <c r="T169" s="181"/>
      <c r="U169" s="55"/>
      <c r="W169" s="239"/>
    </row>
    <row r="170" spans="1:26" ht="15.75" x14ac:dyDescent="0.2">
      <c r="A170" s="23"/>
      <c r="B170" s="5"/>
      <c r="C170" s="962"/>
      <c r="D170" s="981"/>
      <c r="E170" s="981"/>
      <c r="F170" s="981"/>
      <c r="G170" s="981"/>
      <c r="H170" s="27"/>
      <c r="I170" s="27"/>
      <c r="J170" s="64"/>
      <c r="K170" s="63"/>
      <c r="L170" s="63"/>
      <c r="M170" s="27"/>
      <c r="N170" s="64"/>
      <c r="O170" s="63"/>
      <c r="P170" s="63"/>
      <c r="Q170" s="157"/>
      <c r="R170" s="157"/>
      <c r="S170" s="157"/>
      <c r="T170" s="181"/>
      <c r="U170" s="55"/>
      <c r="W170" s="239"/>
    </row>
    <row r="171" spans="1:26" ht="16.5" thickBot="1" x14ac:dyDescent="0.25">
      <c r="A171" s="23"/>
      <c r="B171" s="5"/>
      <c r="C171" s="316"/>
      <c r="D171" s="316"/>
      <c r="E171" s="316"/>
      <c r="F171" s="316"/>
      <c r="G171" s="316"/>
      <c r="H171" s="27"/>
      <c r="I171" s="27"/>
      <c r="J171" s="64"/>
      <c r="K171" s="63"/>
      <c r="L171" s="63"/>
      <c r="M171" s="27"/>
      <c r="N171" s="64"/>
      <c r="O171" s="63"/>
      <c r="P171" s="63"/>
      <c r="Q171" s="157"/>
      <c r="R171" s="157"/>
      <c r="S171" s="157"/>
      <c r="T171" s="181"/>
      <c r="U171" s="55"/>
      <c r="W171" s="239"/>
    </row>
    <row r="172" spans="1:26" ht="16.5" customHeight="1" thickBot="1" x14ac:dyDescent="0.25">
      <c r="A172" s="23"/>
      <c r="B172" s="5"/>
      <c r="C172" s="944" t="s">
        <v>1195</v>
      </c>
      <c r="D172" s="944"/>
      <c r="E172" s="944"/>
      <c r="F172" s="944"/>
      <c r="G172" s="944"/>
      <c r="H172" s="27"/>
      <c r="I172" s="27"/>
      <c r="J172" s="884">
        <f>VLOOKUP('Part 1'!L13,DataSheet2!$B$8:$DY$325,121,FALSE)</f>
        <v>-101841</v>
      </c>
      <c r="K172" s="885"/>
      <c r="L172" s="63"/>
      <c r="M172" s="27"/>
      <c r="N172" s="884">
        <f>VLOOKUP('Part 1'!L13,DataSheet2!$B$8:$DY$325,122,FALSE)</f>
        <v>0</v>
      </c>
      <c r="O172" s="885"/>
      <c r="P172" s="63"/>
      <c r="Q172" s="157"/>
      <c r="R172" s="157"/>
      <c r="S172" s="157"/>
      <c r="T172" s="181"/>
      <c r="U172" s="55"/>
      <c r="W172" s="239">
        <f>IF(+N168+N172-N176=0,0,1)</f>
        <v>0</v>
      </c>
      <c r="Z172" s="221"/>
    </row>
    <row r="173" spans="1:26" ht="15.75" x14ac:dyDescent="0.2">
      <c r="A173" s="23"/>
      <c r="B173" s="5"/>
      <c r="C173" s="944"/>
      <c r="D173" s="944"/>
      <c r="E173" s="944"/>
      <c r="F173" s="944"/>
      <c r="G173" s="944"/>
      <c r="H173" s="27"/>
      <c r="I173" s="27"/>
      <c r="J173" s="64"/>
      <c r="K173" s="63"/>
      <c r="L173" s="63"/>
      <c r="M173" s="27"/>
      <c r="N173" s="64"/>
      <c r="O173" s="63"/>
      <c r="P173" s="63"/>
      <c r="Q173" s="157"/>
      <c r="R173" s="158"/>
      <c r="S173" s="157"/>
      <c r="T173" s="181"/>
      <c r="U173" s="55"/>
      <c r="W173" s="240"/>
    </row>
    <row r="174" spans="1:26" ht="15.75" x14ac:dyDescent="0.2">
      <c r="A174" s="23"/>
      <c r="B174" s="5"/>
      <c r="C174" s="944"/>
      <c r="D174" s="944"/>
      <c r="E174" s="944"/>
      <c r="F174" s="944"/>
      <c r="G174" s="944"/>
      <c r="H174" s="27"/>
      <c r="I174" s="27"/>
      <c r="J174" s="64"/>
      <c r="K174" s="63"/>
      <c r="L174" s="63"/>
      <c r="M174" s="27"/>
      <c r="N174" s="64"/>
      <c r="O174" s="63"/>
      <c r="P174" s="63"/>
      <c r="Q174" s="157"/>
      <c r="R174" s="226"/>
      <c r="S174" s="157"/>
      <c r="T174" s="181"/>
      <c r="U174" s="55"/>
      <c r="W174" s="240"/>
    </row>
    <row r="175" spans="1:26" ht="16.5" thickBot="1" x14ac:dyDescent="0.25">
      <c r="A175" s="23"/>
      <c r="B175" s="5"/>
      <c r="C175" s="316"/>
      <c r="D175" s="316"/>
      <c r="E175" s="316"/>
      <c r="F175" s="316"/>
      <c r="G175" s="316"/>
      <c r="H175" s="27"/>
      <c r="I175" s="27"/>
      <c r="J175" s="64"/>
      <c r="K175" s="63"/>
      <c r="L175" s="63"/>
      <c r="M175" s="27"/>
      <c r="N175" s="64"/>
      <c r="O175" s="63"/>
      <c r="P175" s="63"/>
      <c r="Q175" s="157"/>
      <c r="R175" s="158"/>
      <c r="S175" s="157"/>
      <c r="T175" s="181"/>
      <c r="U175" s="55"/>
      <c r="W175" s="240"/>
    </row>
    <row r="176" spans="1:26" ht="16.5" customHeight="1" thickBot="1" x14ac:dyDescent="0.25">
      <c r="A176" s="23"/>
      <c r="B176" s="5"/>
      <c r="C176" s="998" t="s">
        <v>1196</v>
      </c>
      <c r="D176" s="998"/>
      <c r="E176" s="998"/>
      <c r="F176" s="998"/>
      <c r="G176" s="998"/>
      <c r="H176" s="27"/>
      <c r="I176" s="27"/>
      <c r="J176" s="963">
        <f>VLOOKUP('Part 1'!L13,DataSheet2!$B$8:$DY$325,123,FALSE)</f>
        <v>-555440395.75999999</v>
      </c>
      <c r="K176" s="964"/>
      <c r="L176" s="63"/>
      <c r="M176" s="27"/>
      <c r="N176" s="963">
        <f>VLOOKUP('Part 1'!L13,DataSheet2!$B$8:$DY$325,124,FALSE)</f>
        <v>-2487878</v>
      </c>
      <c r="O176" s="964"/>
      <c r="P176" s="63"/>
      <c r="Q176" s="157"/>
      <c r="R176" s="960">
        <f>VLOOKUP('Part 1'!L13,DataSheet2!$B$8:$DY$325,125,FALSE)</f>
        <v>-557928273.75999999</v>
      </c>
      <c r="S176" s="961"/>
      <c r="T176" s="181"/>
      <c r="U176" s="55"/>
      <c r="W176" s="239">
        <f>IF(+J176+N176-R176=0,0,1)</f>
        <v>0</v>
      </c>
      <c r="Y176" s="125"/>
    </row>
    <row r="177" spans="1:25" x14ac:dyDescent="0.2">
      <c r="A177" s="23"/>
      <c r="B177" s="5"/>
      <c r="C177" s="999"/>
      <c r="D177" s="1000"/>
      <c r="E177" s="1000"/>
      <c r="F177" s="1000"/>
      <c r="G177" s="1000"/>
      <c r="H177" s="27"/>
      <c r="I177" s="27"/>
      <c r="J177" s="27"/>
      <c r="K177" s="27"/>
      <c r="L177" s="27"/>
      <c r="M177" s="27"/>
      <c r="N177" s="27"/>
      <c r="O177" s="27"/>
      <c r="P177" s="63"/>
      <c r="Q177" s="169"/>
      <c r="R177" s="169"/>
      <c r="S177" s="169"/>
      <c r="T177" s="181"/>
      <c r="U177" s="55"/>
      <c r="W177" s="241"/>
    </row>
    <row r="178" spans="1:25" x14ac:dyDescent="0.2">
      <c r="A178" s="23"/>
      <c r="B178" s="5"/>
      <c r="C178" s="1001"/>
      <c r="D178" s="1001"/>
      <c r="E178" s="1001"/>
      <c r="F178" s="1001"/>
      <c r="G178" s="1001"/>
      <c r="H178" s="27"/>
      <c r="I178" s="27"/>
      <c r="J178" s="27"/>
      <c r="K178" s="27"/>
      <c r="L178" s="27"/>
      <c r="M178" s="27"/>
      <c r="N178" s="27"/>
      <c r="O178" s="27"/>
      <c r="P178" s="63"/>
      <c r="Q178" s="169"/>
      <c r="R178" s="169"/>
      <c r="S178" s="169"/>
      <c r="T178" s="181"/>
      <c r="U178" s="55"/>
      <c r="W178" s="241"/>
    </row>
    <row r="179" spans="1:25" ht="16.5" thickBot="1" x14ac:dyDescent="0.25">
      <c r="A179" s="23"/>
      <c r="B179" s="7"/>
      <c r="C179" s="58"/>
      <c r="D179" s="58"/>
      <c r="E179" s="58"/>
      <c r="F179" s="58"/>
      <c r="G179" s="58"/>
      <c r="H179" s="58"/>
      <c r="I179" s="58"/>
      <c r="J179" s="68"/>
      <c r="K179" s="69"/>
      <c r="L179" s="69"/>
      <c r="M179" s="69"/>
      <c r="N179" s="68"/>
      <c r="O179" s="68"/>
      <c r="P179" s="68"/>
      <c r="Q179" s="166"/>
      <c r="R179" s="165"/>
      <c r="S179" s="166"/>
      <c r="T179" s="182"/>
      <c r="U179" s="55"/>
      <c r="W179" s="240"/>
    </row>
    <row r="180" spans="1:25" ht="15.75" thickBot="1" x14ac:dyDescent="0.25">
      <c r="A180" s="23"/>
      <c r="B180" s="2"/>
      <c r="C180" s="27"/>
      <c r="D180" s="27"/>
      <c r="E180" s="27"/>
      <c r="F180" s="27"/>
      <c r="G180" s="27"/>
      <c r="H180" s="27"/>
      <c r="I180" s="27"/>
      <c r="J180" s="63"/>
      <c r="K180" s="63"/>
      <c r="L180" s="63"/>
      <c r="M180" s="63"/>
      <c r="N180" s="63"/>
      <c r="O180" s="63"/>
      <c r="P180" s="63"/>
      <c r="Q180" s="157"/>
      <c r="R180" s="157"/>
      <c r="S180" s="157"/>
      <c r="T180" s="162"/>
      <c r="U180" s="55"/>
      <c r="W180" s="240"/>
    </row>
    <row r="181" spans="1:25" x14ac:dyDescent="0.2">
      <c r="A181" s="23"/>
      <c r="B181" s="30"/>
      <c r="C181" s="31"/>
      <c r="D181" s="31"/>
      <c r="E181" s="31"/>
      <c r="F181" s="31"/>
      <c r="G181" s="31"/>
      <c r="H181" s="31"/>
      <c r="I181" s="31"/>
      <c r="J181" s="70"/>
      <c r="K181" s="70"/>
      <c r="L181" s="70"/>
      <c r="M181" s="70"/>
      <c r="N181" s="70"/>
      <c r="O181" s="70"/>
      <c r="P181" s="70"/>
      <c r="Q181" s="160"/>
      <c r="R181" s="160"/>
      <c r="S181" s="160"/>
      <c r="T181" s="177"/>
      <c r="U181" s="55"/>
      <c r="W181" s="240"/>
    </row>
    <row r="182" spans="1:25" ht="15.75" x14ac:dyDescent="0.25">
      <c r="A182" s="23"/>
      <c r="B182" s="32"/>
      <c r="C182" s="33" t="s">
        <v>648</v>
      </c>
      <c r="D182" s="34"/>
      <c r="E182" s="34"/>
      <c r="F182" s="34"/>
      <c r="G182" s="34"/>
      <c r="H182" s="34"/>
      <c r="I182" s="34"/>
      <c r="J182" s="71"/>
      <c r="K182" s="71"/>
      <c r="L182" s="71"/>
      <c r="M182" s="71"/>
      <c r="N182" s="71"/>
      <c r="O182" s="71"/>
      <c r="P182" s="71"/>
      <c r="Q182" s="157"/>
      <c r="R182" s="157"/>
      <c r="S182" s="157"/>
      <c r="T182" s="178"/>
      <c r="U182" s="55"/>
      <c r="W182" s="240"/>
    </row>
    <row r="183" spans="1:25" ht="16.5" thickBot="1" x14ac:dyDescent="0.25">
      <c r="A183" s="23"/>
      <c r="B183" s="32"/>
      <c r="C183" s="34"/>
      <c r="D183" s="34"/>
      <c r="E183" s="34"/>
      <c r="F183" s="34"/>
      <c r="G183" s="34"/>
      <c r="H183" s="34"/>
      <c r="I183" s="34"/>
      <c r="J183" s="997" t="s">
        <v>629</v>
      </c>
      <c r="K183" s="997"/>
      <c r="L183" s="71"/>
      <c r="M183" s="71"/>
      <c r="N183" s="997" t="s">
        <v>629</v>
      </c>
      <c r="O183" s="997"/>
      <c r="P183" s="71"/>
      <c r="Q183" s="157"/>
      <c r="R183" s="1002" t="s">
        <v>629</v>
      </c>
      <c r="S183" s="1002"/>
      <c r="T183" s="178"/>
      <c r="U183" s="55"/>
      <c r="W183" s="240"/>
    </row>
    <row r="184" spans="1:25" ht="16.5" thickBot="1" x14ac:dyDescent="0.25">
      <c r="A184" s="23"/>
      <c r="B184" s="32"/>
      <c r="C184" s="1003" t="s">
        <v>1199</v>
      </c>
      <c r="D184" s="1003"/>
      <c r="E184" s="1003"/>
      <c r="F184" s="1003"/>
      <c r="G184" s="1003"/>
      <c r="H184" s="1004"/>
      <c r="I184" s="34"/>
      <c r="J184" s="963">
        <f>VLOOKUP('Part 1'!L13,DataSheet2!$B$8:$DY$325,126,FALSE)</f>
        <v>26291464299.208</v>
      </c>
      <c r="K184" s="964"/>
      <c r="L184" s="71"/>
      <c r="M184" s="71"/>
      <c r="N184" s="963">
        <f>VLOOKUP('Part 1'!L13,DataSheet2!$B$8:$DY$325,127,FALSE)</f>
        <v>270308892.52999997</v>
      </c>
      <c r="O184" s="964"/>
      <c r="P184" s="71"/>
      <c r="Q184" s="157"/>
      <c r="R184" s="960">
        <f>VLOOKUP('Part 1'!L13,DataSheet2!$B$8:$DY$325,128,FALSE)</f>
        <v>26561773191.737995</v>
      </c>
      <c r="S184" s="961"/>
      <c r="T184" s="178"/>
      <c r="U184" s="55"/>
      <c r="W184" s="239">
        <f>IF(+J184+N184-R184=0,0,1)</f>
        <v>1</v>
      </c>
      <c r="Y184" s="125"/>
    </row>
    <row r="185" spans="1:25" ht="15.75" customHeight="1" x14ac:dyDescent="0.2">
      <c r="A185" s="23"/>
      <c r="B185" s="32"/>
      <c r="C185" s="1003"/>
      <c r="D185" s="1003"/>
      <c r="E185" s="1003"/>
      <c r="F185" s="1003"/>
      <c r="G185" s="1003"/>
      <c r="H185" s="1004"/>
      <c r="I185" s="34"/>
      <c r="J185" s="72"/>
      <c r="K185" s="71"/>
      <c r="L185" s="71"/>
      <c r="M185" s="71"/>
      <c r="N185" s="71"/>
      <c r="O185" s="71"/>
      <c r="P185" s="71"/>
      <c r="Q185" s="157"/>
      <c r="R185" s="158"/>
      <c r="S185" s="157"/>
      <c r="T185" s="178"/>
      <c r="U185" s="55"/>
      <c r="W185" s="240"/>
    </row>
    <row r="186" spans="1:25" ht="15.75" x14ac:dyDescent="0.25">
      <c r="A186" s="23"/>
      <c r="B186" s="32"/>
      <c r="C186" s="1001"/>
      <c r="D186" s="1001"/>
      <c r="E186" s="1001"/>
      <c r="F186" s="1001"/>
      <c r="G186" s="1001"/>
      <c r="H186" s="1001"/>
      <c r="I186" s="34"/>
      <c r="J186" s="995"/>
      <c r="K186" s="996"/>
      <c r="L186" s="29"/>
      <c r="M186" s="29"/>
      <c r="N186" s="59"/>
      <c r="O186" s="29"/>
      <c r="P186" s="29"/>
      <c r="Q186" s="169"/>
      <c r="R186" s="294"/>
      <c r="S186" s="172"/>
      <c r="T186" s="178"/>
      <c r="U186" s="55"/>
      <c r="W186" s="242"/>
    </row>
    <row r="187" spans="1:25" ht="15.75" thickBot="1" x14ac:dyDescent="0.25">
      <c r="A187" s="23"/>
      <c r="B187" s="35"/>
      <c r="C187" s="60"/>
      <c r="D187" s="60"/>
      <c r="E187" s="60"/>
      <c r="F187" s="60"/>
      <c r="G187" s="60"/>
      <c r="H187" s="60"/>
      <c r="I187" s="36"/>
      <c r="J187" s="36"/>
      <c r="K187" s="36"/>
      <c r="L187" s="36"/>
      <c r="M187" s="36"/>
      <c r="N187" s="36"/>
      <c r="O187" s="36"/>
      <c r="P187" s="36"/>
      <c r="Q187" s="185"/>
      <c r="R187" s="185"/>
      <c r="S187" s="185"/>
      <c r="T187" s="179"/>
      <c r="U187" s="55"/>
    </row>
    <row r="188" spans="1:25" x14ac:dyDescent="0.2">
      <c r="A188" s="23"/>
      <c r="B188" s="2"/>
      <c r="C188" s="2"/>
      <c r="D188" s="2"/>
      <c r="E188" s="2"/>
      <c r="F188" s="2"/>
      <c r="G188" s="2"/>
      <c r="H188" s="2"/>
      <c r="I188" s="2"/>
      <c r="J188" s="2"/>
      <c r="K188" s="2"/>
      <c r="L188" s="2"/>
      <c r="M188" s="2"/>
      <c r="N188" s="2"/>
      <c r="O188" s="2"/>
      <c r="P188" s="2"/>
      <c r="Q188" s="2"/>
      <c r="R188" s="2"/>
      <c r="S188" s="2"/>
      <c r="T188" s="2"/>
      <c r="U188" s="55"/>
      <c r="W188" s="232" t="s">
        <v>33</v>
      </c>
    </row>
    <row r="189" spans="1:25" x14ac:dyDescent="0.2">
      <c r="A189" s="335"/>
      <c r="B189" s="335"/>
      <c r="C189" s="335"/>
      <c r="D189" s="335"/>
      <c r="E189" s="329"/>
      <c r="F189" s="329"/>
      <c r="G189" s="329"/>
      <c r="H189" s="329"/>
      <c r="I189" s="329"/>
      <c r="J189" s="329"/>
      <c r="K189" s="329"/>
      <c r="L189" s="329"/>
      <c r="M189" s="329"/>
      <c r="N189" s="329"/>
      <c r="O189" s="329"/>
      <c r="P189" s="329"/>
      <c r="Q189" s="329"/>
      <c r="R189" s="329"/>
      <c r="S189" s="329"/>
      <c r="T189" s="329"/>
      <c r="U189" s="329"/>
    </row>
    <row r="190" spans="1:25" x14ac:dyDescent="0.2">
      <c r="B190" s="329"/>
      <c r="C190" s="329"/>
      <c r="D190" s="329"/>
      <c r="E190" s="329"/>
      <c r="F190" s="329"/>
      <c r="G190" s="329"/>
      <c r="H190" s="329"/>
      <c r="I190" s="329"/>
      <c r="J190" s="329"/>
      <c r="K190" s="329"/>
      <c r="L190" s="329"/>
      <c r="M190" s="329"/>
      <c r="N190" s="329"/>
      <c r="O190" s="329"/>
      <c r="P190" s="329"/>
      <c r="Q190" s="329"/>
      <c r="R190" s="329"/>
      <c r="S190" s="329"/>
      <c r="T190" s="329"/>
      <c r="U190" s="329"/>
    </row>
    <row r="191" spans="1:25" x14ac:dyDescent="0.2">
      <c r="B191" s="329"/>
      <c r="C191" s="329"/>
      <c r="D191" s="329"/>
      <c r="E191" s="329"/>
      <c r="F191" s="329"/>
      <c r="G191" s="329"/>
      <c r="H191" s="329"/>
      <c r="I191" s="329"/>
      <c r="J191" s="329"/>
      <c r="K191" s="329"/>
      <c r="L191" s="329"/>
      <c r="M191" s="329"/>
      <c r="N191" s="329"/>
      <c r="O191" s="329"/>
      <c r="P191" s="329"/>
      <c r="Q191" s="329"/>
      <c r="R191" s="329"/>
      <c r="S191" s="329"/>
      <c r="T191" s="329"/>
      <c r="U191" s="329"/>
    </row>
    <row r="192" spans="1:25" x14ac:dyDescent="0.2">
      <c r="B192" s="329"/>
      <c r="C192" s="329"/>
      <c r="D192" s="329"/>
      <c r="E192" s="329"/>
      <c r="F192" s="329"/>
      <c r="G192" s="329"/>
      <c r="H192" s="329"/>
      <c r="I192" s="329"/>
      <c r="J192" s="329"/>
      <c r="K192" s="329"/>
      <c r="L192" s="329"/>
      <c r="M192" s="329"/>
      <c r="N192" s="329"/>
      <c r="O192" s="329"/>
      <c r="P192" s="329"/>
      <c r="Q192" s="329"/>
      <c r="R192" s="329"/>
      <c r="S192" s="329"/>
      <c r="T192" s="329"/>
      <c r="U192" s="329"/>
    </row>
  </sheetData>
  <dataConsolidate/>
  <mergeCells count="180">
    <mergeCell ref="W8:W9"/>
    <mergeCell ref="Z11:AB12"/>
    <mergeCell ref="R32:S32"/>
    <mergeCell ref="R67:S67"/>
    <mergeCell ref="R47:S47"/>
    <mergeCell ref="R53:S53"/>
    <mergeCell ref="J53:K53"/>
    <mergeCell ref="J67:K67"/>
    <mergeCell ref="J64:K64"/>
    <mergeCell ref="J58:K58"/>
    <mergeCell ref="W13:W14"/>
    <mergeCell ref="AA34:AG35"/>
    <mergeCell ref="N29:O29"/>
    <mergeCell ref="J11:K12"/>
    <mergeCell ref="J13:K13"/>
    <mergeCell ref="N13:O13"/>
    <mergeCell ref="R13:S13"/>
    <mergeCell ref="N11:O12"/>
    <mergeCell ref="R11:S12"/>
    <mergeCell ref="R9:S9"/>
    <mergeCell ref="R29:S29"/>
    <mergeCell ref="J9:K9"/>
    <mergeCell ref="N9:O9"/>
    <mergeCell ref="R14:S14"/>
    <mergeCell ref="A2:U2"/>
    <mergeCell ref="A3:U3"/>
    <mergeCell ref="C58:G59"/>
    <mergeCell ref="J116:K116"/>
    <mergeCell ref="R42:S42"/>
    <mergeCell ref="J32:K32"/>
    <mergeCell ref="N32:O32"/>
    <mergeCell ref="N47:O47"/>
    <mergeCell ref="J61:K61"/>
    <mergeCell ref="J55:K55"/>
    <mergeCell ref="N38:O38"/>
    <mergeCell ref="N55:O55"/>
    <mergeCell ref="R55:S55"/>
    <mergeCell ref="R58:S58"/>
    <mergeCell ref="R61:S61"/>
    <mergeCell ref="J47:K47"/>
    <mergeCell ref="J42:K42"/>
    <mergeCell ref="J75:K75"/>
    <mergeCell ref="N61:O61"/>
    <mergeCell ref="N25:O25"/>
    <mergeCell ref="C55:G56"/>
    <mergeCell ref="C75:G76"/>
    <mergeCell ref="J38:K38"/>
    <mergeCell ref="N90:O90"/>
    <mergeCell ref="C6:H6"/>
    <mergeCell ref="R15:S15"/>
    <mergeCell ref="C97:G98"/>
    <mergeCell ref="C104:G105"/>
    <mergeCell ref="J186:K186"/>
    <mergeCell ref="J183:K183"/>
    <mergeCell ref="N183:O183"/>
    <mergeCell ref="J110:K110"/>
    <mergeCell ref="N172:O172"/>
    <mergeCell ref="R104:S104"/>
    <mergeCell ref="N122:O122"/>
    <mergeCell ref="N100:O100"/>
    <mergeCell ref="N97:O97"/>
    <mergeCell ref="R125:S125"/>
    <mergeCell ref="R119:S119"/>
    <mergeCell ref="J150:K150"/>
    <mergeCell ref="C176:G178"/>
    <mergeCell ref="J142:K142"/>
    <mergeCell ref="R183:S183"/>
    <mergeCell ref="R184:S184"/>
    <mergeCell ref="J184:K184"/>
    <mergeCell ref="C184:H186"/>
    <mergeCell ref="R176:S176"/>
    <mergeCell ref="N176:O176"/>
    <mergeCell ref="N184:O184"/>
    <mergeCell ref="R150:S150"/>
    <mergeCell ref="J176:K176"/>
    <mergeCell ref="J172:K172"/>
    <mergeCell ref="C168:G170"/>
    <mergeCell ref="C150:G150"/>
    <mergeCell ref="C156:G156"/>
    <mergeCell ref="J156:K156"/>
    <mergeCell ref="N156:O156"/>
    <mergeCell ref="R156:S156"/>
    <mergeCell ref="C159:G159"/>
    <mergeCell ref="J159:K159"/>
    <mergeCell ref="N159:O159"/>
    <mergeCell ref="R159:S159"/>
    <mergeCell ref="C165:G165"/>
    <mergeCell ref="J165:K165"/>
    <mergeCell ref="N165:O165"/>
    <mergeCell ref="R165:S165"/>
    <mergeCell ref="C153:G153"/>
    <mergeCell ref="J138:K138"/>
    <mergeCell ref="C172:G174"/>
    <mergeCell ref="C138:G140"/>
    <mergeCell ref="R142:S142"/>
    <mergeCell ref="N168:O168"/>
    <mergeCell ref="C142:G143"/>
    <mergeCell ref="C135:G136"/>
    <mergeCell ref="N138:O138"/>
    <mergeCell ref="N142:O142"/>
    <mergeCell ref="N150:O150"/>
    <mergeCell ref="N135:O135"/>
    <mergeCell ref="C147:L148"/>
    <mergeCell ref="C162:G162"/>
    <mergeCell ref="J162:K162"/>
    <mergeCell ref="N162:O162"/>
    <mergeCell ref="R162:S162"/>
    <mergeCell ref="J168:K168"/>
    <mergeCell ref="J153:K153"/>
    <mergeCell ref="N153:O153"/>
    <mergeCell ref="R153:S153"/>
    <mergeCell ref="J25:K25"/>
    <mergeCell ref="J36:K36"/>
    <mergeCell ref="C38:G40"/>
    <mergeCell ref="N53:O53"/>
    <mergeCell ref="N58:O58"/>
    <mergeCell ref="N36:O36"/>
    <mergeCell ref="J70:K70"/>
    <mergeCell ref="N70:O70"/>
    <mergeCell ref="J135:K135"/>
    <mergeCell ref="J125:K125"/>
    <mergeCell ref="J100:K100"/>
    <mergeCell ref="N110:O110"/>
    <mergeCell ref="N104:O104"/>
    <mergeCell ref="N128:O128"/>
    <mergeCell ref="J97:K97"/>
    <mergeCell ref="N93:O93"/>
    <mergeCell ref="N82:O82"/>
    <mergeCell ref="N119:O119"/>
    <mergeCell ref="N116:O116"/>
    <mergeCell ref="N42:O42"/>
    <mergeCell ref="N64:O64"/>
    <mergeCell ref="N10:O10"/>
    <mergeCell ref="C9:H9"/>
    <mergeCell ref="R10:S10"/>
    <mergeCell ref="F15:G15"/>
    <mergeCell ref="J15:K15"/>
    <mergeCell ref="N22:O22"/>
    <mergeCell ref="N15:O15"/>
    <mergeCell ref="J129:K129"/>
    <mergeCell ref="C78:G80"/>
    <mergeCell ref="N67:O67"/>
    <mergeCell ref="C29:G30"/>
    <mergeCell ref="R25:S25"/>
    <mergeCell ref="J90:K90"/>
    <mergeCell ref="J78:K78"/>
    <mergeCell ref="N78:O78"/>
    <mergeCell ref="R90:S90"/>
    <mergeCell ref="N125:O125"/>
    <mergeCell ref="J82:K82"/>
    <mergeCell ref="J93:K93"/>
    <mergeCell ref="C82:G83"/>
    <mergeCell ref="C100:G102"/>
    <mergeCell ref="C32:G34"/>
    <mergeCell ref="J104:K104"/>
    <mergeCell ref="N113:O113"/>
    <mergeCell ref="R70:S70"/>
    <mergeCell ref="A4:U4"/>
    <mergeCell ref="J122:K122"/>
    <mergeCell ref="J119:K119"/>
    <mergeCell ref="J113:K113"/>
    <mergeCell ref="R113:S113"/>
    <mergeCell ref="R116:S116"/>
    <mergeCell ref="R122:S122"/>
    <mergeCell ref="R110:S110"/>
    <mergeCell ref="R93:S93"/>
    <mergeCell ref="R64:S64"/>
    <mergeCell ref="R82:S82"/>
    <mergeCell ref="C17:F18"/>
    <mergeCell ref="J20:K20"/>
    <mergeCell ref="J29:K29"/>
    <mergeCell ref="N75:O75"/>
    <mergeCell ref="C11:D11"/>
    <mergeCell ref="C10:H10"/>
    <mergeCell ref="J14:K14"/>
    <mergeCell ref="N14:O14"/>
    <mergeCell ref="J22:K22"/>
    <mergeCell ref="N20:O20"/>
    <mergeCell ref="C13:H14"/>
    <mergeCell ref="J10:K10"/>
  </mergeCells>
  <phoneticPr fontId="5" type="noConversion"/>
  <dataValidations count="1">
    <dataValidation type="textLength" operator="equal" allowBlank="1" showInputMessage="1" showErrorMessage="1" error="Don't change as fixes other cells" sqref="AZ1">
      <formula1>3</formula1>
    </dataValidation>
  </dataValidations>
  <printOptions horizontalCentered="1"/>
  <pageMargins left="0.39370078740157483" right="0.39370078740157483" top="0.39370078740157483" bottom="0.39370078740157483" header="0.31496062992125984" footer="0.31496062992125984"/>
  <pageSetup paperSize="9" scale="67" fitToHeight="0" orientation="portrait" r:id="rId1"/>
  <headerFooter alignWithMargins="0"/>
  <rowBreaks count="2" manualBreakCount="2">
    <brk id="71" max="20" man="1"/>
    <brk id="130"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V80"/>
  <sheetViews>
    <sheetView showGridLines="0" zoomScale="80" zoomScaleNormal="80" workbookViewId="0">
      <selection activeCell="W41" sqref="W41"/>
    </sheetView>
  </sheetViews>
  <sheetFormatPr defaultColWidth="9.140625" defaultRowHeight="15" x14ac:dyDescent="0.2"/>
  <cols>
    <col min="1" max="2" width="1.7109375" style="37" customWidth="1"/>
    <col min="3" max="3" width="21.42578125" style="37" customWidth="1"/>
    <col min="4" max="4" width="11" style="37" customWidth="1"/>
    <col min="5" max="5" width="22.85546875" style="37" customWidth="1"/>
    <col min="6" max="6" width="5.7109375" style="37" customWidth="1"/>
    <col min="7" max="8" width="11.42578125" style="37" customWidth="1"/>
    <col min="9" max="10" width="2.7109375" style="37" customWidth="1"/>
    <col min="11" max="12" width="11.42578125" style="37" customWidth="1"/>
    <col min="13" max="14" width="2.7109375" style="37" customWidth="1"/>
    <col min="15" max="16" width="11.42578125" style="37" customWidth="1"/>
    <col min="17" max="18" width="1.7109375" style="37" customWidth="1"/>
    <col min="19" max="19" width="9.140625" style="37"/>
    <col min="20" max="20" width="6.42578125" style="37" customWidth="1"/>
    <col min="21" max="16384" width="9.140625" style="37"/>
  </cols>
  <sheetData>
    <row r="1" spans="1:22" x14ac:dyDescent="0.2">
      <c r="A1" s="73"/>
      <c r="B1" s="74"/>
      <c r="C1" s="74"/>
      <c r="D1" s="74"/>
      <c r="E1" s="74"/>
      <c r="F1" s="74"/>
      <c r="G1" s="74"/>
      <c r="H1" s="74"/>
      <c r="I1" s="74"/>
      <c r="J1" s="74"/>
      <c r="K1" s="74"/>
      <c r="L1" s="74"/>
      <c r="M1" s="74"/>
      <c r="N1" s="74"/>
      <c r="O1" s="74"/>
      <c r="P1" s="342"/>
      <c r="Q1" s="342"/>
      <c r="R1" s="75"/>
    </row>
    <row r="2" spans="1:22" ht="15.75" x14ac:dyDescent="0.25">
      <c r="A2" s="915" t="s">
        <v>659</v>
      </c>
      <c r="B2" s="1005"/>
      <c r="C2" s="1005"/>
      <c r="D2" s="1005"/>
      <c r="E2" s="1005"/>
      <c r="F2" s="1005"/>
      <c r="G2" s="1005"/>
      <c r="H2" s="1005"/>
      <c r="I2" s="1005"/>
      <c r="J2" s="1005"/>
      <c r="K2" s="1005"/>
      <c r="L2" s="1005"/>
      <c r="M2" s="1005"/>
      <c r="N2" s="1005"/>
      <c r="O2" s="1005"/>
      <c r="P2" s="1005"/>
      <c r="Q2" s="1005"/>
      <c r="R2" s="1006"/>
    </row>
    <row r="3" spans="1:22" ht="15.75" x14ac:dyDescent="0.25">
      <c r="A3" s="915" t="s">
        <v>1120</v>
      </c>
      <c r="B3" s="1007"/>
      <c r="C3" s="1007"/>
      <c r="D3" s="1007"/>
      <c r="E3" s="1007"/>
      <c r="F3" s="1007"/>
      <c r="G3" s="1007"/>
      <c r="H3" s="1007"/>
      <c r="I3" s="1007"/>
      <c r="J3" s="1007"/>
      <c r="K3" s="1007"/>
      <c r="L3" s="1007"/>
      <c r="M3" s="1007"/>
      <c r="N3" s="1007"/>
      <c r="O3" s="1007"/>
      <c r="P3" s="1007"/>
      <c r="Q3" s="1007"/>
      <c r="R3" s="1008"/>
    </row>
    <row r="4" spans="1:22" ht="15.75" x14ac:dyDescent="0.25">
      <c r="A4" s="336"/>
      <c r="B4" s="338"/>
      <c r="C4" s="338"/>
      <c r="D4" s="338"/>
      <c r="E4" s="338"/>
      <c r="F4" s="338"/>
      <c r="G4" s="338"/>
      <c r="H4" s="338"/>
      <c r="I4" s="338"/>
      <c r="J4" s="338"/>
      <c r="K4" s="338"/>
      <c r="L4" s="338"/>
      <c r="M4" s="338"/>
      <c r="N4" s="338"/>
      <c r="O4" s="338"/>
      <c r="P4" s="338"/>
      <c r="Q4" s="338"/>
      <c r="R4" s="339"/>
    </row>
    <row r="5" spans="1:22" ht="15.75" thickBot="1" x14ac:dyDescent="0.25">
      <c r="A5" s="76"/>
      <c r="B5" s="77"/>
      <c r="C5" s="77"/>
      <c r="D5" s="77"/>
      <c r="E5" s="77"/>
      <c r="F5" s="77"/>
      <c r="G5" s="77"/>
      <c r="H5" s="77"/>
      <c r="I5" s="77"/>
      <c r="J5" s="77"/>
      <c r="K5" s="77"/>
      <c r="L5" s="77"/>
      <c r="M5" s="77"/>
      <c r="N5" s="77"/>
      <c r="O5" s="361"/>
      <c r="P5" s="615"/>
      <c r="Q5" s="343"/>
      <c r="R5" s="78"/>
    </row>
    <row r="6" spans="1:22" x14ac:dyDescent="0.2">
      <c r="A6" s="23"/>
      <c r="B6" s="2"/>
      <c r="C6" s="1043"/>
      <c r="D6" s="1043"/>
      <c r="E6" s="1043"/>
      <c r="F6" s="1043"/>
      <c r="G6" s="1043"/>
      <c r="H6" s="2"/>
      <c r="I6" s="2"/>
      <c r="J6" s="2"/>
      <c r="K6" s="2"/>
      <c r="L6" s="2"/>
      <c r="M6" s="2"/>
      <c r="N6" s="2"/>
      <c r="O6" s="2"/>
      <c r="P6" s="2"/>
      <c r="Q6" s="2"/>
      <c r="R6" s="55"/>
    </row>
    <row r="7" spans="1:22" ht="18" x14ac:dyDescent="0.25">
      <c r="A7" s="45"/>
      <c r="B7" s="27"/>
      <c r="C7" s="79" t="str">
        <f>+CONCATENATE("Local Authority : ",+'Part 1'!L12)</f>
        <v>Local Authority : England</v>
      </c>
      <c r="D7" s="79"/>
      <c r="E7" s="344"/>
      <c r="F7" s="344"/>
      <c r="G7" s="344"/>
      <c r="H7" s="27"/>
      <c r="I7" s="27"/>
      <c r="J7" s="27"/>
      <c r="K7" s="27"/>
      <c r="L7" s="27"/>
      <c r="M7" s="27"/>
      <c r="N7" s="27"/>
      <c r="O7" s="27"/>
      <c r="P7" s="27"/>
      <c r="Q7" s="27"/>
      <c r="R7" s="28"/>
    </row>
    <row r="8" spans="1:22" ht="15.75" x14ac:dyDescent="0.25">
      <c r="A8" s="41"/>
      <c r="B8" s="344"/>
      <c r="C8" s="344"/>
      <c r="D8" s="344"/>
      <c r="E8" s="42"/>
      <c r="F8" s="44"/>
      <c r="G8" s="44"/>
      <c r="H8" s="44"/>
      <c r="I8" s="44"/>
      <c r="J8" s="27"/>
      <c r="K8" s="27"/>
      <c r="L8" s="27"/>
      <c r="M8" s="27"/>
      <c r="N8" s="27"/>
      <c r="O8" s="27"/>
      <c r="P8" s="27"/>
      <c r="Q8" s="27"/>
      <c r="R8" s="28"/>
    </row>
    <row r="9" spans="1:22" ht="15.75" x14ac:dyDescent="0.25">
      <c r="A9" s="41"/>
      <c r="B9" s="344"/>
      <c r="C9" s="340" t="s">
        <v>841</v>
      </c>
      <c r="D9" s="344"/>
      <c r="E9" s="42"/>
      <c r="F9" s="44"/>
      <c r="G9" s="44"/>
      <c r="H9" s="44"/>
      <c r="I9" s="44"/>
      <c r="J9" s="27"/>
      <c r="K9" s="1044"/>
      <c r="L9" s="1044"/>
      <c r="M9" s="1044"/>
      <c r="N9" s="27"/>
      <c r="O9" s="27"/>
      <c r="P9" s="27"/>
      <c r="Q9" s="27"/>
      <c r="R9" s="28"/>
    </row>
    <row r="10" spans="1:22" ht="15.75" customHeight="1" x14ac:dyDescent="0.25">
      <c r="A10" s="43"/>
      <c r="B10" s="42"/>
      <c r="C10" s="969"/>
      <c r="D10" s="969"/>
      <c r="E10" s="969"/>
      <c r="F10" s="346"/>
      <c r="G10" s="972" t="s">
        <v>634</v>
      </c>
      <c r="H10" s="972"/>
      <c r="I10" s="44"/>
      <c r="J10" s="420"/>
      <c r="K10" s="972" t="s">
        <v>635</v>
      </c>
      <c r="L10" s="972"/>
      <c r="M10" s="485"/>
      <c r="N10" s="345"/>
      <c r="O10" s="1048" t="s">
        <v>636</v>
      </c>
      <c r="P10" s="972"/>
      <c r="Q10" s="345"/>
      <c r="R10" s="28"/>
    </row>
    <row r="11" spans="1:22" ht="15.75" customHeight="1" x14ac:dyDescent="0.25">
      <c r="A11" s="43"/>
      <c r="B11" s="42"/>
      <c r="C11" s="42"/>
      <c r="D11" s="42"/>
      <c r="E11" s="42"/>
      <c r="F11" s="42"/>
      <c r="G11" s="1045" t="s">
        <v>795</v>
      </c>
      <c r="H11" s="1017"/>
      <c r="I11" s="44"/>
      <c r="J11" s="421"/>
      <c r="K11" s="1046" t="s">
        <v>881</v>
      </c>
      <c r="L11" s="1047"/>
      <c r="M11" s="350"/>
      <c r="N11" s="351"/>
      <c r="O11" s="1016" t="s">
        <v>34</v>
      </c>
      <c r="P11" s="1017"/>
      <c r="Q11" s="351"/>
      <c r="R11" s="28"/>
    </row>
    <row r="12" spans="1:22" ht="34.5" customHeight="1" x14ac:dyDescent="0.25">
      <c r="A12" s="43"/>
      <c r="B12" s="42"/>
      <c r="C12" s="42"/>
      <c r="D12" s="42"/>
      <c r="E12" s="42"/>
      <c r="F12" s="42"/>
      <c r="G12" s="1017"/>
      <c r="H12" s="1017"/>
      <c r="I12" s="44"/>
      <c r="J12" s="421"/>
      <c r="K12" s="1047"/>
      <c r="L12" s="1047"/>
      <c r="M12" s="350"/>
      <c r="N12" s="351"/>
      <c r="O12" s="1017"/>
      <c r="P12" s="1017"/>
      <c r="Q12" s="27"/>
      <c r="R12" s="28"/>
    </row>
    <row r="13" spans="1:22" ht="30" customHeight="1" x14ac:dyDescent="0.25">
      <c r="A13" s="43"/>
      <c r="B13" s="42"/>
      <c r="C13" s="42"/>
      <c r="D13" s="42"/>
      <c r="E13" s="42"/>
      <c r="F13" s="42"/>
      <c r="G13" s="1018"/>
      <c r="H13" s="1018"/>
      <c r="I13" s="44"/>
      <c r="J13" s="216"/>
      <c r="K13" s="968"/>
      <c r="L13" s="968"/>
      <c r="M13" s="350"/>
      <c r="N13" s="216"/>
      <c r="O13" s="968"/>
      <c r="P13" s="968"/>
      <c r="Q13" s="27"/>
      <c r="R13" s="28"/>
    </row>
    <row r="14" spans="1:22" ht="16.5" thickBot="1" x14ac:dyDescent="0.3">
      <c r="A14" s="43"/>
      <c r="B14" s="344"/>
      <c r="C14" s="344" t="s">
        <v>648</v>
      </c>
      <c r="D14" s="344"/>
      <c r="E14" s="42"/>
      <c r="F14" s="42"/>
      <c r="G14" s="1020" t="s">
        <v>629</v>
      </c>
      <c r="H14" s="1020"/>
      <c r="I14" s="44"/>
      <c r="J14" s="27"/>
      <c r="K14" s="1020" t="s">
        <v>629</v>
      </c>
      <c r="L14" s="1020"/>
      <c r="M14" s="350"/>
      <c r="N14" s="169"/>
      <c r="O14" s="1021" t="s">
        <v>629</v>
      </c>
      <c r="P14" s="1021"/>
      <c r="Q14" s="169"/>
      <c r="R14" s="28"/>
    </row>
    <row r="15" spans="1:22" ht="16.5" thickBot="1" x14ac:dyDescent="0.3">
      <c r="A15" s="43"/>
      <c r="B15" s="42"/>
      <c r="C15" s="888" t="s">
        <v>675</v>
      </c>
      <c r="D15" s="1022"/>
      <c r="E15" s="1022"/>
      <c r="F15" s="42"/>
      <c r="G15" s="1024">
        <f>VLOOKUP('Part 1'!L13,DataSheet3!$B$8:$AR$325,5,FALSE)</f>
        <v>26291464299.208</v>
      </c>
      <c r="H15" s="1025"/>
      <c r="I15" s="44"/>
      <c r="J15" s="63"/>
      <c r="K15" s="939">
        <f>VLOOKUP('Part 1'!L13,DataSheet3!$B$8:$AR$325,6,FALSE)</f>
        <v>270308892.52999997</v>
      </c>
      <c r="L15" s="940"/>
      <c r="M15" s="387"/>
      <c r="N15" s="157"/>
      <c r="O15" s="1026">
        <f>VLOOKUP('Part 1'!L13,DataSheet3!$B$8:$AR$325,7,FALSE)</f>
        <v>26561773191.737995</v>
      </c>
      <c r="P15" s="1027"/>
      <c r="Q15" s="172"/>
      <c r="R15" s="55"/>
      <c r="V15" s="9"/>
    </row>
    <row r="16" spans="1:22" ht="15.75" x14ac:dyDescent="0.25">
      <c r="A16" s="43"/>
      <c r="B16" s="42"/>
      <c r="C16" s="1022"/>
      <c r="D16" s="1022"/>
      <c r="E16" s="1022"/>
      <c r="F16" s="42"/>
      <c r="G16" s="63"/>
      <c r="H16" s="63"/>
      <c r="I16" s="44"/>
      <c r="J16" s="328"/>
      <c r="K16" s="328"/>
      <c r="L16" s="328"/>
      <c r="M16" s="328"/>
      <c r="N16" s="157"/>
      <c r="O16" s="157"/>
      <c r="P16" s="157"/>
      <c r="Q16" s="169"/>
      <c r="R16" s="28"/>
    </row>
    <row r="17" spans="1:22" ht="15.75" customHeight="1" x14ac:dyDescent="0.25">
      <c r="A17" s="43"/>
      <c r="B17" s="42"/>
      <c r="C17" s="1023"/>
      <c r="D17" s="1023"/>
      <c r="E17" s="1023"/>
      <c r="F17" s="42"/>
      <c r="G17" s="327"/>
      <c r="H17" s="327"/>
      <c r="I17" s="327"/>
      <c r="J17" s="328"/>
      <c r="K17" s="328"/>
      <c r="L17" s="328"/>
      <c r="M17" s="328"/>
      <c r="N17" s="157"/>
      <c r="O17" s="157"/>
      <c r="P17" s="157"/>
      <c r="Q17" s="169"/>
      <c r="R17" s="28"/>
    </row>
    <row r="18" spans="1:22" ht="15.75" x14ac:dyDescent="0.25">
      <c r="A18" s="43"/>
      <c r="B18" s="42"/>
      <c r="C18" s="265"/>
      <c r="D18" s="42"/>
      <c r="E18" s="42"/>
      <c r="F18" s="42"/>
      <c r="G18" s="326"/>
      <c r="H18" s="326"/>
      <c r="I18" s="44"/>
      <c r="J18" s="328"/>
      <c r="K18" s="328"/>
      <c r="L18" s="328"/>
      <c r="M18" s="328"/>
      <c r="N18" s="157"/>
      <c r="O18" s="157"/>
      <c r="P18" s="157"/>
      <c r="Q18" s="169"/>
      <c r="R18" s="28"/>
    </row>
    <row r="19" spans="1:22" ht="16.5" thickBot="1" x14ac:dyDescent="0.3">
      <c r="A19" s="43"/>
      <c r="B19" s="44"/>
      <c r="C19" s="44" t="s">
        <v>663</v>
      </c>
      <c r="D19" s="42"/>
      <c r="E19" s="42"/>
      <c r="F19" s="42"/>
      <c r="G19" s="63"/>
      <c r="H19" s="63"/>
      <c r="I19" s="44"/>
      <c r="J19" s="63"/>
      <c r="K19" s="63"/>
      <c r="L19" s="63"/>
      <c r="M19" s="350"/>
      <c r="N19" s="157"/>
      <c r="O19" s="157"/>
      <c r="P19" s="157"/>
      <c r="Q19" s="169"/>
      <c r="R19" s="28"/>
    </row>
    <row r="20" spans="1:22" ht="16.5" thickBot="1" x14ac:dyDescent="0.3">
      <c r="A20" s="43"/>
      <c r="B20" s="42"/>
      <c r="C20" s="888" t="s">
        <v>1128</v>
      </c>
      <c r="D20" s="888"/>
      <c r="E20" s="888"/>
      <c r="F20" s="42"/>
      <c r="G20" s="884">
        <f>VLOOKUP('Part 1'!L13,DataSheet3!$B$8:$AR$325,8,FALSE)</f>
        <v>-284598766</v>
      </c>
      <c r="H20" s="885"/>
      <c r="I20" s="44"/>
      <c r="J20" s="63"/>
      <c r="K20" s="939">
        <f>VLOOKUP('Part 1'!L13,DataSheet3!$B$8:$AR$325,9,FALSE)</f>
        <v>-3807970</v>
      </c>
      <c r="L20" s="940"/>
      <c r="M20" s="350"/>
      <c r="N20" s="157"/>
      <c r="O20" s="1026">
        <f>VLOOKUP('Part 1'!L13,DataSheet3!$B$8:$AR$325,10,FALSE)</f>
        <v>-288406736</v>
      </c>
      <c r="P20" s="1027"/>
      <c r="Q20" s="172"/>
      <c r="R20" s="55"/>
    </row>
    <row r="21" spans="1:22" ht="15.75" x14ac:dyDescent="0.25">
      <c r="A21" s="43"/>
      <c r="B21" s="42"/>
      <c r="C21" s="888"/>
      <c r="D21" s="888"/>
      <c r="E21" s="888"/>
      <c r="F21" s="42"/>
      <c r="G21" s="63"/>
      <c r="H21" s="63"/>
      <c r="I21" s="44"/>
      <c r="J21" s="63"/>
      <c r="K21" s="63"/>
      <c r="L21" s="63"/>
      <c r="M21" s="350"/>
      <c r="N21" s="157"/>
      <c r="O21" s="157"/>
      <c r="P21" s="157"/>
      <c r="Q21" s="169"/>
      <c r="R21" s="28"/>
    </row>
    <row r="22" spans="1:22" ht="16.5" thickBot="1" x14ac:dyDescent="0.3">
      <c r="A22" s="43"/>
      <c r="B22" s="42"/>
      <c r="C22" s="341"/>
      <c r="D22" s="341"/>
      <c r="E22" s="341"/>
      <c r="F22" s="42"/>
      <c r="G22" s="63"/>
      <c r="H22" s="63"/>
      <c r="I22" s="44"/>
      <c r="J22" s="63"/>
      <c r="K22" s="63"/>
      <c r="L22" s="63"/>
      <c r="M22" s="350"/>
      <c r="N22" s="157"/>
      <c r="O22" s="157"/>
      <c r="P22" s="157"/>
      <c r="Q22" s="169"/>
      <c r="R22" s="28"/>
    </row>
    <row r="23" spans="1:22" ht="16.5" customHeight="1" thickBot="1" x14ac:dyDescent="0.3">
      <c r="A23" s="43"/>
      <c r="B23" s="42"/>
      <c r="C23" s="888" t="s">
        <v>1129</v>
      </c>
      <c r="D23" s="888"/>
      <c r="E23" s="888"/>
      <c r="F23" s="42"/>
      <c r="G23" s="884">
        <f>VLOOKUP('Part 1'!L13,DataSheet3!$B$8:$AR$325,11,FALSE)</f>
        <v>-1042723171.302</v>
      </c>
      <c r="H23" s="885"/>
      <c r="I23" s="44"/>
      <c r="J23" s="63"/>
      <c r="K23" s="939">
        <f>VLOOKUP('Part 1'!L13,DataSheet3!$B$8:$AR$325,12,FALSE)</f>
        <v>-10737433</v>
      </c>
      <c r="L23" s="940"/>
      <c r="M23" s="350"/>
      <c r="N23" s="157"/>
      <c r="O23" s="1026">
        <f>VLOOKUP('Part 1'!L13,DataSheet3!$B$8:$AR$325,13,FALSE)</f>
        <v>-1053460604.302</v>
      </c>
      <c r="P23" s="1027"/>
      <c r="Q23" s="172"/>
      <c r="R23" s="55"/>
    </row>
    <row r="24" spans="1:22" ht="15.75" x14ac:dyDescent="0.25">
      <c r="A24" s="43"/>
      <c r="B24" s="42"/>
      <c r="C24" s="888"/>
      <c r="D24" s="888"/>
      <c r="E24" s="888"/>
      <c r="F24" s="42"/>
      <c r="G24" s="64"/>
      <c r="H24" s="64"/>
      <c r="I24" s="44"/>
      <c r="J24" s="63"/>
      <c r="K24" s="64"/>
      <c r="L24" s="64"/>
      <c r="M24" s="350"/>
      <c r="N24" s="157"/>
      <c r="O24" s="347"/>
      <c r="P24" s="157"/>
      <c r="Q24" s="172"/>
      <c r="R24" s="28"/>
    </row>
    <row r="25" spans="1:22" ht="16.5" thickBot="1" x14ac:dyDescent="0.25">
      <c r="A25" s="43"/>
      <c r="B25" s="42"/>
      <c r="C25" s="337"/>
      <c r="D25" s="337"/>
      <c r="E25" s="337"/>
      <c r="F25" s="42"/>
      <c r="G25" s="64"/>
      <c r="H25" s="64"/>
      <c r="I25" s="466"/>
      <c r="J25" s="466"/>
      <c r="K25" s="64"/>
      <c r="L25" s="64"/>
      <c r="M25" s="64"/>
      <c r="N25" s="157"/>
      <c r="O25" s="347"/>
      <c r="P25" s="157"/>
      <c r="Q25" s="172"/>
      <c r="R25" s="28"/>
    </row>
    <row r="26" spans="1:22" ht="15.75" x14ac:dyDescent="0.2">
      <c r="A26" s="43"/>
      <c r="B26" s="148"/>
      <c r="C26" s="149"/>
      <c r="D26" s="149"/>
      <c r="E26" s="149"/>
      <c r="F26" s="150"/>
      <c r="G26" s="151"/>
      <c r="H26" s="151"/>
      <c r="I26" s="467"/>
      <c r="J26" s="292"/>
      <c r="K26" s="151"/>
      <c r="L26" s="151"/>
      <c r="M26" s="151"/>
      <c r="N26" s="288"/>
      <c r="O26" s="159"/>
      <c r="P26" s="160"/>
      <c r="Q26" s="173"/>
      <c r="R26" s="28"/>
    </row>
    <row r="27" spans="1:22" ht="16.5" thickBot="1" x14ac:dyDescent="0.3">
      <c r="A27" s="43"/>
      <c r="B27" s="152"/>
      <c r="C27" s="44" t="s">
        <v>561</v>
      </c>
      <c r="D27" s="42"/>
      <c r="E27" s="42"/>
      <c r="F27" s="42"/>
      <c r="G27" s="63"/>
      <c r="H27" s="63"/>
      <c r="I27" s="44"/>
      <c r="J27" s="473"/>
      <c r="K27" s="63"/>
      <c r="L27" s="63"/>
      <c r="M27" s="350"/>
      <c r="N27" s="289"/>
      <c r="O27" s="157"/>
      <c r="P27" s="157"/>
      <c r="Q27" s="174"/>
      <c r="R27" s="28"/>
    </row>
    <row r="28" spans="1:22" ht="16.5" thickBot="1" x14ac:dyDescent="0.3">
      <c r="A28" s="43"/>
      <c r="B28" s="153"/>
      <c r="C28" s="313" t="s">
        <v>669</v>
      </c>
      <c r="D28" s="42"/>
      <c r="E28" s="42"/>
      <c r="F28" s="42"/>
      <c r="G28" s="1032">
        <f>VLOOKUP('Part 1'!L13,DataSheet3!$B$8:$AR$325,14,FALSE)</f>
        <v>24964142361.906002</v>
      </c>
      <c r="H28" s="1033"/>
      <c r="I28" s="44"/>
      <c r="J28" s="473"/>
      <c r="K28" s="1032">
        <f>VLOOKUP('Part 1'!L13,DataSheet3!$B$8:$AR$325,15,FALSE)</f>
        <v>255763489.53</v>
      </c>
      <c r="L28" s="1033"/>
      <c r="M28" s="350"/>
      <c r="N28" s="289"/>
      <c r="O28" s="1026">
        <f>VLOOKUP('Part 1'!L13,DataSheet3!$B$8:$AR$325,16,FALSE)</f>
        <v>25219905851.436001</v>
      </c>
      <c r="P28" s="1027"/>
      <c r="Q28" s="174"/>
      <c r="R28" s="55"/>
    </row>
    <row r="29" spans="1:22" ht="16.5" thickBot="1" x14ac:dyDescent="0.25">
      <c r="A29" s="43"/>
      <c r="B29" s="154"/>
      <c r="C29" s="155"/>
      <c r="D29" s="155"/>
      <c r="E29" s="155"/>
      <c r="F29" s="155"/>
      <c r="G29" s="156"/>
      <c r="H29" s="156"/>
      <c r="I29" s="466"/>
      <c r="J29" s="291"/>
      <c r="K29" s="156"/>
      <c r="L29" s="156"/>
      <c r="M29" s="156"/>
      <c r="N29" s="290"/>
      <c r="O29" s="161"/>
      <c r="P29" s="161"/>
      <c r="Q29" s="175"/>
      <c r="R29" s="28"/>
    </row>
    <row r="30" spans="1:22" ht="15.75" x14ac:dyDescent="0.25">
      <c r="A30" s="43"/>
      <c r="B30" s="42"/>
      <c r="C30" s="42"/>
      <c r="D30" s="42"/>
      <c r="E30" s="42"/>
      <c r="F30" s="42"/>
      <c r="G30" s="63"/>
      <c r="H30" s="63"/>
      <c r="I30" s="467"/>
      <c r="J30" s="467"/>
      <c r="K30" s="63"/>
      <c r="L30" s="63"/>
      <c r="M30" s="350"/>
      <c r="N30" s="157"/>
      <c r="O30" s="157"/>
      <c r="P30" s="157"/>
      <c r="Q30" s="169"/>
      <c r="R30" s="28"/>
    </row>
    <row r="31" spans="1:22" ht="15" customHeight="1" x14ac:dyDescent="0.25">
      <c r="A31" s="43"/>
      <c r="B31" s="42"/>
      <c r="C31" s="44"/>
      <c r="D31" s="42"/>
      <c r="E31" s="1016"/>
      <c r="F31" s="42"/>
      <c r="G31" s="63"/>
      <c r="H31" s="63"/>
      <c r="I31" s="44"/>
      <c r="J31" s="63"/>
      <c r="K31" s="63"/>
      <c r="L31" s="63"/>
      <c r="M31" s="350"/>
      <c r="N31" s="474"/>
      <c r="O31" s="217"/>
      <c r="P31" s="217"/>
      <c r="Q31" s="169"/>
      <c r="R31" s="28"/>
      <c r="V31" s="219"/>
    </row>
    <row r="32" spans="1:22" ht="15" customHeight="1" thickBot="1" x14ac:dyDescent="0.3">
      <c r="A32" s="43"/>
      <c r="B32" s="42"/>
      <c r="C32" s="16" t="s">
        <v>870</v>
      </c>
      <c r="D32" s="42"/>
      <c r="E32" s="1017"/>
      <c r="F32" s="42"/>
      <c r="G32" s="63"/>
      <c r="H32" s="63"/>
      <c r="I32" s="44"/>
      <c r="J32" s="63"/>
      <c r="K32" s="63"/>
      <c r="L32" s="63"/>
      <c r="M32" s="350"/>
      <c r="N32" s="157"/>
      <c r="O32" s="1034"/>
      <c r="P32" s="1034"/>
      <c r="Q32" s="169"/>
      <c r="R32" s="28"/>
      <c r="V32" s="219"/>
    </row>
    <row r="33" spans="1:22" ht="16.5" thickBot="1" x14ac:dyDescent="0.3">
      <c r="A33" s="43"/>
      <c r="B33" s="27"/>
      <c r="C33" s="10" t="s">
        <v>258</v>
      </c>
      <c r="D33" s="27"/>
      <c r="E33" s="1016"/>
      <c r="F33" s="42"/>
      <c r="G33" s="884">
        <f>VLOOKUP('Part 1'!L13,DataSheet3!$B$8:$AR$325,17,FALSE)</f>
        <v>64892589</v>
      </c>
      <c r="H33" s="885"/>
      <c r="I33" s="44"/>
      <c r="J33" s="63"/>
      <c r="K33" s="939">
        <f>VLOOKUP('Part 1'!L13,DataSheet3!$B$8:$AR$325,18,FALSE)</f>
        <v>1776605</v>
      </c>
      <c r="L33" s="940"/>
      <c r="M33" s="350"/>
      <c r="N33" s="157"/>
      <c r="O33" s="1026">
        <f>VLOOKUP('Part 1'!L13,DataSheet3!$B$8:$AR$325,19,FALSE)</f>
        <v>66669194</v>
      </c>
      <c r="P33" s="1027"/>
      <c r="Q33" s="172"/>
      <c r="R33" s="55"/>
      <c r="V33" s="219"/>
    </row>
    <row r="34" spans="1:22" ht="16.5" thickBot="1" x14ac:dyDescent="0.3">
      <c r="A34" s="43"/>
      <c r="B34" s="27"/>
      <c r="C34" s="27"/>
      <c r="D34" s="27"/>
      <c r="E34" s="1017"/>
      <c r="F34" s="42"/>
      <c r="G34" s="42"/>
      <c r="H34" s="42"/>
      <c r="I34" s="44"/>
      <c r="J34" s="63"/>
      <c r="K34" s="63"/>
      <c r="L34" s="63"/>
      <c r="M34" s="350"/>
      <c r="N34" s="157"/>
      <c r="O34" s="157"/>
      <c r="P34" s="157"/>
      <c r="Q34" s="169"/>
      <c r="R34" s="28"/>
      <c r="V34" s="219"/>
    </row>
    <row r="35" spans="1:22" ht="16.5" thickBot="1" x14ac:dyDescent="0.3">
      <c r="A35" s="43"/>
      <c r="B35" s="27"/>
      <c r="C35" s="10" t="s">
        <v>1184</v>
      </c>
      <c r="D35" s="27"/>
      <c r="E35" s="27"/>
      <c r="F35" s="42"/>
      <c r="G35" s="884">
        <f>VLOOKUP('Part 1'!L13,DataSheet3!$B$8:$AR$325,20,FALSE)</f>
        <v>25956</v>
      </c>
      <c r="H35" s="885"/>
      <c r="I35" s="44"/>
      <c r="J35" s="63"/>
      <c r="K35" s="939">
        <f>VLOOKUP('Part 1'!L13,DataSheet3!$B$8:$AR$325,21,FALSE)</f>
        <v>0</v>
      </c>
      <c r="L35" s="940"/>
      <c r="M35" s="629"/>
      <c r="N35" s="157"/>
      <c r="O35" s="1026">
        <f>VLOOKUP('Part 1'!L13,DataSheet3!$B$8:$AR$325,22,FALSE)</f>
        <v>25956</v>
      </c>
      <c r="P35" s="1027"/>
      <c r="Q35" s="169"/>
      <c r="R35" s="648"/>
      <c r="V35" s="219"/>
    </row>
    <row r="36" spans="1:22" ht="16.5" thickBot="1" x14ac:dyDescent="0.3">
      <c r="A36" s="43"/>
      <c r="B36" s="27"/>
      <c r="C36" s="27"/>
      <c r="D36" s="27"/>
      <c r="E36" s="27"/>
      <c r="F36" s="42"/>
      <c r="G36" s="42"/>
      <c r="H36" s="42"/>
      <c r="I36" s="44"/>
      <c r="J36" s="63"/>
      <c r="K36" s="63"/>
      <c r="L36" s="63"/>
      <c r="M36" s="629"/>
      <c r="N36" s="157"/>
      <c r="O36" s="157"/>
      <c r="P36" s="157"/>
      <c r="Q36" s="169"/>
      <c r="R36" s="648"/>
      <c r="V36" s="219"/>
    </row>
    <row r="37" spans="1:22" ht="16.5" thickBot="1" x14ac:dyDescent="0.3">
      <c r="A37" s="43"/>
      <c r="B37" s="27"/>
      <c r="C37" s="10" t="s">
        <v>1175</v>
      </c>
      <c r="D37" s="27"/>
      <c r="E37" s="42"/>
      <c r="F37" s="27"/>
      <c r="G37" s="42"/>
      <c r="H37" s="42"/>
      <c r="I37" s="44"/>
      <c r="J37" s="63"/>
      <c r="K37" s="939">
        <f>VLOOKUP('Part 1'!L13,DataSheet3!$B$8:$AR$325,23,FALSE)</f>
        <v>-3557124.53</v>
      </c>
      <c r="L37" s="940"/>
      <c r="M37" s="350"/>
      <c r="N37" s="157"/>
      <c r="O37" s="1034"/>
      <c r="P37" s="1034"/>
      <c r="Q37" s="169"/>
      <c r="R37" s="28"/>
      <c r="V37" s="219"/>
    </row>
    <row r="38" spans="1:22" ht="15.75" customHeight="1" thickBot="1" x14ac:dyDescent="0.3">
      <c r="A38" s="43"/>
      <c r="B38" s="27"/>
      <c r="C38" s="265"/>
      <c r="D38" s="265"/>
      <c r="E38" s="348"/>
      <c r="F38" s="265"/>
      <c r="G38" s="42"/>
      <c r="H38" s="42"/>
      <c r="I38" s="44"/>
      <c r="J38" s="265"/>
      <c r="K38" s="265"/>
      <c r="L38" s="265"/>
      <c r="M38" s="350"/>
      <c r="N38" s="157"/>
      <c r="O38" s="157"/>
      <c r="P38" s="157"/>
      <c r="Q38" s="169"/>
      <c r="R38" s="28"/>
      <c r="V38" s="219"/>
    </row>
    <row r="39" spans="1:22" ht="16.5" thickBot="1" x14ac:dyDescent="0.3">
      <c r="A39" s="45"/>
      <c r="B39" s="27"/>
      <c r="C39" s="10" t="s">
        <v>1176</v>
      </c>
      <c r="D39" s="27"/>
      <c r="E39" s="27"/>
      <c r="F39" s="27"/>
      <c r="G39" s="42"/>
      <c r="H39" s="42"/>
      <c r="I39" s="42"/>
      <c r="J39" s="63"/>
      <c r="K39" s="1035">
        <f>VLOOKUP('Part 1'!L13,DataSheet3!$B$8:$AR$325,24,FALSE)</f>
        <v>214011640</v>
      </c>
      <c r="L39" s="1036"/>
      <c r="M39" s="350"/>
      <c r="N39" s="157"/>
      <c r="O39" s="157"/>
      <c r="P39" s="157"/>
      <c r="Q39" s="169"/>
      <c r="R39" s="28"/>
      <c r="V39" s="219"/>
    </row>
    <row r="40" spans="1:22" ht="16.5" thickBot="1" x14ac:dyDescent="0.25">
      <c r="A40" s="45"/>
      <c r="B40" s="27"/>
      <c r="C40" s="27"/>
      <c r="D40" s="27"/>
      <c r="E40" s="27"/>
      <c r="F40" s="27"/>
      <c r="G40" s="63"/>
      <c r="H40" s="63"/>
      <c r="I40" s="63"/>
      <c r="J40" s="63"/>
      <c r="K40" s="64"/>
      <c r="L40" s="63"/>
      <c r="M40" s="63"/>
      <c r="N40" s="157"/>
      <c r="O40" s="157"/>
      <c r="P40" s="157"/>
      <c r="Q40" s="169"/>
      <c r="R40" s="28"/>
      <c r="V40" s="219"/>
    </row>
    <row r="41" spans="1:22" x14ac:dyDescent="0.2">
      <c r="A41" s="45"/>
      <c r="B41" s="38"/>
      <c r="C41" s="31"/>
      <c r="D41" s="31"/>
      <c r="E41" s="31"/>
      <c r="F41" s="31"/>
      <c r="G41" s="70"/>
      <c r="H41" s="70"/>
      <c r="I41" s="468"/>
      <c r="J41" s="472"/>
      <c r="K41" s="70"/>
      <c r="L41" s="70"/>
      <c r="M41" s="70"/>
      <c r="N41" s="160"/>
      <c r="O41" s="1037"/>
      <c r="P41" s="1038"/>
      <c r="Q41" s="176"/>
      <c r="R41" s="28"/>
    </row>
    <row r="42" spans="1:22" ht="16.5" thickBot="1" x14ac:dyDescent="0.3">
      <c r="A42" s="45"/>
      <c r="B42" s="39"/>
      <c r="C42" s="33" t="s">
        <v>668</v>
      </c>
      <c r="D42" s="34"/>
      <c r="E42" s="34"/>
      <c r="F42" s="34"/>
      <c r="G42" s="1042"/>
      <c r="H42" s="1042"/>
      <c r="I42" s="349"/>
      <c r="J42" s="286"/>
      <c r="K42" s="1042"/>
      <c r="L42" s="1042"/>
      <c r="M42" s="349"/>
      <c r="N42" s="284"/>
      <c r="O42" s="1039"/>
      <c r="P42" s="1039"/>
      <c r="Q42" s="174"/>
      <c r="R42" s="28"/>
    </row>
    <row r="43" spans="1:22" ht="16.5" thickBot="1" x14ac:dyDescent="0.25">
      <c r="A43" s="45"/>
      <c r="B43" s="39"/>
      <c r="C43" s="8" t="s">
        <v>1177</v>
      </c>
      <c r="D43" s="34"/>
      <c r="E43" s="34"/>
      <c r="F43" s="34"/>
      <c r="G43" s="219"/>
      <c r="H43" s="219"/>
      <c r="I43" s="219"/>
      <c r="J43" s="287"/>
      <c r="K43" s="1032">
        <f>VLOOKUP('Part 1'!L13,DataSheet3!$B$8:$AR$325,25,FALSE)</f>
        <v>61929102</v>
      </c>
      <c r="L43" s="1033"/>
      <c r="M43" s="71"/>
      <c r="N43" s="157"/>
      <c r="O43" s="1040">
        <f>VLOOKUP('Part 1'!L13,DataSheet3!$B$8:$AR$325,26,FALSE)</f>
        <v>61929102</v>
      </c>
      <c r="P43" s="1041"/>
      <c r="Q43" s="174"/>
      <c r="R43" s="55"/>
    </row>
    <row r="44" spans="1:22" ht="15.75" thickBot="1" x14ac:dyDescent="0.25">
      <c r="A44" s="45"/>
      <c r="B44" s="40"/>
      <c r="C44" s="36"/>
      <c r="D44" s="36"/>
      <c r="E44" s="36"/>
      <c r="F44" s="36"/>
      <c r="G44" s="36"/>
      <c r="H44" s="36"/>
      <c r="I44" s="36"/>
      <c r="J44" s="40"/>
      <c r="K44" s="36"/>
      <c r="L44" s="36"/>
      <c r="M44" s="36"/>
      <c r="N44" s="185"/>
      <c r="O44" s="185"/>
      <c r="P44" s="185"/>
      <c r="Q44" s="175"/>
      <c r="R44" s="28"/>
    </row>
    <row r="45" spans="1:22" x14ac:dyDescent="0.2">
      <c r="A45" s="45"/>
      <c r="B45" s="358"/>
      <c r="C45" s="358"/>
      <c r="D45" s="358"/>
      <c r="E45" s="358"/>
      <c r="F45" s="358"/>
      <c r="G45" s="358"/>
      <c r="H45" s="358"/>
      <c r="I45" s="469"/>
      <c r="J45" s="358"/>
      <c r="K45" s="358"/>
      <c r="L45" s="358"/>
      <c r="M45" s="358"/>
      <c r="N45" s="475"/>
      <c r="O45" s="169"/>
      <c r="P45" s="169"/>
      <c r="Q45" s="169"/>
      <c r="R45" s="28"/>
    </row>
    <row r="46" spans="1:22" ht="15.75" x14ac:dyDescent="0.25">
      <c r="A46" s="45"/>
      <c r="B46" s="358"/>
      <c r="C46" s="390" t="s">
        <v>1087</v>
      </c>
      <c r="D46" s="358"/>
      <c r="E46" s="358"/>
      <c r="F46" s="358"/>
      <c r="G46" s="358"/>
      <c r="H46" s="358"/>
      <c r="I46" s="358"/>
      <c r="J46" s="358"/>
      <c r="K46" s="358"/>
      <c r="L46" s="358"/>
      <c r="M46" s="358"/>
      <c r="N46" s="169"/>
      <c r="O46" s="169"/>
      <c r="P46" s="169"/>
      <c r="Q46" s="169"/>
      <c r="R46" s="28"/>
    </row>
    <row r="47" spans="1:22" ht="15.75" thickBot="1" x14ac:dyDescent="0.25">
      <c r="A47" s="45"/>
      <c r="B47" s="358"/>
      <c r="C47" s="358"/>
      <c r="D47" s="358"/>
      <c r="E47" s="358"/>
      <c r="F47" s="358"/>
      <c r="G47" s="358"/>
      <c r="H47" s="358"/>
      <c r="I47" s="358"/>
      <c r="J47" s="358"/>
      <c r="K47" s="358"/>
      <c r="L47" s="358"/>
      <c r="M47" s="358"/>
      <c r="N47" s="169"/>
      <c r="O47" s="169"/>
      <c r="P47" s="169"/>
      <c r="Q47" s="169"/>
      <c r="R47" s="28"/>
    </row>
    <row r="48" spans="1:22" ht="16.5" thickBot="1" x14ac:dyDescent="0.3">
      <c r="A48" s="45"/>
      <c r="B48" s="358"/>
      <c r="C48" s="10" t="s">
        <v>1178</v>
      </c>
      <c r="D48" s="358"/>
      <c r="E48" s="358"/>
      <c r="F48" s="358"/>
      <c r="G48" s="939">
        <f>VLOOKUP('Part 1'!L13,DataSheet3!$B$8:$AR$325,27,FALSE)</f>
        <v>187283</v>
      </c>
      <c r="H48" s="940"/>
      <c r="I48" s="44"/>
      <c r="J48" s="358"/>
      <c r="K48" s="939">
        <f>VLOOKUP('Part 1'!L13,DataSheet3!$B$8:$AR$325,28,FALSE)</f>
        <v>4806445</v>
      </c>
      <c r="L48" s="940"/>
      <c r="M48" s="358"/>
      <c r="N48" s="157"/>
      <c r="O48" s="1026">
        <f>VLOOKUP('Part 1'!L13,DataSheet3!$B$8:$AR$325,29,FALSE)</f>
        <v>4993728</v>
      </c>
      <c r="P48" s="1027"/>
      <c r="Q48" s="169"/>
      <c r="R48" s="55"/>
    </row>
    <row r="49" spans="1:19" ht="15.75" x14ac:dyDescent="0.25">
      <c r="A49" s="45"/>
      <c r="B49" s="358"/>
      <c r="C49" s="171"/>
      <c r="D49" s="358"/>
      <c r="E49" s="358"/>
      <c r="F49" s="358"/>
      <c r="G49" s="358"/>
      <c r="H49" s="358"/>
      <c r="I49" s="44"/>
      <c r="J49" s="358"/>
      <c r="K49" s="358"/>
      <c r="L49" s="358"/>
      <c r="M49" s="358"/>
      <c r="N49" s="157"/>
      <c r="O49" s="419"/>
      <c r="P49" s="419"/>
      <c r="Q49" s="169"/>
      <c r="R49" s="28"/>
    </row>
    <row r="50" spans="1:19" x14ac:dyDescent="0.2">
      <c r="A50" s="45"/>
      <c r="B50" s="358"/>
      <c r="C50" s="358"/>
      <c r="D50" s="358"/>
      <c r="E50" s="358"/>
      <c r="F50" s="358"/>
      <c r="G50" s="358"/>
      <c r="H50" s="358"/>
      <c r="I50" s="358"/>
      <c r="J50" s="358"/>
      <c r="K50" s="358"/>
      <c r="L50" s="358"/>
      <c r="M50" s="358"/>
      <c r="N50" s="169"/>
      <c r="O50" s="169"/>
      <c r="P50" s="169"/>
      <c r="Q50" s="169"/>
      <c r="R50" s="28"/>
    </row>
    <row r="51" spans="1:19" ht="15.75" x14ac:dyDescent="0.25">
      <c r="A51" s="45"/>
      <c r="B51" s="358"/>
      <c r="C51" s="390" t="s">
        <v>871</v>
      </c>
      <c r="D51" s="358"/>
      <c r="E51" s="358"/>
      <c r="F51" s="358"/>
      <c r="G51" s="358"/>
      <c r="H51" s="358"/>
      <c r="I51" s="358"/>
      <c r="J51" s="358"/>
      <c r="K51" s="358"/>
      <c r="L51" s="358"/>
      <c r="M51" s="358"/>
      <c r="N51" s="169"/>
      <c r="O51" s="169"/>
      <c r="P51" s="169"/>
      <c r="Q51" s="169"/>
      <c r="R51" s="28"/>
    </row>
    <row r="52" spans="1:19" ht="16.5" thickBot="1" x14ac:dyDescent="0.3">
      <c r="A52" s="45"/>
      <c r="B52" s="358"/>
      <c r="C52" s="390"/>
      <c r="D52" s="358"/>
      <c r="E52" s="358"/>
      <c r="F52" s="358"/>
      <c r="G52" s="358"/>
      <c r="H52" s="358"/>
      <c r="I52" s="358"/>
      <c r="J52" s="358"/>
      <c r="K52" s="358"/>
      <c r="L52" s="358"/>
      <c r="M52" s="358"/>
      <c r="N52" s="169"/>
      <c r="O52" s="169"/>
      <c r="P52" s="169"/>
      <c r="Q52" s="169"/>
      <c r="R52" s="28"/>
    </row>
    <row r="53" spans="1:19" ht="16.5" thickBot="1" x14ac:dyDescent="0.3">
      <c r="A53" s="45"/>
      <c r="B53" s="358"/>
      <c r="C53" s="10" t="s">
        <v>1893</v>
      </c>
      <c r="D53" s="358"/>
      <c r="E53" s="358"/>
      <c r="F53" s="358"/>
      <c r="G53" s="1028">
        <f>VLOOKUP('Part 1'!L13,DataSheet3!$B$8:$AR$325,30,FALSE)</f>
        <v>1002743</v>
      </c>
      <c r="H53" s="1029"/>
      <c r="I53" s="470"/>
      <c r="J53" s="358"/>
      <c r="K53" s="1030">
        <f>VLOOKUP('Part 1'!L13,DataSheet3!$B$8:$AR$325,31,FALSE)</f>
        <v>9936827</v>
      </c>
      <c r="L53" s="1031"/>
      <c r="M53" s="358"/>
      <c r="N53" s="169"/>
      <c r="O53" s="1049">
        <f>VLOOKUP('Part 1'!L13,DataSheet3!$B$8:$AR$325,32,FALSE)</f>
        <v>10939570</v>
      </c>
      <c r="P53" s="1050"/>
      <c r="Q53" s="169"/>
      <c r="R53" s="28"/>
    </row>
    <row r="54" spans="1:19" x14ac:dyDescent="0.2">
      <c r="A54" s="45"/>
      <c r="B54" s="358"/>
      <c r="C54" s="358"/>
      <c r="D54" s="358"/>
      <c r="E54" s="358"/>
      <c r="F54" s="358"/>
      <c r="G54" s="358"/>
      <c r="H54" s="358"/>
      <c r="I54" s="358"/>
      <c r="J54" s="358"/>
      <c r="K54" s="358"/>
      <c r="L54" s="358"/>
      <c r="M54" s="358"/>
      <c r="N54" s="169"/>
      <c r="O54" s="169"/>
      <c r="P54" s="169"/>
      <c r="Q54" s="169"/>
      <c r="R54" s="28"/>
    </row>
    <row r="55" spans="1:19" s="597" customFormat="1" ht="16.5" thickBot="1" x14ac:dyDescent="0.3">
      <c r="A55" s="688"/>
      <c r="B55" s="358"/>
      <c r="C55" s="390" t="s">
        <v>873</v>
      </c>
      <c r="D55" s="358"/>
      <c r="E55" s="358"/>
      <c r="F55" s="358"/>
      <c r="G55" s="358"/>
      <c r="H55" s="358"/>
      <c r="I55" s="358"/>
      <c r="J55" s="358"/>
      <c r="K55" s="358"/>
      <c r="L55" s="358"/>
      <c r="M55" s="358"/>
      <c r="N55" s="690"/>
      <c r="O55" s="690"/>
      <c r="P55" s="690"/>
      <c r="Q55" s="690"/>
      <c r="R55" s="689"/>
      <c r="S55" s="223"/>
    </row>
    <row r="56" spans="1:19" s="597" customFormat="1" ht="16.5" thickBot="1" x14ac:dyDescent="0.25">
      <c r="A56" s="688"/>
      <c r="B56" s="358"/>
      <c r="C56" s="1055" t="s">
        <v>1894</v>
      </c>
      <c r="D56" s="1056"/>
      <c r="E56" s="1056"/>
      <c r="F56" s="358"/>
      <c r="G56" s="1060">
        <f>VLOOKUP('Part 1'!L13,DataSheet3!$B$8:$AR$325,33,FALSE)</f>
        <v>221425231</v>
      </c>
      <c r="H56" s="1061"/>
      <c r="I56" s="358"/>
      <c r="J56" s="358"/>
      <c r="K56" s="358"/>
      <c r="L56" s="358"/>
      <c r="M56" s="358"/>
      <c r="N56" s="690"/>
      <c r="O56" s="1053">
        <f>VLOOKUP('Part 1'!L13,DataSheet3!$B$8:$AR$325,34,FALSE)</f>
        <v>221425231</v>
      </c>
      <c r="P56" s="1054"/>
      <c r="Q56" s="690"/>
      <c r="R56" s="689"/>
      <c r="S56" s="223"/>
    </row>
    <row r="57" spans="1:19" s="597" customFormat="1" x14ac:dyDescent="0.2">
      <c r="A57" s="688"/>
      <c r="B57" s="358"/>
      <c r="C57" s="1057"/>
      <c r="D57" s="1056"/>
      <c r="E57" s="1056"/>
      <c r="F57" s="358"/>
      <c r="G57" s="358"/>
      <c r="H57" s="358"/>
      <c r="I57" s="358"/>
      <c r="J57" s="358"/>
      <c r="K57" s="358"/>
      <c r="L57" s="358"/>
      <c r="M57" s="358"/>
      <c r="N57" s="690"/>
      <c r="O57" s="690"/>
      <c r="P57" s="690"/>
      <c r="Q57" s="690"/>
      <c r="R57" s="689"/>
      <c r="S57" s="223"/>
    </row>
    <row r="58" spans="1:19" s="597" customFormat="1" ht="15.75" thickBot="1" x14ac:dyDescent="0.25">
      <c r="A58" s="688"/>
      <c r="B58" s="358"/>
      <c r="C58" s="358"/>
      <c r="D58" s="358"/>
      <c r="E58" s="358"/>
      <c r="F58" s="358"/>
      <c r="G58" s="358"/>
      <c r="H58" s="358"/>
      <c r="I58" s="358"/>
      <c r="J58" s="358"/>
      <c r="K58" s="358"/>
      <c r="L58" s="358"/>
      <c r="M58" s="358"/>
      <c r="N58" s="690"/>
      <c r="O58" s="690"/>
      <c r="P58" s="690"/>
      <c r="Q58" s="690"/>
      <c r="R58" s="689"/>
      <c r="S58" s="223"/>
    </row>
    <row r="59" spans="1:19" s="597" customFormat="1" ht="16.5" thickBot="1" x14ac:dyDescent="0.25">
      <c r="A59" s="688"/>
      <c r="B59" s="358"/>
      <c r="C59" s="418" t="s">
        <v>1895</v>
      </c>
      <c r="D59" s="358"/>
      <c r="E59" s="358"/>
      <c r="F59" s="358"/>
      <c r="G59" s="1058">
        <f>VLOOKUP('Part 1'!L13,DataSheet3!$B$8:$AR$325,35,FALSE)</f>
        <v>225896984.40292656</v>
      </c>
      <c r="H59" s="1059"/>
      <c r="I59" s="358"/>
      <c r="J59" s="358"/>
      <c r="K59" s="358"/>
      <c r="L59" s="358"/>
      <c r="M59" s="358"/>
      <c r="N59" s="690"/>
      <c r="O59" s="1053">
        <f>VLOOKUP('Part 1'!L13,DataSheet3!$B$8:$AR$325,36,FALSE)</f>
        <v>225896984.40292656</v>
      </c>
      <c r="P59" s="1054"/>
      <c r="Q59" s="690"/>
      <c r="R59" s="689"/>
      <c r="S59" s="223"/>
    </row>
    <row r="60" spans="1:19" s="597" customFormat="1" ht="15.75" thickBot="1" x14ac:dyDescent="0.25">
      <c r="A60" s="688"/>
      <c r="B60" s="358"/>
      <c r="C60" s="358"/>
      <c r="D60" s="358"/>
      <c r="E60" s="358"/>
      <c r="F60" s="358"/>
      <c r="G60" s="358"/>
      <c r="H60" s="358"/>
      <c r="I60" s="358"/>
      <c r="J60" s="358"/>
      <c r="K60" s="358"/>
      <c r="L60" s="358"/>
      <c r="M60" s="358"/>
      <c r="N60" s="690"/>
      <c r="O60" s="690"/>
      <c r="P60" s="690"/>
      <c r="Q60" s="690"/>
      <c r="R60" s="689"/>
      <c r="S60" s="223"/>
    </row>
    <row r="61" spans="1:19" s="597" customFormat="1" ht="16.5" thickBot="1" x14ac:dyDescent="0.25">
      <c r="A61" s="688"/>
      <c r="B61" s="358"/>
      <c r="C61" s="1055" t="s">
        <v>1896</v>
      </c>
      <c r="D61" s="1057"/>
      <c r="E61" s="1057"/>
      <c r="F61" s="358"/>
      <c r="G61" s="1060">
        <f>VLOOKUP('Part 1'!L13,DataSheet3!$B$8:$AR$325,37,FALSE)</f>
        <v>3210467</v>
      </c>
      <c r="H61" s="1061"/>
      <c r="I61" s="358"/>
      <c r="J61" s="358"/>
      <c r="K61" s="358"/>
      <c r="L61" s="358"/>
      <c r="M61" s="358"/>
      <c r="N61" s="690"/>
      <c r="O61" s="1062">
        <f>VLOOKUP('Part 1'!L13,DataSheet3!$B$8:$AR$325,38,FALSE)</f>
        <v>3210467</v>
      </c>
      <c r="P61" s="1054"/>
      <c r="Q61" s="690"/>
      <c r="R61" s="689"/>
      <c r="S61" s="223"/>
    </row>
    <row r="62" spans="1:19" s="597" customFormat="1" x14ac:dyDescent="0.2">
      <c r="A62" s="688"/>
      <c r="B62" s="358"/>
      <c r="C62" s="1057"/>
      <c r="D62" s="1057"/>
      <c r="E62" s="1057"/>
      <c r="F62" s="358"/>
      <c r="G62" s="358"/>
      <c r="H62" s="358"/>
      <c r="I62" s="358"/>
      <c r="J62" s="358"/>
      <c r="K62" s="358"/>
      <c r="L62" s="358"/>
      <c r="M62" s="358"/>
      <c r="N62" s="690"/>
      <c r="O62" s="691"/>
      <c r="P62" s="690"/>
      <c r="Q62" s="690"/>
      <c r="R62" s="689"/>
      <c r="S62" s="223"/>
    </row>
    <row r="63" spans="1:19" ht="14.25" customHeight="1" x14ac:dyDescent="0.2">
      <c r="A63" s="45"/>
      <c r="B63" s="358"/>
      <c r="C63" s="358"/>
      <c r="D63" s="358"/>
      <c r="E63" s="358"/>
      <c r="F63" s="358"/>
      <c r="G63" s="358"/>
      <c r="H63" s="358"/>
      <c r="I63" s="358"/>
      <c r="J63" s="358"/>
      <c r="K63" s="358"/>
      <c r="L63" s="358"/>
      <c r="M63" s="358"/>
      <c r="N63" s="169"/>
      <c r="O63" s="169"/>
      <c r="P63" s="169"/>
      <c r="Q63" s="169"/>
      <c r="R63" s="689"/>
    </row>
    <row r="64" spans="1:19" s="597" customFormat="1" ht="15.75" thickBot="1" x14ac:dyDescent="0.25">
      <c r="A64" s="45"/>
      <c r="B64" s="358"/>
      <c r="C64" s="358" t="s">
        <v>874</v>
      </c>
      <c r="D64" s="358"/>
      <c r="E64" s="358"/>
      <c r="F64" s="358"/>
      <c r="G64" s="358"/>
      <c r="H64" s="358"/>
      <c r="I64" s="358"/>
      <c r="J64" s="358"/>
      <c r="K64" s="358"/>
      <c r="L64" s="358"/>
      <c r="M64" s="358"/>
      <c r="N64" s="169"/>
      <c r="O64" s="169"/>
      <c r="P64" s="169"/>
      <c r="Q64" s="169"/>
      <c r="R64" s="689"/>
      <c r="S64" s="596"/>
    </row>
    <row r="65" spans="1:19" s="597" customFormat="1" ht="16.5" thickBot="1" x14ac:dyDescent="0.25">
      <c r="A65" s="45"/>
      <c r="B65" s="358"/>
      <c r="C65" s="358" t="str">
        <f>IF('Part 1'!L13="E0104","15. In respect of Port of Bristol","15. In respect of Port of Bristol: Not applicable")</f>
        <v>15. In respect of Port of Bristol: Not applicable</v>
      </c>
      <c r="D65" s="358"/>
      <c r="E65" s="358"/>
      <c r="F65" s="358"/>
      <c r="G65" s="987">
        <f>VLOOKUP('Part 1'!L13,DataSheet3!$B$8:$AR$325,39,FALSE)</f>
        <v>1365840</v>
      </c>
      <c r="H65" s="988"/>
      <c r="I65" s="358"/>
      <c r="J65" s="358"/>
      <c r="K65" s="358"/>
      <c r="L65" s="358"/>
      <c r="M65" s="358"/>
      <c r="N65" s="169"/>
      <c r="O65" s="1026">
        <f>VLOOKUP('Part 1'!L13,DataSheet3!$B$8:$AR$325,40,FALSE)</f>
        <v>696578</v>
      </c>
      <c r="P65" s="1027"/>
      <c r="Q65" s="169"/>
      <c r="R65" s="689"/>
    </row>
    <row r="66" spans="1:19" ht="15.75" thickBot="1" x14ac:dyDescent="0.25">
      <c r="A66" s="45"/>
      <c r="B66" s="358"/>
      <c r="C66" s="358"/>
      <c r="D66" s="358"/>
      <c r="E66" s="358"/>
      <c r="F66" s="358"/>
      <c r="G66" s="358"/>
      <c r="H66" s="358"/>
      <c r="I66" s="358"/>
      <c r="J66" s="471"/>
      <c r="K66" s="358"/>
      <c r="L66" s="358"/>
      <c r="M66" s="358"/>
      <c r="N66" s="169"/>
      <c r="O66" s="169"/>
      <c r="P66" s="169"/>
      <c r="Q66" s="169"/>
      <c r="R66" s="689"/>
    </row>
    <row r="67" spans="1:19" x14ac:dyDescent="0.2">
      <c r="A67" s="45"/>
      <c r="B67" s="38"/>
      <c r="C67" s="31"/>
      <c r="D67" s="31"/>
      <c r="E67" s="31"/>
      <c r="F67" s="31"/>
      <c r="G67" s="70"/>
      <c r="H67" s="70"/>
      <c r="I67" s="70"/>
      <c r="J67" s="285"/>
      <c r="K67" s="70"/>
      <c r="L67" s="70"/>
      <c r="M67" s="70"/>
      <c r="N67" s="160"/>
      <c r="O67" s="1037"/>
      <c r="P67" s="1038"/>
      <c r="Q67" s="176"/>
      <c r="R67" s="28"/>
    </row>
    <row r="68" spans="1:19" ht="16.5" thickBot="1" x14ac:dyDescent="0.3">
      <c r="A68" s="45"/>
      <c r="B68" s="39"/>
      <c r="C68" s="20" t="s">
        <v>871</v>
      </c>
      <c r="D68" s="34"/>
      <c r="E68" s="34"/>
      <c r="F68" s="34"/>
      <c r="G68" s="1042"/>
      <c r="H68" s="1042"/>
      <c r="I68" s="388"/>
      <c r="J68" s="286"/>
      <c r="K68" s="1042"/>
      <c r="L68" s="1042"/>
      <c r="M68" s="388"/>
      <c r="N68" s="284"/>
      <c r="O68" s="1039"/>
      <c r="P68" s="1039"/>
      <c r="Q68" s="174"/>
      <c r="R68" s="28"/>
    </row>
    <row r="69" spans="1:19" ht="16.5" thickBot="1" x14ac:dyDescent="0.25">
      <c r="A69" s="45"/>
      <c r="B69" s="39"/>
      <c r="C69" s="8" t="s">
        <v>1179</v>
      </c>
      <c r="D69" s="34"/>
      <c r="E69" s="34"/>
      <c r="F69" s="34"/>
      <c r="G69" s="939">
        <f>VLOOKUP('Part 1'!L13,DataSheet3!$B$8:$AR$325,41,FALSE)</f>
        <v>4909788</v>
      </c>
      <c r="H69" s="940"/>
      <c r="I69" s="219"/>
      <c r="J69" s="287"/>
      <c r="K69" s="939">
        <f>VLOOKUP('Part 1'!L13,DataSheet3!$B$8:$AR$325,42,FALSE)</f>
        <v>9936827</v>
      </c>
      <c r="L69" s="1052"/>
      <c r="M69" s="71"/>
      <c r="N69" s="157"/>
      <c r="O69" s="1040">
        <f>VLOOKUP('Part 1'!L13,DataSheet3!$B$8:$AR$325,43,FALSE)</f>
        <v>14846615</v>
      </c>
      <c r="P69" s="1041"/>
      <c r="Q69" s="174"/>
      <c r="R69" s="55"/>
    </row>
    <row r="70" spans="1:19" ht="15.75" thickBot="1" x14ac:dyDescent="0.25">
      <c r="A70" s="45"/>
      <c r="B70" s="40"/>
      <c r="C70" s="36"/>
      <c r="D70" s="36"/>
      <c r="E70" s="36"/>
      <c r="F70" s="36"/>
      <c r="G70" s="36"/>
      <c r="H70" s="36"/>
      <c r="I70" s="36"/>
      <c r="J70" s="40"/>
      <c r="K70" s="36"/>
      <c r="L70" s="36"/>
      <c r="M70" s="36"/>
      <c r="N70" s="185"/>
      <c r="O70" s="185"/>
      <c r="P70" s="185"/>
      <c r="Q70" s="175"/>
      <c r="R70" s="28"/>
    </row>
    <row r="71" spans="1:19" ht="15.75" thickBot="1" x14ac:dyDescent="0.25">
      <c r="A71" s="138"/>
      <c r="B71" s="89"/>
      <c r="C71" s="89"/>
      <c r="D71" s="89"/>
      <c r="E71" s="89"/>
      <c r="F71" s="89"/>
      <c r="G71" s="89"/>
      <c r="H71" s="89"/>
      <c r="I71" s="89"/>
      <c r="J71" s="89"/>
      <c r="K71" s="89"/>
      <c r="L71" s="89"/>
      <c r="M71" s="89"/>
      <c r="N71" s="89"/>
      <c r="O71" s="89"/>
      <c r="P71" s="89"/>
      <c r="Q71" s="89"/>
      <c r="R71" s="139"/>
    </row>
    <row r="73" spans="1:19" x14ac:dyDescent="0.2">
      <c r="C73" s="224"/>
      <c r="D73" s="224"/>
      <c r="E73" s="224"/>
      <c r="F73" s="224"/>
      <c r="G73" s="224"/>
      <c r="H73" s="224"/>
      <c r="I73" s="224"/>
      <c r="J73" s="224"/>
      <c r="K73" s="224"/>
      <c r="L73" s="224"/>
      <c r="M73" s="224"/>
      <c r="N73" s="224"/>
      <c r="O73" s="224"/>
      <c r="P73" s="224"/>
      <c r="Q73" s="224"/>
      <c r="R73" s="224"/>
      <c r="S73" s="224"/>
    </row>
    <row r="74" spans="1:19" s="224" customFormat="1" x14ac:dyDescent="0.2"/>
    <row r="75" spans="1:19" s="224" customFormat="1" x14ac:dyDescent="0.2">
      <c r="K75" s="360"/>
    </row>
    <row r="76" spans="1:19" s="224" customFormat="1" x14ac:dyDescent="0.2">
      <c r="K76" s="1051"/>
      <c r="L76" s="1051"/>
    </row>
    <row r="77" spans="1:19" s="224" customFormat="1" x14ac:dyDescent="0.2"/>
    <row r="78" spans="1:19" s="224" customFormat="1" x14ac:dyDescent="0.2"/>
    <row r="79" spans="1:19" s="224" customFormat="1" x14ac:dyDescent="0.2"/>
    <row r="80" spans="1:19" s="224" customFormat="1" x14ac:dyDescent="0.2"/>
  </sheetData>
  <mergeCells count="72">
    <mergeCell ref="G69:H69"/>
    <mergeCell ref="G65:H65"/>
    <mergeCell ref="O65:P65"/>
    <mergeCell ref="O67:P68"/>
    <mergeCell ref="G61:H61"/>
    <mergeCell ref="O61:P61"/>
    <mergeCell ref="C56:E57"/>
    <mergeCell ref="C61:E62"/>
    <mergeCell ref="G68:H68"/>
    <mergeCell ref="K68:L68"/>
    <mergeCell ref="G59:H59"/>
    <mergeCell ref="G56:H56"/>
    <mergeCell ref="O53:P53"/>
    <mergeCell ref="K42:L42"/>
    <mergeCell ref="K37:L37"/>
    <mergeCell ref="K76:L76"/>
    <mergeCell ref="K69:L69"/>
    <mergeCell ref="O59:P59"/>
    <mergeCell ref="O56:P56"/>
    <mergeCell ref="O69:P69"/>
    <mergeCell ref="A2:R2"/>
    <mergeCell ref="A3:R3"/>
    <mergeCell ref="C6:G6"/>
    <mergeCell ref="K9:M9"/>
    <mergeCell ref="G11:H12"/>
    <mergeCell ref="K11:L12"/>
    <mergeCell ref="O11:P12"/>
    <mergeCell ref="C10:E10"/>
    <mergeCell ref="O10:P10"/>
    <mergeCell ref="G10:H10"/>
    <mergeCell ref="K10:L10"/>
    <mergeCell ref="G53:H53"/>
    <mergeCell ref="K53:L53"/>
    <mergeCell ref="K43:L43"/>
    <mergeCell ref="O32:P32"/>
    <mergeCell ref="G28:H28"/>
    <mergeCell ref="K28:L28"/>
    <mergeCell ref="O37:P37"/>
    <mergeCell ref="K39:L39"/>
    <mergeCell ref="O41:P42"/>
    <mergeCell ref="G48:H48"/>
    <mergeCell ref="K48:L48"/>
    <mergeCell ref="O48:P48"/>
    <mergeCell ref="O43:P43"/>
    <mergeCell ref="G42:H42"/>
    <mergeCell ref="G35:H35"/>
    <mergeCell ref="K35:L35"/>
    <mergeCell ref="O35:P35"/>
    <mergeCell ref="O28:P28"/>
    <mergeCell ref="C20:E21"/>
    <mergeCell ref="G20:H20"/>
    <mergeCell ref="K20:L20"/>
    <mergeCell ref="O20:P20"/>
    <mergeCell ref="K33:L33"/>
    <mergeCell ref="O33:P33"/>
    <mergeCell ref="C23:E24"/>
    <mergeCell ref="G23:H23"/>
    <mergeCell ref="K23:L23"/>
    <mergeCell ref="O23:P23"/>
    <mergeCell ref="E31:E32"/>
    <mergeCell ref="G13:H13"/>
    <mergeCell ref="K13:L13"/>
    <mergeCell ref="O13:P13"/>
    <mergeCell ref="E33:E34"/>
    <mergeCell ref="G33:H33"/>
    <mergeCell ref="G14:H14"/>
    <mergeCell ref="K14:L14"/>
    <mergeCell ref="O14:P14"/>
    <mergeCell ref="C15:E17"/>
    <mergeCell ref="G15:H15"/>
    <mergeCell ref="K15:L15"/>
    <mergeCell ref="O15:P15"/>
  </mergeCells>
  <dataValidations count="1">
    <dataValidation type="custom" allowBlank="1" showInputMessage="1" showErrorMessage="1" error="Do not try to enter data here_x000a_" sqref="K75">
      <formula1>"if(z217=""n/a"")"</formula1>
    </dataValidation>
  </dataValidations>
  <printOptions horizontalCentered="1" verticalCentered="1"/>
  <pageMargins left="0.39370078740157483" right="0.39370078740157483" top="0.59055118110236227" bottom="0.59055118110236227" header="0.51181102362204722" footer="0.51181102362204722"/>
  <pageSetup paperSize="9" scale="6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58"/>
  <sheetViews>
    <sheetView showGridLines="0" zoomScale="75" zoomScaleNormal="75" workbookViewId="0">
      <selection sqref="A1:AC1"/>
    </sheetView>
  </sheetViews>
  <sheetFormatPr defaultColWidth="9.140625" defaultRowHeight="15" x14ac:dyDescent="0.2"/>
  <cols>
    <col min="1" max="1" width="2.28515625" style="423" customWidth="1"/>
    <col min="2" max="2" width="16.140625" style="423" hidden="1" customWidth="1"/>
    <col min="3" max="3" width="107.140625" style="423" customWidth="1"/>
    <col min="4" max="4" width="3.7109375" style="423" customWidth="1"/>
    <col min="5" max="5" width="32.7109375" style="423" customWidth="1"/>
    <col min="6" max="6" width="3.5703125" style="423" customWidth="1"/>
    <col min="7" max="7" width="20.7109375" style="423" customWidth="1"/>
    <col min="8" max="8" width="3.7109375" style="423" customWidth="1"/>
    <col min="9" max="9" width="20.7109375" style="423" customWidth="1"/>
    <col min="10" max="10" width="3.7109375" style="423" customWidth="1"/>
    <col min="11" max="11" width="25.5703125" style="423" customWidth="1"/>
    <col min="12" max="12" width="3.7109375" style="428" customWidth="1"/>
    <col min="13" max="13" width="26.42578125" style="423" customWidth="1"/>
    <col min="14" max="14" width="3.5703125" style="423" customWidth="1"/>
    <col min="15" max="15" width="26.42578125" style="423" customWidth="1"/>
    <col min="16" max="16" width="3.5703125" style="423" customWidth="1"/>
    <col min="17" max="17" width="29.7109375" style="423" customWidth="1"/>
    <col min="18" max="18" width="3.7109375" style="423" customWidth="1"/>
    <col min="19" max="19" width="23.5703125" style="423" customWidth="1"/>
    <col min="20" max="20" width="3.7109375" style="423" customWidth="1"/>
    <col min="21" max="21" width="20.7109375" style="423" customWidth="1"/>
    <col min="22" max="22" width="3.5703125" style="423" customWidth="1"/>
    <col min="23" max="23" width="25.42578125" style="423" customWidth="1"/>
    <col min="24" max="24" width="3.140625" style="423" customWidth="1"/>
    <col min="25" max="25" width="24.5703125" style="542" hidden="1" customWidth="1"/>
    <col min="26" max="26" width="3.7109375" style="542" hidden="1" customWidth="1"/>
    <col min="27" max="27" width="22.7109375" style="423" customWidth="1"/>
    <col min="28" max="28" width="2.28515625" style="423" customWidth="1"/>
    <col min="29" max="29" width="3" style="423" customWidth="1"/>
    <col min="30" max="30" width="9.5703125" style="427" customWidth="1"/>
    <col min="31" max="31" width="12.28515625" style="426" customWidth="1"/>
    <col min="32" max="32" width="11" style="425" hidden="1" customWidth="1"/>
    <col min="33" max="33" width="32.140625" style="424" hidden="1" customWidth="1"/>
    <col min="34" max="16384" width="9.140625" style="423"/>
  </cols>
  <sheetData>
    <row r="1" spans="1:34" s="428" customFormat="1" ht="23.25" x14ac:dyDescent="0.35">
      <c r="A1" s="1070" t="s">
        <v>881</v>
      </c>
      <c r="B1" s="1071"/>
      <c r="C1" s="1071"/>
      <c r="D1" s="1071"/>
      <c r="E1" s="1071"/>
      <c r="F1" s="1071"/>
      <c r="G1" s="1071"/>
      <c r="H1" s="1071"/>
      <c r="I1" s="1071"/>
      <c r="J1" s="1071"/>
      <c r="K1" s="1071"/>
      <c r="L1" s="1071"/>
      <c r="M1" s="1071"/>
      <c r="N1" s="1071"/>
      <c r="O1" s="1071"/>
      <c r="P1" s="1071"/>
      <c r="Q1" s="1071"/>
      <c r="R1" s="1071"/>
      <c r="S1" s="1071"/>
      <c r="T1" s="1071"/>
      <c r="U1" s="1071"/>
      <c r="V1" s="1071"/>
      <c r="W1" s="1071"/>
      <c r="X1" s="1071"/>
      <c r="Y1" s="1071"/>
      <c r="Z1" s="1071"/>
      <c r="AA1" s="1071"/>
      <c r="AB1" s="1071"/>
      <c r="AC1" s="1072"/>
      <c r="AD1" s="429"/>
      <c r="AE1" s="460"/>
      <c r="AF1" s="459"/>
      <c r="AG1" s="458"/>
    </row>
    <row r="2" spans="1:34" ht="21" customHeight="1" x14ac:dyDescent="0.2">
      <c r="A2" s="422"/>
      <c r="B2" s="457"/>
      <c r="C2" s="446"/>
      <c r="D2" s="446"/>
      <c r="E2" s="446"/>
      <c r="F2" s="446"/>
      <c r="G2" s="456"/>
      <c r="H2" s="453"/>
      <c r="I2" s="452"/>
      <c r="J2" s="444"/>
      <c r="K2" s="451"/>
      <c r="L2" s="447"/>
      <c r="M2" s="446"/>
      <c r="N2" s="446"/>
      <c r="O2" s="446"/>
      <c r="P2" s="446"/>
      <c r="Q2" s="456"/>
      <c r="R2" s="453"/>
      <c r="S2" s="452"/>
      <c r="T2" s="444"/>
      <c r="U2" s="451"/>
      <c r="V2" s="451"/>
      <c r="W2" s="446"/>
      <c r="X2" s="446"/>
      <c r="Y2" s="525"/>
      <c r="Z2" s="526"/>
      <c r="AA2" s="452"/>
      <c r="AB2" s="444"/>
      <c r="AC2" s="443"/>
      <c r="AD2" s="455"/>
    </row>
    <row r="3" spans="1:34" ht="23.25" x14ac:dyDescent="0.2">
      <c r="A3" s="422"/>
      <c r="B3" s="457"/>
      <c r="C3" s="477" t="str">
        <f>IF(ISERROR(VLOOKUP($E3,'LA List'!$B$3:$C$241,2,FALSE)),'Part 1'!L$12,VLOOKUP($E3,'LA List'!$B$3:$C$241,2,FALSE))</f>
        <v>England</v>
      </c>
      <c r="D3" s="454"/>
      <c r="E3" s="452" t="str">
        <f>'Part 1'!L13</f>
        <v>EZZZZ</v>
      </c>
      <c r="F3" s="453"/>
      <c r="G3" s="452"/>
      <c r="H3" s="444"/>
      <c r="I3" s="451"/>
      <c r="J3" s="447"/>
      <c r="K3" s="454"/>
      <c r="L3" s="454"/>
      <c r="M3" s="452"/>
      <c r="N3" s="453"/>
      <c r="O3" s="453"/>
      <c r="P3" s="453"/>
      <c r="Q3" s="452"/>
      <c r="R3" s="444"/>
      <c r="S3" s="451"/>
      <c r="T3" s="451"/>
      <c r="U3" s="454"/>
      <c r="V3" s="454"/>
      <c r="W3" s="452"/>
      <c r="X3" s="453"/>
      <c r="Y3" s="527"/>
      <c r="Z3" s="528"/>
      <c r="AA3" s="451"/>
      <c r="AB3" s="447"/>
      <c r="AC3" s="443"/>
      <c r="AD3" s="425"/>
      <c r="AE3" s="489"/>
      <c r="AF3" s="423"/>
      <c r="AG3" s="423"/>
    </row>
    <row r="4" spans="1:34" ht="23.25" x14ac:dyDescent="0.2">
      <c r="A4" s="422"/>
      <c r="B4" s="454"/>
      <c r="C4" s="480"/>
      <c r="D4" s="454"/>
      <c r="E4" s="1081" t="s">
        <v>1094</v>
      </c>
      <c r="F4" s="1082"/>
      <c r="G4" s="1082"/>
      <c r="H4" s="1082"/>
      <c r="I4" s="1082"/>
      <c r="J4" s="1082"/>
      <c r="K4" s="1083"/>
      <c r="L4" s="447"/>
      <c r="M4" s="1081" t="s">
        <v>870</v>
      </c>
      <c r="N4" s="1082"/>
      <c r="O4" s="1082"/>
      <c r="P4" s="1082"/>
      <c r="Q4" s="1082"/>
      <c r="R4" s="1082"/>
      <c r="S4" s="1082"/>
      <c r="T4" s="1082"/>
      <c r="U4" s="1083"/>
      <c r="V4" s="451"/>
      <c r="W4" s="1081" t="s">
        <v>1092</v>
      </c>
      <c r="X4" s="1084"/>
      <c r="Y4" s="1084"/>
      <c r="Z4" s="1084"/>
      <c r="AA4" s="1084"/>
      <c r="AB4" s="510"/>
      <c r="AC4" s="443"/>
      <c r="AD4" s="429"/>
      <c r="AG4" s="489"/>
    </row>
    <row r="5" spans="1:34" ht="17.25" thickBot="1" x14ac:dyDescent="0.25">
      <c r="A5" s="422"/>
      <c r="B5" s="430"/>
      <c r="C5" s="430"/>
      <c r="D5" s="450"/>
      <c r="E5" s="502"/>
      <c r="F5" s="448"/>
      <c r="G5" s="448"/>
      <c r="H5" s="448"/>
      <c r="I5" s="448"/>
      <c r="J5" s="448"/>
      <c r="K5" s="503"/>
      <c r="L5" s="447"/>
      <c r="M5" s="502"/>
      <c r="N5" s="448"/>
      <c r="O5" s="448"/>
      <c r="P5" s="448"/>
      <c r="Q5" s="448"/>
      <c r="R5" s="448"/>
      <c r="S5" s="448"/>
      <c r="T5" s="448"/>
      <c r="U5" s="503"/>
      <c r="V5" s="449"/>
      <c r="W5" s="502"/>
      <c r="X5" s="448"/>
      <c r="Y5" s="529"/>
      <c r="Z5" s="529"/>
      <c r="AA5" s="448"/>
      <c r="AB5" s="511"/>
      <c r="AC5" s="443"/>
      <c r="AD5" s="429"/>
      <c r="AG5" s="489"/>
    </row>
    <row r="6" spans="1:34" ht="21" thickBot="1" x14ac:dyDescent="0.25">
      <c r="A6" s="422"/>
      <c r="B6" s="430"/>
      <c r="C6" s="476" t="s">
        <v>893</v>
      </c>
      <c r="D6" s="450"/>
      <c r="E6" s="504">
        <f>SUM(E13:E53)</f>
        <v>0</v>
      </c>
      <c r="F6" s="436"/>
      <c r="G6" s="490">
        <f>SUM(G13:G53)</f>
        <v>0</v>
      </c>
      <c r="H6" s="435"/>
      <c r="I6" s="490">
        <f>SUM(I13:I53)</f>
        <v>0</v>
      </c>
      <c r="J6" s="435"/>
      <c r="K6" s="490">
        <f>SUM(K13:K53)</f>
        <v>0</v>
      </c>
      <c r="L6" s="437"/>
      <c r="M6" s="504">
        <f>SUM(M13:M53)</f>
        <v>0</v>
      </c>
      <c r="N6" s="436"/>
      <c r="O6" s="490">
        <f>SUM(O13:O53)</f>
        <v>0</v>
      </c>
      <c r="P6" s="436"/>
      <c r="Q6" s="490">
        <f>SUM(Q13:Q53)</f>
        <v>0</v>
      </c>
      <c r="R6" s="435"/>
      <c r="S6" s="490">
        <f>SUM(S13:S53)</f>
        <v>0</v>
      </c>
      <c r="T6" s="435"/>
      <c r="U6" s="490">
        <f>SUM(U13:U53)</f>
        <v>0</v>
      </c>
      <c r="V6" s="435"/>
      <c r="W6" s="504">
        <f>SUM(W13:W53)</f>
        <v>0</v>
      </c>
      <c r="X6" s="436"/>
      <c r="Y6" s="530">
        <f>SUM(Y13:Y53)</f>
        <v>0</v>
      </c>
      <c r="Z6" s="531"/>
      <c r="AA6" s="490">
        <f>SUM(AA13:AA53)</f>
        <v>0</v>
      </c>
      <c r="AB6" s="512"/>
      <c r="AC6" s="443"/>
      <c r="AD6" s="429"/>
      <c r="AG6" s="489"/>
    </row>
    <row r="7" spans="1:34" s="713" customFormat="1" ht="41.25" customHeight="1" x14ac:dyDescent="0.2">
      <c r="A7" s="701"/>
      <c r="B7" s="702"/>
      <c r="C7" s="702"/>
      <c r="D7" s="702"/>
      <c r="E7" s="703"/>
      <c r="F7" s="702"/>
      <c r="G7" s="704"/>
      <c r="H7" s="705"/>
      <c r="I7" s="704"/>
      <c r="J7" s="705"/>
      <c r="K7" s="706"/>
      <c r="L7" s="707"/>
      <c r="M7" s="708"/>
      <c r="N7" s="702"/>
      <c r="O7" s="704"/>
      <c r="P7" s="702"/>
      <c r="Q7" s="705"/>
      <c r="R7" s="705"/>
      <c r="S7" s="704"/>
      <c r="T7" s="705"/>
      <c r="U7" s="706"/>
      <c r="V7" s="709"/>
      <c r="W7" s="1085"/>
      <c r="X7" s="702"/>
      <c r="Y7" s="1075"/>
      <c r="Z7" s="1076"/>
      <c r="AA7" s="1076"/>
      <c r="AB7" s="1077"/>
      <c r="AC7" s="710"/>
      <c r="AD7" s="711"/>
      <c r="AE7" s="712"/>
      <c r="AG7" s="714"/>
    </row>
    <row r="8" spans="1:34" s="550" customFormat="1" ht="18.75" customHeight="1" x14ac:dyDescent="0.2">
      <c r="A8" s="546"/>
      <c r="B8" s="430"/>
      <c r="C8" s="430"/>
      <c r="D8" s="446"/>
      <c r="E8" s="520"/>
      <c r="F8" s="446"/>
      <c r="G8" s="543"/>
      <c r="H8" s="543"/>
      <c r="I8" s="543"/>
      <c r="J8" s="543"/>
      <c r="K8" s="544"/>
      <c r="L8" s="543"/>
      <c r="M8" s="505"/>
      <c r="N8" s="446"/>
      <c r="O8" s="446"/>
      <c r="P8" s="446"/>
      <c r="Q8" s="543"/>
      <c r="R8" s="543"/>
      <c r="S8" s="543"/>
      <c r="T8" s="543"/>
      <c r="U8" s="544"/>
      <c r="V8" s="543"/>
      <c r="W8" s="1086"/>
      <c r="X8" s="543"/>
      <c r="Y8" s="545"/>
      <c r="Z8" s="545"/>
      <c r="AA8" s="543"/>
      <c r="AB8" s="544"/>
      <c r="AC8" s="547"/>
      <c r="AD8" s="429"/>
      <c r="AE8" s="548"/>
      <c r="AF8" s="549"/>
      <c r="AG8" s="489"/>
    </row>
    <row r="9" spans="1:34" ht="43.5" customHeight="1" x14ac:dyDescent="0.3">
      <c r="A9" s="422"/>
      <c r="B9" s="430"/>
      <c r="C9" s="496"/>
      <c r="D9" s="446"/>
      <c r="E9" s="507" t="s">
        <v>883</v>
      </c>
      <c r="F9" s="445"/>
      <c r="G9" s="1078" t="s">
        <v>885</v>
      </c>
      <c r="H9" s="1079"/>
      <c r="I9" s="1080"/>
      <c r="J9" s="482"/>
      <c r="K9" s="498"/>
      <c r="L9" s="482"/>
      <c r="M9" s="1063" t="s">
        <v>870</v>
      </c>
      <c r="N9" s="1064"/>
      <c r="O9" s="1064"/>
      <c r="P9" s="1064"/>
      <c r="Q9" s="1064"/>
      <c r="R9" s="1064"/>
      <c r="S9" s="1064"/>
      <c r="T9" s="1065"/>
      <c r="U9" s="1066"/>
      <c r="V9" s="482"/>
      <c r="W9" s="1067"/>
      <c r="X9" s="1064"/>
      <c r="Y9" s="1064"/>
      <c r="Z9" s="532"/>
      <c r="AA9" s="486"/>
      <c r="AB9" s="506"/>
      <c r="AC9" s="443"/>
      <c r="AD9" s="429"/>
      <c r="AG9" s="489"/>
    </row>
    <row r="10" spans="1:34" ht="21" customHeight="1" x14ac:dyDescent="0.3">
      <c r="A10" s="422"/>
      <c r="B10" s="430"/>
      <c r="C10" s="430"/>
      <c r="D10" s="446"/>
      <c r="E10" s="507">
        <v>1</v>
      </c>
      <c r="F10" s="481"/>
      <c r="G10" s="497">
        <v>2</v>
      </c>
      <c r="H10" s="487"/>
      <c r="I10" s="498">
        <v>3</v>
      </c>
      <c r="J10" s="487"/>
      <c r="K10" s="498">
        <v>4</v>
      </c>
      <c r="L10" s="487"/>
      <c r="M10" s="507">
        <v>5</v>
      </c>
      <c r="N10" s="481"/>
      <c r="O10" s="481">
        <v>6</v>
      </c>
      <c r="P10" s="481"/>
      <c r="Q10" s="487">
        <v>7</v>
      </c>
      <c r="R10" s="487"/>
      <c r="S10" s="487">
        <v>8</v>
      </c>
      <c r="T10" s="487"/>
      <c r="U10" s="498">
        <v>9</v>
      </c>
      <c r="V10" s="487"/>
      <c r="W10" s="497" t="s">
        <v>1079</v>
      </c>
      <c r="X10" s="487"/>
      <c r="Y10" s="533">
        <v>10</v>
      </c>
      <c r="Z10" s="533"/>
      <c r="AA10" s="487" t="s">
        <v>1080</v>
      </c>
      <c r="AB10" s="506"/>
      <c r="AC10" s="443"/>
      <c r="AD10" s="429"/>
      <c r="AG10" s="489"/>
    </row>
    <row r="11" spans="1:34" ht="151.5" customHeight="1" x14ac:dyDescent="0.2">
      <c r="A11" s="422"/>
      <c r="B11" s="446"/>
      <c r="C11" s="438" t="s">
        <v>892</v>
      </c>
      <c r="D11" s="446"/>
      <c r="E11" s="499" t="s">
        <v>882</v>
      </c>
      <c r="F11" s="500"/>
      <c r="G11" s="499" t="s">
        <v>1130</v>
      </c>
      <c r="H11" s="500"/>
      <c r="I11" s="501" t="s">
        <v>1131</v>
      </c>
      <c r="J11" s="508"/>
      <c r="K11" s="501" t="s">
        <v>887</v>
      </c>
      <c r="L11" s="447"/>
      <c r="M11" s="499" t="s">
        <v>888</v>
      </c>
      <c r="N11" s="509"/>
      <c r="O11" s="509" t="s">
        <v>1143</v>
      </c>
      <c r="P11" s="509"/>
      <c r="Q11" s="509" t="s">
        <v>1078</v>
      </c>
      <c r="R11" s="509"/>
      <c r="S11" s="509" t="s">
        <v>875</v>
      </c>
      <c r="T11" s="508"/>
      <c r="U11" s="501" t="s">
        <v>889</v>
      </c>
      <c r="V11" s="449"/>
      <c r="W11" s="499" t="s">
        <v>1075</v>
      </c>
      <c r="X11" s="500"/>
      <c r="Y11" s="534" t="s">
        <v>1076</v>
      </c>
      <c r="Z11" s="535"/>
      <c r="AA11" s="513" t="s">
        <v>1077</v>
      </c>
      <c r="AB11" s="514"/>
      <c r="AC11" s="443"/>
      <c r="AD11" s="429"/>
      <c r="AE11" s="442"/>
      <c r="AF11" s="441"/>
      <c r="AG11" s="489"/>
      <c r="AH11" s="440"/>
    </row>
    <row r="12" spans="1:34" ht="45.75" customHeight="1" thickBot="1" x14ac:dyDescent="0.3">
      <c r="A12" s="422"/>
      <c r="B12" s="1073"/>
      <c r="C12" s="1074"/>
      <c r="D12" s="446"/>
      <c r="E12" s="515">
        <v>5</v>
      </c>
      <c r="F12" s="516"/>
      <c r="G12" s="819">
        <v>7</v>
      </c>
      <c r="H12" s="819"/>
      <c r="I12" s="819">
        <v>9</v>
      </c>
      <c r="J12" s="517"/>
      <c r="K12" s="848">
        <v>11</v>
      </c>
      <c r="L12" s="518"/>
      <c r="M12" s="515">
        <v>13</v>
      </c>
      <c r="N12" s="516"/>
      <c r="O12" s="630">
        <v>14</v>
      </c>
      <c r="P12" s="516"/>
      <c r="Q12" s="515">
        <v>15</v>
      </c>
      <c r="R12" s="519"/>
      <c r="S12" s="515">
        <v>17</v>
      </c>
      <c r="T12" s="517"/>
      <c r="U12" s="515">
        <v>19</v>
      </c>
      <c r="V12" s="515"/>
      <c r="W12" s="515">
        <v>21</v>
      </c>
      <c r="X12" s="516"/>
      <c r="Y12" s="536" t="s">
        <v>1074</v>
      </c>
      <c r="Z12" s="537"/>
      <c r="AA12" s="515">
        <v>23</v>
      </c>
      <c r="AB12" s="444"/>
      <c r="AC12" s="443"/>
      <c r="AD12" s="429"/>
      <c r="AE12" s="442"/>
      <c r="AF12" s="441" t="s">
        <v>1180</v>
      </c>
      <c r="AG12" s="489"/>
      <c r="AH12" s="440"/>
    </row>
    <row r="13" spans="1:34" s="431" customFormat="1" ht="21" customHeight="1" thickBot="1" x14ac:dyDescent="0.3">
      <c r="A13" s="488">
        <v>1</v>
      </c>
      <c r="B13" s="430" t="str">
        <f>CONCATENATE($E$3,"EZ",A13)</f>
        <v>EZZZZEZ1</v>
      </c>
      <c r="C13" s="659" t="str">
        <f>IFERROR(VLOOKUP($B13,DataSheetDA!$C$4:$Y$238,3,0),"")</f>
        <v/>
      </c>
      <c r="D13" s="438"/>
      <c r="E13" s="849" t="str">
        <f>IFERROR(VLOOKUP($B13,DataSheetDA!$C$4:$Y$238,E$12,0),"")</f>
        <v/>
      </c>
      <c r="F13" s="436"/>
      <c r="G13" s="850" t="str">
        <f>IFERROR(VLOOKUP($B13,DataSheetDA!$C$4:$Y$238,G$12,0),"")</f>
        <v/>
      </c>
      <c r="H13" s="435"/>
      <c r="I13" s="851" t="str">
        <f>IFERROR(VLOOKUP($B13,DataSheetDA!$C$4:$Y$238,I$12,0),"")</f>
        <v/>
      </c>
      <c r="J13" s="435"/>
      <c r="K13" s="851" t="str">
        <f>IFERROR(VLOOKUP($B13,DataSheetDA!$C$4:$Y$238,K$12,0),"")</f>
        <v/>
      </c>
      <c r="L13" s="437"/>
      <c r="M13" s="851" t="str">
        <f>IFERROR(VLOOKUP($B13,DataSheetDA!$C$4:$Y$238,M$12,0),"")</f>
        <v/>
      </c>
      <c r="N13" s="436"/>
      <c r="O13" s="434" t="str">
        <f>IFERROR(VLOOKUP($B13,DataSheetDA!$C$4:$Y$238,O$12,0),"")</f>
        <v/>
      </c>
      <c r="P13" s="436"/>
      <c r="Q13" s="854" t="str">
        <f>IFERROR(VLOOKUP($B13,DataSheetDA!$C$4:$Y$238,Q$12,0),"")</f>
        <v/>
      </c>
      <c r="R13" s="435"/>
      <c r="S13" s="853" t="str">
        <f>IFERROR(VLOOKUP($B13,DataSheetDA!$C$4:$Y$238,S$12,0),"")</f>
        <v/>
      </c>
      <c r="T13" s="435"/>
      <c r="U13" s="852" t="str">
        <f>IFERROR(VLOOKUP($B13,DataSheetDA!$C$4:$Y$238,U$12,0),"")</f>
        <v/>
      </c>
      <c r="V13" s="435"/>
      <c r="W13" s="851" t="str">
        <f>IFERROR(VLOOKUP($B13,DataSheetDA!$C$4:$Y$238,W$12,0),"")</f>
        <v/>
      </c>
      <c r="X13" s="436"/>
      <c r="Y13" s="538" t="str">
        <f>IF(C13="","",IF(VLOOKUP('Part 1'!$L$13,#REF!,10,FALSE)&lt;1,W13,0))</f>
        <v/>
      </c>
      <c r="Z13" s="531"/>
      <c r="AA13" s="852" t="str">
        <f>IFERROR(VLOOKUP($B13,DataSheetDA!$C$4:$Y$238,AA$12,0),"")</f>
        <v/>
      </c>
      <c r="AB13" s="435"/>
      <c r="AC13" s="433"/>
      <c r="AD13" s="432"/>
      <c r="AE13" s="491"/>
      <c r="AF13" s="657">
        <f>IF(IFERROR(VLOOKUP(B13,#REF!,3,0),"")=C13,0,1)</f>
        <v>0</v>
      </c>
      <c r="AG13" s="489"/>
      <c r="AH13" s="439"/>
    </row>
    <row r="14" spans="1:34" s="431" customFormat="1" ht="21" customHeight="1" thickBot="1" x14ac:dyDescent="0.3">
      <c r="A14" s="488">
        <v>2</v>
      </c>
      <c r="B14" s="430" t="str">
        <f t="shared" ref="B14:B53" si="0">CONCATENATE($E$3,"EZ",A14)</f>
        <v>EZZZZEZ2</v>
      </c>
      <c r="C14" s="659" t="str">
        <f>IFERROR(VLOOKUP($B14,DataSheetDA!$C$4:$Y$238,3,0),"")</f>
        <v/>
      </c>
      <c r="D14" s="438"/>
      <c r="E14" s="849" t="str">
        <f>IFERROR(VLOOKUP($B14,DataSheetDA!$C$4:$Y$238,E$12,0),"")</f>
        <v/>
      </c>
      <c r="F14" s="436"/>
      <c r="G14" s="850" t="str">
        <f>IFERROR(VLOOKUP($B14,DataSheetDA!$C$4:$Y$238,G$12,0),"")</f>
        <v/>
      </c>
      <c r="H14" s="435"/>
      <c r="I14" s="851" t="str">
        <f>IFERROR(VLOOKUP($B14,DataSheetDA!$C$4:$Y$238,I$12,0),"")</f>
        <v/>
      </c>
      <c r="J14" s="435"/>
      <c r="K14" s="851" t="str">
        <f>IFERROR(VLOOKUP($B14,DataSheetDA!$C$4:$Y$238,K$12,0),"")</f>
        <v/>
      </c>
      <c r="L14" s="437"/>
      <c r="M14" s="851" t="str">
        <f>IFERROR(VLOOKUP($B14,DataSheetDA!$C$4:$Y$238,M$12,0),"")</f>
        <v/>
      </c>
      <c r="N14" s="436"/>
      <c r="O14" s="434" t="str">
        <f>IFERROR(VLOOKUP($B14,DataSheetDA!$C$4:$Y$238,O$12,0),"")</f>
        <v/>
      </c>
      <c r="P14" s="436"/>
      <c r="Q14" s="854" t="str">
        <f>IFERROR(VLOOKUP($B14,DataSheetDA!$C$4:$Y$238,Q$12,0),"")</f>
        <v/>
      </c>
      <c r="R14" s="435"/>
      <c r="S14" s="853" t="str">
        <f>IFERROR(VLOOKUP($B14,DataSheetDA!$C$4:$Y$238,S$12,0),"")</f>
        <v/>
      </c>
      <c r="T14" s="435"/>
      <c r="U14" s="852" t="str">
        <f>IFERROR(VLOOKUP($B14,DataSheetDA!$C$4:$Y$238,U$12,0),"")</f>
        <v/>
      </c>
      <c r="V14" s="435"/>
      <c r="W14" s="851" t="str">
        <f>IFERROR(VLOOKUP($B14,DataSheetDA!$C$4:$Y$238,W$12,0),"")</f>
        <v/>
      </c>
      <c r="X14" s="436"/>
      <c r="Y14" s="538" t="str">
        <f>IF(C14="","",IF(VLOOKUP('Part 1'!$L$13,#REF!,10,FALSE)&lt;1,W14,0))</f>
        <v/>
      </c>
      <c r="Z14" s="531"/>
      <c r="AA14" s="852" t="str">
        <f>IFERROR(VLOOKUP($B14,DataSheetDA!$C$4:$Y$238,AA$12,0),"")</f>
        <v/>
      </c>
      <c r="AB14" s="435"/>
      <c r="AC14" s="433"/>
      <c r="AD14" s="432"/>
      <c r="AE14" s="491"/>
      <c r="AF14" s="657">
        <f>IF(IFERROR(VLOOKUP(B14,#REF!,3,0),"")=C14,0,1)</f>
        <v>0</v>
      </c>
      <c r="AG14" s="489"/>
      <c r="AH14" s="439"/>
    </row>
    <row r="15" spans="1:34" s="431" customFormat="1" ht="21" customHeight="1" thickBot="1" x14ac:dyDescent="0.3">
      <c r="A15" s="488">
        <v>3</v>
      </c>
      <c r="B15" s="430" t="str">
        <f t="shared" si="0"/>
        <v>EZZZZEZ3</v>
      </c>
      <c r="C15" s="659" t="str">
        <f>IFERROR(VLOOKUP($B15,DataSheetDA!$C$4:$Y$238,3,0),"")</f>
        <v/>
      </c>
      <c r="D15" s="438"/>
      <c r="E15" s="849" t="str">
        <f>IFERROR(VLOOKUP($B15,DataSheetDA!$C$4:$Y$238,E$12,0),"")</f>
        <v/>
      </c>
      <c r="F15" s="436"/>
      <c r="G15" s="850" t="str">
        <f>IFERROR(VLOOKUP($B15,DataSheetDA!$C$4:$Y$238,G$12,0),"")</f>
        <v/>
      </c>
      <c r="H15" s="435"/>
      <c r="I15" s="851" t="str">
        <f>IFERROR(VLOOKUP($B15,DataSheetDA!$C$4:$Y$238,I$12,0),"")</f>
        <v/>
      </c>
      <c r="J15" s="435"/>
      <c r="K15" s="851" t="str">
        <f>IFERROR(VLOOKUP($B15,DataSheetDA!$C$4:$Y$238,K$12,0),"")</f>
        <v/>
      </c>
      <c r="L15" s="437"/>
      <c r="M15" s="851" t="str">
        <f>IFERROR(VLOOKUP($B15,DataSheetDA!$C$4:$Y$238,M$12,0),"")</f>
        <v/>
      </c>
      <c r="N15" s="436"/>
      <c r="O15" s="434" t="str">
        <f>IFERROR(VLOOKUP($B15,DataSheetDA!$C$4:$Y$238,O$12,0),"")</f>
        <v/>
      </c>
      <c r="P15" s="436"/>
      <c r="Q15" s="854" t="str">
        <f>IFERROR(VLOOKUP($B15,DataSheetDA!$C$4:$Y$238,Q$12,0),"")</f>
        <v/>
      </c>
      <c r="R15" s="435"/>
      <c r="S15" s="853" t="str">
        <f>IFERROR(VLOOKUP($B15,DataSheetDA!$C$4:$Y$238,S$12,0),"")</f>
        <v/>
      </c>
      <c r="T15" s="435"/>
      <c r="U15" s="852" t="str">
        <f>IFERROR(VLOOKUP($B15,DataSheetDA!$C$4:$Y$238,U$12,0),"")</f>
        <v/>
      </c>
      <c r="V15" s="435"/>
      <c r="W15" s="851" t="str">
        <f>IFERROR(VLOOKUP($B15,DataSheetDA!$C$4:$Y$238,W$12,0),"")</f>
        <v/>
      </c>
      <c r="X15" s="436"/>
      <c r="Y15" s="538" t="str">
        <f>IF(C15="","",IF(VLOOKUP('Part 1'!$L$13,#REF!,10,FALSE)&lt;1,W15,0))</f>
        <v/>
      </c>
      <c r="Z15" s="531"/>
      <c r="AA15" s="852" t="str">
        <f>IFERROR(VLOOKUP($B15,DataSheetDA!$C$4:$Y$238,AA$12,0),"")</f>
        <v/>
      </c>
      <c r="AB15" s="435"/>
      <c r="AC15" s="433"/>
      <c r="AD15" s="432"/>
      <c r="AE15" s="491"/>
      <c r="AF15" s="657">
        <f>IF(IFERROR(VLOOKUP(B15,#REF!,3,0),"")=C15,0,1)</f>
        <v>0</v>
      </c>
      <c r="AG15" s="489"/>
      <c r="AH15" s="439"/>
    </row>
    <row r="16" spans="1:34" s="431" customFormat="1" ht="21" customHeight="1" thickBot="1" x14ac:dyDescent="0.3">
      <c r="A16" s="488">
        <v>4</v>
      </c>
      <c r="B16" s="430" t="str">
        <f t="shared" si="0"/>
        <v>EZZZZEZ4</v>
      </c>
      <c r="C16" s="659" t="str">
        <f>IFERROR(VLOOKUP($B16,DataSheetDA!$C$4:$Y$238,3,0),"")</f>
        <v/>
      </c>
      <c r="D16" s="438"/>
      <c r="E16" s="849" t="str">
        <f>IFERROR(VLOOKUP($B16,DataSheetDA!$C$4:$Y$238,E$12,0),"")</f>
        <v/>
      </c>
      <c r="F16" s="436"/>
      <c r="G16" s="850" t="str">
        <f>IFERROR(VLOOKUP($B16,DataSheetDA!$C$4:$Y$238,G$12,0),"")</f>
        <v/>
      </c>
      <c r="H16" s="435"/>
      <c r="I16" s="851" t="str">
        <f>IFERROR(VLOOKUP($B16,DataSheetDA!$C$4:$Y$238,I$12,0),"")</f>
        <v/>
      </c>
      <c r="J16" s="435"/>
      <c r="K16" s="851" t="str">
        <f>IFERROR(VLOOKUP($B16,DataSheetDA!$C$4:$Y$238,K$12,0),"")</f>
        <v/>
      </c>
      <c r="L16" s="437"/>
      <c r="M16" s="851" t="str">
        <f>IFERROR(VLOOKUP($B16,DataSheetDA!$C$4:$Y$238,M$12,0),"")</f>
        <v/>
      </c>
      <c r="N16" s="436"/>
      <c r="O16" s="434" t="str">
        <f>IFERROR(VLOOKUP($B16,DataSheetDA!$C$4:$Y$238,O$12,0),"")</f>
        <v/>
      </c>
      <c r="P16" s="436"/>
      <c r="Q16" s="854" t="str">
        <f>IFERROR(VLOOKUP($B16,DataSheetDA!$C$4:$Y$238,Q$12,0),"")</f>
        <v/>
      </c>
      <c r="R16" s="435"/>
      <c r="S16" s="853" t="str">
        <f>IFERROR(VLOOKUP($B16,DataSheetDA!$C$4:$Y$238,S$12,0),"")</f>
        <v/>
      </c>
      <c r="T16" s="435"/>
      <c r="U16" s="852" t="str">
        <f>IFERROR(VLOOKUP($B16,DataSheetDA!$C$4:$Y$238,U$12,0),"")</f>
        <v/>
      </c>
      <c r="V16" s="435"/>
      <c r="W16" s="851" t="str">
        <f>IFERROR(VLOOKUP($B16,DataSheetDA!$C$4:$Y$238,W$12,0),"")</f>
        <v/>
      </c>
      <c r="X16" s="436"/>
      <c r="Y16" s="538" t="str">
        <f>IF(C16="","",IF(VLOOKUP('Part 1'!$L$13,#REF!,10,FALSE)&lt;1,W16,0))</f>
        <v/>
      </c>
      <c r="Z16" s="531"/>
      <c r="AA16" s="852" t="str">
        <f>IFERROR(VLOOKUP($B16,DataSheetDA!$C$4:$Y$238,AA$12,0),"")</f>
        <v/>
      </c>
      <c r="AB16" s="435"/>
      <c r="AC16" s="433"/>
      <c r="AD16" s="432"/>
      <c r="AE16" s="491"/>
      <c r="AF16" s="657">
        <f>IF(IFERROR(VLOOKUP(B16,#REF!,3,0),"")=C16,0,1)</f>
        <v>0</v>
      </c>
      <c r="AG16" s="489"/>
      <c r="AH16" s="439"/>
    </row>
    <row r="17" spans="1:34" s="431" customFormat="1" ht="21" customHeight="1" thickBot="1" x14ac:dyDescent="0.3">
      <c r="A17" s="488">
        <v>5</v>
      </c>
      <c r="B17" s="430" t="str">
        <f t="shared" si="0"/>
        <v>EZZZZEZ5</v>
      </c>
      <c r="C17" s="659" t="str">
        <f>IFERROR(VLOOKUP($B17,DataSheetDA!$C$4:$Y$238,3,0),"")</f>
        <v/>
      </c>
      <c r="D17" s="438"/>
      <c r="E17" s="849" t="str">
        <f>IFERROR(VLOOKUP($B17,DataSheetDA!$C$4:$Y$238,E$12,0),"")</f>
        <v/>
      </c>
      <c r="F17" s="436"/>
      <c r="G17" s="850" t="str">
        <f>IFERROR(VLOOKUP($B17,DataSheetDA!$C$4:$Y$238,G$12,0),"")</f>
        <v/>
      </c>
      <c r="H17" s="435"/>
      <c r="I17" s="851" t="str">
        <f>IFERROR(VLOOKUP($B17,DataSheetDA!$C$4:$Y$238,I$12,0),"")</f>
        <v/>
      </c>
      <c r="J17" s="435"/>
      <c r="K17" s="851" t="str">
        <f>IFERROR(VLOOKUP($B17,DataSheetDA!$C$4:$Y$238,K$12,0),"")</f>
        <v/>
      </c>
      <c r="L17" s="437"/>
      <c r="M17" s="851" t="str">
        <f>IFERROR(VLOOKUP($B17,DataSheetDA!$C$4:$Y$238,M$12,0),"")</f>
        <v/>
      </c>
      <c r="N17" s="436"/>
      <c r="O17" s="434" t="str">
        <f>IFERROR(VLOOKUP($B17,DataSheetDA!$C$4:$Y$238,O$12,0),"")</f>
        <v/>
      </c>
      <c r="P17" s="436"/>
      <c r="Q17" s="854" t="str">
        <f>IFERROR(VLOOKUP($B17,DataSheetDA!$C$4:$Y$238,Q$12,0),"")</f>
        <v/>
      </c>
      <c r="R17" s="435"/>
      <c r="S17" s="853" t="str">
        <f>IFERROR(VLOOKUP($B17,DataSheetDA!$C$4:$Y$238,S$12,0),"")</f>
        <v/>
      </c>
      <c r="T17" s="435"/>
      <c r="U17" s="852" t="str">
        <f>IFERROR(VLOOKUP($B17,DataSheetDA!$C$4:$Y$238,U$12,0),"")</f>
        <v/>
      </c>
      <c r="V17" s="435"/>
      <c r="W17" s="851" t="str">
        <f>IFERROR(VLOOKUP($B17,DataSheetDA!$C$4:$Y$238,W$12,0),"")</f>
        <v/>
      </c>
      <c r="X17" s="436"/>
      <c r="Y17" s="538" t="str">
        <f>IF(C17="","",IF(VLOOKUP('Part 1'!$L$13,#REF!,10,FALSE)&lt;1,W17,0))</f>
        <v/>
      </c>
      <c r="Z17" s="531"/>
      <c r="AA17" s="852" t="str">
        <f>IFERROR(VLOOKUP($B17,DataSheetDA!$C$4:$Y$238,AA$12,0),"")</f>
        <v/>
      </c>
      <c r="AB17" s="435"/>
      <c r="AC17" s="433"/>
      <c r="AD17" s="432"/>
      <c r="AE17" s="491"/>
      <c r="AF17" s="657">
        <f>IF(IFERROR(VLOOKUP(B17,#REF!,3,0),"")=C17,0,1)</f>
        <v>0</v>
      </c>
      <c r="AG17" s="489"/>
      <c r="AH17" s="439"/>
    </row>
    <row r="18" spans="1:34" s="431" customFormat="1" ht="21" customHeight="1" thickBot="1" x14ac:dyDescent="0.3">
      <c r="A18" s="488">
        <v>6</v>
      </c>
      <c r="B18" s="430" t="str">
        <f t="shared" si="0"/>
        <v>EZZZZEZ6</v>
      </c>
      <c r="C18" s="659" t="str">
        <f>IFERROR(VLOOKUP($B18,DataSheetDA!$C$4:$Y$238,3,0),"")</f>
        <v/>
      </c>
      <c r="D18" s="438"/>
      <c r="E18" s="849" t="str">
        <f>IFERROR(VLOOKUP($B18,DataSheetDA!$C$4:$Y$238,E$12,0),"")</f>
        <v/>
      </c>
      <c r="F18" s="436"/>
      <c r="G18" s="850" t="str">
        <f>IFERROR(VLOOKUP($B18,DataSheetDA!$C$4:$Y$238,G$12,0),"")</f>
        <v/>
      </c>
      <c r="H18" s="435"/>
      <c r="I18" s="851" t="str">
        <f>IFERROR(VLOOKUP($B18,DataSheetDA!$C$4:$Y$238,I$12,0),"")</f>
        <v/>
      </c>
      <c r="J18" s="435"/>
      <c r="K18" s="851" t="str">
        <f>IFERROR(VLOOKUP($B18,DataSheetDA!$C$4:$Y$238,K$12,0),"")</f>
        <v/>
      </c>
      <c r="L18" s="437"/>
      <c r="M18" s="851" t="str">
        <f>IFERROR(VLOOKUP($B18,DataSheetDA!$C$4:$Y$238,M$12,0),"")</f>
        <v/>
      </c>
      <c r="N18" s="436"/>
      <c r="O18" s="434" t="str">
        <f>IFERROR(VLOOKUP($B18,DataSheetDA!$C$4:$Y$238,O$12,0),"")</f>
        <v/>
      </c>
      <c r="P18" s="436"/>
      <c r="Q18" s="854" t="str">
        <f>IFERROR(VLOOKUP($B18,DataSheetDA!$C$4:$Y$238,Q$12,0),"")</f>
        <v/>
      </c>
      <c r="R18" s="435"/>
      <c r="S18" s="853" t="str">
        <f>IFERROR(VLOOKUP($B18,DataSheetDA!$C$4:$Y$238,S$12,0),"")</f>
        <v/>
      </c>
      <c r="T18" s="435"/>
      <c r="U18" s="852" t="str">
        <f>IFERROR(VLOOKUP($B18,DataSheetDA!$C$4:$Y$238,U$12,0),"")</f>
        <v/>
      </c>
      <c r="V18" s="435"/>
      <c r="W18" s="851" t="str">
        <f>IFERROR(VLOOKUP($B18,DataSheetDA!$C$4:$Y$238,W$12,0),"")</f>
        <v/>
      </c>
      <c r="X18" s="436"/>
      <c r="Y18" s="538" t="str">
        <f>IF(C18="","",IF(VLOOKUP('Part 1'!$L$13,#REF!,10,FALSE)&lt;1,W18,0))</f>
        <v/>
      </c>
      <c r="Z18" s="531"/>
      <c r="AA18" s="852" t="str">
        <f>IFERROR(VLOOKUP($B18,DataSheetDA!$C$4:$Y$238,AA$12,0),"")</f>
        <v/>
      </c>
      <c r="AB18" s="435"/>
      <c r="AC18" s="433"/>
      <c r="AD18" s="432"/>
      <c r="AE18" s="491"/>
      <c r="AF18" s="657">
        <f>IF(IFERROR(VLOOKUP(B18,#REF!,3,0),"")=C18,0,1)</f>
        <v>0</v>
      </c>
      <c r="AG18" s="489"/>
      <c r="AH18" s="439"/>
    </row>
    <row r="19" spans="1:34" s="431" customFormat="1" ht="21" customHeight="1" thickBot="1" x14ac:dyDescent="0.3">
      <c r="A19" s="488">
        <v>7</v>
      </c>
      <c r="B19" s="430" t="str">
        <f t="shared" si="0"/>
        <v>EZZZZEZ7</v>
      </c>
      <c r="C19" s="659" t="str">
        <f>IFERROR(VLOOKUP($B19,DataSheetDA!$C$4:$Y$238,3,0),"")</f>
        <v/>
      </c>
      <c r="D19" s="438"/>
      <c r="E19" s="849" t="str">
        <f>IFERROR(VLOOKUP($B19,DataSheetDA!$C$4:$Y$238,E$12,0),"")</f>
        <v/>
      </c>
      <c r="F19" s="436"/>
      <c r="G19" s="850" t="str">
        <f>IFERROR(VLOOKUP($B19,DataSheetDA!$C$4:$Y$238,G$12,0),"")</f>
        <v/>
      </c>
      <c r="H19" s="435"/>
      <c r="I19" s="851" t="str">
        <f>IFERROR(VLOOKUP($B19,DataSheetDA!$C$4:$Y$238,I$12,0),"")</f>
        <v/>
      </c>
      <c r="J19" s="435"/>
      <c r="K19" s="851" t="str">
        <f>IFERROR(VLOOKUP($B19,DataSheetDA!$C$4:$Y$238,K$12,0),"")</f>
        <v/>
      </c>
      <c r="L19" s="437"/>
      <c r="M19" s="851" t="str">
        <f>IFERROR(VLOOKUP($B19,DataSheetDA!$C$4:$Y$238,M$12,0),"")</f>
        <v/>
      </c>
      <c r="N19" s="436"/>
      <c r="O19" s="434" t="str">
        <f>IFERROR(VLOOKUP($B19,DataSheetDA!$C$4:$Y$238,O$12,0),"")</f>
        <v/>
      </c>
      <c r="P19" s="436"/>
      <c r="Q19" s="854" t="str">
        <f>IFERROR(VLOOKUP($B19,DataSheetDA!$C$4:$Y$238,Q$12,0),"")</f>
        <v/>
      </c>
      <c r="R19" s="435"/>
      <c r="S19" s="853" t="str">
        <f>IFERROR(VLOOKUP($B19,DataSheetDA!$C$4:$Y$238,S$12,0),"")</f>
        <v/>
      </c>
      <c r="T19" s="435"/>
      <c r="U19" s="852" t="str">
        <f>IFERROR(VLOOKUP($B19,DataSheetDA!$C$4:$Y$238,U$12,0),"")</f>
        <v/>
      </c>
      <c r="V19" s="435"/>
      <c r="W19" s="851" t="str">
        <f>IFERROR(VLOOKUP($B19,DataSheetDA!$C$4:$Y$238,W$12,0),"")</f>
        <v/>
      </c>
      <c r="X19" s="436"/>
      <c r="Y19" s="538" t="str">
        <f>IF(C19="","",IF(VLOOKUP('Part 1'!$L$13,#REF!,10,FALSE)&lt;1,W19,0))</f>
        <v/>
      </c>
      <c r="Z19" s="531"/>
      <c r="AA19" s="852" t="str">
        <f>IFERROR(VLOOKUP($B19,DataSheetDA!$C$4:$Y$238,AA$12,0),"")</f>
        <v/>
      </c>
      <c r="AB19" s="435"/>
      <c r="AC19" s="433"/>
      <c r="AD19" s="432"/>
      <c r="AE19" s="491"/>
      <c r="AF19" s="657">
        <f>IF(IFERROR(VLOOKUP(B19,#REF!,3,0),"")=C19,0,1)</f>
        <v>0</v>
      </c>
      <c r="AG19" s="489"/>
      <c r="AH19" s="439"/>
    </row>
    <row r="20" spans="1:34" s="431" customFormat="1" ht="21" customHeight="1" thickBot="1" x14ac:dyDescent="0.3">
      <c r="A20" s="488">
        <v>8</v>
      </c>
      <c r="B20" s="430" t="str">
        <f t="shared" si="0"/>
        <v>EZZZZEZ8</v>
      </c>
      <c r="C20" s="659" t="str">
        <f>IFERROR(VLOOKUP($B20,DataSheetDA!$C$4:$Y$238,3,0),"")</f>
        <v/>
      </c>
      <c r="D20" s="438"/>
      <c r="E20" s="849" t="str">
        <f>IFERROR(VLOOKUP($B20,DataSheetDA!$C$4:$Y$238,E$12,0),"")</f>
        <v/>
      </c>
      <c r="F20" s="436"/>
      <c r="G20" s="850" t="str">
        <f>IFERROR(VLOOKUP($B20,DataSheetDA!$C$4:$Y$238,G$12,0),"")</f>
        <v/>
      </c>
      <c r="H20" s="435"/>
      <c r="I20" s="851" t="str">
        <f>IFERROR(VLOOKUP($B20,DataSheetDA!$C$4:$Y$238,I$12,0),"")</f>
        <v/>
      </c>
      <c r="J20" s="435"/>
      <c r="K20" s="851" t="str">
        <f>IFERROR(VLOOKUP($B20,DataSheetDA!$C$4:$Y$238,K$12,0),"")</f>
        <v/>
      </c>
      <c r="L20" s="437"/>
      <c r="M20" s="851" t="str">
        <f>IFERROR(VLOOKUP($B20,DataSheetDA!$C$4:$Y$238,M$12,0),"")</f>
        <v/>
      </c>
      <c r="N20" s="436"/>
      <c r="O20" s="434" t="str">
        <f>IFERROR(VLOOKUP($B20,DataSheetDA!$C$4:$Y$238,O$12,0),"")</f>
        <v/>
      </c>
      <c r="P20" s="436"/>
      <c r="Q20" s="854" t="str">
        <f>IFERROR(VLOOKUP($B20,DataSheetDA!$C$4:$Y$238,Q$12,0),"")</f>
        <v/>
      </c>
      <c r="R20" s="435"/>
      <c r="S20" s="853" t="str">
        <f>IFERROR(VLOOKUP($B20,DataSheetDA!$C$4:$Y$238,S$12,0),"")</f>
        <v/>
      </c>
      <c r="T20" s="435"/>
      <c r="U20" s="852" t="str">
        <f>IFERROR(VLOOKUP($B20,DataSheetDA!$C$4:$Y$238,U$12,0),"")</f>
        <v/>
      </c>
      <c r="V20" s="435"/>
      <c r="W20" s="851" t="str">
        <f>IFERROR(VLOOKUP($B20,DataSheetDA!$C$4:$Y$238,W$12,0),"")</f>
        <v/>
      </c>
      <c r="X20" s="436"/>
      <c r="Y20" s="538" t="str">
        <f>IF(C20="","",IF(VLOOKUP('Part 1'!$L$13,#REF!,10,FALSE)&lt;1,W20,0))</f>
        <v/>
      </c>
      <c r="Z20" s="531"/>
      <c r="AA20" s="852" t="str">
        <f>IFERROR(VLOOKUP($B20,DataSheetDA!$C$4:$Y$238,AA$12,0),"")</f>
        <v/>
      </c>
      <c r="AB20" s="435"/>
      <c r="AC20" s="433"/>
      <c r="AD20" s="432"/>
      <c r="AE20" s="491"/>
      <c r="AF20" s="657">
        <f>IF(IFERROR(VLOOKUP(B20,#REF!,3,0),"")=C20,0,1)</f>
        <v>0</v>
      </c>
      <c r="AG20" s="489"/>
      <c r="AH20" s="439"/>
    </row>
    <row r="21" spans="1:34" s="431" customFormat="1" ht="21" customHeight="1" thickBot="1" x14ac:dyDescent="0.3">
      <c r="A21" s="488">
        <v>9</v>
      </c>
      <c r="B21" s="430" t="str">
        <f t="shared" si="0"/>
        <v>EZZZZEZ9</v>
      </c>
      <c r="C21" s="659" t="str">
        <f>IFERROR(VLOOKUP($B21,DataSheetDA!$C$4:$Y$238,3,0),"")</f>
        <v/>
      </c>
      <c r="D21" s="438"/>
      <c r="E21" s="849" t="str">
        <f>IFERROR(VLOOKUP($B21,DataSheetDA!$C$4:$Y$238,E$12,0),"")</f>
        <v/>
      </c>
      <c r="F21" s="436"/>
      <c r="G21" s="850" t="str">
        <f>IFERROR(VLOOKUP($B21,DataSheetDA!$C$4:$Y$238,G$12,0),"")</f>
        <v/>
      </c>
      <c r="H21" s="435"/>
      <c r="I21" s="851" t="str">
        <f>IFERROR(VLOOKUP($B21,DataSheetDA!$C$4:$Y$238,I$12,0),"")</f>
        <v/>
      </c>
      <c r="J21" s="435"/>
      <c r="K21" s="851" t="str">
        <f>IFERROR(VLOOKUP($B21,DataSheetDA!$C$4:$Y$238,K$12,0),"")</f>
        <v/>
      </c>
      <c r="L21" s="437"/>
      <c r="M21" s="851" t="str">
        <f>IFERROR(VLOOKUP($B21,DataSheetDA!$C$4:$Y$238,M$12,0),"")</f>
        <v/>
      </c>
      <c r="N21" s="436"/>
      <c r="O21" s="434" t="str">
        <f>IFERROR(VLOOKUP($B21,DataSheetDA!$C$4:$Y$238,O$12,0),"")</f>
        <v/>
      </c>
      <c r="P21" s="436"/>
      <c r="Q21" s="854" t="str">
        <f>IFERROR(VLOOKUP($B21,DataSheetDA!$C$4:$Y$238,Q$12,0),"")</f>
        <v/>
      </c>
      <c r="R21" s="435"/>
      <c r="S21" s="853" t="str">
        <f>IFERROR(VLOOKUP($B21,DataSheetDA!$C$4:$Y$238,S$12,0),"")</f>
        <v/>
      </c>
      <c r="T21" s="435"/>
      <c r="U21" s="852" t="str">
        <f>IFERROR(VLOOKUP($B21,DataSheetDA!$C$4:$Y$238,U$12,0),"")</f>
        <v/>
      </c>
      <c r="V21" s="435"/>
      <c r="W21" s="851" t="str">
        <f>IFERROR(VLOOKUP($B21,DataSheetDA!$C$4:$Y$238,W$12,0),"")</f>
        <v/>
      </c>
      <c r="X21" s="436"/>
      <c r="Y21" s="538" t="str">
        <f>IF(C21="","",IF(VLOOKUP('Part 1'!$L$13,#REF!,10,FALSE)&lt;1,W21,0))</f>
        <v/>
      </c>
      <c r="Z21" s="531"/>
      <c r="AA21" s="852" t="str">
        <f>IFERROR(VLOOKUP($B21,DataSheetDA!$C$4:$Y$238,AA$12,0),"")</f>
        <v/>
      </c>
      <c r="AB21" s="435"/>
      <c r="AC21" s="433"/>
      <c r="AD21" s="432"/>
      <c r="AE21" s="491"/>
      <c r="AF21" s="657">
        <f>IF(IFERROR(VLOOKUP(B21,#REF!,3,0),"")=C21,0,1)</f>
        <v>0</v>
      </c>
      <c r="AG21" s="489"/>
      <c r="AH21" s="439"/>
    </row>
    <row r="22" spans="1:34" s="431" customFormat="1" ht="21" customHeight="1" thickBot="1" x14ac:dyDescent="0.3">
      <c r="A22" s="488">
        <v>10</v>
      </c>
      <c r="B22" s="430" t="str">
        <f t="shared" si="0"/>
        <v>EZZZZEZ10</v>
      </c>
      <c r="C22" s="659" t="str">
        <f>IFERROR(VLOOKUP($B22,DataSheetDA!$C$4:$Y$238,3,0),"")</f>
        <v/>
      </c>
      <c r="D22" s="438"/>
      <c r="E22" s="849" t="str">
        <f>IFERROR(VLOOKUP($B22,DataSheetDA!$C$4:$Y$238,E$12,0),"")</f>
        <v/>
      </c>
      <c r="F22" s="436"/>
      <c r="G22" s="850" t="str">
        <f>IFERROR(VLOOKUP($B22,DataSheetDA!$C$4:$Y$238,G$12,0),"")</f>
        <v/>
      </c>
      <c r="H22" s="435"/>
      <c r="I22" s="851" t="str">
        <f>IFERROR(VLOOKUP($B22,DataSheetDA!$C$4:$Y$238,I$12,0),"")</f>
        <v/>
      </c>
      <c r="J22" s="435"/>
      <c r="K22" s="851" t="str">
        <f>IFERROR(VLOOKUP($B22,DataSheetDA!$C$4:$Y$238,K$12,0),"")</f>
        <v/>
      </c>
      <c r="L22" s="437"/>
      <c r="M22" s="851" t="str">
        <f>IFERROR(VLOOKUP($B22,DataSheetDA!$C$4:$Y$238,M$12,0),"")</f>
        <v/>
      </c>
      <c r="N22" s="436"/>
      <c r="O22" s="434" t="str">
        <f>IFERROR(VLOOKUP($B22,DataSheetDA!$C$4:$Y$238,O$12,0),"")</f>
        <v/>
      </c>
      <c r="P22" s="436"/>
      <c r="Q22" s="854" t="str">
        <f>IFERROR(VLOOKUP($B22,DataSheetDA!$C$4:$Y$238,Q$12,0),"")</f>
        <v/>
      </c>
      <c r="R22" s="435"/>
      <c r="S22" s="853" t="str">
        <f>IFERROR(VLOOKUP($B22,DataSheetDA!$C$4:$Y$238,S$12,0),"")</f>
        <v/>
      </c>
      <c r="T22" s="435"/>
      <c r="U22" s="852" t="str">
        <f>IFERROR(VLOOKUP($B22,DataSheetDA!$C$4:$Y$238,U$12,0),"")</f>
        <v/>
      </c>
      <c r="V22" s="435"/>
      <c r="W22" s="851" t="str">
        <f>IFERROR(VLOOKUP($B22,DataSheetDA!$C$4:$Y$238,W$12,0),"")</f>
        <v/>
      </c>
      <c r="X22" s="436"/>
      <c r="Y22" s="538" t="str">
        <f>IF(C22="","",IF(VLOOKUP('Part 1'!$L$13,#REF!,10,FALSE)&lt;1,W22,0))</f>
        <v/>
      </c>
      <c r="Z22" s="531"/>
      <c r="AA22" s="852" t="str">
        <f>IFERROR(VLOOKUP($B22,DataSheetDA!$C$4:$Y$238,AA$12,0),"")</f>
        <v/>
      </c>
      <c r="AB22" s="435"/>
      <c r="AC22" s="433"/>
      <c r="AD22" s="432"/>
      <c r="AE22" s="491"/>
      <c r="AF22" s="657">
        <f>IF(IFERROR(VLOOKUP(B22,#REF!,3,0),"")=C22,0,1)</f>
        <v>0</v>
      </c>
      <c r="AG22" s="489"/>
      <c r="AH22" s="439"/>
    </row>
    <row r="23" spans="1:34" s="431" customFormat="1" ht="21" customHeight="1" thickBot="1" x14ac:dyDescent="0.3">
      <c r="A23" s="488">
        <v>11</v>
      </c>
      <c r="B23" s="430" t="str">
        <f t="shared" si="0"/>
        <v>EZZZZEZ11</v>
      </c>
      <c r="C23" s="659" t="str">
        <f>IFERROR(VLOOKUP($B23,DataSheetDA!$C$4:$Y$238,3,0),"")</f>
        <v/>
      </c>
      <c r="D23" s="438"/>
      <c r="E23" s="849" t="str">
        <f>IFERROR(VLOOKUP($B23,DataSheetDA!$C$4:$Y$238,E$12,0),"")</f>
        <v/>
      </c>
      <c r="F23" s="436"/>
      <c r="G23" s="850" t="str">
        <f>IFERROR(VLOOKUP($B23,DataSheetDA!$C$4:$Y$238,G$12,0),"")</f>
        <v/>
      </c>
      <c r="H23" s="435"/>
      <c r="I23" s="851" t="str">
        <f>IFERROR(VLOOKUP($B23,DataSheetDA!$C$4:$Y$238,I$12,0),"")</f>
        <v/>
      </c>
      <c r="J23" s="435"/>
      <c r="K23" s="851" t="str">
        <f>IFERROR(VLOOKUP($B23,DataSheetDA!$C$4:$Y$238,K$12,0),"")</f>
        <v/>
      </c>
      <c r="L23" s="437"/>
      <c r="M23" s="851" t="str">
        <f>IFERROR(VLOOKUP($B23,DataSheetDA!$C$4:$Y$238,M$12,0),"")</f>
        <v/>
      </c>
      <c r="N23" s="436"/>
      <c r="O23" s="434" t="str">
        <f>IFERROR(VLOOKUP($B23,DataSheetDA!$C$4:$Y$238,O$12,0),"")</f>
        <v/>
      </c>
      <c r="P23" s="436"/>
      <c r="Q23" s="854" t="str">
        <f>IFERROR(VLOOKUP($B23,DataSheetDA!$C$4:$Y$238,Q$12,0),"")</f>
        <v/>
      </c>
      <c r="R23" s="435"/>
      <c r="S23" s="853" t="str">
        <f>IFERROR(VLOOKUP($B23,DataSheetDA!$C$4:$Y$238,S$12,0),"")</f>
        <v/>
      </c>
      <c r="T23" s="435"/>
      <c r="U23" s="852" t="str">
        <f>IFERROR(VLOOKUP($B23,DataSheetDA!$C$4:$Y$238,U$12,0),"")</f>
        <v/>
      </c>
      <c r="V23" s="435"/>
      <c r="W23" s="851" t="str">
        <f>IFERROR(VLOOKUP($B23,DataSheetDA!$C$4:$Y$238,W$12,0),"")</f>
        <v/>
      </c>
      <c r="X23" s="436"/>
      <c r="Y23" s="538" t="str">
        <f>IF(C23="","",IF(VLOOKUP('Part 1'!$L$13,#REF!,10,FALSE)&lt;1,W23,0))</f>
        <v/>
      </c>
      <c r="Z23" s="531"/>
      <c r="AA23" s="852" t="str">
        <f>IFERROR(VLOOKUP($B23,DataSheetDA!$C$4:$Y$238,AA$12,0),"")</f>
        <v/>
      </c>
      <c r="AB23" s="435"/>
      <c r="AC23" s="433"/>
      <c r="AD23" s="432"/>
      <c r="AE23" s="491"/>
      <c r="AF23" s="657">
        <f>IF(IFERROR(VLOOKUP(B23,#REF!,3,0),"")=C23,0,1)</f>
        <v>0</v>
      </c>
      <c r="AG23" s="489"/>
      <c r="AH23" s="439"/>
    </row>
    <row r="24" spans="1:34" s="431" customFormat="1" ht="21" customHeight="1" thickBot="1" x14ac:dyDescent="0.3">
      <c r="A24" s="488">
        <v>12</v>
      </c>
      <c r="B24" s="430" t="str">
        <f t="shared" si="0"/>
        <v>EZZZZEZ12</v>
      </c>
      <c r="C24" s="659" t="str">
        <f>IFERROR(VLOOKUP($B24,DataSheetDA!$C$4:$Y$238,3,0),"")</f>
        <v/>
      </c>
      <c r="D24" s="438"/>
      <c r="E24" s="849" t="str">
        <f>IFERROR(VLOOKUP($B24,DataSheetDA!$C$4:$Y$238,E$12,0),"")</f>
        <v/>
      </c>
      <c r="F24" s="436"/>
      <c r="G24" s="850" t="str">
        <f>IFERROR(VLOOKUP($B24,DataSheetDA!$C$4:$Y$238,G$12,0),"")</f>
        <v/>
      </c>
      <c r="H24" s="435"/>
      <c r="I24" s="851" t="str">
        <f>IFERROR(VLOOKUP($B24,DataSheetDA!$C$4:$Y$238,I$12,0),"")</f>
        <v/>
      </c>
      <c r="J24" s="435"/>
      <c r="K24" s="851" t="str">
        <f>IFERROR(VLOOKUP($B24,DataSheetDA!$C$4:$Y$238,K$12,0),"")</f>
        <v/>
      </c>
      <c r="L24" s="437"/>
      <c r="M24" s="851" t="str">
        <f>IFERROR(VLOOKUP($B24,DataSheetDA!$C$4:$Y$238,M$12,0),"")</f>
        <v/>
      </c>
      <c r="N24" s="436"/>
      <c r="O24" s="434" t="str">
        <f>IFERROR(VLOOKUP($B24,DataSheetDA!$C$4:$Y$238,O$12,0),"")</f>
        <v/>
      </c>
      <c r="P24" s="436"/>
      <c r="Q24" s="854" t="str">
        <f>IFERROR(VLOOKUP($B24,DataSheetDA!$C$4:$Y$238,Q$12,0),"")</f>
        <v/>
      </c>
      <c r="R24" s="435"/>
      <c r="S24" s="853" t="str">
        <f>IFERROR(VLOOKUP($B24,DataSheetDA!$C$4:$Y$238,S$12,0),"")</f>
        <v/>
      </c>
      <c r="T24" s="435"/>
      <c r="U24" s="852" t="str">
        <f>IFERROR(VLOOKUP($B24,DataSheetDA!$C$4:$Y$238,U$12,0),"")</f>
        <v/>
      </c>
      <c r="V24" s="435"/>
      <c r="W24" s="851" t="str">
        <f>IFERROR(VLOOKUP($B24,DataSheetDA!$C$4:$Y$238,W$12,0),"")</f>
        <v/>
      </c>
      <c r="X24" s="436"/>
      <c r="Y24" s="538" t="str">
        <f>IF(C24="","",IF(VLOOKUP('Part 1'!$L$13,#REF!,10,FALSE)&lt;1,W24,0))</f>
        <v/>
      </c>
      <c r="Z24" s="531"/>
      <c r="AA24" s="852" t="str">
        <f>IFERROR(VLOOKUP($B24,DataSheetDA!$C$4:$Y$238,AA$12,0),"")</f>
        <v/>
      </c>
      <c r="AB24" s="435"/>
      <c r="AC24" s="433"/>
      <c r="AD24" s="432"/>
      <c r="AE24" s="491"/>
      <c r="AF24" s="657">
        <f>IF(IFERROR(VLOOKUP(B24,#REF!,3,0),"")=C24,0,1)</f>
        <v>0</v>
      </c>
      <c r="AG24" s="489"/>
      <c r="AH24" s="439"/>
    </row>
    <row r="25" spans="1:34" s="431" customFormat="1" ht="21" customHeight="1" thickBot="1" x14ac:dyDescent="0.3">
      <c r="A25" s="488">
        <v>13</v>
      </c>
      <c r="B25" s="430" t="str">
        <f t="shared" si="0"/>
        <v>EZZZZEZ13</v>
      </c>
      <c r="C25" s="659" t="str">
        <f>IFERROR(VLOOKUP($B25,DataSheetDA!$C$4:$Y$238,3,0),"")</f>
        <v/>
      </c>
      <c r="D25" s="438"/>
      <c r="E25" s="849" t="str">
        <f>IFERROR(VLOOKUP($B25,DataSheetDA!$C$4:$Y$238,E$12,0),"")</f>
        <v/>
      </c>
      <c r="F25" s="436"/>
      <c r="G25" s="850" t="str">
        <f>IFERROR(VLOOKUP($B25,DataSheetDA!$C$4:$Y$238,G$12,0),"")</f>
        <v/>
      </c>
      <c r="H25" s="435"/>
      <c r="I25" s="851" t="str">
        <f>IFERROR(VLOOKUP($B25,DataSheetDA!$C$4:$Y$238,I$12,0),"")</f>
        <v/>
      </c>
      <c r="J25" s="435"/>
      <c r="K25" s="851" t="str">
        <f>IFERROR(VLOOKUP($B25,DataSheetDA!$C$4:$Y$238,K$12,0),"")</f>
        <v/>
      </c>
      <c r="L25" s="437"/>
      <c r="M25" s="851" t="str">
        <f>IFERROR(VLOOKUP($B25,DataSheetDA!$C$4:$Y$238,M$12,0),"")</f>
        <v/>
      </c>
      <c r="N25" s="436"/>
      <c r="O25" s="434" t="str">
        <f>IFERROR(VLOOKUP($B25,DataSheetDA!$C$4:$Y$238,O$12,0),"")</f>
        <v/>
      </c>
      <c r="P25" s="436"/>
      <c r="Q25" s="854" t="str">
        <f>IFERROR(VLOOKUP($B25,DataSheetDA!$C$4:$Y$238,Q$12,0),"")</f>
        <v/>
      </c>
      <c r="R25" s="435"/>
      <c r="S25" s="853" t="str">
        <f>IFERROR(VLOOKUP($B25,DataSheetDA!$C$4:$Y$238,S$12,0),"")</f>
        <v/>
      </c>
      <c r="T25" s="435"/>
      <c r="U25" s="852" t="str">
        <f>IFERROR(VLOOKUP($B25,DataSheetDA!$C$4:$Y$238,U$12,0),"")</f>
        <v/>
      </c>
      <c r="V25" s="435"/>
      <c r="W25" s="851" t="str">
        <f>IFERROR(VLOOKUP($B25,DataSheetDA!$C$4:$Y$238,W$12,0),"")</f>
        <v/>
      </c>
      <c r="X25" s="436"/>
      <c r="Y25" s="538" t="str">
        <f>IF(C25="","",IF(VLOOKUP('Part 1'!$L$13,#REF!,10,FALSE)&lt;1,W25,0))</f>
        <v/>
      </c>
      <c r="Z25" s="531"/>
      <c r="AA25" s="852" t="str">
        <f>IFERROR(VLOOKUP($B25,DataSheetDA!$C$4:$Y$238,AA$12,0),"")</f>
        <v/>
      </c>
      <c r="AB25" s="435"/>
      <c r="AC25" s="433"/>
      <c r="AD25" s="432"/>
      <c r="AE25" s="491"/>
      <c r="AF25" s="657">
        <f>IF(IFERROR(VLOOKUP(B25,#REF!,3,0),"")=C25,0,1)</f>
        <v>0</v>
      </c>
      <c r="AG25" s="489"/>
      <c r="AH25" s="439"/>
    </row>
    <row r="26" spans="1:34" s="431" customFormat="1" ht="21" customHeight="1" thickBot="1" x14ac:dyDescent="0.3">
      <c r="A26" s="488">
        <v>14</v>
      </c>
      <c r="B26" s="430" t="str">
        <f t="shared" si="0"/>
        <v>EZZZZEZ14</v>
      </c>
      <c r="C26" s="659" t="str">
        <f>IFERROR(VLOOKUP($B26,DataSheetDA!$C$4:$Y$238,3,0),"")</f>
        <v/>
      </c>
      <c r="D26" s="438"/>
      <c r="E26" s="849" t="str">
        <f>IFERROR(VLOOKUP($B26,DataSheetDA!$C$4:$Y$238,E$12,0),"")</f>
        <v/>
      </c>
      <c r="F26" s="436"/>
      <c r="G26" s="850" t="str">
        <f>IFERROR(VLOOKUP($B26,DataSheetDA!$C$4:$Y$238,G$12,0),"")</f>
        <v/>
      </c>
      <c r="H26" s="435"/>
      <c r="I26" s="851" t="str">
        <f>IFERROR(VLOOKUP($B26,DataSheetDA!$C$4:$Y$238,I$12,0),"")</f>
        <v/>
      </c>
      <c r="J26" s="435"/>
      <c r="K26" s="851" t="str">
        <f>IFERROR(VLOOKUP($B26,DataSheetDA!$C$4:$Y$238,K$12,0),"")</f>
        <v/>
      </c>
      <c r="L26" s="437"/>
      <c r="M26" s="851" t="str">
        <f>IFERROR(VLOOKUP($B26,DataSheetDA!$C$4:$Y$238,M$12,0),"")</f>
        <v/>
      </c>
      <c r="N26" s="436"/>
      <c r="O26" s="434" t="str">
        <f>IFERROR(VLOOKUP($B26,DataSheetDA!$C$4:$Y$238,O$12,0),"")</f>
        <v/>
      </c>
      <c r="P26" s="436"/>
      <c r="Q26" s="854" t="str">
        <f>IFERROR(VLOOKUP($B26,DataSheetDA!$C$4:$Y$238,Q$12,0),"")</f>
        <v/>
      </c>
      <c r="R26" s="435"/>
      <c r="S26" s="853" t="str">
        <f>IFERROR(VLOOKUP($B26,DataSheetDA!$C$4:$Y$238,S$12,0),"")</f>
        <v/>
      </c>
      <c r="T26" s="435"/>
      <c r="U26" s="852" t="str">
        <f>IFERROR(VLOOKUP($B26,DataSheetDA!$C$4:$Y$238,U$12,0),"")</f>
        <v/>
      </c>
      <c r="V26" s="435"/>
      <c r="W26" s="851" t="str">
        <f>IFERROR(VLOOKUP($B26,DataSheetDA!$C$4:$Y$238,W$12,0),"")</f>
        <v/>
      </c>
      <c r="X26" s="436"/>
      <c r="Y26" s="538" t="str">
        <f>IF(C26="","",IF(VLOOKUP('Part 1'!$L$13,#REF!,10,FALSE)&lt;1,W26,0))</f>
        <v/>
      </c>
      <c r="Z26" s="531"/>
      <c r="AA26" s="852" t="str">
        <f>IFERROR(VLOOKUP($B26,DataSheetDA!$C$4:$Y$238,AA$12,0),"")</f>
        <v/>
      </c>
      <c r="AB26" s="435"/>
      <c r="AC26" s="433"/>
      <c r="AD26" s="432"/>
      <c r="AE26" s="491"/>
      <c r="AF26" s="657">
        <f>IF(IFERROR(VLOOKUP(B26,#REF!,3,0),"")=C26,0,1)</f>
        <v>0</v>
      </c>
      <c r="AG26" s="489"/>
      <c r="AH26" s="439"/>
    </row>
    <row r="27" spans="1:34" s="431" customFormat="1" ht="21" customHeight="1" thickBot="1" x14ac:dyDescent="0.3">
      <c r="A27" s="488">
        <v>15</v>
      </c>
      <c r="B27" s="430" t="str">
        <f t="shared" si="0"/>
        <v>EZZZZEZ15</v>
      </c>
      <c r="C27" s="659" t="str">
        <f>IFERROR(VLOOKUP($B27,DataSheetDA!$C$4:$Y$238,3,0),"")</f>
        <v/>
      </c>
      <c r="D27" s="438"/>
      <c r="E27" s="849" t="str">
        <f>IFERROR(VLOOKUP($B27,DataSheetDA!$C$4:$Y$238,E$12,0),"")</f>
        <v/>
      </c>
      <c r="F27" s="436"/>
      <c r="G27" s="850" t="str">
        <f>IFERROR(VLOOKUP($B27,DataSheetDA!$C$4:$Y$238,G$12,0),"")</f>
        <v/>
      </c>
      <c r="H27" s="435"/>
      <c r="I27" s="851" t="str">
        <f>IFERROR(VLOOKUP($B27,DataSheetDA!$C$4:$Y$238,I$12,0),"")</f>
        <v/>
      </c>
      <c r="J27" s="435"/>
      <c r="K27" s="851" t="str">
        <f>IFERROR(VLOOKUP($B27,DataSheetDA!$C$4:$Y$238,K$12,0),"")</f>
        <v/>
      </c>
      <c r="L27" s="437"/>
      <c r="M27" s="851" t="str">
        <f>IFERROR(VLOOKUP($B27,DataSheetDA!$C$4:$Y$238,M$12,0),"")</f>
        <v/>
      </c>
      <c r="N27" s="436"/>
      <c r="O27" s="434" t="str">
        <f>IFERROR(VLOOKUP($B27,DataSheetDA!$C$4:$Y$238,O$12,0),"")</f>
        <v/>
      </c>
      <c r="P27" s="436"/>
      <c r="Q27" s="854" t="str">
        <f>IFERROR(VLOOKUP($B27,DataSheetDA!$C$4:$Y$238,Q$12,0),"")</f>
        <v/>
      </c>
      <c r="R27" s="435"/>
      <c r="S27" s="853" t="str">
        <f>IFERROR(VLOOKUP($B27,DataSheetDA!$C$4:$Y$238,S$12,0),"")</f>
        <v/>
      </c>
      <c r="T27" s="435"/>
      <c r="U27" s="852" t="str">
        <f>IFERROR(VLOOKUP($B27,DataSheetDA!$C$4:$Y$238,U$12,0),"")</f>
        <v/>
      </c>
      <c r="V27" s="435"/>
      <c r="W27" s="851" t="str">
        <f>IFERROR(VLOOKUP($B27,DataSheetDA!$C$4:$Y$238,W$12,0),"")</f>
        <v/>
      </c>
      <c r="X27" s="436"/>
      <c r="Y27" s="538" t="str">
        <f>IF(C27="","",IF(VLOOKUP('Part 1'!$L$13,#REF!,10,FALSE)&lt;1,W27,0))</f>
        <v/>
      </c>
      <c r="Z27" s="531"/>
      <c r="AA27" s="852" t="str">
        <f>IFERROR(VLOOKUP($B27,DataSheetDA!$C$4:$Y$238,AA$12,0),"")</f>
        <v/>
      </c>
      <c r="AB27" s="435"/>
      <c r="AC27" s="433"/>
      <c r="AD27" s="432"/>
      <c r="AE27" s="491"/>
      <c r="AF27" s="657">
        <f>IF(IFERROR(VLOOKUP(B27,#REF!,3,0),"")=C27,0,1)</f>
        <v>0</v>
      </c>
      <c r="AG27" s="489"/>
      <c r="AH27" s="439"/>
    </row>
    <row r="28" spans="1:34" s="431" customFormat="1" ht="21" customHeight="1" thickBot="1" x14ac:dyDescent="0.3">
      <c r="A28" s="488">
        <v>16</v>
      </c>
      <c r="B28" s="430" t="str">
        <f t="shared" si="0"/>
        <v>EZZZZEZ16</v>
      </c>
      <c r="C28" s="659" t="str">
        <f>IFERROR(VLOOKUP($B28,DataSheetDA!$C$4:$Y$238,3,0),"")</f>
        <v/>
      </c>
      <c r="D28" s="438"/>
      <c r="E28" s="849" t="str">
        <f>IFERROR(VLOOKUP($B28,DataSheetDA!$C$4:$Y$238,E$12,0),"")</f>
        <v/>
      </c>
      <c r="F28" s="436"/>
      <c r="G28" s="850" t="str">
        <f>IFERROR(VLOOKUP($B28,DataSheetDA!$C$4:$Y$238,G$12,0),"")</f>
        <v/>
      </c>
      <c r="H28" s="435"/>
      <c r="I28" s="851" t="str">
        <f>IFERROR(VLOOKUP($B28,DataSheetDA!$C$4:$Y$238,I$12,0),"")</f>
        <v/>
      </c>
      <c r="J28" s="435"/>
      <c r="K28" s="851" t="str">
        <f>IFERROR(VLOOKUP($B28,DataSheetDA!$C$4:$Y$238,K$12,0),"")</f>
        <v/>
      </c>
      <c r="L28" s="437"/>
      <c r="M28" s="851" t="str">
        <f>IFERROR(VLOOKUP($B28,DataSheetDA!$C$4:$Y$238,M$12,0),"")</f>
        <v/>
      </c>
      <c r="N28" s="436"/>
      <c r="O28" s="434" t="str">
        <f>IFERROR(VLOOKUP($B28,DataSheetDA!$C$4:$Y$238,O$12,0),"")</f>
        <v/>
      </c>
      <c r="P28" s="436"/>
      <c r="Q28" s="854" t="str">
        <f>IFERROR(VLOOKUP($B28,DataSheetDA!$C$4:$Y$238,Q$12,0),"")</f>
        <v/>
      </c>
      <c r="R28" s="435"/>
      <c r="S28" s="853" t="str">
        <f>IFERROR(VLOOKUP($B28,DataSheetDA!$C$4:$Y$238,S$12,0),"")</f>
        <v/>
      </c>
      <c r="T28" s="435"/>
      <c r="U28" s="852" t="str">
        <f>IFERROR(VLOOKUP($B28,DataSheetDA!$C$4:$Y$238,U$12,0),"")</f>
        <v/>
      </c>
      <c r="V28" s="435"/>
      <c r="W28" s="851" t="str">
        <f>IFERROR(VLOOKUP($B28,DataSheetDA!$C$4:$Y$238,W$12,0),"")</f>
        <v/>
      </c>
      <c r="X28" s="436"/>
      <c r="Y28" s="538" t="str">
        <f>IF(C28="","",IF(VLOOKUP('Part 1'!$L$13,#REF!,10,FALSE)&lt;1,W28,0))</f>
        <v/>
      </c>
      <c r="Z28" s="531"/>
      <c r="AA28" s="852" t="str">
        <f>IFERROR(VLOOKUP($B28,DataSheetDA!$C$4:$Y$238,AA$12,0),"")</f>
        <v/>
      </c>
      <c r="AB28" s="435"/>
      <c r="AC28" s="433"/>
      <c r="AD28" s="432"/>
      <c r="AE28" s="491"/>
      <c r="AF28" s="657">
        <f>IF(IFERROR(VLOOKUP(B28,#REF!,3,0),"")=C28,0,1)</f>
        <v>0</v>
      </c>
      <c r="AG28" s="489"/>
      <c r="AH28" s="439"/>
    </row>
    <row r="29" spans="1:34" s="431" customFormat="1" ht="21" customHeight="1" thickBot="1" x14ac:dyDescent="0.3">
      <c r="A29" s="488">
        <v>17</v>
      </c>
      <c r="B29" s="430" t="str">
        <f t="shared" si="0"/>
        <v>EZZZZEZ17</v>
      </c>
      <c r="C29" s="659" t="str">
        <f>IFERROR(VLOOKUP($B29,DataSheetDA!$C$4:$Y$238,3,0),"")</f>
        <v/>
      </c>
      <c r="D29" s="438"/>
      <c r="E29" s="849" t="str">
        <f>IFERROR(VLOOKUP($B29,DataSheetDA!$C$4:$Y$238,E$12,0),"")</f>
        <v/>
      </c>
      <c r="F29" s="436"/>
      <c r="G29" s="850" t="str">
        <f>IFERROR(VLOOKUP($B29,DataSheetDA!$C$4:$Y$238,G$12,0),"")</f>
        <v/>
      </c>
      <c r="H29" s="435"/>
      <c r="I29" s="851" t="str">
        <f>IFERROR(VLOOKUP($B29,DataSheetDA!$C$4:$Y$238,I$12,0),"")</f>
        <v/>
      </c>
      <c r="J29" s="435"/>
      <c r="K29" s="851" t="str">
        <f>IFERROR(VLOOKUP($B29,DataSheetDA!$C$4:$Y$238,K$12,0),"")</f>
        <v/>
      </c>
      <c r="L29" s="437"/>
      <c r="M29" s="851" t="str">
        <f>IFERROR(VLOOKUP($B29,DataSheetDA!$C$4:$Y$238,M$12,0),"")</f>
        <v/>
      </c>
      <c r="N29" s="436"/>
      <c r="O29" s="434" t="str">
        <f>IFERROR(VLOOKUP($B29,DataSheetDA!$C$4:$Y$238,O$12,0),"")</f>
        <v/>
      </c>
      <c r="P29" s="436"/>
      <c r="Q29" s="854" t="str">
        <f>IFERROR(VLOOKUP($B29,DataSheetDA!$C$4:$Y$238,Q$12,0),"")</f>
        <v/>
      </c>
      <c r="R29" s="435"/>
      <c r="S29" s="853" t="str">
        <f>IFERROR(VLOOKUP($B29,DataSheetDA!$C$4:$Y$238,S$12,0),"")</f>
        <v/>
      </c>
      <c r="T29" s="435"/>
      <c r="U29" s="852" t="str">
        <f>IFERROR(VLOOKUP($B29,DataSheetDA!$C$4:$Y$238,U$12,0),"")</f>
        <v/>
      </c>
      <c r="V29" s="435"/>
      <c r="W29" s="851" t="str">
        <f>IFERROR(VLOOKUP($B29,DataSheetDA!$C$4:$Y$238,W$12,0),"")</f>
        <v/>
      </c>
      <c r="X29" s="436"/>
      <c r="Y29" s="538" t="str">
        <f>IF(C29="","",IF(VLOOKUP('Part 1'!$L$13,#REF!,10,FALSE)&lt;1,W29,0))</f>
        <v/>
      </c>
      <c r="Z29" s="531"/>
      <c r="AA29" s="852" t="str">
        <f>IFERROR(VLOOKUP($B29,DataSheetDA!$C$4:$Y$238,AA$12,0),"")</f>
        <v/>
      </c>
      <c r="AB29" s="435"/>
      <c r="AC29" s="433"/>
      <c r="AD29" s="432"/>
      <c r="AE29" s="491"/>
      <c r="AF29" s="657">
        <f>IF(IFERROR(VLOOKUP(B29,#REF!,3,0),"")=C29,0,1)</f>
        <v>0</v>
      </c>
      <c r="AG29" s="489"/>
      <c r="AH29" s="439"/>
    </row>
    <row r="30" spans="1:34" s="431" customFormat="1" ht="21" customHeight="1" thickBot="1" x14ac:dyDescent="0.3">
      <c r="A30" s="488">
        <v>18</v>
      </c>
      <c r="B30" s="430" t="str">
        <f t="shared" si="0"/>
        <v>EZZZZEZ18</v>
      </c>
      <c r="C30" s="659" t="str">
        <f>IFERROR(VLOOKUP($B30,DataSheetDA!$C$4:$Y$238,3,0),"")</f>
        <v/>
      </c>
      <c r="D30" s="438"/>
      <c r="E30" s="849" t="str">
        <f>IFERROR(VLOOKUP($B30,DataSheetDA!$C$4:$Y$238,E$12,0),"")</f>
        <v/>
      </c>
      <c r="F30" s="436"/>
      <c r="G30" s="850" t="str">
        <f>IFERROR(VLOOKUP($B30,DataSheetDA!$C$4:$Y$238,G$12,0),"")</f>
        <v/>
      </c>
      <c r="H30" s="435"/>
      <c r="I30" s="851" t="str">
        <f>IFERROR(VLOOKUP($B30,DataSheetDA!$C$4:$Y$238,I$12,0),"")</f>
        <v/>
      </c>
      <c r="J30" s="435"/>
      <c r="K30" s="851" t="str">
        <f>IFERROR(VLOOKUP($B30,DataSheetDA!$C$4:$Y$238,K$12,0),"")</f>
        <v/>
      </c>
      <c r="L30" s="437"/>
      <c r="M30" s="851" t="str">
        <f>IFERROR(VLOOKUP($B30,DataSheetDA!$C$4:$Y$238,M$12,0),"")</f>
        <v/>
      </c>
      <c r="N30" s="436"/>
      <c r="O30" s="434" t="str">
        <f>IFERROR(VLOOKUP($B30,DataSheetDA!$C$4:$Y$238,O$12,0),"")</f>
        <v/>
      </c>
      <c r="P30" s="436"/>
      <c r="Q30" s="854" t="str">
        <f>IFERROR(VLOOKUP($B30,DataSheetDA!$C$4:$Y$238,Q$12,0),"")</f>
        <v/>
      </c>
      <c r="R30" s="435"/>
      <c r="S30" s="853" t="str">
        <f>IFERROR(VLOOKUP($B30,DataSheetDA!$C$4:$Y$238,S$12,0),"")</f>
        <v/>
      </c>
      <c r="T30" s="435"/>
      <c r="U30" s="852" t="str">
        <f>IFERROR(VLOOKUP($B30,DataSheetDA!$C$4:$Y$238,U$12,0),"")</f>
        <v/>
      </c>
      <c r="V30" s="435"/>
      <c r="W30" s="851" t="str">
        <f>IFERROR(VLOOKUP($B30,DataSheetDA!$C$4:$Y$238,W$12,0),"")</f>
        <v/>
      </c>
      <c r="X30" s="436"/>
      <c r="Y30" s="538" t="str">
        <f>IF(C30="","",IF(VLOOKUP('Part 1'!$L$13,#REF!,10,FALSE)&lt;1,W30,0))</f>
        <v/>
      </c>
      <c r="Z30" s="531"/>
      <c r="AA30" s="852" t="str">
        <f>IFERROR(VLOOKUP($B30,DataSheetDA!$C$4:$Y$238,AA$12,0),"")</f>
        <v/>
      </c>
      <c r="AB30" s="435"/>
      <c r="AC30" s="433"/>
      <c r="AD30" s="432"/>
      <c r="AE30" s="491"/>
      <c r="AF30" s="657">
        <f>IF(IFERROR(VLOOKUP(B30,#REF!,3,0),"")=C30,0,1)</f>
        <v>0</v>
      </c>
      <c r="AG30" s="489"/>
      <c r="AH30" s="439"/>
    </row>
    <row r="31" spans="1:34" s="431" customFormat="1" ht="21" customHeight="1" thickBot="1" x14ac:dyDescent="0.3">
      <c r="A31" s="488">
        <v>19</v>
      </c>
      <c r="B31" s="430" t="str">
        <f t="shared" si="0"/>
        <v>EZZZZEZ19</v>
      </c>
      <c r="C31" s="659" t="str">
        <f>IFERROR(VLOOKUP($B31,DataSheetDA!$C$4:$Y$238,3,0),"")</f>
        <v/>
      </c>
      <c r="D31" s="438"/>
      <c r="E31" s="849" t="str">
        <f>IFERROR(VLOOKUP($B31,DataSheetDA!$C$4:$Y$238,E$12,0),"")</f>
        <v/>
      </c>
      <c r="F31" s="436"/>
      <c r="G31" s="850" t="str">
        <f>IFERROR(VLOOKUP($B31,DataSheetDA!$C$4:$Y$238,G$12,0),"")</f>
        <v/>
      </c>
      <c r="H31" s="435"/>
      <c r="I31" s="851" t="str">
        <f>IFERROR(VLOOKUP($B31,DataSheetDA!$C$4:$Y$238,I$12,0),"")</f>
        <v/>
      </c>
      <c r="J31" s="435"/>
      <c r="K31" s="851" t="str">
        <f>IFERROR(VLOOKUP($B31,DataSheetDA!$C$4:$Y$238,K$12,0),"")</f>
        <v/>
      </c>
      <c r="L31" s="437"/>
      <c r="M31" s="851" t="str">
        <f>IFERROR(VLOOKUP($B31,DataSheetDA!$C$4:$Y$238,M$12,0),"")</f>
        <v/>
      </c>
      <c r="N31" s="436"/>
      <c r="O31" s="434" t="str">
        <f>IFERROR(VLOOKUP($B31,DataSheetDA!$C$4:$Y$238,O$12,0),"")</f>
        <v/>
      </c>
      <c r="P31" s="436"/>
      <c r="Q31" s="854" t="str">
        <f>IFERROR(VLOOKUP($B31,DataSheetDA!$C$4:$Y$238,Q$12,0),"")</f>
        <v/>
      </c>
      <c r="R31" s="435"/>
      <c r="S31" s="853" t="str">
        <f>IFERROR(VLOOKUP($B31,DataSheetDA!$C$4:$Y$238,S$12,0),"")</f>
        <v/>
      </c>
      <c r="T31" s="435"/>
      <c r="U31" s="852" t="str">
        <f>IFERROR(VLOOKUP($B31,DataSheetDA!$C$4:$Y$238,U$12,0),"")</f>
        <v/>
      </c>
      <c r="V31" s="435"/>
      <c r="W31" s="851" t="str">
        <f>IFERROR(VLOOKUP($B31,DataSheetDA!$C$4:$Y$238,W$12,0),"")</f>
        <v/>
      </c>
      <c r="X31" s="436"/>
      <c r="Y31" s="538" t="str">
        <f>IF(C31="","",IF(VLOOKUP('Part 1'!$L$13,#REF!,10,FALSE)&lt;1,W31,0))</f>
        <v/>
      </c>
      <c r="Z31" s="531"/>
      <c r="AA31" s="852" t="str">
        <f>IFERROR(VLOOKUP($B31,DataSheetDA!$C$4:$Y$238,AA$12,0),"")</f>
        <v/>
      </c>
      <c r="AB31" s="435"/>
      <c r="AC31" s="433"/>
      <c r="AD31" s="432"/>
      <c r="AE31" s="491"/>
      <c r="AF31" s="657">
        <f>IF(IFERROR(VLOOKUP(B31,#REF!,3,0),"")=C31,0,1)</f>
        <v>0</v>
      </c>
      <c r="AG31" s="489"/>
      <c r="AH31" s="439"/>
    </row>
    <row r="32" spans="1:34" s="431" customFormat="1" ht="21" customHeight="1" thickBot="1" x14ac:dyDescent="0.3">
      <c r="A32" s="488">
        <v>20</v>
      </c>
      <c r="B32" s="430" t="str">
        <f t="shared" si="0"/>
        <v>EZZZZEZ20</v>
      </c>
      <c r="C32" s="659" t="str">
        <f>IFERROR(VLOOKUP($B32,DataSheetDA!$C$4:$Y$238,3,0),"")</f>
        <v/>
      </c>
      <c r="D32" s="438"/>
      <c r="E32" s="849" t="str">
        <f>IFERROR(VLOOKUP($B32,DataSheetDA!$C$4:$Y$238,E$12,0),"")</f>
        <v/>
      </c>
      <c r="F32" s="436"/>
      <c r="G32" s="850" t="str">
        <f>IFERROR(VLOOKUP($B32,DataSheetDA!$C$4:$Y$238,G$12,0),"")</f>
        <v/>
      </c>
      <c r="H32" s="435"/>
      <c r="I32" s="851" t="str">
        <f>IFERROR(VLOOKUP($B32,DataSheetDA!$C$4:$Y$238,I$12,0),"")</f>
        <v/>
      </c>
      <c r="J32" s="435"/>
      <c r="K32" s="851" t="str">
        <f>IFERROR(VLOOKUP($B32,DataSheetDA!$C$4:$Y$238,K$12,0),"")</f>
        <v/>
      </c>
      <c r="L32" s="437"/>
      <c r="M32" s="851" t="str">
        <f>IFERROR(VLOOKUP($B32,DataSheetDA!$C$4:$Y$238,M$12,0),"")</f>
        <v/>
      </c>
      <c r="N32" s="436"/>
      <c r="O32" s="434" t="str">
        <f>IFERROR(VLOOKUP($B32,DataSheetDA!$C$4:$Y$238,O$12,0),"")</f>
        <v/>
      </c>
      <c r="P32" s="436"/>
      <c r="Q32" s="854" t="str">
        <f>IFERROR(VLOOKUP($B32,DataSheetDA!$C$4:$Y$238,Q$12,0),"")</f>
        <v/>
      </c>
      <c r="R32" s="435"/>
      <c r="S32" s="853" t="str">
        <f>IFERROR(VLOOKUP($B32,DataSheetDA!$C$4:$Y$238,S$12,0),"")</f>
        <v/>
      </c>
      <c r="T32" s="435"/>
      <c r="U32" s="852" t="str">
        <f>IFERROR(VLOOKUP($B32,DataSheetDA!$C$4:$Y$238,U$12,0),"")</f>
        <v/>
      </c>
      <c r="V32" s="435"/>
      <c r="W32" s="851" t="str">
        <f>IFERROR(VLOOKUP($B32,DataSheetDA!$C$4:$Y$238,W$12,0),"")</f>
        <v/>
      </c>
      <c r="X32" s="436"/>
      <c r="Y32" s="538" t="str">
        <f>IF(C32="","",IF(VLOOKUP('Part 1'!$L$13,#REF!,10,FALSE)&lt;1,W32,0))</f>
        <v/>
      </c>
      <c r="Z32" s="531"/>
      <c r="AA32" s="852" t="str">
        <f>IFERROR(VLOOKUP($B32,DataSheetDA!$C$4:$Y$238,AA$12,0),"")</f>
        <v/>
      </c>
      <c r="AB32" s="435"/>
      <c r="AC32" s="433"/>
      <c r="AD32" s="432"/>
      <c r="AE32" s="491"/>
      <c r="AF32" s="657">
        <f>IF(IFERROR(VLOOKUP(B32,#REF!,3,0),"")=C32,0,1)</f>
        <v>0</v>
      </c>
      <c r="AG32" s="489"/>
      <c r="AH32" s="439"/>
    </row>
    <row r="33" spans="1:34" s="431" customFormat="1" ht="21" customHeight="1" thickBot="1" x14ac:dyDescent="0.3">
      <c r="A33" s="488">
        <v>21</v>
      </c>
      <c r="B33" s="430" t="str">
        <f t="shared" si="0"/>
        <v>EZZZZEZ21</v>
      </c>
      <c r="C33" s="659" t="str">
        <f>IFERROR(VLOOKUP($B33,DataSheetDA!$C$4:$Y$238,3,0),"")</f>
        <v/>
      </c>
      <c r="D33" s="438"/>
      <c r="E33" s="849" t="str">
        <f>IFERROR(VLOOKUP($B33,DataSheetDA!$C$4:$Y$238,E$12,0),"")</f>
        <v/>
      </c>
      <c r="F33" s="436"/>
      <c r="G33" s="850" t="str">
        <f>IFERROR(VLOOKUP($B33,DataSheetDA!$C$4:$Y$238,G$12,0),"")</f>
        <v/>
      </c>
      <c r="H33" s="435"/>
      <c r="I33" s="851" t="str">
        <f>IFERROR(VLOOKUP($B33,DataSheetDA!$C$4:$Y$238,I$12,0),"")</f>
        <v/>
      </c>
      <c r="J33" s="435"/>
      <c r="K33" s="851" t="str">
        <f>IFERROR(VLOOKUP($B33,DataSheetDA!$C$4:$Y$238,K$12,0),"")</f>
        <v/>
      </c>
      <c r="L33" s="437"/>
      <c r="M33" s="851" t="str">
        <f>IFERROR(VLOOKUP($B33,DataSheetDA!$C$4:$Y$238,M$12,0),"")</f>
        <v/>
      </c>
      <c r="N33" s="436"/>
      <c r="O33" s="434" t="str">
        <f>IFERROR(VLOOKUP($B33,DataSheetDA!$C$4:$Y$238,O$12,0),"")</f>
        <v/>
      </c>
      <c r="P33" s="436"/>
      <c r="Q33" s="854" t="str">
        <f>IFERROR(VLOOKUP($B33,DataSheetDA!$C$4:$Y$238,Q$12,0),"")</f>
        <v/>
      </c>
      <c r="R33" s="435"/>
      <c r="S33" s="853" t="str">
        <f>IFERROR(VLOOKUP($B33,DataSheetDA!$C$4:$Y$238,S$12,0),"")</f>
        <v/>
      </c>
      <c r="T33" s="435"/>
      <c r="U33" s="852" t="str">
        <f>IFERROR(VLOOKUP($B33,DataSheetDA!$C$4:$Y$238,U$12,0),"")</f>
        <v/>
      </c>
      <c r="V33" s="435"/>
      <c r="W33" s="851" t="str">
        <f>IFERROR(VLOOKUP($B33,DataSheetDA!$C$4:$Y$238,W$12,0),"")</f>
        <v/>
      </c>
      <c r="X33" s="436"/>
      <c r="Y33" s="538" t="str">
        <f>IF(C33="","",IF(VLOOKUP('Part 1'!$L$13,#REF!,10,FALSE)&lt;1,W33,0))</f>
        <v/>
      </c>
      <c r="Z33" s="531"/>
      <c r="AA33" s="852" t="str">
        <f>IFERROR(VLOOKUP($B33,DataSheetDA!$C$4:$Y$238,AA$12,0),"")</f>
        <v/>
      </c>
      <c r="AB33" s="435"/>
      <c r="AC33" s="433"/>
      <c r="AD33" s="432"/>
      <c r="AE33" s="491"/>
      <c r="AF33" s="657">
        <f>IF(IFERROR(VLOOKUP(B33,#REF!,3,0),"")=C33,0,1)</f>
        <v>0</v>
      </c>
      <c r="AG33" s="489"/>
      <c r="AH33" s="439"/>
    </row>
    <row r="34" spans="1:34" s="431" customFormat="1" ht="21" customHeight="1" thickBot="1" x14ac:dyDescent="0.3">
      <c r="A34" s="488">
        <v>22</v>
      </c>
      <c r="B34" s="430" t="str">
        <f t="shared" si="0"/>
        <v>EZZZZEZ22</v>
      </c>
      <c r="C34" s="659" t="str">
        <f>IFERROR(VLOOKUP($B34,DataSheetDA!$C$4:$Y$238,3,0),"")</f>
        <v/>
      </c>
      <c r="D34" s="438"/>
      <c r="E34" s="849" t="str">
        <f>IFERROR(VLOOKUP($B34,DataSheetDA!$C$4:$Y$238,E$12,0),"")</f>
        <v/>
      </c>
      <c r="F34" s="436"/>
      <c r="G34" s="850" t="str">
        <f>IFERROR(VLOOKUP($B34,DataSheetDA!$C$4:$Y$238,G$12,0),"")</f>
        <v/>
      </c>
      <c r="H34" s="435"/>
      <c r="I34" s="851" t="str">
        <f>IFERROR(VLOOKUP($B34,DataSheetDA!$C$4:$Y$238,I$12,0),"")</f>
        <v/>
      </c>
      <c r="J34" s="435"/>
      <c r="K34" s="851" t="str">
        <f>IFERROR(VLOOKUP($B34,DataSheetDA!$C$4:$Y$238,K$12,0),"")</f>
        <v/>
      </c>
      <c r="L34" s="437"/>
      <c r="M34" s="851" t="str">
        <f>IFERROR(VLOOKUP($B34,DataSheetDA!$C$4:$Y$238,M$12,0),"")</f>
        <v/>
      </c>
      <c r="N34" s="436"/>
      <c r="O34" s="434" t="str">
        <f>IFERROR(VLOOKUP($B34,DataSheetDA!$C$4:$Y$238,O$12,0),"")</f>
        <v/>
      </c>
      <c r="P34" s="436"/>
      <c r="Q34" s="854" t="str">
        <f>IFERROR(VLOOKUP($B34,DataSheetDA!$C$4:$Y$238,Q$12,0),"")</f>
        <v/>
      </c>
      <c r="R34" s="435"/>
      <c r="S34" s="853" t="str">
        <f>IFERROR(VLOOKUP($B34,DataSheetDA!$C$4:$Y$238,S$12,0),"")</f>
        <v/>
      </c>
      <c r="T34" s="435"/>
      <c r="U34" s="852" t="str">
        <f>IFERROR(VLOOKUP($B34,DataSheetDA!$C$4:$Y$238,U$12,0),"")</f>
        <v/>
      </c>
      <c r="V34" s="435"/>
      <c r="W34" s="851" t="str">
        <f>IFERROR(VLOOKUP($B34,DataSheetDA!$C$4:$Y$238,W$12,0),"")</f>
        <v/>
      </c>
      <c r="X34" s="436"/>
      <c r="Y34" s="538" t="str">
        <f>IF(C34="","",IF(VLOOKUP('Part 1'!$L$13,#REF!,10,FALSE)&lt;1,W34,0))</f>
        <v/>
      </c>
      <c r="Z34" s="531"/>
      <c r="AA34" s="852" t="str">
        <f>IFERROR(VLOOKUP($B34,DataSheetDA!$C$4:$Y$238,AA$12,0),"")</f>
        <v/>
      </c>
      <c r="AB34" s="435"/>
      <c r="AC34" s="433"/>
      <c r="AD34" s="432"/>
      <c r="AE34" s="491"/>
      <c r="AF34" s="657">
        <f>IF(IFERROR(VLOOKUP(B34,#REF!,3,0),"")=C34,0,1)</f>
        <v>0</v>
      </c>
      <c r="AG34" s="489"/>
      <c r="AH34" s="439"/>
    </row>
    <row r="35" spans="1:34" s="431" customFormat="1" ht="21" customHeight="1" thickBot="1" x14ac:dyDescent="0.3">
      <c r="A35" s="488">
        <v>23</v>
      </c>
      <c r="B35" s="430" t="str">
        <f t="shared" si="0"/>
        <v>EZZZZEZ23</v>
      </c>
      <c r="C35" s="659" t="str">
        <f>IFERROR(VLOOKUP($B35,DataSheetDA!$C$4:$Y$238,3,0),"")</f>
        <v/>
      </c>
      <c r="D35" s="438"/>
      <c r="E35" s="849" t="str">
        <f>IFERROR(VLOOKUP($B35,DataSheetDA!$C$4:$Y$238,E$12,0),"")</f>
        <v/>
      </c>
      <c r="F35" s="436"/>
      <c r="G35" s="850" t="str">
        <f>IFERROR(VLOOKUP($B35,DataSheetDA!$C$4:$Y$238,G$12,0),"")</f>
        <v/>
      </c>
      <c r="H35" s="435"/>
      <c r="I35" s="851" t="str">
        <f>IFERROR(VLOOKUP($B35,DataSheetDA!$C$4:$Y$238,I$12,0),"")</f>
        <v/>
      </c>
      <c r="J35" s="435"/>
      <c r="K35" s="851" t="str">
        <f>IFERROR(VLOOKUP($B35,DataSheetDA!$C$4:$Y$238,K$12,0),"")</f>
        <v/>
      </c>
      <c r="L35" s="437"/>
      <c r="M35" s="851" t="str">
        <f>IFERROR(VLOOKUP($B35,DataSheetDA!$C$4:$Y$238,M$12,0),"")</f>
        <v/>
      </c>
      <c r="N35" s="436"/>
      <c r="O35" s="434" t="str">
        <f>IFERROR(VLOOKUP($B35,DataSheetDA!$C$4:$Y$238,O$12,0),"")</f>
        <v/>
      </c>
      <c r="P35" s="436"/>
      <c r="Q35" s="854" t="str">
        <f>IFERROR(VLOOKUP($B35,DataSheetDA!$C$4:$Y$238,Q$12,0),"")</f>
        <v/>
      </c>
      <c r="R35" s="435"/>
      <c r="S35" s="853" t="str">
        <f>IFERROR(VLOOKUP($B35,DataSheetDA!$C$4:$Y$238,S$12,0),"")</f>
        <v/>
      </c>
      <c r="T35" s="435"/>
      <c r="U35" s="852" t="str">
        <f>IFERROR(VLOOKUP($B35,DataSheetDA!$C$4:$Y$238,U$12,0),"")</f>
        <v/>
      </c>
      <c r="V35" s="435"/>
      <c r="W35" s="851" t="str">
        <f>IFERROR(VLOOKUP($B35,DataSheetDA!$C$4:$Y$238,W$12,0),"")</f>
        <v/>
      </c>
      <c r="X35" s="436"/>
      <c r="Y35" s="538" t="str">
        <f>IF(C35="","",IF(VLOOKUP('Part 1'!$L$13,#REF!,10,FALSE)&lt;1,W35,0))</f>
        <v/>
      </c>
      <c r="Z35" s="531"/>
      <c r="AA35" s="852" t="str">
        <f>IFERROR(VLOOKUP($B35,DataSheetDA!$C$4:$Y$238,AA$12,0),"")</f>
        <v/>
      </c>
      <c r="AB35" s="435"/>
      <c r="AC35" s="433"/>
      <c r="AD35" s="432"/>
      <c r="AE35" s="491"/>
      <c r="AF35" s="657">
        <f>IF(IFERROR(VLOOKUP(B35,#REF!,3,0),"")=C35,0,1)</f>
        <v>0</v>
      </c>
      <c r="AG35" s="489"/>
      <c r="AH35" s="439"/>
    </row>
    <row r="36" spans="1:34" s="431" customFormat="1" ht="21" customHeight="1" thickBot="1" x14ac:dyDescent="0.3">
      <c r="A36" s="488">
        <v>24</v>
      </c>
      <c r="B36" s="430" t="str">
        <f t="shared" si="0"/>
        <v>EZZZZEZ24</v>
      </c>
      <c r="C36" s="659" t="str">
        <f>IFERROR(VLOOKUP($B36,DataSheetDA!$C$4:$Y$238,3,0),"")</f>
        <v/>
      </c>
      <c r="D36" s="438"/>
      <c r="E36" s="849" t="str">
        <f>IFERROR(VLOOKUP($B36,DataSheetDA!$C$4:$Y$238,E$12,0),"")</f>
        <v/>
      </c>
      <c r="F36" s="436"/>
      <c r="G36" s="850" t="str">
        <f>IFERROR(VLOOKUP($B36,DataSheetDA!$C$4:$Y$238,G$12,0),"")</f>
        <v/>
      </c>
      <c r="H36" s="435"/>
      <c r="I36" s="851" t="str">
        <f>IFERROR(VLOOKUP($B36,DataSheetDA!$C$4:$Y$238,I$12,0),"")</f>
        <v/>
      </c>
      <c r="J36" s="435"/>
      <c r="K36" s="851" t="str">
        <f>IFERROR(VLOOKUP($B36,DataSheetDA!$C$4:$Y$238,K$12,0),"")</f>
        <v/>
      </c>
      <c r="L36" s="437"/>
      <c r="M36" s="851" t="str">
        <f>IFERROR(VLOOKUP($B36,DataSheetDA!$C$4:$Y$238,M$12,0),"")</f>
        <v/>
      </c>
      <c r="N36" s="436"/>
      <c r="O36" s="434" t="str">
        <f>IFERROR(VLOOKUP($B36,DataSheetDA!$C$4:$Y$238,O$12,0),"")</f>
        <v/>
      </c>
      <c r="P36" s="436"/>
      <c r="Q36" s="854" t="str">
        <f>IFERROR(VLOOKUP($B36,DataSheetDA!$C$4:$Y$238,Q$12,0),"")</f>
        <v/>
      </c>
      <c r="R36" s="435"/>
      <c r="S36" s="853" t="str">
        <f>IFERROR(VLOOKUP($B36,DataSheetDA!$C$4:$Y$238,S$12,0),"")</f>
        <v/>
      </c>
      <c r="T36" s="435"/>
      <c r="U36" s="852" t="str">
        <f>IFERROR(VLOOKUP($B36,DataSheetDA!$C$4:$Y$238,U$12,0),"")</f>
        <v/>
      </c>
      <c r="V36" s="435"/>
      <c r="W36" s="851" t="str">
        <f>IFERROR(VLOOKUP($B36,DataSheetDA!$C$4:$Y$238,W$12,0),"")</f>
        <v/>
      </c>
      <c r="X36" s="436"/>
      <c r="Y36" s="538" t="str">
        <f>IF(C36="","",IF(VLOOKUP('Part 1'!$L$13,#REF!,10,FALSE)&lt;1,W36,0))</f>
        <v/>
      </c>
      <c r="Z36" s="531"/>
      <c r="AA36" s="852" t="str">
        <f>IFERROR(VLOOKUP($B36,DataSheetDA!$C$4:$Y$238,AA$12,0),"")</f>
        <v/>
      </c>
      <c r="AB36" s="435"/>
      <c r="AC36" s="433"/>
      <c r="AD36" s="432"/>
      <c r="AE36" s="491"/>
      <c r="AF36" s="657">
        <f>IF(IFERROR(VLOOKUP(B36,#REF!,3,0),"")=C36,0,1)</f>
        <v>0</v>
      </c>
      <c r="AG36" s="489"/>
      <c r="AH36" s="439"/>
    </row>
    <row r="37" spans="1:34" s="431" customFormat="1" ht="21" customHeight="1" thickBot="1" x14ac:dyDescent="0.3">
      <c r="A37" s="488">
        <v>25</v>
      </c>
      <c r="B37" s="430" t="str">
        <f t="shared" si="0"/>
        <v>EZZZZEZ25</v>
      </c>
      <c r="C37" s="659" t="str">
        <f>IFERROR(VLOOKUP($B37,DataSheetDA!$C$4:$Y$238,3,0),"")</f>
        <v/>
      </c>
      <c r="D37" s="438"/>
      <c r="E37" s="849" t="str">
        <f>IFERROR(VLOOKUP($B37,DataSheetDA!$C$4:$Y$238,E$12,0),"")</f>
        <v/>
      </c>
      <c r="F37" s="436"/>
      <c r="G37" s="850" t="str">
        <f>IFERROR(VLOOKUP($B37,DataSheetDA!$C$4:$Y$238,G$12,0),"")</f>
        <v/>
      </c>
      <c r="H37" s="435"/>
      <c r="I37" s="851" t="str">
        <f>IFERROR(VLOOKUP($B37,DataSheetDA!$C$4:$Y$238,I$12,0),"")</f>
        <v/>
      </c>
      <c r="J37" s="435"/>
      <c r="K37" s="851" t="str">
        <f>IFERROR(VLOOKUP($B37,DataSheetDA!$C$4:$Y$238,K$12,0),"")</f>
        <v/>
      </c>
      <c r="L37" s="437"/>
      <c r="M37" s="851" t="str">
        <f>IFERROR(VLOOKUP($B37,DataSheetDA!$C$4:$Y$238,M$12,0),"")</f>
        <v/>
      </c>
      <c r="N37" s="436"/>
      <c r="O37" s="434" t="str">
        <f>IFERROR(VLOOKUP($B37,DataSheetDA!$C$4:$Y$238,O$12,0),"")</f>
        <v/>
      </c>
      <c r="P37" s="436"/>
      <c r="Q37" s="854" t="str">
        <f>IFERROR(VLOOKUP($B37,DataSheetDA!$C$4:$Y$238,Q$12,0),"")</f>
        <v/>
      </c>
      <c r="R37" s="435"/>
      <c r="S37" s="853" t="str">
        <f>IFERROR(VLOOKUP($B37,DataSheetDA!$C$4:$Y$238,S$12,0),"")</f>
        <v/>
      </c>
      <c r="T37" s="435"/>
      <c r="U37" s="852" t="str">
        <f>IFERROR(VLOOKUP($B37,DataSheetDA!$C$4:$Y$238,U$12,0),"")</f>
        <v/>
      </c>
      <c r="V37" s="435"/>
      <c r="W37" s="851" t="str">
        <f>IFERROR(VLOOKUP($B37,DataSheetDA!$C$4:$Y$238,W$12,0),"")</f>
        <v/>
      </c>
      <c r="X37" s="436"/>
      <c r="Y37" s="538" t="str">
        <f>IF(C37="","",IF(VLOOKUP('Part 1'!$L$13,#REF!,10,FALSE)&lt;1,W37,0))</f>
        <v/>
      </c>
      <c r="Z37" s="531"/>
      <c r="AA37" s="852" t="str">
        <f>IFERROR(VLOOKUP($B37,DataSheetDA!$C$4:$Y$238,AA$12,0),"")</f>
        <v/>
      </c>
      <c r="AB37" s="435"/>
      <c r="AC37" s="433"/>
      <c r="AD37" s="432"/>
      <c r="AE37" s="491"/>
      <c r="AF37" s="657">
        <f>IF(IFERROR(VLOOKUP(B37,#REF!,3,0),"")=C37,0,1)</f>
        <v>0</v>
      </c>
      <c r="AG37" s="489"/>
    </row>
    <row r="38" spans="1:34" s="431" customFormat="1" ht="21" customHeight="1" thickBot="1" x14ac:dyDescent="0.3">
      <c r="A38" s="488">
        <v>26</v>
      </c>
      <c r="B38" s="430" t="str">
        <f t="shared" si="0"/>
        <v>EZZZZEZ26</v>
      </c>
      <c r="C38" s="659" t="str">
        <f>IFERROR(VLOOKUP($B38,DataSheetDA!$C$4:$Y$238,3,0),"")</f>
        <v/>
      </c>
      <c r="D38" s="438"/>
      <c r="E38" s="849" t="str">
        <f>IFERROR(VLOOKUP($B38,DataSheetDA!$C$4:$Y$238,E$12,0),"")</f>
        <v/>
      </c>
      <c r="F38" s="436"/>
      <c r="G38" s="850" t="str">
        <f>IFERROR(VLOOKUP($B38,DataSheetDA!$C$4:$Y$238,G$12,0),"")</f>
        <v/>
      </c>
      <c r="H38" s="435"/>
      <c r="I38" s="851" t="str">
        <f>IFERROR(VLOOKUP($B38,DataSheetDA!$C$4:$Y$238,I$12,0),"")</f>
        <v/>
      </c>
      <c r="J38" s="435"/>
      <c r="K38" s="851" t="str">
        <f>IFERROR(VLOOKUP($B38,DataSheetDA!$C$4:$Y$238,K$12,0),"")</f>
        <v/>
      </c>
      <c r="L38" s="437"/>
      <c r="M38" s="851" t="str">
        <f>IFERROR(VLOOKUP($B38,DataSheetDA!$C$4:$Y$238,M$12,0),"")</f>
        <v/>
      </c>
      <c r="N38" s="436"/>
      <c r="O38" s="434" t="str">
        <f>IFERROR(VLOOKUP($B38,DataSheetDA!$C$4:$Y$238,O$12,0),"")</f>
        <v/>
      </c>
      <c r="P38" s="436"/>
      <c r="Q38" s="854" t="str">
        <f>IFERROR(VLOOKUP($B38,DataSheetDA!$C$4:$Y$238,Q$12,0),"")</f>
        <v/>
      </c>
      <c r="R38" s="435"/>
      <c r="S38" s="853" t="str">
        <f>IFERROR(VLOOKUP($B38,DataSheetDA!$C$4:$Y$238,S$12,0),"")</f>
        <v/>
      </c>
      <c r="T38" s="435"/>
      <c r="U38" s="852" t="str">
        <f>IFERROR(VLOOKUP($B38,DataSheetDA!$C$4:$Y$238,U$12,0),"")</f>
        <v/>
      </c>
      <c r="V38" s="435"/>
      <c r="W38" s="851" t="str">
        <f>IFERROR(VLOOKUP($B38,DataSheetDA!$C$4:$Y$238,W$12,0),"")</f>
        <v/>
      </c>
      <c r="X38" s="436"/>
      <c r="Y38" s="538" t="str">
        <f>IF(C38="","",IF(VLOOKUP('Part 1'!$L$13,#REF!,10,FALSE)&lt;1,W38,0))</f>
        <v/>
      </c>
      <c r="Z38" s="531"/>
      <c r="AA38" s="852" t="str">
        <f>IFERROR(VLOOKUP($B38,DataSheetDA!$C$4:$Y$238,AA$12,0),"")</f>
        <v/>
      </c>
      <c r="AB38" s="435"/>
      <c r="AC38" s="433"/>
      <c r="AD38" s="432"/>
      <c r="AE38" s="491"/>
      <c r="AF38" s="657">
        <f>IF(IFERROR(VLOOKUP(B38,#REF!,3,0),"")=C38,0,1)</f>
        <v>0</v>
      </c>
      <c r="AG38" s="489"/>
    </row>
    <row r="39" spans="1:34" s="431" customFormat="1" ht="21" customHeight="1" thickBot="1" x14ac:dyDescent="0.3">
      <c r="A39" s="488">
        <v>27</v>
      </c>
      <c r="B39" s="430" t="str">
        <f t="shared" si="0"/>
        <v>EZZZZEZ27</v>
      </c>
      <c r="C39" s="659" t="str">
        <f>IFERROR(VLOOKUP($B39,DataSheetDA!$C$4:$Y$238,3,0),"")</f>
        <v/>
      </c>
      <c r="D39" s="438"/>
      <c r="E39" s="849" t="str">
        <f>IFERROR(VLOOKUP($B39,DataSheetDA!$C$4:$Y$238,E$12,0),"")</f>
        <v/>
      </c>
      <c r="F39" s="436"/>
      <c r="G39" s="850" t="str">
        <f>IFERROR(VLOOKUP($B39,DataSheetDA!$C$4:$Y$238,G$12,0),"")</f>
        <v/>
      </c>
      <c r="H39" s="435"/>
      <c r="I39" s="851" t="str">
        <f>IFERROR(VLOOKUP($B39,DataSheetDA!$C$4:$Y$238,I$12,0),"")</f>
        <v/>
      </c>
      <c r="J39" s="435"/>
      <c r="K39" s="851" t="str">
        <f>IFERROR(VLOOKUP($B39,DataSheetDA!$C$4:$Y$238,K$12,0),"")</f>
        <v/>
      </c>
      <c r="L39" s="437"/>
      <c r="M39" s="851" t="str">
        <f>IFERROR(VLOOKUP($B39,DataSheetDA!$C$4:$Y$238,M$12,0),"")</f>
        <v/>
      </c>
      <c r="N39" s="436"/>
      <c r="O39" s="434" t="str">
        <f>IFERROR(VLOOKUP($B39,DataSheetDA!$C$4:$Y$238,O$12,0),"")</f>
        <v/>
      </c>
      <c r="P39" s="436"/>
      <c r="Q39" s="854" t="str">
        <f>IFERROR(VLOOKUP($B39,DataSheetDA!$C$4:$Y$238,Q$12,0),"")</f>
        <v/>
      </c>
      <c r="R39" s="435"/>
      <c r="S39" s="853" t="str">
        <f>IFERROR(VLOOKUP($B39,DataSheetDA!$C$4:$Y$238,S$12,0),"")</f>
        <v/>
      </c>
      <c r="T39" s="435"/>
      <c r="U39" s="852" t="str">
        <f>IFERROR(VLOOKUP($B39,DataSheetDA!$C$4:$Y$238,U$12,0),"")</f>
        <v/>
      </c>
      <c r="V39" s="435"/>
      <c r="W39" s="851" t="str">
        <f>IFERROR(VLOOKUP($B39,DataSheetDA!$C$4:$Y$238,W$12,0),"")</f>
        <v/>
      </c>
      <c r="X39" s="436"/>
      <c r="Y39" s="538" t="str">
        <f>IF(C39="","",IF(VLOOKUP('Part 1'!$L$13,#REF!,10,FALSE)&lt;1,W39,0))</f>
        <v/>
      </c>
      <c r="Z39" s="531"/>
      <c r="AA39" s="852" t="str">
        <f>IFERROR(VLOOKUP($B39,DataSheetDA!$C$4:$Y$238,AA$12,0),"")</f>
        <v/>
      </c>
      <c r="AB39" s="435"/>
      <c r="AC39" s="433"/>
      <c r="AD39" s="432"/>
      <c r="AE39" s="491"/>
      <c r="AF39" s="657">
        <f>IF(IFERROR(VLOOKUP(B39,#REF!,3,0),"")=C39,0,1)</f>
        <v>0</v>
      </c>
      <c r="AG39" s="489"/>
    </row>
    <row r="40" spans="1:34" s="431" customFormat="1" ht="21" customHeight="1" thickBot="1" x14ac:dyDescent="0.3">
      <c r="A40" s="488">
        <v>28</v>
      </c>
      <c r="B40" s="430" t="str">
        <f t="shared" si="0"/>
        <v>EZZZZEZ28</v>
      </c>
      <c r="C40" s="659" t="str">
        <f>IFERROR(VLOOKUP($B40,DataSheetDA!$C$4:$Y$238,3,0),"")</f>
        <v/>
      </c>
      <c r="D40" s="438"/>
      <c r="E40" s="849" t="str">
        <f>IFERROR(VLOOKUP($B40,DataSheetDA!$C$4:$Y$238,E$12,0),"")</f>
        <v/>
      </c>
      <c r="F40" s="436"/>
      <c r="G40" s="850" t="str">
        <f>IFERROR(VLOOKUP($B40,DataSheetDA!$C$4:$Y$238,G$12,0),"")</f>
        <v/>
      </c>
      <c r="H40" s="435"/>
      <c r="I40" s="851" t="str">
        <f>IFERROR(VLOOKUP($B40,DataSheetDA!$C$4:$Y$238,I$12,0),"")</f>
        <v/>
      </c>
      <c r="J40" s="435"/>
      <c r="K40" s="851" t="str">
        <f>IFERROR(VLOOKUP($B40,DataSheetDA!$C$4:$Y$238,K$12,0),"")</f>
        <v/>
      </c>
      <c r="L40" s="437"/>
      <c r="M40" s="851" t="str">
        <f>IFERROR(VLOOKUP($B40,DataSheetDA!$C$4:$Y$238,M$12,0),"")</f>
        <v/>
      </c>
      <c r="N40" s="436"/>
      <c r="O40" s="434" t="str">
        <f>IFERROR(VLOOKUP($B40,DataSheetDA!$C$4:$Y$238,O$12,0),"")</f>
        <v/>
      </c>
      <c r="P40" s="436"/>
      <c r="Q40" s="854" t="str">
        <f>IFERROR(VLOOKUP($B40,DataSheetDA!$C$4:$Y$238,Q$12,0),"")</f>
        <v/>
      </c>
      <c r="R40" s="435"/>
      <c r="S40" s="853" t="str">
        <f>IFERROR(VLOOKUP($B40,DataSheetDA!$C$4:$Y$238,S$12,0),"")</f>
        <v/>
      </c>
      <c r="T40" s="435"/>
      <c r="U40" s="852" t="str">
        <f>IFERROR(VLOOKUP($B40,DataSheetDA!$C$4:$Y$238,U$12,0),"")</f>
        <v/>
      </c>
      <c r="V40" s="435"/>
      <c r="W40" s="851" t="str">
        <f>IFERROR(VLOOKUP($B40,DataSheetDA!$C$4:$Y$238,W$12,0),"")</f>
        <v/>
      </c>
      <c r="X40" s="436"/>
      <c r="Y40" s="538" t="str">
        <f>IF(C40="","",IF(VLOOKUP('Part 1'!$L$13,#REF!,10,FALSE)&lt;1,W40,0))</f>
        <v/>
      </c>
      <c r="Z40" s="531"/>
      <c r="AA40" s="852" t="str">
        <f>IFERROR(VLOOKUP($B40,DataSheetDA!$C$4:$Y$238,AA$12,0),"")</f>
        <v/>
      </c>
      <c r="AB40" s="435"/>
      <c r="AC40" s="433"/>
      <c r="AD40" s="432"/>
      <c r="AE40" s="491"/>
      <c r="AF40" s="657">
        <f>IF(IFERROR(VLOOKUP(B40,#REF!,3,0),"")=C40,0,1)</f>
        <v>0</v>
      </c>
      <c r="AG40" s="489"/>
    </row>
    <row r="41" spans="1:34" s="431" customFormat="1" ht="21" customHeight="1" thickBot="1" x14ac:dyDescent="0.3">
      <c r="A41" s="488">
        <v>29</v>
      </c>
      <c r="B41" s="430" t="str">
        <f t="shared" si="0"/>
        <v>EZZZZEZ29</v>
      </c>
      <c r="C41" s="659" t="str">
        <f>IFERROR(VLOOKUP($B41,DataSheetDA!$C$4:$Y$238,3,0),"")</f>
        <v/>
      </c>
      <c r="D41" s="438"/>
      <c r="E41" s="849" t="str">
        <f>IFERROR(VLOOKUP($B41,DataSheetDA!$C$4:$Y$238,E$12,0),"")</f>
        <v/>
      </c>
      <c r="F41" s="436"/>
      <c r="G41" s="850" t="str">
        <f>IFERROR(VLOOKUP($B41,DataSheetDA!$C$4:$Y$238,G$12,0),"")</f>
        <v/>
      </c>
      <c r="H41" s="435"/>
      <c r="I41" s="851" t="str">
        <f>IFERROR(VLOOKUP($B41,DataSheetDA!$C$4:$Y$238,I$12,0),"")</f>
        <v/>
      </c>
      <c r="J41" s="435"/>
      <c r="K41" s="851" t="str">
        <f>IFERROR(VLOOKUP($B41,DataSheetDA!$C$4:$Y$238,K$12,0),"")</f>
        <v/>
      </c>
      <c r="L41" s="437"/>
      <c r="M41" s="851" t="str">
        <f>IFERROR(VLOOKUP($B41,DataSheetDA!$C$4:$Y$238,M$12,0),"")</f>
        <v/>
      </c>
      <c r="N41" s="436"/>
      <c r="O41" s="434" t="str">
        <f>IFERROR(VLOOKUP($B41,DataSheetDA!$C$4:$Y$238,O$12,0),"")</f>
        <v/>
      </c>
      <c r="P41" s="436"/>
      <c r="Q41" s="854" t="str">
        <f>IFERROR(VLOOKUP($B41,DataSheetDA!$C$4:$Y$238,Q$12,0),"")</f>
        <v/>
      </c>
      <c r="R41" s="435"/>
      <c r="S41" s="853" t="str">
        <f>IFERROR(VLOOKUP($B41,DataSheetDA!$C$4:$Y$238,S$12,0),"")</f>
        <v/>
      </c>
      <c r="T41" s="435"/>
      <c r="U41" s="852" t="str">
        <f>IFERROR(VLOOKUP($B41,DataSheetDA!$C$4:$Y$238,U$12,0),"")</f>
        <v/>
      </c>
      <c r="V41" s="435"/>
      <c r="W41" s="851" t="str">
        <f>IFERROR(VLOOKUP($B41,DataSheetDA!$C$4:$Y$238,W$12,0),"")</f>
        <v/>
      </c>
      <c r="X41" s="436"/>
      <c r="Y41" s="538" t="str">
        <f>IF(C41="","",IF(VLOOKUP('Part 1'!$L$13,#REF!,10,FALSE)&lt;1,W41,0))</f>
        <v/>
      </c>
      <c r="Z41" s="531"/>
      <c r="AA41" s="852" t="str">
        <f>IFERROR(VLOOKUP($B41,DataSheetDA!$C$4:$Y$238,AA$12,0),"")</f>
        <v/>
      </c>
      <c r="AB41" s="435"/>
      <c r="AC41" s="433"/>
      <c r="AD41" s="432"/>
      <c r="AE41" s="491"/>
      <c r="AF41" s="657">
        <f>IF(IFERROR(VLOOKUP(B41,#REF!,3,0),"")=C41,0,1)</f>
        <v>0</v>
      </c>
      <c r="AG41" s="489"/>
    </row>
    <row r="42" spans="1:34" s="431" customFormat="1" ht="21" customHeight="1" thickBot="1" x14ac:dyDescent="0.3">
      <c r="A42" s="488">
        <v>30</v>
      </c>
      <c r="B42" s="430" t="str">
        <f t="shared" si="0"/>
        <v>EZZZZEZ30</v>
      </c>
      <c r="C42" s="659" t="str">
        <f>IFERROR(VLOOKUP($B42,DataSheetDA!$C$4:$Y$238,3,0),"")</f>
        <v/>
      </c>
      <c r="D42" s="438"/>
      <c r="E42" s="849" t="str">
        <f>IFERROR(VLOOKUP($B42,DataSheetDA!$C$4:$Y$238,E$12,0),"")</f>
        <v/>
      </c>
      <c r="F42" s="436"/>
      <c r="G42" s="850" t="str">
        <f>IFERROR(VLOOKUP($B42,DataSheetDA!$C$4:$Y$238,G$12,0),"")</f>
        <v/>
      </c>
      <c r="H42" s="435"/>
      <c r="I42" s="851" t="str">
        <f>IFERROR(VLOOKUP($B42,DataSheetDA!$C$4:$Y$238,I$12,0),"")</f>
        <v/>
      </c>
      <c r="J42" s="435"/>
      <c r="K42" s="851" t="str">
        <f>IFERROR(VLOOKUP($B42,DataSheetDA!$C$4:$Y$238,K$12,0),"")</f>
        <v/>
      </c>
      <c r="L42" s="437"/>
      <c r="M42" s="851" t="str">
        <f>IFERROR(VLOOKUP($B42,DataSheetDA!$C$4:$Y$238,M$12,0),"")</f>
        <v/>
      </c>
      <c r="N42" s="436"/>
      <c r="O42" s="434" t="str">
        <f>IFERROR(VLOOKUP($B42,DataSheetDA!$C$4:$Y$238,O$12,0),"")</f>
        <v/>
      </c>
      <c r="P42" s="436"/>
      <c r="Q42" s="854" t="str">
        <f>IFERROR(VLOOKUP($B42,DataSheetDA!$C$4:$Y$238,Q$12,0),"")</f>
        <v/>
      </c>
      <c r="R42" s="435"/>
      <c r="S42" s="853" t="str">
        <f>IFERROR(VLOOKUP($B42,DataSheetDA!$C$4:$Y$238,S$12,0),"")</f>
        <v/>
      </c>
      <c r="T42" s="435"/>
      <c r="U42" s="852" t="str">
        <f>IFERROR(VLOOKUP($B42,DataSheetDA!$C$4:$Y$238,U$12,0),"")</f>
        <v/>
      </c>
      <c r="V42" s="435"/>
      <c r="W42" s="851" t="str">
        <f>IFERROR(VLOOKUP($B42,DataSheetDA!$C$4:$Y$238,W$12,0),"")</f>
        <v/>
      </c>
      <c r="X42" s="436"/>
      <c r="Y42" s="538" t="str">
        <f>IF(C42="","",IF(VLOOKUP('Part 1'!$L$13,#REF!,10,FALSE)&lt;1,W42,0))</f>
        <v/>
      </c>
      <c r="Z42" s="531"/>
      <c r="AA42" s="852" t="str">
        <f>IFERROR(VLOOKUP($B42,DataSheetDA!$C$4:$Y$238,AA$12,0),"")</f>
        <v/>
      </c>
      <c r="AB42" s="435"/>
      <c r="AC42" s="433"/>
      <c r="AD42" s="432"/>
      <c r="AE42" s="491"/>
      <c r="AF42" s="657">
        <f>IF(IFERROR(VLOOKUP(B42,#REF!,3,0),"")=C42,0,1)</f>
        <v>0</v>
      </c>
      <c r="AG42" s="489"/>
    </row>
    <row r="43" spans="1:34" s="431" customFormat="1" ht="21" customHeight="1" thickBot="1" x14ac:dyDescent="0.3">
      <c r="A43" s="488">
        <v>31</v>
      </c>
      <c r="B43" s="430" t="str">
        <f t="shared" si="0"/>
        <v>EZZZZEZ31</v>
      </c>
      <c r="C43" s="659" t="str">
        <f>IFERROR(VLOOKUP($B43,DataSheetDA!$C$4:$Y$238,3,0),"")</f>
        <v/>
      </c>
      <c r="D43" s="438"/>
      <c r="E43" s="849" t="str">
        <f>IFERROR(VLOOKUP($B43,DataSheetDA!$C$4:$Y$238,E$12,0),"")</f>
        <v/>
      </c>
      <c r="F43" s="436"/>
      <c r="G43" s="850" t="str">
        <f>IFERROR(VLOOKUP($B43,DataSheetDA!$C$4:$Y$238,G$12,0),"")</f>
        <v/>
      </c>
      <c r="H43" s="435"/>
      <c r="I43" s="851" t="str">
        <f>IFERROR(VLOOKUP($B43,DataSheetDA!$C$4:$Y$238,I$12,0),"")</f>
        <v/>
      </c>
      <c r="J43" s="435"/>
      <c r="K43" s="851" t="str">
        <f>IFERROR(VLOOKUP($B43,DataSheetDA!$C$4:$Y$238,K$12,0),"")</f>
        <v/>
      </c>
      <c r="L43" s="437"/>
      <c r="M43" s="851" t="str">
        <f>IFERROR(VLOOKUP($B43,DataSheetDA!$C$4:$Y$238,M$12,0),"")</f>
        <v/>
      </c>
      <c r="N43" s="436"/>
      <c r="O43" s="434" t="str">
        <f>IFERROR(VLOOKUP($B43,DataSheetDA!$C$4:$Y$238,O$12,0),"")</f>
        <v/>
      </c>
      <c r="P43" s="436"/>
      <c r="Q43" s="854" t="str">
        <f>IFERROR(VLOOKUP($B43,DataSheetDA!$C$4:$Y$238,Q$12,0),"")</f>
        <v/>
      </c>
      <c r="R43" s="435"/>
      <c r="S43" s="853" t="str">
        <f>IFERROR(VLOOKUP($B43,DataSheetDA!$C$4:$Y$238,S$12,0),"")</f>
        <v/>
      </c>
      <c r="T43" s="435"/>
      <c r="U43" s="852" t="str">
        <f>IFERROR(VLOOKUP($B43,DataSheetDA!$C$4:$Y$238,U$12,0),"")</f>
        <v/>
      </c>
      <c r="V43" s="435"/>
      <c r="W43" s="851" t="str">
        <f>IFERROR(VLOOKUP($B43,DataSheetDA!$C$4:$Y$238,W$12,0),"")</f>
        <v/>
      </c>
      <c r="X43" s="436"/>
      <c r="Y43" s="538" t="str">
        <f>IF(C43="","",IF(VLOOKUP('Part 1'!$L$13,#REF!,10,FALSE)&lt;1,W43,0))</f>
        <v/>
      </c>
      <c r="Z43" s="531"/>
      <c r="AA43" s="852" t="str">
        <f>IFERROR(VLOOKUP($B43,DataSheetDA!$C$4:$Y$238,AA$12,0),"")</f>
        <v/>
      </c>
      <c r="AB43" s="435"/>
      <c r="AC43" s="433"/>
      <c r="AD43" s="432"/>
      <c r="AE43" s="491"/>
      <c r="AF43" s="657">
        <f>IF(IFERROR(VLOOKUP(B43,#REF!,3,0),"")=C43,0,1)</f>
        <v>0</v>
      </c>
      <c r="AG43" s="489"/>
    </row>
    <row r="44" spans="1:34" s="431" customFormat="1" ht="21" customHeight="1" thickBot="1" x14ac:dyDescent="0.3">
      <c r="A44" s="488">
        <v>32</v>
      </c>
      <c r="B44" s="430" t="str">
        <f t="shared" si="0"/>
        <v>EZZZZEZ32</v>
      </c>
      <c r="C44" s="659" t="str">
        <f>IFERROR(VLOOKUP($B44,DataSheetDA!$C$4:$Y$238,3,0),"")</f>
        <v/>
      </c>
      <c r="D44" s="438"/>
      <c r="E44" s="849" t="str">
        <f>IFERROR(VLOOKUP($B44,DataSheetDA!$C$4:$Y$238,E$12,0),"")</f>
        <v/>
      </c>
      <c r="F44" s="436"/>
      <c r="G44" s="850" t="str">
        <f>IFERROR(VLOOKUP($B44,DataSheetDA!$C$4:$Y$238,G$12,0),"")</f>
        <v/>
      </c>
      <c r="H44" s="435"/>
      <c r="I44" s="851" t="str">
        <f>IFERROR(VLOOKUP($B44,DataSheetDA!$C$4:$Y$238,I$12,0),"")</f>
        <v/>
      </c>
      <c r="J44" s="435"/>
      <c r="K44" s="851" t="str">
        <f>IFERROR(VLOOKUP($B44,DataSheetDA!$C$4:$Y$238,K$12,0),"")</f>
        <v/>
      </c>
      <c r="L44" s="437"/>
      <c r="M44" s="851" t="str">
        <f>IFERROR(VLOOKUP($B44,DataSheetDA!$C$4:$Y$238,M$12,0),"")</f>
        <v/>
      </c>
      <c r="N44" s="436"/>
      <c r="O44" s="434" t="str">
        <f>IFERROR(VLOOKUP($B44,DataSheetDA!$C$4:$Y$238,O$12,0),"")</f>
        <v/>
      </c>
      <c r="P44" s="436"/>
      <c r="Q44" s="854" t="str">
        <f>IFERROR(VLOOKUP($B44,DataSheetDA!$C$4:$Y$238,Q$12,0),"")</f>
        <v/>
      </c>
      <c r="R44" s="435"/>
      <c r="S44" s="853" t="str">
        <f>IFERROR(VLOOKUP($B44,DataSheetDA!$C$4:$Y$238,S$12,0),"")</f>
        <v/>
      </c>
      <c r="T44" s="435"/>
      <c r="U44" s="852" t="str">
        <f>IFERROR(VLOOKUP($B44,DataSheetDA!$C$4:$Y$238,U$12,0),"")</f>
        <v/>
      </c>
      <c r="V44" s="435"/>
      <c r="W44" s="851" t="str">
        <f>IFERROR(VLOOKUP($B44,DataSheetDA!$C$4:$Y$238,W$12,0),"")</f>
        <v/>
      </c>
      <c r="X44" s="436"/>
      <c r="Y44" s="538" t="str">
        <f>IF(C44="","",IF(VLOOKUP('Part 1'!$L$13,#REF!,10,FALSE)&lt;1,W44,0))</f>
        <v/>
      </c>
      <c r="Z44" s="531"/>
      <c r="AA44" s="852" t="str">
        <f>IFERROR(VLOOKUP($B44,DataSheetDA!$C$4:$Y$238,AA$12,0),"")</f>
        <v/>
      </c>
      <c r="AB44" s="435"/>
      <c r="AC44" s="433"/>
      <c r="AD44" s="432"/>
      <c r="AE44" s="491"/>
      <c r="AF44" s="657">
        <f>IF(IFERROR(VLOOKUP(B44,#REF!,3,0),"")=C44,0,1)</f>
        <v>0</v>
      </c>
      <c r="AG44" s="489"/>
    </row>
    <row r="45" spans="1:34" s="431" customFormat="1" ht="21" customHeight="1" thickBot="1" x14ac:dyDescent="0.3">
      <c r="A45" s="488">
        <v>33</v>
      </c>
      <c r="B45" s="430" t="str">
        <f t="shared" si="0"/>
        <v>EZZZZEZ33</v>
      </c>
      <c r="C45" s="659" t="str">
        <f>IFERROR(VLOOKUP($B45,DataSheetDA!$C$4:$Y$238,3,0),"")</f>
        <v/>
      </c>
      <c r="D45" s="438"/>
      <c r="E45" s="849" t="str">
        <f>IFERROR(VLOOKUP($B45,DataSheetDA!$C$4:$Y$238,E$12,0),"")</f>
        <v/>
      </c>
      <c r="F45" s="436"/>
      <c r="G45" s="850" t="str">
        <f>IFERROR(VLOOKUP($B45,DataSheetDA!$C$4:$Y$238,G$12,0),"")</f>
        <v/>
      </c>
      <c r="H45" s="435"/>
      <c r="I45" s="851" t="str">
        <f>IFERROR(VLOOKUP($B45,DataSheetDA!$C$4:$Y$238,I$12,0),"")</f>
        <v/>
      </c>
      <c r="J45" s="435"/>
      <c r="K45" s="851" t="str">
        <f>IFERROR(VLOOKUP($B45,DataSheetDA!$C$4:$Y$238,K$12,0),"")</f>
        <v/>
      </c>
      <c r="L45" s="437"/>
      <c r="M45" s="851" t="str">
        <f>IFERROR(VLOOKUP($B45,DataSheetDA!$C$4:$Y$238,M$12,0),"")</f>
        <v/>
      </c>
      <c r="N45" s="436"/>
      <c r="O45" s="434" t="str">
        <f>IFERROR(VLOOKUP($B45,DataSheetDA!$C$4:$Y$238,O$12,0),"")</f>
        <v/>
      </c>
      <c r="P45" s="436"/>
      <c r="Q45" s="854" t="str">
        <f>IFERROR(VLOOKUP($B45,DataSheetDA!$C$4:$Y$238,Q$12,0),"")</f>
        <v/>
      </c>
      <c r="R45" s="435"/>
      <c r="S45" s="853" t="str">
        <f>IFERROR(VLOOKUP($B45,DataSheetDA!$C$4:$Y$238,S$12,0),"")</f>
        <v/>
      </c>
      <c r="T45" s="435"/>
      <c r="U45" s="852" t="str">
        <f>IFERROR(VLOOKUP($B45,DataSheetDA!$C$4:$Y$238,U$12,0),"")</f>
        <v/>
      </c>
      <c r="V45" s="435"/>
      <c r="W45" s="851" t="str">
        <f>IFERROR(VLOOKUP($B45,DataSheetDA!$C$4:$Y$238,W$12,0),"")</f>
        <v/>
      </c>
      <c r="X45" s="436"/>
      <c r="Y45" s="538" t="str">
        <f>IF(C45="","",IF(VLOOKUP('Part 1'!$L$13,#REF!,10,FALSE)&lt;1,W45,0))</f>
        <v/>
      </c>
      <c r="Z45" s="531"/>
      <c r="AA45" s="852" t="str">
        <f>IFERROR(VLOOKUP($B45,DataSheetDA!$C$4:$Y$238,AA$12,0),"")</f>
        <v/>
      </c>
      <c r="AB45" s="435"/>
      <c r="AC45" s="433"/>
      <c r="AD45" s="432"/>
      <c r="AE45" s="491"/>
      <c r="AF45" s="657">
        <f>IF(IFERROR(VLOOKUP(B45,#REF!,3,0),"")=C45,0,1)</f>
        <v>0</v>
      </c>
      <c r="AG45" s="489"/>
    </row>
    <row r="46" spans="1:34" s="431" customFormat="1" ht="21" customHeight="1" thickBot="1" x14ac:dyDescent="0.3">
      <c r="A46" s="488">
        <v>34</v>
      </c>
      <c r="B46" s="430" t="str">
        <f t="shared" si="0"/>
        <v>EZZZZEZ34</v>
      </c>
      <c r="C46" s="659" t="str">
        <f>IFERROR(VLOOKUP($B46,DataSheetDA!$C$4:$Y$238,3,0),"")</f>
        <v/>
      </c>
      <c r="D46" s="438"/>
      <c r="E46" s="849" t="str">
        <f>IFERROR(VLOOKUP($B46,DataSheetDA!$C$4:$Y$238,E$12,0),"")</f>
        <v/>
      </c>
      <c r="F46" s="436"/>
      <c r="G46" s="850" t="str">
        <f>IFERROR(VLOOKUP($B46,DataSheetDA!$C$4:$Y$238,G$12,0),"")</f>
        <v/>
      </c>
      <c r="H46" s="435"/>
      <c r="I46" s="851" t="str">
        <f>IFERROR(VLOOKUP($B46,DataSheetDA!$C$4:$Y$238,I$12,0),"")</f>
        <v/>
      </c>
      <c r="J46" s="435"/>
      <c r="K46" s="851" t="str">
        <f>IFERROR(VLOOKUP($B46,DataSheetDA!$C$4:$Y$238,K$12,0),"")</f>
        <v/>
      </c>
      <c r="L46" s="437"/>
      <c r="M46" s="851" t="str">
        <f>IFERROR(VLOOKUP($B46,DataSheetDA!$C$4:$Y$238,M$12,0),"")</f>
        <v/>
      </c>
      <c r="N46" s="436"/>
      <c r="O46" s="434" t="str">
        <f>IFERROR(VLOOKUP($B46,DataSheetDA!$C$4:$Y$238,O$12,0),"")</f>
        <v/>
      </c>
      <c r="P46" s="436"/>
      <c r="Q46" s="854" t="str">
        <f>IFERROR(VLOOKUP($B46,DataSheetDA!$C$4:$Y$238,Q$12,0),"")</f>
        <v/>
      </c>
      <c r="R46" s="435"/>
      <c r="S46" s="853" t="str">
        <f>IFERROR(VLOOKUP($B46,DataSheetDA!$C$4:$Y$238,S$12,0),"")</f>
        <v/>
      </c>
      <c r="T46" s="435"/>
      <c r="U46" s="852" t="str">
        <f>IFERROR(VLOOKUP($B46,DataSheetDA!$C$4:$Y$238,U$12,0),"")</f>
        <v/>
      </c>
      <c r="V46" s="435"/>
      <c r="W46" s="851" t="str">
        <f>IFERROR(VLOOKUP($B46,DataSheetDA!$C$4:$Y$238,W$12,0),"")</f>
        <v/>
      </c>
      <c r="X46" s="436"/>
      <c r="Y46" s="538" t="str">
        <f>IF(C46="","",IF(VLOOKUP('Part 1'!$L$13,#REF!,10,FALSE)&lt;1,W46,0))</f>
        <v/>
      </c>
      <c r="Z46" s="531"/>
      <c r="AA46" s="852" t="str">
        <f>IFERROR(VLOOKUP($B46,DataSheetDA!$C$4:$Y$238,AA$12,0),"")</f>
        <v/>
      </c>
      <c r="AB46" s="435"/>
      <c r="AC46" s="433"/>
      <c r="AD46" s="432"/>
      <c r="AE46" s="491"/>
      <c r="AF46" s="657">
        <f>IF(IFERROR(VLOOKUP(B46,#REF!,3,0),"")=C46,0,1)</f>
        <v>0</v>
      </c>
      <c r="AG46" s="489"/>
    </row>
    <row r="47" spans="1:34" s="431" customFormat="1" ht="21" customHeight="1" thickBot="1" x14ac:dyDescent="0.3">
      <c r="A47" s="488">
        <v>35</v>
      </c>
      <c r="B47" s="430" t="str">
        <f t="shared" si="0"/>
        <v>EZZZZEZ35</v>
      </c>
      <c r="C47" s="659" t="str">
        <f>IFERROR(VLOOKUP($B47,DataSheetDA!$C$4:$Y$238,3,0),"")</f>
        <v/>
      </c>
      <c r="D47" s="438"/>
      <c r="E47" s="849" t="str">
        <f>IFERROR(VLOOKUP($B47,DataSheetDA!$C$4:$Y$238,E$12,0),"")</f>
        <v/>
      </c>
      <c r="F47" s="436"/>
      <c r="G47" s="850" t="str">
        <f>IFERROR(VLOOKUP($B47,DataSheetDA!$C$4:$Y$238,G$12,0),"")</f>
        <v/>
      </c>
      <c r="H47" s="435"/>
      <c r="I47" s="851" t="str">
        <f>IFERROR(VLOOKUP($B47,DataSheetDA!$C$4:$Y$238,I$12,0),"")</f>
        <v/>
      </c>
      <c r="J47" s="435"/>
      <c r="K47" s="851" t="str">
        <f>IFERROR(VLOOKUP($B47,DataSheetDA!$C$4:$Y$238,K$12,0),"")</f>
        <v/>
      </c>
      <c r="L47" s="437"/>
      <c r="M47" s="851" t="str">
        <f>IFERROR(VLOOKUP($B47,DataSheetDA!$C$4:$Y$238,M$12,0),"")</f>
        <v/>
      </c>
      <c r="N47" s="436"/>
      <c r="O47" s="434" t="str">
        <f>IFERROR(VLOOKUP($B47,DataSheetDA!$C$4:$Y$238,O$12,0),"")</f>
        <v/>
      </c>
      <c r="P47" s="436"/>
      <c r="Q47" s="854" t="str">
        <f>IFERROR(VLOOKUP($B47,DataSheetDA!$C$4:$Y$238,Q$12,0),"")</f>
        <v/>
      </c>
      <c r="R47" s="435"/>
      <c r="S47" s="853" t="str">
        <f>IFERROR(VLOOKUP($B47,DataSheetDA!$C$4:$Y$238,S$12,0),"")</f>
        <v/>
      </c>
      <c r="T47" s="435"/>
      <c r="U47" s="852" t="str">
        <f>IFERROR(VLOOKUP($B47,DataSheetDA!$C$4:$Y$238,U$12,0),"")</f>
        <v/>
      </c>
      <c r="V47" s="435"/>
      <c r="W47" s="851" t="str">
        <f>IFERROR(VLOOKUP($B47,DataSheetDA!$C$4:$Y$238,W$12,0),"")</f>
        <v/>
      </c>
      <c r="X47" s="436"/>
      <c r="Y47" s="538" t="str">
        <f>IF(C47="","",IF(VLOOKUP('Part 1'!$L$13,#REF!,10,FALSE)&lt;1,W47,0))</f>
        <v/>
      </c>
      <c r="Z47" s="531"/>
      <c r="AA47" s="852" t="str">
        <f>IFERROR(VLOOKUP($B47,DataSheetDA!$C$4:$Y$238,AA$12,0),"")</f>
        <v/>
      </c>
      <c r="AB47" s="435"/>
      <c r="AC47" s="433"/>
      <c r="AD47" s="432"/>
      <c r="AE47" s="491"/>
      <c r="AF47" s="657">
        <f>IF(IFERROR(VLOOKUP(B47,#REF!,3,0),"")=C47,0,1)</f>
        <v>0</v>
      </c>
      <c r="AG47" s="489"/>
    </row>
    <row r="48" spans="1:34" s="431" customFormat="1" ht="21" customHeight="1" thickBot="1" x14ac:dyDescent="0.3">
      <c r="A48" s="488">
        <v>36</v>
      </c>
      <c r="B48" s="430" t="str">
        <f t="shared" si="0"/>
        <v>EZZZZEZ36</v>
      </c>
      <c r="C48" s="659" t="str">
        <f>IFERROR(VLOOKUP($B48,DataSheetDA!$C$4:$Y$238,3,0),"")</f>
        <v/>
      </c>
      <c r="D48" s="438"/>
      <c r="E48" s="849" t="str">
        <f>IFERROR(VLOOKUP($B48,DataSheetDA!$C$4:$Y$238,E$12,0),"")</f>
        <v/>
      </c>
      <c r="F48" s="436"/>
      <c r="G48" s="850" t="str">
        <f>IFERROR(VLOOKUP($B48,DataSheetDA!$C$4:$Y$238,G$12,0),"")</f>
        <v/>
      </c>
      <c r="H48" s="435"/>
      <c r="I48" s="851" t="str">
        <f>IFERROR(VLOOKUP($B48,DataSheetDA!$C$4:$Y$238,I$12,0),"")</f>
        <v/>
      </c>
      <c r="J48" s="435"/>
      <c r="K48" s="851" t="str">
        <f>IFERROR(VLOOKUP($B48,DataSheetDA!$C$4:$Y$238,K$12,0),"")</f>
        <v/>
      </c>
      <c r="L48" s="437"/>
      <c r="M48" s="851" t="str">
        <f>IFERROR(VLOOKUP($B48,DataSheetDA!$C$4:$Y$238,M$12,0),"")</f>
        <v/>
      </c>
      <c r="N48" s="436"/>
      <c r="O48" s="434" t="str">
        <f>IFERROR(VLOOKUP($B48,DataSheetDA!$C$4:$Y$238,O$12,0),"")</f>
        <v/>
      </c>
      <c r="P48" s="436"/>
      <c r="Q48" s="854" t="str">
        <f>IFERROR(VLOOKUP($B48,DataSheetDA!$C$4:$Y$238,Q$12,0),"")</f>
        <v/>
      </c>
      <c r="R48" s="435"/>
      <c r="S48" s="853" t="str">
        <f>IFERROR(VLOOKUP($B48,DataSheetDA!$C$4:$Y$238,S$12,0),"")</f>
        <v/>
      </c>
      <c r="T48" s="435"/>
      <c r="U48" s="852" t="str">
        <f>IFERROR(VLOOKUP($B48,DataSheetDA!$C$4:$Y$238,U$12,0),"")</f>
        <v/>
      </c>
      <c r="V48" s="435"/>
      <c r="W48" s="851" t="str">
        <f>IFERROR(VLOOKUP($B48,DataSheetDA!$C$4:$Y$238,W$12,0),"")</f>
        <v/>
      </c>
      <c r="X48" s="436"/>
      <c r="Y48" s="538" t="str">
        <f>IF(C48="","",IF(VLOOKUP('Part 1'!$L$13,#REF!,10,FALSE)&lt;1,W48,0))</f>
        <v/>
      </c>
      <c r="Z48" s="531"/>
      <c r="AA48" s="852" t="str">
        <f>IFERROR(VLOOKUP($B48,DataSheetDA!$C$4:$Y$238,AA$12,0),"")</f>
        <v/>
      </c>
      <c r="AB48" s="435"/>
      <c r="AC48" s="433"/>
      <c r="AD48" s="432"/>
      <c r="AE48" s="491"/>
      <c r="AF48" s="657">
        <f>IF(IFERROR(VLOOKUP(B48,#REF!,3,0),"")=C48,0,1)</f>
        <v>0</v>
      </c>
      <c r="AG48" s="489"/>
    </row>
    <row r="49" spans="1:33" s="431" customFormat="1" ht="21" customHeight="1" thickBot="1" x14ac:dyDescent="0.3">
      <c r="A49" s="488">
        <v>37</v>
      </c>
      <c r="B49" s="430" t="str">
        <f t="shared" si="0"/>
        <v>EZZZZEZ37</v>
      </c>
      <c r="C49" s="659" t="str">
        <f>IFERROR(VLOOKUP($B49,DataSheetDA!$C$4:$Y$238,3,0),"")</f>
        <v/>
      </c>
      <c r="D49" s="438"/>
      <c r="E49" s="849" t="str">
        <f>IFERROR(VLOOKUP($B49,DataSheetDA!$C$4:$Y$238,E$12,0),"")</f>
        <v/>
      </c>
      <c r="F49" s="436"/>
      <c r="G49" s="850" t="str">
        <f>IFERROR(VLOOKUP($B49,DataSheetDA!$C$4:$Y$238,G$12,0),"")</f>
        <v/>
      </c>
      <c r="H49" s="435"/>
      <c r="I49" s="851" t="str">
        <f>IFERROR(VLOOKUP($B49,DataSheetDA!$C$4:$Y$238,I$12,0),"")</f>
        <v/>
      </c>
      <c r="J49" s="435"/>
      <c r="K49" s="851" t="str">
        <f>IFERROR(VLOOKUP($B49,DataSheetDA!$C$4:$Y$238,K$12,0),"")</f>
        <v/>
      </c>
      <c r="L49" s="437"/>
      <c r="M49" s="851" t="str">
        <f>IFERROR(VLOOKUP($B49,DataSheetDA!$C$4:$Y$238,M$12,0),"")</f>
        <v/>
      </c>
      <c r="N49" s="436"/>
      <c r="O49" s="434" t="str">
        <f>IFERROR(VLOOKUP($B49,DataSheetDA!$C$4:$Y$238,O$12,0),"")</f>
        <v/>
      </c>
      <c r="P49" s="436"/>
      <c r="Q49" s="854" t="str">
        <f>IFERROR(VLOOKUP($B49,DataSheetDA!$C$4:$Y$238,Q$12,0),"")</f>
        <v/>
      </c>
      <c r="R49" s="435"/>
      <c r="S49" s="853" t="str">
        <f>IFERROR(VLOOKUP($B49,DataSheetDA!$C$4:$Y$238,S$12,0),"")</f>
        <v/>
      </c>
      <c r="T49" s="435"/>
      <c r="U49" s="852" t="str">
        <f>IFERROR(VLOOKUP($B49,DataSheetDA!$C$4:$Y$238,U$12,0),"")</f>
        <v/>
      </c>
      <c r="V49" s="435"/>
      <c r="W49" s="851" t="str">
        <f>IFERROR(VLOOKUP($B49,DataSheetDA!$C$4:$Y$238,W$12,0),"")</f>
        <v/>
      </c>
      <c r="X49" s="436"/>
      <c r="Y49" s="538" t="str">
        <f>IF(C49="","",IF(VLOOKUP('Part 1'!$L$13,#REF!,10,FALSE)&lt;1,W49,0))</f>
        <v/>
      </c>
      <c r="Z49" s="531"/>
      <c r="AA49" s="852" t="str">
        <f>IFERROR(VLOOKUP($B49,DataSheetDA!$C$4:$Y$238,AA$12,0),"")</f>
        <v/>
      </c>
      <c r="AB49" s="435"/>
      <c r="AC49" s="433"/>
      <c r="AD49" s="432"/>
      <c r="AE49" s="491"/>
      <c r="AF49" s="657">
        <f>IF(IFERROR(VLOOKUP(B49,#REF!,3,0),"")=C49,0,1)</f>
        <v>0</v>
      </c>
      <c r="AG49" s="489"/>
    </row>
    <row r="50" spans="1:33" s="431" customFormat="1" ht="21" customHeight="1" thickBot="1" x14ac:dyDescent="0.3">
      <c r="A50" s="488">
        <v>38</v>
      </c>
      <c r="B50" s="430" t="str">
        <f t="shared" si="0"/>
        <v>EZZZZEZ38</v>
      </c>
      <c r="C50" s="659" t="str">
        <f>IFERROR(VLOOKUP($B50,DataSheetDA!$C$4:$Y$238,3,0),"")</f>
        <v/>
      </c>
      <c r="D50" s="438"/>
      <c r="E50" s="849" t="str">
        <f>IFERROR(VLOOKUP($B50,DataSheetDA!$C$4:$Y$238,E$12,0),"")</f>
        <v/>
      </c>
      <c r="F50" s="436"/>
      <c r="G50" s="850" t="str">
        <f>IFERROR(VLOOKUP($B50,DataSheetDA!$C$4:$Y$238,G$12,0),"")</f>
        <v/>
      </c>
      <c r="H50" s="435"/>
      <c r="I50" s="851" t="str">
        <f>IFERROR(VLOOKUP($B50,DataSheetDA!$C$4:$Y$238,I$12,0),"")</f>
        <v/>
      </c>
      <c r="J50" s="435"/>
      <c r="K50" s="851" t="str">
        <f>IFERROR(VLOOKUP($B50,DataSheetDA!$C$4:$Y$238,K$12,0),"")</f>
        <v/>
      </c>
      <c r="L50" s="437"/>
      <c r="M50" s="851" t="str">
        <f>IFERROR(VLOOKUP($B50,DataSheetDA!$C$4:$Y$238,M$12,0),"")</f>
        <v/>
      </c>
      <c r="N50" s="436"/>
      <c r="O50" s="434" t="str">
        <f>IFERROR(VLOOKUP($B50,DataSheetDA!$C$4:$Y$238,O$12,0),"")</f>
        <v/>
      </c>
      <c r="P50" s="436"/>
      <c r="Q50" s="854" t="str">
        <f>IFERROR(VLOOKUP($B50,DataSheetDA!$C$4:$Y$238,Q$12,0),"")</f>
        <v/>
      </c>
      <c r="R50" s="435"/>
      <c r="S50" s="853" t="str">
        <f>IFERROR(VLOOKUP($B50,DataSheetDA!$C$4:$Y$238,S$12,0),"")</f>
        <v/>
      </c>
      <c r="T50" s="435"/>
      <c r="U50" s="852" t="str">
        <f>IFERROR(VLOOKUP($B50,DataSheetDA!$C$4:$Y$238,U$12,0),"")</f>
        <v/>
      </c>
      <c r="V50" s="435"/>
      <c r="W50" s="851" t="str">
        <f>IFERROR(VLOOKUP($B50,DataSheetDA!$C$4:$Y$238,W$12,0),"")</f>
        <v/>
      </c>
      <c r="X50" s="436"/>
      <c r="Y50" s="538" t="str">
        <f>IF(C50="","",IF(VLOOKUP('Part 1'!$L$13,#REF!,10,FALSE)&lt;1,W50,0))</f>
        <v/>
      </c>
      <c r="Z50" s="531"/>
      <c r="AA50" s="852" t="str">
        <f>IFERROR(VLOOKUP($B50,DataSheetDA!$C$4:$Y$238,AA$12,0),"")</f>
        <v/>
      </c>
      <c r="AB50" s="435"/>
      <c r="AC50" s="433"/>
      <c r="AD50" s="432"/>
      <c r="AE50" s="491"/>
      <c r="AF50" s="657">
        <f>IF(IFERROR(VLOOKUP(B50,#REF!,3,0),"")=C50,0,1)</f>
        <v>0</v>
      </c>
      <c r="AG50" s="489"/>
    </row>
    <row r="51" spans="1:33" s="431" customFormat="1" ht="21" customHeight="1" thickBot="1" x14ac:dyDescent="0.3">
      <c r="A51" s="488">
        <v>39</v>
      </c>
      <c r="B51" s="430" t="str">
        <f t="shared" si="0"/>
        <v>EZZZZEZ39</v>
      </c>
      <c r="C51" s="659" t="str">
        <f>IFERROR(VLOOKUP($B51,DataSheetDA!$C$4:$Y$238,3,0),"")</f>
        <v/>
      </c>
      <c r="D51" s="438"/>
      <c r="E51" s="849" t="str">
        <f>IFERROR(VLOOKUP($B51,DataSheetDA!$C$4:$Y$238,E$12,0),"")</f>
        <v/>
      </c>
      <c r="F51" s="436"/>
      <c r="G51" s="850" t="str">
        <f>IFERROR(VLOOKUP($B51,DataSheetDA!$C$4:$Y$238,G$12,0),"")</f>
        <v/>
      </c>
      <c r="H51" s="435"/>
      <c r="I51" s="851" t="str">
        <f>IFERROR(VLOOKUP($B51,DataSheetDA!$C$4:$Y$238,I$12,0),"")</f>
        <v/>
      </c>
      <c r="J51" s="435"/>
      <c r="K51" s="851" t="str">
        <f>IFERROR(VLOOKUP($B51,DataSheetDA!$C$4:$Y$238,K$12,0),"")</f>
        <v/>
      </c>
      <c r="L51" s="437"/>
      <c r="M51" s="851" t="str">
        <f>IFERROR(VLOOKUP($B51,DataSheetDA!$C$4:$Y$238,M$12,0),"")</f>
        <v/>
      </c>
      <c r="N51" s="436"/>
      <c r="O51" s="434" t="str">
        <f>IFERROR(VLOOKUP($B51,DataSheetDA!$C$4:$Y$238,O$12,0),"")</f>
        <v/>
      </c>
      <c r="P51" s="436"/>
      <c r="Q51" s="854" t="str">
        <f>IFERROR(VLOOKUP($B51,DataSheetDA!$C$4:$Y$238,Q$12,0),"")</f>
        <v/>
      </c>
      <c r="R51" s="435"/>
      <c r="S51" s="853" t="str">
        <f>IFERROR(VLOOKUP($B51,DataSheetDA!$C$4:$Y$238,S$12,0),"")</f>
        <v/>
      </c>
      <c r="T51" s="435"/>
      <c r="U51" s="852" t="str">
        <f>IFERROR(VLOOKUP($B51,DataSheetDA!$C$4:$Y$238,U$12,0),"")</f>
        <v/>
      </c>
      <c r="V51" s="435"/>
      <c r="W51" s="851" t="str">
        <f>IFERROR(VLOOKUP($B51,DataSheetDA!$C$4:$Y$238,W$12,0),"")</f>
        <v/>
      </c>
      <c r="X51" s="436"/>
      <c r="Y51" s="538" t="str">
        <f>IF(C51="","",IF(VLOOKUP('Part 1'!$L$13,#REF!,10,FALSE)&lt;1,W51,0))</f>
        <v/>
      </c>
      <c r="Z51" s="531"/>
      <c r="AA51" s="852" t="str">
        <f>IFERROR(VLOOKUP($B51,DataSheetDA!$C$4:$Y$238,AA$12,0),"")</f>
        <v/>
      </c>
      <c r="AB51" s="435"/>
      <c r="AC51" s="433"/>
      <c r="AD51" s="432"/>
      <c r="AE51" s="491"/>
      <c r="AF51" s="657">
        <f>IF(IFERROR(VLOOKUP(B51,#REF!,3,0),"")=C51,0,1)</f>
        <v>0</v>
      </c>
      <c r="AG51" s="489"/>
    </row>
    <row r="52" spans="1:33" s="431" customFormat="1" ht="21" customHeight="1" thickBot="1" x14ac:dyDescent="0.3">
      <c r="A52" s="488">
        <v>40</v>
      </c>
      <c r="B52" s="430" t="str">
        <f t="shared" si="0"/>
        <v>EZZZZEZ40</v>
      </c>
      <c r="C52" s="659" t="str">
        <f>IFERROR(VLOOKUP($B52,DataSheetDA!$C$4:$Y$238,3,0),"")</f>
        <v/>
      </c>
      <c r="D52" s="438"/>
      <c r="E52" s="849" t="str">
        <f>IFERROR(VLOOKUP($B52,DataSheetDA!$C$4:$Y$238,E$12,0),"")</f>
        <v/>
      </c>
      <c r="F52" s="436"/>
      <c r="G52" s="850" t="str">
        <f>IFERROR(VLOOKUP($B52,DataSheetDA!$C$4:$Y$238,G$12,0),"")</f>
        <v/>
      </c>
      <c r="H52" s="435"/>
      <c r="I52" s="851" t="str">
        <f>IFERROR(VLOOKUP($B52,DataSheetDA!$C$4:$Y$238,I$12,0),"")</f>
        <v/>
      </c>
      <c r="J52" s="435"/>
      <c r="K52" s="851" t="str">
        <f>IFERROR(VLOOKUP($B52,DataSheetDA!$C$4:$Y$238,K$12,0),"")</f>
        <v/>
      </c>
      <c r="L52" s="437"/>
      <c r="M52" s="851" t="str">
        <f>IFERROR(VLOOKUP($B52,DataSheetDA!$C$4:$Y$238,M$12,0),"")</f>
        <v/>
      </c>
      <c r="N52" s="436"/>
      <c r="O52" s="434" t="str">
        <f>IFERROR(VLOOKUP($B52,DataSheetDA!$C$4:$Y$238,O$12,0),"")</f>
        <v/>
      </c>
      <c r="P52" s="436"/>
      <c r="Q52" s="854" t="str">
        <f>IFERROR(VLOOKUP($B52,DataSheetDA!$C$4:$Y$238,Q$12,0),"")</f>
        <v/>
      </c>
      <c r="R52" s="435"/>
      <c r="S52" s="853" t="str">
        <f>IFERROR(VLOOKUP($B52,DataSheetDA!$C$4:$Y$238,S$12,0),"")</f>
        <v/>
      </c>
      <c r="T52" s="435"/>
      <c r="U52" s="852" t="str">
        <f>IFERROR(VLOOKUP($B52,DataSheetDA!$C$4:$Y$238,U$12,0),"")</f>
        <v/>
      </c>
      <c r="V52" s="435"/>
      <c r="W52" s="851" t="str">
        <f>IFERROR(VLOOKUP($B52,DataSheetDA!$C$4:$Y$238,W$12,0),"")</f>
        <v/>
      </c>
      <c r="X52" s="436"/>
      <c r="Y52" s="538" t="str">
        <f>IF(C52="","",IF(VLOOKUP('Part 1'!$L$13,#REF!,10,FALSE)&lt;1,W52,0))</f>
        <v/>
      </c>
      <c r="Z52" s="531"/>
      <c r="AA52" s="852" t="str">
        <f>IFERROR(VLOOKUP($B52,DataSheetDA!$C$4:$Y$238,AA$12,0),"")</f>
        <v/>
      </c>
      <c r="AB52" s="435"/>
      <c r="AC52" s="433"/>
      <c r="AD52" s="432"/>
      <c r="AE52" s="491"/>
      <c r="AF52" s="657">
        <f>IF(IFERROR(VLOOKUP(B52,#REF!,3,0),"")=C52,0,1)</f>
        <v>0</v>
      </c>
      <c r="AG52" s="489"/>
    </row>
    <row r="53" spans="1:33" s="431" customFormat="1" ht="21" customHeight="1" thickBot="1" x14ac:dyDescent="0.3">
      <c r="A53" s="488">
        <v>41</v>
      </c>
      <c r="B53" s="430" t="str">
        <f t="shared" si="0"/>
        <v>EZZZZEZ41</v>
      </c>
      <c r="C53" s="659" t="str">
        <f>IFERROR(VLOOKUP($B53,DataSheetDA!$C$4:$Y$238,3,0),"")</f>
        <v/>
      </c>
      <c r="D53" s="438"/>
      <c r="E53" s="849" t="str">
        <f>IFERROR(VLOOKUP($B53,DataSheetDA!$C$4:$Y$238,E$12,0),"")</f>
        <v/>
      </c>
      <c r="F53" s="436"/>
      <c r="G53" s="850" t="str">
        <f>IFERROR(VLOOKUP($B53,DataSheetDA!$C$4:$Y$238,G$12,0),"")</f>
        <v/>
      </c>
      <c r="H53" s="435"/>
      <c r="I53" s="851" t="str">
        <f>IFERROR(VLOOKUP($B53,DataSheetDA!$C$4:$Y$238,I$12,0),"")</f>
        <v/>
      </c>
      <c r="J53" s="435"/>
      <c r="K53" s="851" t="str">
        <f>IFERROR(VLOOKUP($B53,DataSheetDA!$C$4:$Y$238,K$12,0),"")</f>
        <v/>
      </c>
      <c r="L53" s="437"/>
      <c r="M53" s="851" t="str">
        <f>IFERROR(VLOOKUP($B53,DataSheetDA!$C$4:$Y$238,M$12,0),"")</f>
        <v/>
      </c>
      <c r="N53" s="436"/>
      <c r="O53" s="434" t="str">
        <f>IFERROR(VLOOKUP($B53,DataSheetDA!$C$4:$Y$238,O$12,0),"")</f>
        <v/>
      </c>
      <c r="P53" s="436"/>
      <c r="Q53" s="854" t="str">
        <f>IFERROR(VLOOKUP($B53,DataSheetDA!$C$4:$Y$238,Q$12,0),"")</f>
        <v/>
      </c>
      <c r="R53" s="435"/>
      <c r="S53" s="853" t="str">
        <f>IFERROR(VLOOKUP($B53,DataSheetDA!$C$4:$Y$238,S$12,0),"")</f>
        <v/>
      </c>
      <c r="T53" s="435"/>
      <c r="U53" s="852" t="str">
        <f>IFERROR(VLOOKUP($B53,DataSheetDA!$C$4:$Y$238,U$12,0),"")</f>
        <v/>
      </c>
      <c r="V53" s="435"/>
      <c r="W53" s="851" t="str">
        <f>IFERROR(VLOOKUP($B53,DataSheetDA!$C$4:$Y$238,W$12,0),"")</f>
        <v/>
      </c>
      <c r="X53" s="436"/>
      <c r="Y53" s="538" t="str">
        <f>IF(C53="","",IF(VLOOKUP('Part 1'!$L$13,#REF!,10,FALSE)&lt;1,W53,0))</f>
        <v/>
      </c>
      <c r="Z53" s="531"/>
      <c r="AA53" s="852" t="str">
        <f>IFERROR(VLOOKUP($B53,DataSheetDA!$C$4:$Y$238,AA$12,0),"")</f>
        <v/>
      </c>
      <c r="AB53" s="435"/>
      <c r="AC53" s="433"/>
      <c r="AD53" s="432"/>
      <c r="AE53" s="491"/>
      <c r="AF53" s="657">
        <f>IF(IFERROR(VLOOKUP(B53,#REF!,3,0),"")=C53,0,1)</f>
        <v>0</v>
      </c>
      <c r="AG53" s="489"/>
    </row>
    <row r="54" spans="1:33" ht="18.75" thickBot="1" x14ac:dyDescent="0.25">
      <c r="A54" s="524"/>
      <c r="B54" s="522"/>
      <c r="C54" s="522"/>
      <c r="D54" s="522"/>
      <c r="E54" s="522"/>
      <c r="F54" s="522"/>
      <c r="G54" s="522"/>
      <c r="H54" s="522"/>
      <c r="I54" s="522"/>
      <c r="J54" s="522"/>
      <c r="K54" s="522"/>
      <c r="L54" s="522"/>
      <c r="M54" s="522"/>
      <c r="N54" s="522"/>
      <c r="O54" s="522"/>
      <c r="P54" s="522"/>
      <c r="Q54" s="522"/>
      <c r="R54" s="522"/>
      <c r="S54" s="522"/>
      <c r="T54" s="522"/>
      <c r="U54" s="522"/>
      <c r="V54" s="522"/>
      <c r="W54" s="522"/>
      <c r="X54" s="522"/>
      <c r="Y54" s="539"/>
      <c r="Z54" s="539"/>
      <c r="AA54" s="522"/>
      <c r="AB54" s="522"/>
      <c r="AC54" s="523"/>
      <c r="AD54" s="429"/>
      <c r="AF54" s="658">
        <f>SUM(AF13:AF53)</f>
        <v>0</v>
      </c>
    </row>
    <row r="55" spans="1:33" ht="18" x14ac:dyDescent="0.2">
      <c r="A55" s="430"/>
      <c r="B55" s="430"/>
      <c r="C55" s="430"/>
      <c r="D55" s="430"/>
      <c r="E55" s="430"/>
      <c r="F55" s="430"/>
      <c r="G55" s="430"/>
      <c r="H55" s="430"/>
      <c r="I55" s="430"/>
      <c r="J55" s="430"/>
      <c r="K55" s="430"/>
      <c r="L55" s="430"/>
      <c r="M55" s="430"/>
      <c r="N55" s="430"/>
      <c r="O55" s="430"/>
      <c r="P55" s="430"/>
      <c r="Q55" s="430"/>
      <c r="R55" s="430"/>
      <c r="S55" s="430"/>
      <c r="T55" s="430"/>
      <c r="U55" s="430"/>
      <c r="V55" s="430"/>
      <c r="W55" s="430"/>
      <c r="X55" s="430"/>
      <c r="Y55" s="540"/>
      <c r="Z55" s="540"/>
      <c r="AA55" s="430"/>
      <c r="AB55" s="430"/>
      <c r="AC55" s="521"/>
      <c r="AD55" s="429"/>
    </row>
    <row r="56" spans="1:33" x14ac:dyDescent="0.2">
      <c r="A56" s="428"/>
      <c r="B56" s="492"/>
      <c r="C56" s="493"/>
      <c r="D56" s="493"/>
      <c r="E56" s="493"/>
      <c r="F56" s="493"/>
      <c r="G56" s="493"/>
      <c r="H56" s="493"/>
      <c r="I56" s="494"/>
      <c r="M56" s="493"/>
      <c r="N56" s="493"/>
      <c r="O56" s="493"/>
      <c r="P56" s="493"/>
      <c r="Q56" s="493"/>
      <c r="R56" s="493"/>
      <c r="S56" s="494"/>
      <c r="W56" s="493"/>
      <c r="X56" s="493"/>
      <c r="Y56" s="541"/>
      <c r="Z56" s="541"/>
      <c r="AA56" s="494"/>
    </row>
    <row r="57" spans="1:33" hidden="1" x14ac:dyDescent="0.2">
      <c r="A57" s="428"/>
      <c r="B57" s="495"/>
      <c r="C57" s="655" t="s">
        <v>33</v>
      </c>
      <c r="D57" s="655"/>
      <c r="E57" s="655">
        <f>IF(E7="",0,1)</f>
        <v>0</v>
      </c>
      <c r="F57" s="655"/>
      <c r="G57" s="655">
        <f>IF(G7="",0,1)</f>
        <v>0</v>
      </c>
      <c r="H57" s="655"/>
      <c r="I57" s="655">
        <f>IF(I7="",0,1)</f>
        <v>0</v>
      </c>
      <c r="J57" s="656"/>
      <c r="K57" s="655">
        <f>IF(K7="",0,1)</f>
        <v>0</v>
      </c>
      <c r="L57" s="655"/>
      <c r="M57" s="655">
        <f>IF(M7="",0,1)</f>
        <v>0</v>
      </c>
      <c r="N57" s="655"/>
      <c r="O57" s="655">
        <f>IF(O7="",0,1)</f>
        <v>0</v>
      </c>
      <c r="P57" s="655"/>
      <c r="Q57" s="655">
        <f>IF(Q7="",0,1)</f>
        <v>0</v>
      </c>
      <c r="R57" s="655"/>
      <c r="S57" s="655">
        <f>IF(S7="",0,1)</f>
        <v>0</v>
      </c>
      <c r="T57" s="656"/>
      <c r="U57" s="655">
        <f>IF(U7="",0,1)</f>
        <v>0</v>
      </c>
      <c r="V57" s="656"/>
      <c r="W57" s="655">
        <f>IF(W7="",0,1)</f>
        <v>0</v>
      </c>
      <c r="X57" s="655"/>
      <c r="Y57" s="655"/>
      <c r="Z57" s="655"/>
      <c r="AA57" s="655">
        <f>IF(AA7="",0,1)</f>
        <v>0</v>
      </c>
      <c r="AB57" s="656"/>
      <c r="AC57" s="656"/>
      <c r="AD57" s="656">
        <f>SUM(E57:AA57)</f>
        <v>0</v>
      </c>
    </row>
    <row r="58" spans="1:33" x14ac:dyDescent="0.2">
      <c r="A58" s="428"/>
      <c r="B58" s="1068"/>
      <c r="C58" s="1069"/>
      <c r="D58" s="1069"/>
      <c r="E58" s="1069"/>
      <c r="F58" s="1069"/>
      <c r="G58" s="1069"/>
      <c r="H58" s="1069"/>
      <c r="I58" s="1069"/>
      <c r="M58" s="428"/>
      <c r="N58" s="428"/>
      <c r="O58" s="428"/>
      <c r="P58" s="428"/>
      <c r="Q58" s="428"/>
      <c r="R58" s="428"/>
      <c r="S58" s="428"/>
    </row>
  </sheetData>
  <mergeCells count="11">
    <mergeCell ref="M9:U9"/>
    <mergeCell ref="W9:Y9"/>
    <mergeCell ref="B58:I58"/>
    <mergeCell ref="A1:AC1"/>
    <mergeCell ref="B12:C12"/>
    <mergeCell ref="Y7:AB7"/>
    <mergeCell ref="G9:I9"/>
    <mergeCell ref="E4:K4"/>
    <mergeCell ref="M4:U4"/>
    <mergeCell ref="W4:AA4"/>
    <mergeCell ref="W7:W8"/>
  </mergeCells>
  <dataValidations disablePrompts="1" count="1">
    <dataValidation type="custom" operator="equal" allowBlank="1" showInputMessage="1" showErrorMessage="1" error="The number setting their own council tax precept exceeds the sum of parishes and Charter Trustees" sqref="AC13:AC55">
      <formula1>#REF!=0</formula1>
    </dataValidation>
  </dataValidations>
  <printOptions horizontalCentered="1"/>
  <pageMargins left="0.39370078740157483" right="0.39370078740157483" top="0.59055118110236227" bottom="0.59055118110236227" header="0.31496062992125984" footer="0.31496062992125984"/>
  <pageSetup paperSize="9" scale="32" fitToHeight="5" orientation="landscape"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Y72"/>
  <sheetViews>
    <sheetView showGridLines="0" zoomScale="80" zoomScaleNormal="80" workbookViewId="0"/>
  </sheetViews>
  <sheetFormatPr defaultRowHeight="15" x14ac:dyDescent="0.2"/>
  <cols>
    <col min="1" max="2" width="1.7109375" customWidth="1"/>
    <col min="3" max="4" width="14.28515625" customWidth="1"/>
    <col min="5" max="5" width="47.42578125" customWidth="1"/>
    <col min="6" max="7" width="14.28515625" customWidth="1"/>
    <col min="8" max="8" width="3.7109375" customWidth="1"/>
    <col min="9" max="10" width="11.42578125" customWidth="1"/>
    <col min="11" max="11" width="5.28515625" customWidth="1"/>
    <col min="12" max="13" width="11.5703125" customWidth="1"/>
    <col min="14" max="15" width="1.7109375" customWidth="1"/>
    <col min="16" max="16" width="10.140625" bestFit="1" customWidth="1"/>
    <col min="18" max="18" width="11.7109375" style="244" hidden="1" customWidth="1"/>
    <col min="19" max="19" width="9.7109375" hidden="1" customWidth="1"/>
  </cols>
  <sheetData>
    <row r="1" spans="1:18" x14ac:dyDescent="0.2">
      <c r="A1" s="73"/>
      <c r="B1" s="74"/>
      <c r="C1" s="74"/>
      <c r="D1" s="74"/>
      <c r="E1" s="74"/>
      <c r="F1" s="74"/>
      <c r="G1" s="74"/>
      <c r="H1" s="74"/>
      <c r="I1" s="74"/>
      <c r="J1" s="74"/>
      <c r="K1" s="74"/>
      <c r="L1" s="74"/>
      <c r="M1" s="74"/>
      <c r="N1" s="74"/>
      <c r="O1" s="75"/>
    </row>
    <row r="2" spans="1:18" ht="15.75" x14ac:dyDescent="0.25">
      <c r="A2" s="915" t="s">
        <v>659</v>
      </c>
      <c r="B2" s="1005"/>
      <c r="C2" s="1005"/>
      <c r="D2" s="1005"/>
      <c r="E2" s="1005"/>
      <c r="F2" s="1005"/>
      <c r="G2" s="1005"/>
      <c r="H2" s="1005"/>
      <c r="I2" s="1005"/>
      <c r="J2" s="1005"/>
      <c r="K2" s="1005"/>
      <c r="L2" s="1005"/>
      <c r="M2" s="1005"/>
      <c r="N2" s="1005"/>
      <c r="O2" s="1006"/>
    </row>
    <row r="3" spans="1:18" ht="15.75" x14ac:dyDescent="0.25">
      <c r="A3" s="915" t="s">
        <v>1120</v>
      </c>
      <c r="B3" s="1007"/>
      <c r="C3" s="1007"/>
      <c r="D3" s="1007"/>
      <c r="E3" s="1007"/>
      <c r="F3" s="1007"/>
      <c r="G3" s="1007"/>
      <c r="H3" s="1007"/>
      <c r="I3" s="1007"/>
      <c r="J3" s="1007"/>
      <c r="K3" s="1007"/>
      <c r="L3" s="1007"/>
      <c r="M3" s="1007"/>
      <c r="N3" s="1007"/>
      <c r="O3" s="1008"/>
    </row>
    <row r="4" spans="1:18" ht="15.75" x14ac:dyDescent="0.25">
      <c r="A4" s="283"/>
      <c r="B4" s="142"/>
      <c r="C4" s="142"/>
      <c r="D4" s="142"/>
      <c r="E4" s="142"/>
      <c r="F4" s="142"/>
      <c r="G4" s="142"/>
      <c r="H4" s="142"/>
      <c r="I4" s="142"/>
      <c r="J4" s="142"/>
      <c r="K4" s="142"/>
      <c r="L4" s="142"/>
      <c r="M4" s="142"/>
      <c r="N4" s="142"/>
      <c r="O4" s="143"/>
    </row>
    <row r="5" spans="1:18" ht="15.75" thickBot="1" x14ac:dyDescent="0.25">
      <c r="A5" s="76"/>
      <c r="B5" s="77"/>
      <c r="C5" s="77"/>
      <c r="D5" s="77"/>
      <c r="E5" s="77"/>
      <c r="F5" s="77"/>
      <c r="G5" s="77"/>
      <c r="H5" s="77"/>
      <c r="I5" s="77"/>
      <c r="J5" s="77"/>
      <c r="K5" s="77"/>
      <c r="L5" s="361"/>
      <c r="M5" s="615"/>
      <c r="N5" s="77"/>
      <c r="O5" s="78"/>
    </row>
    <row r="6" spans="1:18" x14ac:dyDescent="0.2">
      <c r="A6" s="23"/>
      <c r="B6" s="2"/>
      <c r="C6" s="1043"/>
      <c r="D6" s="1043"/>
      <c r="E6" s="295"/>
      <c r="F6" s="295"/>
      <c r="G6" s="2"/>
      <c r="H6" s="2"/>
      <c r="I6" s="231"/>
      <c r="J6" s="2"/>
      <c r="K6" s="2"/>
      <c r="L6" s="2"/>
      <c r="M6" s="2"/>
      <c r="N6" s="2"/>
      <c r="O6" s="55"/>
    </row>
    <row r="7" spans="1:18" ht="18" x14ac:dyDescent="0.25">
      <c r="A7" s="45"/>
      <c r="B7" s="27"/>
      <c r="C7" s="79" t="str">
        <f>+CONCATENATE("Local Authority : ",+'Part 1'!L12)</f>
        <v>Local Authority : England</v>
      </c>
      <c r="D7" s="79"/>
      <c r="E7" s="79"/>
      <c r="F7" s="79"/>
      <c r="G7" s="27"/>
      <c r="H7" s="27"/>
      <c r="I7" s="27"/>
      <c r="J7" s="27"/>
      <c r="K7" s="27"/>
      <c r="L7" s="27"/>
      <c r="M7" s="27"/>
      <c r="N7" s="27"/>
      <c r="O7" s="28"/>
    </row>
    <row r="8" spans="1:18" ht="15.75" x14ac:dyDescent="0.25">
      <c r="A8" s="41"/>
      <c r="B8" s="274"/>
      <c r="C8" s="274"/>
      <c r="D8" s="274"/>
      <c r="E8" s="274"/>
      <c r="F8" s="274"/>
      <c r="G8" s="44"/>
      <c r="H8" s="27"/>
      <c r="I8" s="27"/>
      <c r="J8" s="27"/>
      <c r="K8" s="27"/>
      <c r="L8" s="27"/>
      <c r="M8" s="27"/>
      <c r="N8" s="27"/>
      <c r="O8" s="28"/>
    </row>
    <row r="9" spans="1:18" ht="15.75" x14ac:dyDescent="0.25">
      <c r="A9" s="23"/>
      <c r="B9" s="2"/>
      <c r="C9" s="26" t="s">
        <v>664</v>
      </c>
      <c r="D9" s="27"/>
      <c r="E9" s="27"/>
      <c r="F9" s="27"/>
      <c r="G9" s="27"/>
      <c r="H9" s="27"/>
      <c r="I9" s="27"/>
      <c r="J9" s="27"/>
      <c r="K9" s="27"/>
      <c r="L9" s="27"/>
      <c r="M9" s="27"/>
      <c r="N9" s="27"/>
      <c r="O9" s="28"/>
    </row>
    <row r="10" spans="1:18" ht="15.75" x14ac:dyDescent="0.25">
      <c r="A10" s="23"/>
      <c r="B10" s="2"/>
      <c r="C10" s="26"/>
      <c r="D10" s="27"/>
      <c r="E10" s="27"/>
      <c r="F10" s="27"/>
      <c r="G10" s="27"/>
      <c r="H10" s="27"/>
      <c r="I10" s="27"/>
      <c r="J10" s="27"/>
      <c r="K10" s="27"/>
      <c r="L10" s="27"/>
      <c r="M10" s="27"/>
      <c r="N10" s="27"/>
      <c r="O10" s="28"/>
    </row>
    <row r="11" spans="1:18" ht="16.5" thickBot="1" x14ac:dyDescent="0.3">
      <c r="A11" s="23"/>
      <c r="B11" s="2"/>
      <c r="C11" s="26" t="s">
        <v>259</v>
      </c>
      <c r="D11" s="27"/>
      <c r="E11" s="27"/>
      <c r="F11" s="27"/>
      <c r="G11" s="27"/>
      <c r="H11" s="27"/>
      <c r="I11" s="1020" t="s">
        <v>629</v>
      </c>
      <c r="J11" s="1020"/>
      <c r="K11" s="27"/>
      <c r="L11" s="1020" t="s">
        <v>629</v>
      </c>
      <c r="M11" s="1020"/>
      <c r="N11" s="27"/>
      <c r="O11" s="28"/>
    </row>
    <row r="12" spans="1:18" ht="16.5" thickBot="1" x14ac:dyDescent="0.25">
      <c r="A12" s="23"/>
      <c r="B12" s="2"/>
      <c r="C12" s="10" t="s">
        <v>1093</v>
      </c>
      <c r="D12" s="27"/>
      <c r="E12" s="27"/>
      <c r="F12" s="27"/>
      <c r="G12" s="27"/>
      <c r="H12" s="27"/>
      <c r="I12" s="63"/>
      <c r="J12" s="63"/>
      <c r="K12" s="63"/>
      <c r="L12" s="1088">
        <f>VLOOKUP('Part 1'!L13,DataSheet4!$B$8:$Y$325,5,FALSE)</f>
        <v>6145053.433319021</v>
      </c>
      <c r="M12" s="1089"/>
      <c r="N12" s="27"/>
      <c r="O12" s="28"/>
    </row>
    <row r="13" spans="1:18" ht="15.75" x14ac:dyDescent="0.25">
      <c r="A13" s="23"/>
      <c r="B13" s="2"/>
      <c r="C13" s="26"/>
      <c r="D13" s="27"/>
      <c r="E13" s="27"/>
      <c r="F13" s="27"/>
      <c r="G13" s="27"/>
      <c r="H13" s="27"/>
      <c r="I13" s="27"/>
      <c r="J13" s="27"/>
      <c r="K13" s="27"/>
      <c r="L13" s="27"/>
      <c r="M13" s="27"/>
      <c r="N13" s="27"/>
      <c r="O13" s="28"/>
    </row>
    <row r="14" spans="1:18" ht="16.5" thickBot="1" x14ac:dyDescent="0.3">
      <c r="A14" s="23"/>
      <c r="B14" s="2"/>
      <c r="C14" s="13" t="s">
        <v>849</v>
      </c>
      <c r="D14" s="27"/>
      <c r="E14" s="27"/>
      <c r="F14" s="27"/>
      <c r="G14" s="27"/>
      <c r="H14" s="27"/>
      <c r="I14" s="27"/>
      <c r="J14" s="27"/>
      <c r="K14" s="27"/>
      <c r="L14" s="27"/>
      <c r="M14" s="27"/>
      <c r="N14" s="27"/>
      <c r="O14" s="28"/>
    </row>
    <row r="15" spans="1:18" ht="16.5" thickBot="1" x14ac:dyDescent="0.25">
      <c r="A15" s="23"/>
      <c r="B15" s="2"/>
      <c r="C15" s="10" t="s">
        <v>1132</v>
      </c>
      <c r="D15" s="27"/>
      <c r="E15" s="27"/>
      <c r="F15" s="27"/>
      <c r="G15" s="27"/>
      <c r="H15" s="27"/>
      <c r="I15" s="884">
        <f>VLOOKUP('Part 1'!L13,DataSheet4!$B$8:$Y$325,6,FALSE)</f>
        <v>25749926535.739998</v>
      </c>
      <c r="J15" s="885"/>
      <c r="K15" s="27"/>
      <c r="L15" s="27"/>
      <c r="M15" s="27"/>
      <c r="N15" s="27"/>
      <c r="O15" s="28"/>
      <c r="R15" s="1087" t="s">
        <v>852</v>
      </c>
    </row>
    <row r="16" spans="1:18" ht="15.75" customHeight="1" thickBot="1" x14ac:dyDescent="0.3">
      <c r="A16" s="23"/>
      <c r="B16" s="2"/>
      <c r="C16" s="13"/>
      <c r="D16" s="27"/>
      <c r="E16" s="27"/>
      <c r="F16" s="27"/>
      <c r="G16" s="27"/>
      <c r="H16" s="27"/>
      <c r="I16" s="27"/>
      <c r="J16" s="27"/>
      <c r="K16" s="27"/>
      <c r="L16" s="27"/>
      <c r="M16" s="27"/>
      <c r="N16" s="27"/>
      <c r="O16" s="28"/>
      <c r="R16" s="1087"/>
    </row>
    <row r="17" spans="1:20" ht="16.5" thickBot="1" x14ac:dyDescent="0.25">
      <c r="A17" s="23"/>
      <c r="B17" s="2"/>
      <c r="C17" s="10" t="s">
        <v>854</v>
      </c>
      <c r="D17" s="27"/>
      <c r="E17" s="27"/>
      <c r="F17" s="27"/>
      <c r="G17" s="27"/>
      <c r="H17" s="27"/>
      <c r="I17" s="884">
        <f>VLOOKUP('Part 1'!L13,DataSheet4!$B$8:$Y$325,7,FALSE)</f>
        <v>-49836557</v>
      </c>
      <c r="J17" s="885"/>
      <c r="K17" s="27"/>
      <c r="L17" s="27"/>
      <c r="M17" s="27"/>
      <c r="N17" s="27"/>
      <c r="O17" s="28"/>
    </row>
    <row r="18" spans="1:20" ht="16.5" thickBot="1" x14ac:dyDescent="0.3">
      <c r="A18" s="23"/>
      <c r="B18" s="2"/>
      <c r="C18" s="13"/>
      <c r="D18" s="27"/>
      <c r="E18" s="27"/>
      <c r="F18" s="27"/>
      <c r="G18" s="27"/>
      <c r="H18" s="27"/>
      <c r="I18" s="27"/>
      <c r="J18" s="27"/>
      <c r="K18" s="27"/>
      <c r="L18" s="27"/>
      <c r="M18" s="27"/>
      <c r="N18" s="27"/>
      <c r="O18" s="28"/>
    </row>
    <row r="19" spans="1:20" ht="16.5" thickBot="1" x14ac:dyDescent="0.25">
      <c r="A19" s="23"/>
      <c r="B19" s="2"/>
      <c r="C19" s="10" t="s">
        <v>855</v>
      </c>
      <c r="D19" s="27"/>
      <c r="E19" s="27"/>
      <c r="F19" s="27"/>
      <c r="G19" s="27"/>
      <c r="H19" s="27"/>
      <c r="I19" s="884">
        <f>VLOOKUP('Part 1'!L13,DataSheet4!$B$8:$Y$325,8,FALSE)</f>
        <v>-182793774</v>
      </c>
      <c r="J19" s="885"/>
      <c r="K19" s="27"/>
      <c r="L19" s="27"/>
      <c r="M19" s="27"/>
      <c r="N19" s="27"/>
      <c r="O19" s="28"/>
    </row>
    <row r="20" spans="1:20" ht="16.5" thickBot="1" x14ac:dyDescent="0.3">
      <c r="A20" s="23"/>
      <c r="B20" s="2"/>
      <c r="C20" s="13"/>
      <c r="D20" s="27"/>
      <c r="E20" s="27"/>
      <c r="F20" s="27"/>
      <c r="G20" s="27"/>
      <c r="H20" s="27"/>
      <c r="I20" s="27"/>
      <c r="J20" s="27"/>
      <c r="K20" s="27"/>
      <c r="L20" s="27"/>
      <c r="M20" s="27"/>
      <c r="N20" s="27"/>
      <c r="O20" s="28"/>
    </row>
    <row r="21" spans="1:20" ht="16.5" thickBot="1" x14ac:dyDescent="0.25">
      <c r="A21" s="23"/>
      <c r="B21" s="2"/>
      <c r="C21" s="10" t="s">
        <v>856</v>
      </c>
      <c r="D21" s="27"/>
      <c r="E21" s="27"/>
      <c r="F21" s="27"/>
      <c r="G21" s="27"/>
      <c r="H21" s="27"/>
      <c r="I21" s="884">
        <f>VLOOKUP('Part 1'!L13,DataSheet4!$B$8:$Y$325,9,FALSE)</f>
        <v>572481251</v>
      </c>
      <c r="J21" s="885"/>
      <c r="K21" s="27"/>
      <c r="L21" s="27"/>
      <c r="M21" s="27"/>
      <c r="N21" s="27"/>
      <c r="O21" s="28"/>
    </row>
    <row r="22" spans="1:20" ht="16.5" thickBot="1" x14ac:dyDescent="0.3">
      <c r="A22" s="23"/>
      <c r="B22" s="2"/>
      <c r="C22" s="13"/>
      <c r="D22" s="27"/>
      <c r="E22" s="27"/>
      <c r="F22" s="27"/>
      <c r="G22" s="27"/>
      <c r="H22" s="27"/>
      <c r="I22" s="27"/>
      <c r="J22" s="27"/>
      <c r="K22" s="27"/>
      <c r="L22" s="27"/>
      <c r="M22" s="27"/>
      <c r="N22" s="27"/>
      <c r="O22" s="28"/>
      <c r="R22" s="245" t="s">
        <v>66</v>
      </c>
    </row>
    <row r="23" spans="1:20" ht="16.5" thickBot="1" x14ac:dyDescent="0.25">
      <c r="A23" s="23"/>
      <c r="B23" s="2"/>
      <c r="C23" s="10" t="s">
        <v>857</v>
      </c>
      <c r="D23" s="27"/>
      <c r="E23" s="27"/>
      <c r="F23" s="27"/>
      <c r="G23" s="27"/>
      <c r="H23" s="27"/>
      <c r="I23" s="884">
        <f>VLOOKUP('Part 1'!L13,DataSheet4!$B$8:$Y$325,10,FALSE)</f>
        <v>-897975269</v>
      </c>
      <c r="J23" s="885"/>
      <c r="K23" s="27"/>
      <c r="L23" s="27"/>
      <c r="M23" s="27"/>
      <c r="N23" s="27"/>
      <c r="O23" s="28"/>
      <c r="R23" s="246" t="s">
        <v>65</v>
      </c>
    </row>
    <row r="24" spans="1:20" ht="15.75" thickBot="1" x14ac:dyDescent="0.25">
      <c r="A24" s="23"/>
      <c r="B24" s="2"/>
      <c r="C24" s="10"/>
      <c r="D24" s="27"/>
      <c r="E24" s="27"/>
      <c r="F24" s="27"/>
      <c r="G24" s="27"/>
      <c r="H24" s="27"/>
      <c r="I24" s="27"/>
      <c r="J24" s="27"/>
      <c r="K24" s="27"/>
      <c r="L24" s="27"/>
      <c r="M24" s="27"/>
      <c r="N24" s="27"/>
      <c r="O24" s="28"/>
      <c r="R24" s="246"/>
    </row>
    <row r="25" spans="1:20" ht="16.5" thickBot="1" x14ac:dyDescent="0.3">
      <c r="A25" s="23"/>
      <c r="B25" s="2"/>
      <c r="C25" s="13" t="s">
        <v>858</v>
      </c>
      <c r="D25" s="27"/>
      <c r="E25" s="27"/>
      <c r="F25" s="27"/>
      <c r="G25" s="27"/>
      <c r="H25" s="27"/>
      <c r="I25" s="312"/>
      <c r="J25" s="312"/>
      <c r="K25" s="27"/>
      <c r="L25" s="963">
        <f>VLOOKUP('Part 1'!L13,DataSheet4!$B$8:$Y$325,11,FALSE)</f>
        <v>25191802186.739998</v>
      </c>
      <c r="M25" s="964"/>
      <c r="N25" s="27"/>
      <c r="O25" s="28"/>
      <c r="R25" s="246">
        <f>IF(+I15+I17+I19+I21+I23-L25=0,0,1)</f>
        <v>0</v>
      </c>
    </row>
    <row r="26" spans="1:20" ht="15.75" x14ac:dyDescent="0.25">
      <c r="A26" s="23"/>
      <c r="B26" s="2"/>
      <c r="C26" s="13"/>
      <c r="D26" s="27"/>
      <c r="E26" s="27"/>
      <c r="F26" s="27"/>
      <c r="G26" s="27"/>
      <c r="H26" s="27"/>
      <c r="I26" s="27"/>
      <c r="J26" s="27"/>
      <c r="K26" s="27"/>
      <c r="L26" s="10"/>
      <c r="M26" s="27"/>
      <c r="N26" s="27"/>
      <c r="O26" s="28"/>
      <c r="R26" s="246"/>
    </row>
    <row r="27" spans="1:20" ht="16.5" thickBot="1" x14ac:dyDescent="0.3">
      <c r="A27" s="23"/>
      <c r="B27" s="2"/>
      <c r="C27" s="13" t="s">
        <v>853</v>
      </c>
      <c r="D27" s="27"/>
      <c r="E27" s="27"/>
      <c r="F27" s="27"/>
      <c r="G27" s="27"/>
      <c r="H27" s="27"/>
      <c r="I27" s="63"/>
      <c r="J27" s="63"/>
      <c r="K27" s="63"/>
      <c r="L27" s="63"/>
      <c r="M27" s="63"/>
      <c r="N27" s="27"/>
      <c r="O27" s="28"/>
      <c r="R27" s="246"/>
    </row>
    <row r="28" spans="1:20" ht="16.5" thickBot="1" x14ac:dyDescent="0.25">
      <c r="A28" s="23"/>
      <c r="B28" s="2"/>
      <c r="C28" s="10" t="s">
        <v>1133</v>
      </c>
      <c r="D28" s="27"/>
      <c r="E28" s="27"/>
      <c r="F28" s="27"/>
      <c r="G28" s="27"/>
      <c r="H28" s="27"/>
      <c r="I28" s="884">
        <f>VLOOKUP('Part 1'!L13,DataSheet4!$B$8:$Y$325,12,FALSE)</f>
        <v>355249412</v>
      </c>
      <c r="J28" s="885"/>
      <c r="K28" s="63"/>
      <c r="L28" s="63"/>
      <c r="M28" s="63"/>
      <c r="N28" s="27"/>
      <c r="O28" s="28"/>
      <c r="R28" s="246"/>
      <c r="T28" s="224"/>
    </row>
    <row r="29" spans="1:20" ht="15.75" thickBot="1" x14ac:dyDescent="0.25">
      <c r="A29" s="23"/>
      <c r="B29" s="2"/>
      <c r="C29" s="10"/>
      <c r="D29" s="27"/>
      <c r="E29" s="27"/>
      <c r="F29" s="27"/>
      <c r="G29" s="27"/>
      <c r="H29" s="27"/>
      <c r="I29" s="63"/>
      <c r="J29" s="63"/>
      <c r="K29" s="63"/>
      <c r="L29" s="63"/>
      <c r="M29" s="63"/>
      <c r="N29" s="27"/>
      <c r="O29" s="28"/>
      <c r="R29" s="246"/>
    </row>
    <row r="30" spans="1:20" ht="16.5" thickBot="1" x14ac:dyDescent="0.25">
      <c r="A30" s="23"/>
      <c r="B30" s="2"/>
      <c r="C30" s="10" t="s">
        <v>859</v>
      </c>
      <c r="D30" s="27"/>
      <c r="E30" s="27"/>
      <c r="F30" s="27"/>
      <c r="G30" s="27"/>
      <c r="H30" s="27"/>
      <c r="I30" s="884">
        <f>VLOOKUP('Part 1'!L13,DataSheet4!$B$8:$Y$325,13,FALSE)</f>
        <v>9363442</v>
      </c>
      <c r="J30" s="885"/>
      <c r="K30" s="63"/>
      <c r="L30" s="63"/>
      <c r="M30" s="63"/>
      <c r="N30" s="27"/>
      <c r="O30" s="28"/>
      <c r="R30" s="246"/>
      <c r="T30" s="224"/>
    </row>
    <row r="31" spans="1:20" ht="16.5" thickBot="1" x14ac:dyDescent="0.25">
      <c r="A31" s="23"/>
      <c r="B31" s="2"/>
      <c r="C31" s="10"/>
      <c r="D31" s="27"/>
      <c r="E31" s="27"/>
      <c r="F31" s="27"/>
      <c r="G31" s="27"/>
      <c r="H31" s="27"/>
      <c r="I31" s="64"/>
      <c r="J31" s="64"/>
      <c r="K31" s="63"/>
      <c r="L31" s="63"/>
      <c r="M31" s="63"/>
      <c r="N31" s="27"/>
      <c r="O31" s="28"/>
      <c r="R31" s="246"/>
    </row>
    <row r="32" spans="1:20" ht="16.5" thickBot="1" x14ac:dyDescent="0.25">
      <c r="A32" s="23"/>
      <c r="B32" s="2"/>
      <c r="C32" s="10" t="s">
        <v>1134</v>
      </c>
      <c r="D32" s="27"/>
      <c r="E32" s="27"/>
      <c r="F32" s="27"/>
      <c r="G32" s="27"/>
      <c r="H32" s="27"/>
      <c r="I32" s="884">
        <f>VLOOKUP('Part 1'!L13,DataSheet4!$B$8:$Y$325,14,FALSE)</f>
        <v>549774451</v>
      </c>
      <c r="J32" s="885"/>
      <c r="K32" s="63"/>
      <c r="L32" s="63"/>
      <c r="M32" s="63"/>
      <c r="N32" s="27"/>
      <c r="O32" s="28"/>
      <c r="R32" s="246" t="e">
        <f>IF(S32-I32=0,0,1)</f>
        <v>#REF!</v>
      </c>
      <c r="S32" s="682" t="e">
        <f>-IF(VLOOKUP('Part 1'!$F$1,datar,$B$5+52,FALSE)&lt;0,VLOOKUP('Part 1'!$F$1,datar,$B$5+52,FALSE),0)</f>
        <v>#REF!</v>
      </c>
      <c r="T32" s="224"/>
    </row>
    <row r="33" spans="1:20" ht="16.5" thickBot="1" x14ac:dyDescent="0.25">
      <c r="A33" s="23"/>
      <c r="B33" s="2"/>
      <c r="C33" s="10"/>
      <c r="D33" s="27"/>
      <c r="E33" s="27"/>
      <c r="F33" s="27"/>
      <c r="G33" s="27"/>
      <c r="H33" s="27"/>
      <c r="I33" s="678"/>
      <c r="J33" s="324"/>
      <c r="K33" s="324"/>
      <c r="L33" s="324"/>
      <c r="M33" s="324"/>
      <c r="N33" s="324"/>
      <c r="O33" s="28"/>
      <c r="R33" s="246"/>
    </row>
    <row r="34" spans="1:20" ht="16.5" thickBot="1" x14ac:dyDescent="0.3">
      <c r="A34" s="23"/>
      <c r="B34" s="2"/>
      <c r="C34" s="13" t="s">
        <v>860</v>
      </c>
      <c r="D34" s="27"/>
      <c r="E34" s="27"/>
      <c r="F34" s="27"/>
      <c r="G34" s="27"/>
      <c r="H34" s="27"/>
      <c r="I34" s="63"/>
      <c r="J34" s="63"/>
      <c r="K34" s="63"/>
      <c r="L34" s="963">
        <f>VLOOKUP('Part 1'!L13,DataSheet4!$B$8:$Y$325,15,FALSE)</f>
        <v>914387305</v>
      </c>
      <c r="M34" s="964"/>
      <c r="N34" s="27"/>
      <c r="O34" s="28"/>
      <c r="R34" s="246">
        <f>IF(+I28+I30+I32-L34=0,0,1)</f>
        <v>0</v>
      </c>
      <c r="T34" s="224"/>
    </row>
    <row r="35" spans="1:20" x14ac:dyDescent="0.2">
      <c r="A35" s="23"/>
      <c r="B35" s="2"/>
      <c r="C35" s="27"/>
      <c r="D35" s="27"/>
      <c r="E35" s="27"/>
      <c r="F35" s="27"/>
      <c r="G35" s="27"/>
      <c r="H35" s="27"/>
      <c r="I35" s="63"/>
      <c r="J35" s="63"/>
      <c r="K35" s="63"/>
      <c r="L35" s="63"/>
      <c r="M35" s="63"/>
      <c r="N35" s="27"/>
      <c r="O35" s="28"/>
      <c r="R35" s="246"/>
    </row>
    <row r="36" spans="1:20" ht="16.5" thickBot="1" x14ac:dyDescent="0.3">
      <c r="A36" s="23"/>
      <c r="B36" s="2"/>
      <c r="C36" s="13" t="s">
        <v>850</v>
      </c>
      <c r="D36" s="27"/>
      <c r="E36" s="27"/>
      <c r="F36" s="27"/>
      <c r="G36" s="27"/>
      <c r="H36" s="27"/>
      <c r="I36" s="63"/>
      <c r="J36" s="63"/>
      <c r="K36" s="63"/>
      <c r="L36" s="63"/>
      <c r="M36" s="63"/>
      <c r="N36" s="27"/>
      <c r="O36" s="28"/>
      <c r="R36" s="246"/>
    </row>
    <row r="37" spans="1:20" ht="16.5" thickBot="1" x14ac:dyDescent="0.25">
      <c r="A37" s="23"/>
      <c r="B37" s="2"/>
      <c r="C37" s="10" t="s">
        <v>1135</v>
      </c>
      <c r="D37" s="10"/>
      <c r="E37" s="10"/>
      <c r="F37" s="10"/>
      <c r="G37" s="10"/>
      <c r="H37" s="27"/>
      <c r="I37" s="884">
        <f>VLOOKUP('Part 1'!L13,DataSheet4!$B$8:$Y$325,16,FALSE)</f>
        <v>-373491846</v>
      </c>
      <c r="J37" s="885"/>
      <c r="K37" s="63"/>
      <c r="L37" s="63"/>
      <c r="M37" s="63"/>
      <c r="N37" s="27"/>
      <c r="O37" s="28"/>
      <c r="R37" s="246"/>
      <c r="T37" s="224"/>
    </row>
    <row r="38" spans="1:20" ht="15.75" thickBot="1" x14ac:dyDescent="0.25">
      <c r="A38" s="23"/>
      <c r="B38" s="2"/>
      <c r="C38" s="10"/>
      <c r="D38" s="10"/>
      <c r="E38" s="10"/>
      <c r="F38" s="10"/>
      <c r="G38" s="10"/>
      <c r="H38" s="27"/>
      <c r="I38" s="63"/>
      <c r="J38" s="63"/>
      <c r="K38" s="63"/>
      <c r="L38" s="63"/>
      <c r="M38" s="63"/>
      <c r="N38" s="27"/>
      <c r="O38" s="28"/>
      <c r="R38" s="246"/>
    </row>
    <row r="39" spans="1:20" ht="16.5" thickBot="1" x14ac:dyDescent="0.25">
      <c r="A39" s="23"/>
      <c r="B39" s="2"/>
      <c r="C39" s="879" t="s">
        <v>1136</v>
      </c>
      <c r="D39" s="879"/>
      <c r="E39" s="879"/>
      <c r="F39" s="879"/>
      <c r="G39" s="879"/>
      <c r="H39" s="27"/>
      <c r="I39" s="884">
        <f>VLOOKUP('Part 1'!L13,DataSheet4!$B$8:$Y$325,17,FALSE)</f>
        <v>-4755530062</v>
      </c>
      <c r="J39" s="885"/>
      <c r="K39" s="63"/>
      <c r="L39" s="63"/>
      <c r="M39" s="63"/>
      <c r="N39" s="27"/>
      <c r="O39" s="28"/>
      <c r="R39" s="246"/>
      <c r="T39" s="224"/>
    </row>
    <row r="40" spans="1:20" x14ac:dyDescent="0.2">
      <c r="A40" s="23"/>
      <c r="B40" s="2"/>
      <c r="C40" s="879"/>
      <c r="D40" s="879"/>
      <c r="E40" s="879"/>
      <c r="F40" s="879"/>
      <c r="G40" s="879"/>
      <c r="H40" s="27"/>
      <c r="I40" s="63"/>
      <c r="J40" s="63"/>
      <c r="K40" s="63"/>
      <c r="L40" s="63"/>
      <c r="M40" s="63"/>
      <c r="N40" s="27"/>
      <c r="O40" s="28"/>
      <c r="R40" s="246"/>
    </row>
    <row r="41" spans="1:20" ht="15.75" thickBot="1" x14ac:dyDescent="0.25">
      <c r="A41" s="23"/>
      <c r="B41" s="2"/>
      <c r="C41" s="10"/>
      <c r="D41" s="10"/>
      <c r="E41" s="10"/>
      <c r="F41" s="10"/>
      <c r="G41" s="10"/>
      <c r="H41" s="27"/>
      <c r="I41" s="63"/>
      <c r="J41" s="63"/>
      <c r="K41" s="63"/>
      <c r="L41" s="63"/>
      <c r="M41" s="63"/>
      <c r="N41" s="27"/>
      <c r="O41" s="28"/>
      <c r="R41" s="246"/>
    </row>
    <row r="42" spans="1:20" ht="16.5" thickBot="1" x14ac:dyDescent="0.25">
      <c r="A42" s="23"/>
      <c r="B42" s="2"/>
      <c r="C42" s="10" t="s">
        <v>861</v>
      </c>
      <c r="D42" s="10"/>
      <c r="E42" s="10"/>
      <c r="F42" s="10"/>
      <c r="G42" s="10"/>
      <c r="H42" s="27"/>
      <c r="I42" s="884">
        <f>VLOOKUP('Part 1'!L13,DataSheet4!$B$8:$Y$325,18,FALSE)</f>
        <v>-4862563809</v>
      </c>
      <c r="J42" s="885"/>
      <c r="K42" s="63"/>
      <c r="L42" s="63"/>
      <c r="M42" s="63"/>
      <c r="N42" s="27"/>
      <c r="O42" s="28"/>
      <c r="R42" s="246"/>
      <c r="T42" s="224"/>
    </row>
    <row r="43" spans="1:20" x14ac:dyDescent="0.2">
      <c r="A43" s="23"/>
      <c r="B43" s="2"/>
      <c r="C43" s="10" t="s">
        <v>1137</v>
      </c>
      <c r="D43" s="10"/>
      <c r="E43" s="10"/>
      <c r="F43" s="10"/>
      <c r="G43" s="10"/>
      <c r="H43" s="27"/>
      <c r="I43" s="27"/>
      <c r="J43" s="27"/>
      <c r="K43" s="27"/>
      <c r="L43" s="63"/>
      <c r="M43" s="63"/>
      <c r="N43" s="27"/>
      <c r="O43" s="28"/>
      <c r="R43" s="246"/>
    </row>
    <row r="44" spans="1:20" ht="15.75" thickBot="1" x14ac:dyDescent="0.25">
      <c r="A44" s="23"/>
      <c r="B44" s="2"/>
      <c r="C44" s="10"/>
      <c r="D44" s="10"/>
      <c r="E44" s="10"/>
      <c r="F44" s="10"/>
      <c r="G44" s="10"/>
      <c r="H44" s="27"/>
      <c r="I44" s="63"/>
      <c r="J44" s="63"/>
      <c r="K44" s="63"/>
      <c r="L44" s="63"/>
      <c r="M44" s="63"/>
      <c r="N44" s="27"/>
      <c r="O44" s="28"/>
      <c r="R44" s="246"/>
    </row>
    <row r="45" spans="1:20" ht="16.5" thickBot="1" x14ac:dyDescent="0.25">
      <c r="A45" s="23"/>
      <c r="B45" s="2"/>
      <c r="C45" s="879" t="s">
        <v>1138</v>
      </c>
      <c r="D45" s="879"/>
      <c r="E45" s="879"/>
      <c r="F45" s="879"/>
      <c r="G45" s="879"/>
      <c r="H45" s="27"/>
      <c r="I45" s="884">
        <f>VLOOKUP('Part 1'!L13,DataSheet4!$B$8:$Y$325,19,FALSE)</f>
        <v>-14801672573</v>
      </c>
      <c r="J45" s="885"/>
      <c r="K45" s="63"/>
      <c r="L45" s="63"/>
      <c r="M45" s="63"/>
      <c r="N45" s="27"/>
      <c r="O45" s="28"/>
      <c r="R45" s="246"/>
      <c r="T45" s="224"/>
    </row>
    <row r="46" spans="1:20" x14ac:dyDescent="0.2">
      <c r="A46" s="23"/>
      <c r="B46" s="2"/>
      <c r="C46" s="879"/>
      <c r="D46" s="879"/>
      <c r="E46" s="879"/>
      <c r="F46" s="879"/>
      <c r="G46" s="879"/>
      <c r="H46" s="27"/>
      <c r="I46" s="63"/>
      <c r="J46" s="63"/>
      <c r="K46" s="63"/>
      <c r="L46" s="63"/>
      <c r="M46" s="63"/>
      <c r="N46" s="27"/>
      <c r="O46" s="28"/>
      <c r="R46" s="246"/>
    </row>
    <row r="47" spans="1:20" ht="15.75" thickBot="1" x14ac:dyDescent="0.25">
      <c r="A47" s="23"/>
      <c r="B47" s="2"/>
      <c r="C47" s="316"/>
      <c r="D47" s="316"/>
      <c r="E47" s="316"/>
      <c r="F47" s="316"/>
      <c r="G47" s="316"/>
      <c r="H47" s="27"/>
      <c r="I47" s="63"/>
      <c r="J47" s="63"/>
      <c r="K47" s="63"/>
      <c r="L47" s="63"/>
      <c r="M47" s="63"/>
      <c r="N47" s="27"/>
      <c r="O47" s="28"/>
      <c r="R47" s="246"/>
    </row>
    <row r="48" spans="1:20" ht="16.5" thickBot="1" x14ac:dyDescent="0.25">
      <c r="A48" s="23"/>
      <c r="B48" s="2"/>
      <c r="C48" s="313" t="s">
        <v>862</v>
      </c>
      <c r="D48" s="316"/>
      <c r="E48" s="316"/>
      <c r="F48" s="316"/>
      <c r="G48" s="316"/>
      <c r="H48" s="27"/>
      <c r="I48" s="884">
        <f>VLOOKUP('Part 1'!L13,DataSheet4!$B$8:$Y$325,20,FALSE)</f>
        <v>-500800419</v>
      </c>
      <c r="J48" s="885"/>
      <c r="K48" s="63"/>
      <c r="L48" s="63"/>
      <c r="M48" s="63"/>
      <c r="N48" s="27"/>
      <c r="O48" s="28"/>
      <c r="R48" s="246"/>
      <c r="T48" s="224"/>
    </row>
    <row r="49" spans="1:25" x14ac:dyDescent="0.2">
      <c r="A49" s="23"/>
      <c r="B49" s="2"/>
      <c r="C49" s="313" t="s">
        <v>1139</v>
      </c>
      <c r="D49" s="316"/>
      <c r="E49" s="316"/>
      <c r="F49" s="316"/>
      <c r="G49" s="316"/>
      <c r="H49" s="27"/>
      <c r="I49" s="63"/>
      <c r="J49" s="63"/>
      <c r="K49" s="63"/>
      <c r="L49" s="63"/>
      <c r="M49" s="63"/>
      <c r="N49" s="27"/>
      <c r="O49" s="28"/>
      <c r="R49" s="246"/>
    </row>
    <row r="50" spans="1:25" ht="15.75" thickBot="1" x14ac:dyDescent="0.25">
      <c r="A50" s="23"/>
      <c r="B50" s="2"/>
      <c r="C50" s="313"/>
      <c r="D50" s="316"/>
      <c r="E50" s="316"/>
      <c r="F50" s="316"/>
      <c r="G50" s="316"/>
      <c r="H50" s="27"/>
      <c r="I50" s="63"/>
      <c r="J50" s="63"/>
      <c r="K50" s="63"/>
      <c r="L50" s="63"/>
      <c r="M50" s="63"/>
      <c r="N50" s="27"/>
      <c r="O50" s="28"/>
      <c r="R50" s="246"/>
    </row>
    <row r="51" spans="1:25" ht="16.5" thickBot="1" x14ac:dyDescent="0.25">
      <c r="A51" s="23"/>
      <c r="B51" s="359"/>
      <c r="C51" s="10" t="s">
        <v>863</v>
      </c>
      <c r="D51" s="10"/>
      <c r="E51" s="10"/>
      <c r="F51" s="10"/>
      <c r="G51" s="10"/>
      <c r="H51" s="27"/>
      <c r="I51" s="884">
        <f>VLOOKUP('Part 1'!L13,DataSheet4!$B$8:$Y$325,21,FALSE)</f>
        <v>-16535404</v>
      </c>
      <c r="J51" s="885"/>
      <c r="K51" s="2"/>
      <c r="L51" s="63"/>
      <c r="M51" s="63"/>
      <c r="N51" s="27"/>
      <c r="O51" s="28"/>
      <c r="R51" s="246"/>
      <c r="T51" s="224"/>
    </row>
    <row r="52" spans="1:25" ht="16.5" thickBot="1" x14ac:dyDescent="0.25">
      <c r="A52" s="23"/>
      <c r="B52" s="2"/>
      <c r="C52" s="10"/>
      <c r="D52" s="10"/>
      <c r="E52" s="10"/>
      <c r="F52" s="10"/>
      <c r="G52" s="10"/>
      <c r="H52" s="27"/>
      <c r="I52" s="64"/>
      <c r="J52" s="64"/>
      <c r="K52" s="63"/>
      <c r="L52" s="63"/>
      <c r="M52" s="63"/>
      <c r="N52" s="27"/>
      <c r="O52" s="28"/>
      <c r="R52" s="246"/>
    </row>
    <row r="53" spans="1:25" ht="16.5" thickBot="1" x14ac:dyDescent="0.25">
      <c r="A53" s="23"/>
      <c r="B53" s="2"/>
      <c r="C53" s="10" t="s">
        <v>1140</v>
      </c>
      <c r="D53" s="10"/>
      <c r="E53" s="10"/>
      <c r="F53" s="10"/>
      <c r="G53" s="10"/>
      <c r="H53" s="27"/>
      <c r="I53" s="884">
        <f>VLOOKUP('Part 1'!L13,DataSheet4!$B$8:$Y$325,22,FALSE)</f>
        <v>-747183953</v>
      </c>
      <c r="J53" s="885"/>
      <c r="K53" s="63"/>
      <c r="L53" s="63"/>
      <c r="M53" s="63"/>
      <c r="N53" s="27"/>
      <c r="O53" s="28"/>
      <c r="R53" s="681" t="e">
        <f>IF(I53=S53,0,1)</f>
        <v>#REF!</v>
      </c>
      <c r="S53" s="682" t="e">
        <f>-IF(VLOOKUP('Part 1'!$F$1,datar,$B$5+52,FALSE)&gt;0,VLOOKUP('Part 1'!$F$1,datar,$B$5+52,FALSE),0)</f>
        <v>#REF!</v>
      </c>
      <c r="T53" s="224"/>
    </row>
    <row r="54" spans="1:25" ht="16.5" thickBot="1" x14ac:dyDescent="0.25">
      <c r="A54" s="23"/>
      <c r="B54" s="2"/>
      <c r="C54" s="10"/>
      <c r="D54" s="10"/>
      <c r="E54" s="10"/>
      <c r="F54" s="10"/>
      <c r="G54" s="10"/>
      <c r="H54" s="27"/>
      <c r="I54" s="220"/>
      <c r="J54" s="64"/>
      <c r="K54" s="63"/>
      <c r="L54" s="63"/>
      <c r="M54" s="63"/>
      <c r="N54" s="27"/>
      <c r="O54" s="28"/>
      <c r="R54" s="246"/>
    </row>
    <row r="55" spans="1:25" ht="16.5" thickBot="1" x14ac:dyDescent="0.3">
      <c r="A55" s="23"/>
      <c r="B55" s="2"/>
      <c r="C55" s="13" t="s">
        <v>864</v>
      </c>
      <c r="D55" s="10"/>
      <c r="E55" s="10"/>
      <c r="F55" s="10"/>
      <c r="G55" s="10"/>
      <c r="H55" s="27"/>
      <c r="I55" s="63"/>
      <c r="J55" s="63"/>
      <c r="K55" s="63"/>
      <c r="L55" s="963">
        <f>VLOOKUP('Part 1'!L13,DataSheet4!$B$8:$Y$325,23,FALSE)</f>
        <v>-26057778066</v>
      </c>
      <c r="M55" s="964"/>
      <c r="N55" s="62"/>
      <c r="O55" s="28"/>
      <c r="R55" s="247">
        <f>IF(+I37+I39+I42+I45+I48+I51+I53-L55=0,0,1)</f>
        <v>0</v>
      </c>
      <c r="T55" s="224"/>
    </row>
    <row r="56" spans="1:25" ht="16.5" thickBot="1" x14ac:dyDescent="0.3">
      <c r="A56" s="23"/>
      <c r="B56" s="2"/>
      <c r="C56" s="26"/>
      <c r="D56" s="27"/>
      <c r="E56" s="27"/>
      <c r="F56" s="27"/>
      <c r="G56" s="27"/>
      <c r="H56" s="27"/>
      <c r="I56" s="63"/>
      <c r="J56" s="63"/>
      <c r="K56" s="63"/>
      <c r="L56" s="63"/>
      <c r="M56" s="63"/>
      <c r="N56" s="62"/>
      <c r="O56" s="28"/>
      <c r="R56" s="246"/>
      <c r="S56" s="141"/>
    </row>
    <row r="57" spans="1:25" ht="15.75" x14ac:dyDescent="0.25">
      <c r="A57" s="23"/>
      <c r="B57" s="126"/>
      <c r="C57" s="127"/>
      <c r="D57" s="128"/>
      <c r="E57" s="128"/>
      <c r="F57" s="128"/>
      <c r="G57" s="128"/>
      <c r="H57" s="128"/>
      <c r="I57" s="129"/>
      <c r="J57" s="129"/>
      <c r="K57" s="129"/>
      <c r="L57" s="129"/>
      <c r="M57" s="129"/>
      <c r="N57" s="130"/>
      <c r="O57" s="28"/>
      <c r="R57" s="246"/>
    </row>
    <row r="58" spans="1:25" ht="15.75" x14ac:dyDescent="0.25">
      <c r="A58" s="23"/>
      <c r="B58" s="131"/>
      <c r="C58" s="20" t="s">
        <v>1141</v>
      </c>
      <c r="D58" s="34"/>
      <c r="E58" s="34"/>
      <c r="F58" s="34"/>
      <c r="G58" s="34"/>
      <c r="H58" s="34"/>
      <c r="I58" s="71"/>
      <c r="J58" s="71"/>
      <c r="K58" s="71"/>
      <c r="L58" s="71"/>
      <c r="M58" s="71"/>
      <c r="N58" s="132"/>
      <c r="O58" s="28"/>
      <c r="R58" s="246"/>
    </row>
    <row r="59" spans="1:25" ht="16.5" thickBot="1" x14ac:dyDescent="0.25">
      <c r="A59" s="23"/>
      <c r="B59" s="131"/>
      <c r="C59" s="607"/>
      <c r="D59" s="34"/>
      <c r="E59" s="34"/>
      <c r="F59" s="34"/>
      <c r="G59" s="34"/>
      <c r="H59" s="34"/>
      <c r="I59" s="71"/>
      <c r="J59" s="71"/>
      <c r="K59" s="71"/>
      <c r="L59" s="997" t="s">
        <v>629</v>
      </c>
      <c r="M59" s="997"/>
      <c r="N59" s="132"/>
      <c r="O59" s="28"/>
      <c r="R59" s="246"/>
    </row>
    <row r="60" spans="1:25" ht="16.5" thickBot="1" x14ac:dyDescent="0.25">
      <c r="A60" s="23"/>
      <c r="B60" s="131"/>
      <c r="C60" s="8" t="s">
        <v>872</v>
      </c>
      <c r="D60" s="34"/>
      <c r="E60" s="34"/>
      <c r="F60" s="34"/>
      <c r="G60" s="34"/>
      <c r="H60" s="34"/>
      <c r="I60" s="71"/>
      <c r="J60" s="71"/>
      <c r="K60" s="71"/>
      <c r="L60" s="1032">
        <f>VLOOKUP('Part 1'!L13,DataSheet4!$B$8:$Y$325,24,FALSE)</f>
        <v>54556479.173319004</v>
      </c>
      <c r="M60" s="1033"/>
      <c r="N60" s="133"/>
      <c r="O60" s="28"/>
      <c r="P60" s="141"/>
      <c r="R60" s="248">
        <f>IF(+L12+L25+L34+L55-L60=0,0,1)</f>
        <v>1</v>
      </c>
      <c r="Y60" s="318"/>
    </row>
    <row r="61" spans="1:25" ht="16.5" thickBot="1" x14ac:dyDescent="0.3">
      <c r="A61" s="23"/>
      <c r="B61" s="134"/>
      <c r="C61" s="135"/>
      <c r="D61" s="136"/>
      <c r="E61" s="136"/>
      <c r="F61" s="136"/>
      <c r="G61" s="136"/>
      <c r="H61" s="136"/>
      <c r="I61" s="136"/>
      <c r="J61" s="136"/>
      <c r="K61" s="136"/>
      <c r="L61" s="314"/>
      <c r="M61" s="136"/>
      <c r="N61" s="137"/>
      <c r="O61" s="28"/>
    </row>
    <row r="62" spans="1:25" ht="16.5" thickBot="1" x14ac:dyDescent="0.3">
      <c r="A62" s="23"/>
      <c r="B62" s="2"/>
      <c r="C62" s="26"/>
      <c r="D62" s="27"/>
      <c r="E62" s="27"/>
      <c r="F62" s="27"/>
      <c r="G62" s="27"/>
      <c r="H62" s="27"/>
      <c r="I62" s="27"/>
      <c r="J62" s="27"/>
      <c r="K62" s="27"/>
      <c r="L62" s="27"/>
      <c r="M62" s="27"/>
      <c r="N62" s="27"/>
      <c r="O62" s="139"/>
    </row>
    <row r="63" spans="1:25" ht="15.75" x14ac:dyDescent="0.25">
      <c r="A63" s="52"/>
      <c r="B63" s="53"/>
      <c r="C63" s="352"/>
      <c r="D63" s="353"/>
      <c r="E63" s="353"/>
      <c r="F63" s="353"/>
      <c r="G63" s="353"/>
      <c r="H63" s="353"/>
      <c r="I63" s="353"/>
      <c r="J63" s="353"/>
      <c r="K63" s="353"/>
      <c r="L63" s="353"/>
      <c r="M63" s="353"/>
      <c r="N63" s="353"/>
      <c r="O63" s="28"/>
    </row>
    <row r="65" spans="3:4" x14ac:dyDescent="0.2">
      <c r="C65" s="271"/>
      <c r="D65" s="271"/>
    </row>
    <row r="66" spans="3:4" x14ac:dyDescent="0.2">
      <c r="C66" s="249"/>
      <c r="D66" s="271"/>
    </row>
    <row r="67" spans="3:4" x14ac:dyDescent="0.2">
      <c r="C67" s="249"/>
      <c r="D67" s="271"/>
    </row>
    <row r="68" spans="3:4" x14ac:dyDescent="0.2">
      <c r="C68" s="249"/>
      <c r="D68" s="271"/>
    </row>
    <row r="69" spans="3:4" x14ac:dyDescent="0.2">
      <c r="C69" s="271"/>
      <c r="D69" s="271"/>
    </row>
    <row r="70" spans="3:4" x14ac:dyDescent="0.2">
      <c r="C70" s="271"/>
      <c r="D70" s="271"/>
    </row>
    <row r="71" spans="3:4" x14ac:dyDescent="0.2">
      <c r="C71" s="271"/>
      <c r="D71" s="271"/>
    </row>
    <row r="72" spans="3:4" x14ac:dyDescent="0.2">
      <c r="C72" s="271"/>
      <c r="D72" s="271"/>
    </row>
  </sheetData>
  <mergeCells count="29">
    <mergeCell ref="R15:R16"/>
    <mergeCell ref="A2:O2"/>
    <mergeCell ref="C6:D6"/>
    <mergeCell ref="C39:G40"/>
    <mergeCell ref="I37:J37"/>
    <mergeCell ref="I39:J39"/>
    <mergeCell ref="A3:O3"/>
    <mergeCell ref="I28:J28"/>
    <mergeCell ref="L11:M11"/>
    <mergeCell ref="I11:J11"/>
    <mergeCell ref="L12:M12"/>
    <mergeCell ref="I32:J32"/>
    <mergeCell ref="I30:J30"/>
    <mergeCell ref="L34:M34"/>
    <mergeCell ref="I23:J23"/>
    <mergeCell ref="I21:J21"/>
    <mergeCell ref="I19:J19"/>
    <mergeCell ref="I15:J15"/>
    <mergeCell ref="I42:J42"/>
    <mergeCell ref="I17:J17"/>
    <mergeCell ref="L60:M60"/>
    <mergeCell ref="C45:G46"/>
    <mergeCell ref="L59:M59"/>
    <mergeCell ref="L55:M55"/>
    <mergeCell ref="L25:M25"/>
    <mergeCell ref="I45:J45"/>
    <mergeCell ref="I48:J48"/>
    <mergeCell ref="I53:J53"/>
    <mergeCell ref="I51:J51"/>
  </mergeCells>
  <phoneticPr fontId="5" type="noConversion"/>
  <dataValidations count="2">
    <dataValidation type="custom" allowBlank="1" showInputMessage="1" showErrorMessage="1" error="You can not amend this cell" sqref="S53">
      <formula1>"if(p50=""n/a"")"</formula1>
    </dataValidation>
    <dataValidation type="custom" allowBlank="1" showInputMessage="1" showErrorMessage="1" error="You can not change this cell" sqref="S32">
      <formula1>"if(p50=""n/a"")"</formula1>
    </dataValidation>
  </dataValidations>
  <printOptions horizontalCentered="1" verticalCentered="1"/>
  <pageMargins left="0.39370078740157483" right="0.39370078740157483" top="0.59055118110236227" bottom="0.59055118110236227" header="0.51181102362204722" footer="0.51181102362204722"/>
  <pageSetup paperSize="9" scale="5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1"/>
  <sheetViews>
    <sheetView workbookViewId="0"/>
  </sheetViews>
  <sheetFormatPr defaultRowHeight="15" x14ac:dyDescent="0.2"/>
  <cols>
    <col min="1" max="1" width="7.85546875" style="779" customWidth="1"/>
    <col min="2" max="2" width="8.42578125" style="9" customWidth="1"/>
    <col min="3" max="3" width="6.7109375" style="9" customWidth="1"/>
    <col min="4" max="4" width="8.140625" style="9" customWidth="1"/>
    <col min="5" max="5" width="27" style="9" bestFit="1" customWidth="1"/>
    <col min="6" max="6" width="15.140625" customWidth="1"/>
    <col min="7" max="8" width="15.140625" bestFit="1" customWidth="1"/>
    <col min="9" max="9" width="14.140625" bestFit="1" customWidth="1"/>
    <col min="10" max="10" width="9.42578125" bestFit="1" customWidth="1"/>
    <col min="11" max="11" width="14.140625" bestFit="1" customWidth="1"/>
    <col min="12" max="12" width="12" customWidth="1"/>
    <col min="13" max="14" width="14.140625" bestFit="1" customWidth="1"/>
    <col min="15" max="16" width="13" bestFit="1" customWidth="1"/>
    <col min="17" max="17" width="12.85546875" customWidth="1"/>
    <col min="18" max="18" width="16.7109375" bestFit="1" customWidth="1"/>
    <col min="19" max="23" width="9.28515625" bestFit="1" customWidth="1"/>
    <col min="24" max="25" width="16.7109375" bestFit="1" customWidth="1"/>
    <col min="26" max="26" width="15.140625" bestFit="1" customWidth="1"/>
    <col min="27" max="27" width="14.140625" bestFit="1" customWidth="1"/>
    <col min="28" max="28" width="16.7109375" bestFit="1" customWidth="1"/>
    <col min="29" max="29" width="13" bestFit="1" customWidth="1"/>
    <col min="30" max="32" width="9.42578125" bestFit="1" customWidth="1"/>
    <col min="33" max="33" width="13" bestFit="1" customWidth="1"/>
    <col min="34" max="35" width="16.7109375" bestFit="1" customWidth="1"/>
    <col min="36" max="36" width="15.140625" bestFit="1" customWidth="1"/>
    <col min="37" max="37" width="14.140625" bestFit="1" customWidth="1"/>
    <col min="38" max="38" width="16.7109375" bestFit="1" customWidth="1"/>
    <col min="39" max="42" width="14.140625" bestFit="1" customWidth="1"/>
    <col min="43" max="44" width="13" bestFit="1" customWidth="1"/>
    <col min="45" max="45" width="14.140625" bestFit="1" customWidth="1"/>
    <col min="46" max="49" width="14" customWidth="1"/>
    <col min="50" max="50" width="13" bestFit="1" customWidth="1"/>
    <col min="51" max="52" width="9.42578125" bestFit="1" customWidth="1"/>
    <col min="53" max="53" width="13" bestFit="1" customWidth="1"/>
    <col min="54" max="54" width="11" customWidth="1"/>
    <col min="55" max="55" width="11.7109375" customWidth="1"/>
    <col min="56" max="56" width="11.42578125" bestFit="1" customWidth="1"/>
    <col min="57" max="57" width="10.42578125" bestFit="1" customWidth="1"/>
    <col min="58" max="58" width="9.42578125" bestFit="1" customWidth="1"/>
    <col min="59" max="61" width="11.42578125" bestFit="1" customWidth="1"/>
    <col min="62" max="66" width="9.28515625" bestFit="1" customWidth="1"/>
    <col min="67" max="67" width="10.5703125" customWidth="1"/>
    <col min="68" max="68" width="14.42578125" customWidth="1"/>
    <col min="69" max="69" width="11.140625" customWidth="1"/>
    <col min="70" max="70" width="9.28515625" bestFit="1" customWidth="1"/>
    <col min="71" max="71" width="12" customWidth="1"/>
    <col min="72" max="76" width="9.28515625" bestFit="1" customWidth="1"/>
    <col min="77" max="77" width="11.5703125" customWidth="1"/>
    <col min="78" max="78" width="12.5703125" customWidth="1"/>
    <col min="79" max="79" width="11.85546875" customWidth="1"/>
    <col min="80" max="80" width="9.28515625" bestFit="1" customWidth="1"/>
    <col min="81" max="81" width="13.140625" customWidth="1"/>
    <col min="82" max="82" width="11.85546875" bestFit="1" customWidth="1"/>
    <col min="83" max="83" width="11.7109375" customWidth="1"/>
    <col min="84" max="84" width="12" customWidth="1"/>
    <col min="85" max="85" width="9.85546875" bestFit="1" customWidth="1"/>
    <col min="86" max="86" width="11.85546875" bestFit="1" customWidth="1"/>
    <col min="87" max="87" width="14.42578125" customWidth="1"/>
    <col min="88" max="88" width="16.140625" customWidth="1"/>
    <col min="89" max="89" width="13.7109375" customWidth="1"/>
    <col min="90" max="90" width="12" customWidth="1"/>
    <col min="91" max="91" width="14.85546875" customWidth="1"/>
    <col min="92" max="92" width="12.140625" customWidth="1"/>
    <col min="93" max="93" width="12.42578125" customWidth="1"/>
    <col min="94" max="94" width="10.42578125" customWidth="1"/>
    <col min="95" max="95" width="12.7109375" customWidth="1"/>
    <col min="96" max="96" width="13.42578125" customWidth="1"/>
    <col min="97" max="97" width="12.85546875" customWidth="1"/>
    <col min="98" max="98" width="11.85546875" customWidth="1"/>
    <col min="99" max="99" width="13.140625" customWidth="1"/>
    <col min="100" max="103" width="11.140625" customWidth="1"/>
    <col min="104" max="104" width="11.5703125" customWidth="1"/>
    <col min="105" max="106" width="9.42578125" bestFit="1" customWidth="1"/>
    <col min="107" max="107" width="10.85546875" customWidth="1"/>
    <col min="108" max="108" width="11.28515625" customWidth="1"/>
    <col min="109" max="110" width="9.42578125" bestFit="1" customWidth="1"/>
    <col min="111" max="111" width="10.42578125" customWidth="1"/>
    <col min="112" max="115" width="9.42578125" bestFit="1" customWidth="1"/>
    <col min="116" max="116" width="10.5703125" customWidth="1"/>
    <col min="117" max="117" width="10.28515625" customWidth="1"/>
    <col min="118" max="118" width="9.28515625" customWidth="1"/>
    <col min="119" max="119" width="11.140625" customWidth="1"/>
    <col min="120" max="120" width="12" customWidth="1"/>
    <col min="121" max="121" width="10.7109375" customWidth="1"/>
    <col min="122" max="122" width="9.28515625" customWidth="1"/>
    <col min="123" max="123" width="11.5703125" customWidth="1"/>
    <col min="124" max="124" width="10.5703125" customWidth="1"/>
    <col min="125" max="126" width="9.42578125" bestFit="1" customWidth="1"/>
    <col min="127" max="131" width="11" customWidth="1"/>
    <col min="132" max="132" width="12.42578125" customWidth="1"/>
    <col min="133" max="134" width="11" customWidth="1"/>
    <col min="135" max="135" width="13.5703125" customWidth="1"/>
    <col min="136" max="136" width="14.140625" customWidth="1"/>
    <col min="137" max="137" width="12.140625" customWidth="1"/>
    <col min="138" max="138" width="11.85546875" customWidth="1"/>
    <col min="139" max="139" width="13.85546875" customWidth="1"/>
    <col min="140" max="140" width="27.5703125" bestFit="1" customWidth="1"/>
    <col min="141" max="141" width="23.28515625" bestFit="1" customWidth="1"/>
    <col min="142" max="142" width="33" bestFit="1" customWidth="1"/>
    <col min="143" max="143" width="11.28515625" customWidth="1"/>
  </cols>
  <sheetData>
    <row r="1" spans="1:143" ht="13.5" thickBot="1" x14ac:dyDescent="0.25">
      <c r="A1" s="719"/>
      <c r="B1" s="720"/>
      <c r="C1" s="721"/>
      <c r="D1" s="722"/>
      <c r="E1" s="723"/>
      <c r="F1" s="1090" t="s">
        <v>1207</v>
      </c>
      <c r="G1" s="1091"/>
      <c r="H1" s="1091"/>
      <c r="I1" s="1091"/>
      <c r="J1" s="1091"/>
      <c r="K1" s="1091"/>
      <c r="L1" s="1091"/>
      <c r="M1" s="1091"/>
      <c r="N1" s="1091"/>
      <c r="O1" s="1091"/>
      <c r="P1" s="1091"/>
      <c r="Q1" s="1091"/>
      <c r="R1" s="1092"/>
      <c r="S1" s="1093" t="s">
        <v>1208</v>
      </c>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094"/>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c r="BU1" s="1094"/>
      <c r="BV1" s="1094"/>
      <c r="BW1" s="1094"/>
      <c r="BX1" s="1094"/>
      <c r="BY1" s="1094"/>
      <c r="BZ1" s="1094"/>
      <c r="CA1" s="1094"/>
      <c r="CB1" s="1094"/>
      <c r="CC1" s="1094"/>
      <c r="CD1" s="1094"/>
      <c r="CE1" s="1094"/>
      <c r="CF1" s="1094"/>
      <c r="CG1" s="1094"/>
      <c r="CH1" s="1094"/>
      <c r="CI1" s="1094"/>
      <c r="CJ1" s="1094"/>
      <c r="CK1" s="1094"/>
      <c r="CL1" s="1094"/>
      <c r="CM1" s="1095"/>
      <c r="CN1" s="1093" t="s">
        <v>1209</v>
      </c>
      <c r="CO1" s="1094"/>
      <c r="CP1" s="1094"/>
      <c r="CQ1" s="1094"/>
      <c r="CR1" s="1094"/>
      <c r="CS1" s="1094"/>
      <c r="CT1" s="1094"/>
      <c r="CU1" s="1094"/>
      <c r="CV1" s="1094"/>
      <c r="CW1" s="1094"/>
      <c r="CX1" s="1094"/>
      <c r="CY1" s="1094"/>
      <c r="CZ1" s="1094"/>
      <c r="DA1" s="1094"/>
      <c r="DB1" s="1094"/>
      <c r="DC1" s="1094"/>
      <c r="DD1" s="1094"/>
      <c r="DE1" s="1094"/>
      <c r="DF1" s="1094"/>
      <c r="DG1" s="1094"/>
      <c r="DH1" s="1094"/>
      <c r="DI1" s="1094"/>
      <c r="DJ1" s="1094"/>
      <c r="DK1" s="1094"/>
      <c r="DL1" s="1094"/>
      <c r="DM1" s="1094"/>
      <c r="DN1" s="1094"/>
      <c r="DO1" s="1094"/>
      <c r="DP1" s="1094"/>
      <c r="DQ1" s="1094"/>
      <c r="DR1" s="1094"/>
      <c r="DS1" s="1094"/>
      <c r="DT1" s="1094"/>
      <c r="DU1" s="1094"/>
      <c r="DV1" s="1094"/>
      <c r="DW1" s="1094"/>
      <c r="DX1" s="1094"/>
      <c r="DY1" s="1094"/>
      <c r="DZ1" s="1094"/>
      <c r="EA1" s="1094"/>
      <c r="EB1" s="1094"/>
      <c r="EC1" s="1094"/>
      <c r="ED1" s="1094"/>
      <c r="EE1" s="1094"/>
      <c r="EF1" s="1094"/>
      <c r="EG1" s="1094"/>
      <c r="EH1" s="1094"/>
      <c r="EI1" s="1095"/>
    </row>
    <row r="2" spans="1:143" ht="64.150000000000006" customHeight="1" thickBot="1" x14ac:dyDescent="0.25">
      <c r="A2" s="724"/>
      <c r="B2" s="725"/>
      <c r="C2" s="726"/>
      <c r="D2" s="727"/>
      <c r="E2" s="726"/>
      <c r="F2" s="728" t="s">
        <v>1210</v>
      </c>
      <c r="G2" s="729" t="s">
        <v>630</v>
      </c>
      <c r="H2" s="729" t="s">
        <v>631</v>
      </c>
      <c r="I2" s="729" t="s">
        <v>1211</v>
      </c>
      <c r="J2" s="729" t="s">
        <v>649</v>
      </c>
      <c r="K2" s="729" t="s">
        <v>650</v>
      </c>
      <c r="L2" s="729" t="s">
        <v>1212</v>
      </c>
      <c r="M2" s="729" t="s">
        <v>890</v>
      </c>
      <c r="N2" s="785" t="s">
        <v>1213</v>
      </c>
      <c r="O2" s="729" t="s">
        <v>826</v>
      </c>
      <c r="P2" s="729" t="s">
        <v>827</v>
      </c>
      <c r="Q2" s="785" t="s">
        <v>1231</v>
      </c>
      <c r="R2" s="785" t="s">
        <v>1153</v>
      </c>
      <c r="S2" s="1096" t="s">
        <v>1232</v>
      </c>
      <c r="T2" s="1097"/>
      <c r="U2" s="1097"/>
      <c r="V2" s="1097"/>
      <c r="W2" s="1097"/>
      <c r="X2" s="1098" t="s">
        <v>1155</v>
      </c>
      <c r="Y2" s="1097"/>
      <c r="Z2" s="1097"/>
      <c r="AA2" s="1097"/>
      <c r="AB2" s="1097"/>
      <c r="AC2" s="1098" t="s">
        <v>1233</v>
      </c>
      <c r="AD2" s="1097"/>
      <c r="AE2" s="1097"/>
      <c r="AF2" s="1097"/>
      <c r="AG2" s="1097"/>
      <c r="AH2" s="1099" t="s">
        <v>1234</v>
      </c>
      <c r="AI2" s="1097"/>
      <c r="AJ2" s="1097"/>
      <c r="AK2" s="1097"/>
      <c r="AL2" s="1097"/>
      <c r="AM2" s="1099" t="s">
        <v>1157</v>
      </c>
      <c r="AN2" s="1097"/>
      <c r="AO2" s="1098" t="s">
        <v>1158</v>
      </c>
      <c r="AP2" s="1097"/>
      <c r="AQ2" s="1098" t="s">
        <v>1159</v>
      </c>
      <c r="AR2" s="1097"/>
      <c r="AS2" s="1097"/>
      <c r="AT2" s="1099" t="s">
        <v>1160</v>
      </c>
      <c r="AU2" s="1097"/>
      <c r="AV2" s="1097"/>
      <c r="AW2" s="1097"/>
      <c r="AX2" s="1098" t="s">
        <v>1205</v>
      </c>
      <c r="AY2" s="1097"/>
      <c r="AZ2" s="1097"/>
      <c r="BA2" s="1097"/>
      <c r="BB2" s="1098" t="s">
        <v>1162</v>
      </c>
      <c r="BC2" s="1097"/>
      <c r="BD2" s="1099" t="s">
        <v>1163</v>
      </c>
      <c r="BE2" s="1097"/>
      <c r="BF2" s="1097"/>
      <c r="BG2" s="1097"/>
      <c r="BH2" s="1099" t="s">
        <v>1164</v>
      </c>
      <c r="BI2" s="1097"/>
      <c r="BJ2" s="1099" t="s">
        <v>1235</v>
      </c>
      <c r="BK2" s="1097"/>
      <c r="BL2" s="1097"/>
      <c r="BM2" s="1097"/>
      <c r="BN2" s="1097"/>
      <c r="BO2" s="1101" t="s">
        <v>1236</v>
      </c>
      <c r="BP2" s="1101"/>
      <c r="BQ2" s="1101"/>
      <c r="BR2" s="1101"/>
      <c r="BS2" s="1101"/>
      <c r="BT2" s="1099" t="s">
        <v>1237</v>
      </c>
      <c r="BU2" s="1097"/>
      <c r="BV2" s="1097"/>
      <c r="BW2" s="1097"/>
      <c r="BX2" s="1097"/>
      <c r="BY2" s="1101" t="s">
        <v>1238</v>
      </c>
      <c r="BZ2" s="1101"/>
      <c r="CA2" s="1101"/>
      <c r="CB2" s="1101"/>
      <c r="CC2" s="1101"/>
      <c r="CD2" s="1099" t="s">
        <v>1169</v>
      </c>
      <c r="CE2" s="1097"/>
      <c r="CF2" s="1097"/>
      <c r="CG2" s="1097"/>
      <c r="CH2" s="1097"/>
      <c r="CI2" s="1099" t="s">
        <v>1170</v>
      </c>
      <c r="CJ2" s="1097"/>
      <c r="CK2" s="1097"/>
      <c r="CL2" s="1097"/>
      <c r="CM2" s="1100"/>
      <c r="CN2" s="1096" t="s">
        <v>1239</v>
      </c>
      <c r="CO2" s="1097"/>
      <c r="CP2" s="1097"/>
      <c r="CQ2" s="1097"/>
      <c r="CR2" s="1098" t="s">
        <v>1240</v>
      </c>
      <c r="CS2" s="1097"/>
      <c r="CT2" s="1097"/>
      <c r="CU2" s="1097"/>
      <c r="CV2" s="1098" t="s">
        <v>1241</v>
      </c>
      <c r="CW2" s="1097"/>
      <c r="CX2" s="1097"/>
      <c r="CY2" s="1097"/>
      <c r="CZ2" s="1098" t="s">
        <v>1172</v>
      </c>
      <c r="DA2" s="1097"/>
      <c r="DB2" s="1097"/>
      <c r="DC2" s="1097"/>
      <c r="DD2" s="1099" t="s">
        <v>1173</v>
      </c>
      <c r="DE2" s="1097"/>
      <c r="DF2" s="1097"/>
      <c r="DG2" s="1097"/>
      <c r="DH2" s="1099" t="s">
        <v>1242</v>
      </c>
      <c r="DI2" s="1097"/>
      <c r="DJ2" s="1097"/>
      <c r="DK2" s="1097"/>
      <c r="DL2" s="1099" t="s">
        <v>1243</v>
      </c>
      <c r="DM2" s="1097"/>
      <c r="DN2" s="1097"/>
      <c r="DO2" s="1097"/>
      <c r="DP2" s="1099" t="s">
        <v>1244</v>
      </c>
      <c r="DQ2" s="1097"/>
      <c r="DR2" s="1097"/>
      <c r="DS2" s="1097"/>
      <c r="DT2" s="1099" t="s">
        <v>1245</v>
      </c>
      <c r="DU2" s="1097"/>
      <c r="DV2" s="1097"/>
      <c r="DW2" s="1097"/>
      <c r="DX2" s="1099" t="s">
        <v>1247</v>
      </c>
      <c r="DY2" s="1097"/>
      <c r="DZ2" s="1097"/>
      <c r="EA2" s="1097"/>
      <c r="EB2" s="1099" t="s">
        <v>1246</v>
      </c>
      <c r="EC2" s="1097"/>
      <c r="ED2" s="1097"/>
      <c r="EE2" s="1097"/>
      <c r="EF2" s="1098" t="s">
        <v>1248</v>
      </c>
      <c r="EG2" s="1097"/>
      <c r="EH2" s="1097"/>
      <c r="EI2" s="1100"/>
      <c r="EJ2" s="730"/>
      <c r="EK2" s="730"/>
      <c r="EL2" s="802" t="s">
        <v>1214</v>
      </c>
      <c r="EM2" s="355" t="s">
        <v>1559</v>
      </c>
    </row>
    <row r="3" spans="1:143" ht="12.75" x14ac:dyDescent="0.2">
      <c r="A3" s="731">
        <v>1</v>
      </c>
      <c r="B3" s="732">
        <v>2</v>
      </c>
      <c r="C3" s="732">
        <v>3</v>
      </c>
      <c r="D3" s="733">
        <v>4</v>
      </c>
      <c r="E3" s="732">
        <v>5</v>
      </c>
      <c r="F3" s="734">
        <v>6</v>
      </c>
      <c r="G3" s="735">
        <v>7</v>
      </c>
      <c r="H3" s="735">
        <v>8</v>
      </c>
      <c r="I3" s="735">
        <v>9</v>
      </c>
      <c r="J3" s="735">
        <v>10</v>
      </c>
      <c r="K3" s="735">
        <v>11</v>
      </c>
      <c r="L3" s="735">
        <v>12</v>
      </c>
      <c r="M3" s="735">
        <v>13</v>
      </c>
      <c r="N3" s="735">
        <v>14</v>
      </c>
      <c r="O3" s="735">
        <v>15</v>
      </c>
      <c r="P3" s="735">
        <v>16</v>
      </c>
      <c r="Q3" s="735">
        <v>17</v>
      </c>
      <c r="R3" s="792">
        <v>18</v>
      </c>
      <c r="S3" s="735">
        <v>19</v>
      </c>
      <c r="T3" s="735">
        <v>20</v>
      </c>
      <c r="U3" s="735">
        <v>21</v>
      </c>
      <c r="V3" s="735">
        <v>22</v>
      </c>
      <c r="W3" s="735">
        <v>23</v>
      </c>
      <c r="X3" s="735">
        <v>24</v>
      </c>
      <c r="Y3" s="735">
        <v>25</v>
      </c>
      <c r="Z3" s="735">
        <v>26</v>
      </c>
      <c r="AA3" s="735">
        <v>27</v>
      </c>
      <c r="AB3" s="735">
        <v>28</v>
      </c>
      <c r="AC3" s="735">
        <v>29</v>
      </c>
      <c r="AD3" s="735">
        <v>30</v>
      </c>
      <c r="AE3" s="735">
        <v>31</v>
      </c>
      <c r="AF3" s="735">
        <v>32</v>
      </c>
      <c r="AG3" s="735">
        <v>33</v>
      </c>
      <c r="AH3" s="735">
        <v>34</v>
      </c>
      <c r="AI3" s="735">
        <v>35</v>
      </c>
      <c r="AJ3" s="735">
        <v>36</v>
      </c>
      <c r="AK3" s="735">
        <v>37</v>
      </c>
      <c r="AL3" s="735">
        <v>38</v>
      </c>
      <c r="AM3" s="735">
        <v>39</v>
      </c>
      <c r="AN3" s="735">
        <v>40</v>
      </c>
      <c r="AO3" s="735">
        <v>41</v>
      </c>
      <c r="AP3" s="735">
        <v>42</v>
      </c>
      <c r="AQ3" s="735">
        <v>43</v>
      </c>
      <c r="AR3" s="735">
        <v>44</v>
      </c>
      <c r="AS3" s="735">
        <v>45</v>
      </c>
      <c r="AT3" s="735">
        <v>46</v>
      </c>
      <c r="AU3" s="735">
        <v>47</v>
      </c>
      <c r="AV3" s="735">
        <v>48</v>
      </c>
      <c r="AW3" s="735">
        <v>49</v>
      </c>
      <c r="AX3" s="735">
        <v>50</v>
      </c>
      <c r="AY3" s="735">
        <v>51</v>
      </c>
      <c r="AZ3" s="735">
        <v>52</v>
      </c>
      <c r="BA3" s="735">
        <v>53</v>
      </c>
      <c r="BB3" s="735">
        <v>54</v>
      </c>
      <c r="BC3" s="735">
        <v>55</v>
      </c>
      <c r="BD3" s="735">
        <v>56</v>
      </c>
      <c r="BE3" s="735">
        <v>57</v>
      </c>
      <c r="BF3" s="735">
        <v>58</v>
      </c>
      <c r="BG3" s="735">
        <v>59</v>
      </c>
      <c r="BH3" s="735">
        <v>60</v>
      </c>
      <c r="BI3" s="735">
        <v>61</v>
      </c>
      <c r="BJ3" s="734">
        <v>62</v>
      </c>
      <c r="BK3" s="735">
        <v>63</v>
      </c>
      <c r="BL3" s="735">
        <v>64</v>
      </c>
      <c r="BM3" s="735">
        <v>65</v>
      </c>
      <c r="BN3" s="735">
        <v>66</v>
      </c>
      <c r="BO3" s="735">
        <v>67</v>
      </c>
      <c r="BP3" s="735">
        <v>68</v>
      </c>
      <c r="BQ3" s="735">
        <v>69</v>
      </c>
      <c r="BR3" s="735">
        <v>70</v>
      </c>
      <c r="BS3" s="735">
        <v>71</v>
      </c>
      <c r="BT3" s="735">
        <v>72</v>
      </c>
      <c r="BU3" s="735">
        <v>73</v>
      </c>
      <c r="BV3" s="735">
        <v>74</v>
      </c>
      <c r="BW3" s="735">
        <v>75</v>
      </c>
      <c r="BX3" s="735">
        <v>76</v>
      </c>
      <c r="BY3" s="735">
        <v>77</v>
      </c>
      <c r="BZ3" s="735">
        <v>78</v>
      </c>
      <c r="CA3" s="735">
        <v>79</v>
      </c>
      <c r="CB3" s="735">
        <v>80</v>
      </c>
      <c r="CC3" s="735">
        <v>81</v>
      </c>
      <c r="CD3" s="735">
        <v>82</v>
      </c>
      <c r="CE3" s="735">
        <v>83</v>
      </c>
      <c r="CF3" s="735">
        <v>84</v>
      </c>
      <c r="CG3" s="735">
        <v>85</v>
      </c>
      <c r="CH3" s="735">
        <v>86</v>
      </c>
      <c r="CI3" s="735">
        <v>87</v>
      </c>
      <c r="CJ3" s="735">
        <v>88</v>
      </c>
      <c r="CK3" s="735">
        <v>89</v>
      </c>
      <c r="CL3" s="735">
        <v>90</v>
      </c>
      <c r="CM3" s="735">
        <v>91</v>
      </c>
      <c r="CN3" s="734">
        <v>92</v>
      </c>
      <c r="CO3" s="735">
        <v>93</v>
      </c>
      <c r="CP3" s="735">
        <v>94</v>
      </c>
      <c r="CQ3" s="735">
        <v>95</v>
      </c>
      <c r="CR3" s="735">
        <v>96</v>
      </c>
      <c r="CS3" s="735">
        <v>97</v>
      </c>
      <c r="CT3" s="735">
        <v>98</v>
      </c>
      <c r="CU3" s="735">
        <v>99</v>
      </c>
      <c r="CV3" s="735">
        <v>100</v>
      </c>
      <c r="CW3" s="735">
        <v>101</v>
      </c>
      <c r="CX3" s="735">
        <v>102</v>
      </c>
      <c r="CY3" s="735">
        <v>103</v>
      </c>
      <c r="CZ3" s="735">
        <v>104</v>
      </c>
      <c r="DA3" s="735">
        <v>105</v>
      </c>
      <c r="DB3" s="735">
        <v>106</v>
      </c>
      <c r="DC3" s="735">
        <v>107</v>
      </c>
      <c r="DD3" s="735">
        <v>108</v>
      </c>
      <c r="DE3" s="735">
        <v>109</v>
      </c>
      <c r="DF3" s="735">
        <v>110</v>
      </c>
      <c r="DG3" s="735">
        <v>111</v>
      </c>
      <c r="DH3" s="735">
        <v>112</v>
      </c>
      <c r="DI3" s="735">
        <v>113</v>
      </c>
      <c r="DJ3" s="735">
        <v>114</v>
      </c>
      <c r="DK3" s="735">
        <v>115</v>
      </c>
      <c r="DL3" s="735">
        <v>116</v>
      </c>
      <c r="DM3" s="735">
        <v>117</v>
      </c>
      <c r="DN3" s="735">
        <v>118</v>
      </c>
      <c r="DO3" s="735">
        <v>119</v>
      </c>
      <c r="DP3" s="735">
        <v>120</v>
      </c>
      <c r="DQ3" s="735">
        <v>121</v>
      </c>
      <c r="DR3" s="735">
        <v>122</v>
      </c>
      <c r="DS3" s="735">
        <v>123</v>
      </c>
      <c r="DT3" s="735">
        <v>124</v>
      </c>
      <c r="DU3" s="735">
        <v>125</v>
      </c>
      <c r="DV3" s="735">
        <v>126</v>
      </c>
      <c r="DW3" s="735">
        <v>127</v>
      </c>
      <c r="DX3" s="735">
        <v>128</v>
      </c>
      <c r="DY3" s="735">
        <v>129</v>
      </c>
      <c r="DZ3" s="735">
        <v>130</v>
      </c>
      <c r="EA3" s="735">
        <v>131</v>
      </c>
      <c r="EB3" s="735">
        <v>132</v>
      </c>
      <c r="EC3" s="735">
        <v>133</v>
      </c>
      <c r="ED3" s="735">
        <v>134</v>
      </c>
      <c r="EE3" s="735">
        <v>135</v>
      </c>
      <c r="EF3" s="735">
        <v>136</v>
      </c>
      <c r="EG3" s="735">
        <v>137</v>
      </c>
      <c r="EH3" s="735">
        <v>138</v>
      </c>
      <c r="EI3" s="735">
        <v>139</v>
      </c>
      <c r="EJ3" s="734">
        <v>140</v>
      </c>
      <c r="EK3" s="735">
        <v>141</v>
      </c>
      <c r="EL3" s="792">
        <v>142</v>
      </c>
    </row>
    <row r="4" spans="1:143" ht="12.75" x14ac:dyDescent="0.2">
      <c r="A4" s="731"/>
      <c r="B4" s="736"/>
      <c r="C4" s="737"/>
      <c r="D4" s="738"/>
      <c r="E4" s="723"/>
      <c r="F4" s="739"/>
      <c r="G4" s="740"/>
      <c r="H4" s="740"/>
      <c r="I4" s="740"/>
      <c r="J4" s="740"/>
      <c r="K4" s="740"/>
      <c r="L4" s="740"/>
      <c r="M4" s="740"/>
      <c r="N4" s="740"/>
      <c r="O4" s="740"/>
      <c r="P4" s="740"/>
      <c r="Q4" s="740"/>
      <c r="R4" s="741"/>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c r="BM4" s="740"/>
      <c r="BN4" s="740"/>
      <c r="BO4" s="740"/>
      <c r="BP4" s="740"/>
      <c r="BQ4" s="740"/>
      <c r="BR4" s="740"/>
      <c r="BS4" s="740"/>
      <c r="BT4" s="740"/>
      <c r="BU4" s="740"/>
      <c r="BV4" s="740"/>
      <c r="BW4" s="740"/>
      <c r="BX4" s="740"/>
      <c r="BY4" s="740"/>
      <c r="BZ4" s="740"/>
      <c r="CA4" s="740"/>
      <c r="CB4" s="740"/>
      <c r="CC4" s="740"/>
      <c r="CD4" s="740"/>
      <c r="CE4" s="740"/>
      <c r="CF4" s="740"/>
      <c r="CG4" s="740"/>
      <c r="CH4" s="740"/>
      <c r="CI4" s="740"/>
      <c r="CJ4" s="740"/>
      <c r="CK4" s="740"/>
      <c r="CL4" s="740"/>
      <c r="CM4" s="741"/>
      <c r="CN4" s="739"/>
      <c r="CO4" s="740"/>
      <c r="CP4" s="740"/>
      <c r="CQ4" s="740"/>
      <c r="CR4" s="740"/>
      <c r="CS4" s="740"/>
      <c r="CT4" s="740"/>
      <c r="CU4" s="740"/>
      <c r="CV4" s="740"/>
      <c r="CW4" s="740"/>
      <c r="CX4" s="740"/>
      <c r="CY4" s="740"/>
      <c r="CZ4" s="740"/>
      <c r="DA4" s="740"/>
      <c r="DB4" s="740"/>
      <c r="DC4" s="740"/>
      <c r="DD4" s="740"/>
      <c r="DE4" s="740"/>
      <c r="DF4" s="740"/>
      <c r="DG4" s="740"/>
      <c r="DH4" s="740"/>
      <c r="DI4" s="740"/>
      <c r="DJ4" s="740"/>
      <c r="DK4" s="740"/>
      <c r="DL4" s="740"/>
      <c r="DM4" s="740"/>
      <c r="DN4" s="740"/>
      <c r="DO4" s="740"/>
      <c r="DP4" s="740"/>
      <c r="DQ4" s="740"/>
      <c r="DR4" s="740"/>
      <c r="DS4" s="740"/>
      <c r="DT4" s="740"/>
      <c r="DU4" s="740"/>
      <c r="DV4" s="740"/>
      <c r="DW4" s="740"/>
      <c r="DX4" s="740"/>
      <c r="DY4" s="740"/>
      <c r="DZ4" s="740"/>
      <c r="EA4" s="740"/>
      <c r="EB4" s="740"/>
      <c r="EC4" s="740"/>
      <c r="ED4" s="740"/>
      <c r="EE4" s="740"/>
      <c r="EF4" s="740"/>
      <c r="EG4" s="740"/>
      <c r="EH4" s="740"/>
      <c r="EI4" s="741"/>
      <c r="EJ4" s="51"/>
      <c r="EK4" s="51"/>
      <c r="EL4" s="803"/>
    </row>
    <row r="5" spans="1:143" ht="13.5" thickBot="1" x14ac:dyDescent="0.25">
      <c r="A5" s="731"/>
      <c r="B5" s="742" t="s">
        <v>678</v>
      </c>
      <c r="C5" s="742" t="s">
        <v>1215</v>
      </c>
      <c r="D5" s="743" t="s">
        <v>1216</v>
      </c>
      <c r="E5" s="742" t="s">
        <v>677</v>
      </c>
      <c r="F5" s="739"/>
      <c r="G5" s="740"/>
      <c r="H5" s="740"/>
      <c r="I5" s="740"/>
      <c r="J5" s="740"/>
      <c r="K5" s="740"/>
      <c r="L5" s="740"/>
      <c r="M5" s="740"/>
      <c r="N5" s="740"/>
      <c r="O5" s="740"/>
      <c r="P5" s="740"/>
      <c r="Q5" s="740"/>
      <c r="R5" s="741"/>
      <c r="S5" s="740"/>
      <c r="T5" s="740"/>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c r="AT5" s="740"/>
      <c r="AU5" s="740"/>
      <c r="AV5" s="740"/>
      <c r="AW5" s="740"/>
      <c r="AX5" s="740"/>
      <c r="AY5" s="740"/>
      <c r="AZ5" s="740"/>
      <c r="BA5" s="740"/>
      <c r="BB5" s="740"/>
      <c r="BC5" s="740"/>
      <c r="BD5" s="740"/>
      <c r="BE5" s="740"/>
      <c r="BF5" s="740"/>
      <c r="BG5" s="740"/>
      <c r="BH5" s="740"/>
      <c r="BI5" s="740"/>
      <c r="BJ5" s="740"/>
      <c r="BK5" s="740"/>
      <c r="BL5" s="740"/>
      <c r="BM5" s="740"/>
      <c r="BN5" s="740"/>
      <c r="BO5" s="740"/>
      <c r="BP5" s="740"/>
      <c r="BQ5" s="740"/>
      <c r="BR5" s="740"/>
      <c r="BS5" s="740"/>
      <c r="BT5" s="740"/>
      <c r="BU5" s="740"/>
      <c r="BV5" s="740"/>
      <c r="BW5" s="740"/>
      <c r="BX5" s="740"/>
      <c r="BY5" s="740"/>
      <c r="BZ5" s="740"/>
      <c r="CA5" s="740"/>
      <c r="CB5" s="740"/>
      <c r="CC5" s="740"/>
      <c r="CD5" s="740"/>
      <c r="CE5" s="740"/>
      <c r="CF5" s="740"/>
      <c r="CG5" s="740"/>
      <c r="CH5" s="740"/>
      <c r="CI5" s="740"/>
      <c r="CJ5" s="740"/>
      <c r="CK5" s="740"/>
      <c r="CL5" s="740"/>
      <c r="CM5" s="741"/>
      <c r="CN5" s="739"/>
      <c r="CO5" s="740"/>
      <c r="CP5" s="740"/>
      <c r="CQ5" s="740"/>
      <c r="CR5" s="740"/>
      <c r="CS5" s="740"/>
      <c r="CT5" s="740"/>
      <c r="CU5" s="740"/>
      <c r="CV5" s="740"/>
      <c r="CW5" s="740"/>
      <c r="CX5" s="740"/>
      <c r="CY5" s="740"/>
      <c r="CZ5" s="740"/>
      <c r="DA5" s="740"/>
      <c r="DB5" s="740"/>
      <c r="DC5" s="740"/>
      <c r="DD5" s="740"/>
      <c r="DE5" s="740"/>
      <c r="DF5" s="740"/>
      <c r="DG5" s="740"/>
      <c r="DH5" s="740"/>
      <c r="DI5" s="740"/>
      <c r="DJ5" s="740"/>
      <c r="DK5" s="740"/>
      <c r="DL5" s="740"/>
      <c r="DM5" s="740"/>
      <c r="DN5" s="740"/>
      <c r="DO5" s="740"/>
      <c r="DP5" s="740"/>
      <c r="DQ5" s="740"/>
      <c r="DR5" s="740"/>
      <c r="DS5" s="740"/>
      <c r="DT5" s="740"/>
      <c r="DU5" s="740"/>
      <c r="DV5" s="740"/>
      <c r="DW5" s="740"/>
      <c r="DX5" s="740"/>
      <c r="DY5" s="740"/>
      <c r="DZ5" s="740"/>
      <c r="EA5" s="740"/>
      <c r="EB5" s="740"/>
      <c r="EC5" s="740"/>
      <c r="ED5" s="740"/>
      <c r="EE5" s="740"/>
      <c r="EF5" s="740"/>
      <c r="EG5" s="740"/>
      <c r="EH5" s="740"/>
      <c r="EI5" s="741"/>
      <c r="EJ5" s="744"/>
      <c r="EK5" s="744"/>
      <c r="EL5" s="804"/>
    </row>
    <row r="6" spans="1:143" ht="13.5" thickBot="1" x14ac:dyDescent="0.25">
      <c r="A6" s="745"/>
      <c r="B6" s="746"/>
      <c r="C6" s="747"/>
      <c r="D6" s="748"/>
      <c r="E6" s="747"/>
      <c r="F6" s="739"/>
      <c r="G6" s="740"/>
      <c r="H6" s="740"/>
      <c r="I6" s="740"/>
      <c r="J6" s="740"/>
      <c r="K6" s="740"/>
      <c r="L6" s="740"/>
      <c r="M6" s="740"/>
      <c r="N6" s="740"/>
      <c r="O6" s="740"/>
      <c r="P6" s="740"/>
      <c r="Q6" s="740"/>
      <c r="R6" s="793"/>
      <c r="S6" s="749"/>
      <c r="T6" s="740"/>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c r="AT6" s="740"/>
      <c r="AU6" s="740"/>
      <c r="AV6" s="740"/>
      <c r="AW6" s="740"/>
      <c r="AX6" s="740"/>
      <c r="AY6" s="740"/>
      <c r="AZ6" s="740"/>
      <c r="BA6" s="740"/>
      <c r="BB6" s="740"/>
      <c r="BC6" s="740"/>
      <c r="BD6" s="740"/>
      <c r="BE6" s="740"/>
      <c r="BF6" s="740"/>
      <c r="BG6" s="740"/>
      <c r="BH6" s="740"/>
      <c r="BI6" s="740"/>
      <c r="BJ6" s="740"/>
      <c r="BK6" s="740"/>
      <c r="BL6" s="740"/>
      <c r="BM6" s="740"/>
      <c r="BN6" s="740"/>
      <c r="BO6" s="740"/>
      <c r="BP6" s="740"/>
      <c r="BQ6" s="740"/>
      <c r="BR6" s="740"/>
      <c r="BS6" s="740"/>
      <c r="BT6" s="740"/>
      <c r="BU6" s="740"/>
      <c r="BV6" s="740"/>
      <c r="BW6" s="740"/>
      <c r="BX6" s="740"/>
      <c r="BY6" s="740"/>
      <c r="BZ6" s="740"/>
      <c r="CA6" s="740"/>
      <c r="CB6" s="740"/>
      <c r="CC6" s="740"/>
      <c r="CD6" s="740"/>
      <c r="CE6" s="740"/>
      <c r="CF6" s="740"/>
      <c r="CG6" s="740"/>
      <c r="CH6" s="740"/>
      <c r="CI6" s="740"/>
      <c r="CJ6" s="740"/>
      <c r="CK6" s="740"/>
      <c r="CL6" s="740"/>
      <c r="CM6" s="741"/>
      <c r="CN6" s="739"/>
      <c r="CO6" s="740"/>
      <c r="CP6" s="740"/>
      <c r="CQ6" s="740"/>
      <c r="CR6" s="740"/>
      <c r="CS6" s="740"/>
      <c r="CT6" s="740"/>
      <c r="CU6" s="740"/>
      <c r="CV6" s="740"/>
      <c r="CW6" s="740"/>
      <c r="CX6" s="740"/>
      <c r="CY6" s="740"/>
      <c r="CZ6" s="740"/>
      <c r="DA6" s="740"/>
      <c r="DB6" s="740"/>
      <c r="DC6" s="740"/>
      <c r="DD6" s="740"/>
      <c r="DE6" s="740"/>
      <c r="DF6" s="740"/>
      <c r="DG6" s="740"/>
      <c r="DH6" s="740"/>
      <c r="DI6" s="740"/>
      <c r="DJ6" s="740"/>
      <c r="DK6" s="740"/>
      <c r="DL6" s="740"/>
      <c r="DM6" s="740"/>
      <c r="DN6" s="740"/>
      <c r="DO6" s="740"/>
      <c r="DP6" s="740"/>
      <c r="DQ6" s="740"/>
      <c r="DR6" s="740"/>
      <c r="DS6" s="740"/>
      <c r="DT6" s="740"/>
      <c r="DU6" s="740"/>
      <c r="DV6" s="740"/>
      <c r="DW6" s="740"/>
      <c r="DX6" s="740"/>
      <c r="DY6" s="740"/>
      <c r="DZ6" s="740"/>
      <c r="EA6" s="740"/>
      <c r="EB6" s="740"/>
      <c r="EC6" s="740"/>
      <c r="ED6" s="740"/>
      <c r="EE6" s="740"/>
      <c r="EF6" s="740"/>
      <c r="EG6" s="740"/>
      <c r="EH6" s="740"/>
      <c r="EI6" s="741"/>
      <c r="EJ6" s="744"/>
      <c r="EK6" s="744"/>
      <c r="EL6" s="804"/>
    </row>
    <row r="7" spans="1:143" s="357" customFormat="1" ht="13.5" thickBot="1" x14ac:dyDescent="0.25">
      <c r="A7" s="750"/>
      <c r="B7" s="751"/>
      <c r="C7" s="752"/>
      <c r="D7" s="753"/>
      <c r="E7" s="754"/>
      <c r="F7" s="755">
        <v>3</v>
      </c>
      <c r="G7" s="755">
        <v>4</v>
      </c>
      <c r="H7" s="755">
        <v>5</v>
      </c>
      <c r="I7" s="755">
        <v>6</v>
      </c>
      <c r="J7" s="755">
        <v>7</v>
      </c>
      <c r="K7" s="755">
        <v>8</v>
      </c>
      <c r="L7" s="755">
        <v>9</v>
      </c>
      <c r="M7" s="755">
        <v>10</v>
      </c>
      <c r="N7" s="755">
        <v>11</v>
      </c>
      <c r="O7" s="755">
        <v>12</v>
      </c>
      <c r="P7" s="755">
        <v>13</v>
      </c>
      <c r="Q7" s="755">
        <v>14</v>
      </c>
      <c r="R7" s="755">
        <v>15</v>
      </c>
      <c r="S7" s="755">
        <v>16</v>
      </c>
      <c r="T7" s="755">
        <v>17</v>
      </c>
      <c r="U7" s="755">
        <v>18</v>
      </c>
      <c r="V7" s="755">
        <v>19</v>
      </c>
      <c r="W7" s="755">
        <v>20</v>
      </c>
      <c r="X7" s="755">
        <v>21</v>
      </c>
      <c r="Y7" s="755">
        <v>22</v>
      </c>
      <c r="Z7" s="755">
        <v>23</v>
      </c>
      <c r="AA7" s="755">
        <v>24</v>
      </c>
      <c r="AB7" s="755">
        <v>25</v>
      </c>
      <c r="AC7" s="755">
        <v>26</v>
      </c>
      <c r="AD7" s="755">
        <v>27</v>
      </c>
      <c r="AE7" s="755">
        <v>28</v>
      </c>
      <c r="AF7" s="755">
        <v>29</v>
      </c>
      <c r="AG7" s="755">
        <v>30</v>
      </c>
      <c r="AH7" s="755">
        <v>31</v>
      </c>
      <c r="AI7" s="755">
        <v>32</v>
      </c>
      <c r="AJ7" s="755">
        <v>33</v>
      </c>
      <c r="AK7" s="755">
        <v>34</v>
      </c>
      <c r="AL7" s="755">
        <v>35</v>
      </c>
      <c r="AM7" s="755">
        <v>36</v>
      </c>
      <c r="AN7" s="755">
        <v>37</v>
      </c>
      <c r="AO7" s="755">
        <v>38</v>
      </c>
      <c r="AP7" s="755">
        <v>39</v>
      </c>
      <c r="AQ7" s="755">
        <v>40</v>
      </c>
      <c r="AR7" s="755">
        <v>41</v>
      </c>
      <c r="AS7" s="755">
        <v>42</v>
      </c>
      <c r="AT7" s="755">
        <v>43</v>
      </c>
      <c r="AU7" s="755">
        <v>44</v>
      </c>
      <c r="AV7" s="755">
        <v>45</v>
      </c>
      <c r="AW7" s="755">
        <v>46</v>
      </c>
      <c r="AX7" s="755">
        <v>47</v>
      </c>
      <c r="AY7" s="755">
        <v>48</v>
      </c>
      <c r="AZ7" s="755">
        <v>49</v>
      </c>
      <c r="BA7" s="755">
        <v>50</v>
      </c>
      <c r="BB7" s="755">
        <v>51</v>
      </c>
      <c r="BC7" s="755">
        <v>52</v>
      </c>
      <c r="BD7" s="755">
        <v>53</v>
      </c>
      <c r="BE7" s="755">
        <v>54</v>
      </c>
      <c r="BF7" s="755">
        <v>55</v>
      </c>
      <c r="BG7" s="755">
        <v>56</v>
      </c>
      <c r="BH7" s="755">
        <v>57</v>
      </c>
      <c r="BI7" s="755">
        <v>58</v>
      </c>
      <c r="BJ7" s="755">
        <v>59</v>
      </c>
      <c r="BK7" s="755">
        <v>60</v>
      </c>
      <c r="BL7" s="755">
        <v>61</v>
      </c>
      <c r="BM7" s="755">
        <v>62</v>
      </c>
      <c r="BN7" s="755">
        <v>63</v>
      </c>
      <c r="BO7" s="755">
        <v>64</v>
      </c>
      <c r="BP7" s="755">
        <v>65</v>
      </c>
      <c r="BQ7" s="755">
        <v>66</v>
      </c>
      <c r="BR7" s="755">
        <v>67</v>
      </c>
      <c r="BS7" s="755">
        <v>68</v>
      </c>
      <c r="BT7" s="755">
        <v>69</v>
      </c>
      <c r="BU7" s="755">
        <v>70</v>
      </c>
      <c r="BV7" s="755">
        <v>71</v>
      </c>
      <c r="BW7" s="755">
        <v>72</v>
      </c>
      <c r="BX7" s="755">
        <v>73</v>
      </c>
      <c r="BY7" s="755">
        <v>74</v>
      </c>
      <c r="BZ7" s="755">
        <v>75</v>
      </c>
      <c r="CA7" s="755">
        <v>76</v>
      </c>
      <c r="CB7" s="755">
        <v>77</v>
      </c>
      <c r="CC7" s="755">
        <v>78</v>
      </c>
      <c r="CD7" s="755">
        <v>79</v>
      </c>
      <c r="CE7" s="755">
        <v>80</v>
      </c>
      <c r="CF7" s="755">
        <v>81</v>
      </c>
      <c r="CG7" s="755">
        <v>82</v>
      </c>
      <c r="CH7" s="755">
        <v>83</v>
      </c>
      <c r="CI7" s="755">
        <v>84</v>
      </c>
      <c r="CJ7" s="755">
        <v>85</v>
      </c>
      <c r="CK7" s="755">
        <v>86</v>
      </c>
      <c r="CL7" s="755">
        <v>87</v>
      </c>
      <c r="CM7" s="755">
        <v>88</v>
      </c>
      <c r="CN7" s="755">
        <v>89</v>
      </c>
      <c r="CO7" s="755">
        <v>90</v>
      </c>
      <c r="CP7" s="755">
        <v>91</v>
      </c>
      <c r="CQ7" s="755">
        <v>92</v>
      </c>
      <c r="CR7" s="755">
        <v>93</v>
      </c>
      <c r="CS7" s="755">
        <v>94</v>
      </c>
      <c r="CT7" s="755">
        <v>95</v>
      </c>
      <c r="CU7" s="755">
        <v>96</v>
      </c>
      <c r="CV7" s="755">
        <v>97</v>
      </c>
      <c r="CW7" s="755">
        <v>98</v>
      </c>
      <c r="CX7" s="755">
        <v>99</v>
      </c>
      <c r="CY7" s="755">
        <v>100</v>
      </c>
      <c r="CZ7" s="755">
        <v>101</v>
      </c>
      <c r="DA7" s="755">
        <v>102</v>
      </c>
      <c r="DB7" s="755">
        <v>103</v>
      </c>
      <c r="DC7" s="755">
        <v>104</v>
      </c>
      <c r="DD7" s="755">
        <v>105</v>
      </c>
      <c r="DE7" s="755">
        <v>106</v>
      </c>
      <c r="DF7" s="755">
        <v>107</v>
      </c>
      <c r="DG7" s="755">
        <v>108</v>
      </c>
      <c r="DH7" s="755">
        <v>109</v>
      </c>
      <c r="DI7" s="755">
        <v>110</v>
      </c>
      <c r="DJ7" s="755">
        <v>111</v>
      </c>
      <c r="DK7" s="755">
        <v>112</v>
      </c>
      <c r="DL7" s="755">
        <v>113</v>
      </c>
      <c r="DM7" s="755">
        <v>114</v>
      </c>
      <c r="DN7" s="755">
        <v>115</v>
      </c>
      <c r="DO7" s="755">
        <v>116</v>
      </c>
      <c r="DP7" s="755">
        <v>117</v>
      </c>
      <c r="DQ7" s="755">
        <v>118</v>
      </c>
      <c r="DR7" s="755">
        <v>119</v>
      </c>
      <c r="DS7" s="755">
        <v>120</v>
      </c>
      <c r="DT7" s="755">
        <v>121</v>
      </c>
      <c r="DU7" s="755">
        <v>122</v>
      </c>
      <c r="DV7" s="755">
        <v>123</v>
      </c>
      <c r="DW7" s="755">
        <v>124</v>
      </c>
      <c r="DX7" s="755">
        <v>125</v>
      </c>
      <c r="DY7" s="755">
        <v>126</v>
      </c>
      <c r="DZ7" s="755">
        <v>127</v>
      </c>
      <c r="EA7" s="755">
        <v>128</v>
      </c>
      <c r="EB7" s="755">
        <v>129</v>
      </c>
      <c r="EC7" s="755">
        <v>130</v>
      </c>
      <c r="ED7" s="755">
        <v>131</v>
      </c>
      <c r="EE7" s="755">
        <v>132</v>
      </c>
      <c r="EF7" s="755">
        <v>133</v>
      </c>
      <c r="EG7" s="755">
        <v>134</v>
      </c>
      <c r="EH7" s="755">
        <v>135</v>
      </c>
      <c r="EI7" s="801">
        <v>136</v>
      </c>
      <c r="EJ7" s="51"/>
      <c r="EK7" s="51"/>
      <c r="EL7" s="803"/>
    </row>
    <row r="8" spans="1:143" ht="12.75" x14ac:dyDescent="0.2">
      <c r="A8" s="756">
        <v>1</v>
      </c>
      <c r="B8" s="757" t="s">
        <v>680</v>
      </c>
      <c r="C8" s="758" t="s">
        <v>1217</v>
      </c>
      <c r="D8" s="759" t="s">
        <v>1218</v>
      </c>
      <c r="E8" s="760" t="s">
        <v>679</v>
      </c>
      <c r="F8" s="761">
        <v>19276590</v>
      </c>
      <c r="G8" s="787">
        <v>0</v>
      </c>
      <c r="H8" s="787">
        <v>801715</v>
      </c>
      <c r="I8" s="787">
        <v>84740</v>
      </c>
      <c r="J8" s="787">
        <v>0</v>
      </c>
      <c r="K8" s="787">
        <v>84740</v>
      </c>
      <c r="L8" s="787">
        <v>0</v>
      </c>
      <c r="M8" s="787">
        <v>0</v>
      </c>
      <c r="N8" s="787">
        <v>0</v>
      </c>
      <c r="O8" s="787">
        <v>0</v>
      </c>
      <c r="P8" s="787">
        <v>0</v>
      </c>
      <c r="Q8" s="787">
        <v>0</v>
      </c>
      <c r="R8" s="787">
        <v>18390135</v>
      </c>
      <c r="S8" s="789">
        <v>0.24999999999999994</v>
      </c>
      <c r="T8" s="789">
        <v>0.2</v>
      </c>
      <c r="U8" s="789">
        <v>0.55000000000000004</v>
      </c>
      <c r="V8" s="789">
        <v>0</v>
      </c>
      <c r="W8" s="789">
        <v>1</v>
      </c>
      <c r="X8" s="787">
        <v>4597534</v>
      </c>
      <c r="Y8" s="787">
        <v>3678027</v>
      </c>
      <c r="Z8" s="787">
        <v>10114574</v>
      </c>
      <c r="AA8" s="787">
        <v>0</v>
      </c>
      <c r="AB8" s="787">
        <v>18390135</v>
      </c>
      <c r="AC8" s="787">
        <v>0</v>
      </c>
      <c r="AD8" s="787">
        <v>0</v>
      </c>
      <c r="AE8" s="787">
        <v>0</v>
      </c>
      <c r="AF8" s="787">
        <v>0</v>
      </c>
      <c r="AG8" s="787">
        <v>0</v>
      </c>
      <c r="AH8" s="787">
        <v>4597534</v>
      </c>
      <c r="AI8" s="787">
        <v>3678027</v>
      </c>
      <c r="AJ8" s="787">
        <v>10114574</v>
      </c>
      <c r="AK8" s="787">
        <v>0</v>
      </c>
      <c r="AL8" s="787">
        <v>18390135</v>
      </c>
      <c r="AM8" s="787">
        <v>84740</v>
      </c>
      <c r="AN8" s="787">
        <v>84740</v>
      </c>
      <c r="AO8" s="787">
        <v>0</v>
      </c>
      <c r="AP8" s="787">
        <v>0</v>
      </c>
      <c r="AQ8" s="787">
        <v>0</v>
      </c>
      <c r="AR8" s="787">
        <v>0</v>
      </c>
      <c r="AS8" s="787">
        <v>0</v>
      </c>
      <c r="AT8" s="787">
        <v>0</v>
      </c>
      <c r="AU8" s="787">
        <v>0</v>
      </c>
      <c r="AV8" s="787">
        <v>0</v>
      </c>
      <c r="AW8" s="787">
        <v>0</v>
      </c>
      <c r="AX8" s="787">
        <v>0</v>
      </c>
      <c r="AY8" s="787">
        <v>0</v>
      </c>
      <c r="AZ8" s="787">
        <v>0</v>
      </c>
      <c r="BA8" s="787">
        <v>0</v>
      </c>
      <c r="BB8" s="787">
        <v>0</v>
      </c>
      <c r="BC8" s="787">
        <v>0</v>
      </c>
      <c r="BD8" s="787">
        <v>0</v>
      </c>
      <c r="BE8" s="787">
        <v>0</v>
      </c>
      <c r="BF8" s="787">
        <v>0</v>
      </c>
      <c r="BG8" s="787">
        <v>0</v>
      </c>
      <c r="BH8" s="787">
        <v>0</v>
      </c>
      <c r="BI8" s="787">
        <v>0</v>
      </c>
      <c r="BJ8" s="789">
        <v>0.5</v>
      </c>
      <c r="BK8" s="789">
        <v>0.4</v>
      </c>
      <c r="BL8" s="789">
        <v>0.1</v>
      </c>
      <c r="BM8" s="789">
        <v>0</v>
      </c>
      <c r="BN8" s="789">
        <v>1</v>
      </c>
      <c r="BO8" s="787">
        <v>-336127</v>
      </c>
      <c r="BP8" s="787">
        <v>-268902</v>
      </c>
      <c r="BQ8" s="787">
        <v>-67225</v>
      </c>
      <c r="BR8" s="787">
        <v>0</v>
      </c>
      <c r="BS8" s="787">
        <v>-672254</v>
      </c>
      <c r="BT8" s="789">
        <v>0.5</v>
      </c>
      <c r="BU8" s="789">
        <v>0.4</v>
      </c>
      <c r="BV8" s="789">
        <v>0.1</v>
      </c>
      <c r="BW8" s="789">
        <v>0</v>
      </c>
      <c r="BX8" s="789">
        <v>1</v>
      </c>
      <c r="BY8" s="787">
        <v>-464962</v>
      </c>
      <c r="BZ8" s="787">
        <v>-371970</v>
      </c>
      <c r="CA8" s="787">
        <v>-92992</v>
      </c>
      <c r="CB8" s="787">
        <v>0</v>
      </c>
      <c r="CC8" s="787">
        <v>-929924</v>
      </c>
      <c r="CD8" s="787">
        <v>-801089</v>
      </c>
      <c r="CE8" s="787">
        <v>-640871</v>
      </c>
      <c r="CF8" s="787">
        <v>-160218</v>
      </c>
      <c r="CG8" s="787">
        <v>0</v>
      </c>
      <c r="CH8" s="787">
        <v>-1602178</v>
      </c>
      <c r="CI8" s="787">
        <v>3796445</v>
      </c>
      <c r="CJ8" s="787">
        <v>3121896</v>
      </c>
      <c r="CK8" s="787">
        <v>9954356</v>
      </c>
      <c r="CL8" s="787">
        <v>0</v>
      </c>
      <c r="CM8" s="787">
        <v>16872697</v>
      </c>
      <c r="CN8" s="787">
        <v>119854</v>
      </c>
      <c r="CO8" s="787">
        <v>329599</v>
      </c>
      <c r="CP8" s="787">
        <v>0</v>
      </c>
      <c r="CQ8" s="787">
        <v>449453</v>
      </c>
      <c r="CR8" s="787">
        <v>300814</v>
      </c>
      <c r="CS8" s="787">
        <v>827238</v>
      </c>
      <c r="CT8" s="787">
        <v>0</v>
      </c>
      <c r="CU8" s="787">
        <v>1128052</v>
      </c>
      <c r="CV8" s="787">
        <v>19402</v>
      </c>
      <c r="CW8" s="787">
        <v>53355</v>
      </c>
      <c r="CX8" s="787">
        <v>0</v>
      </c>
      <c r="CY8" s="787">
        <v>72757</v>
      </c>
      <c r="CZ8" s="787">
        <v>0</v>
      </c>
      <c r="DA8" s="787">
        <v>0</v>
      </c>
      <c r="DB8" s="787">
        <v>0</v>
      </c>
      <c r="DC8" s="787">
        <v>0</v>
      </c>
      <c r="DD8" s="787">
        <v>0</v>
      </c>
      <c r="DE8" s="787">
        <v>0</v>
      </c>
      <c r="DF8" s="787">
        <v>0</v>
      </c>
      <c r="DG8" s="787">
        <v>0</v>
      </c>
      <c r="DH8" s="787">
        <v>0</v>
      </c>
      <c r="DI8" s="787">
        <v>0</v>
      </c>
      <c r="DJ8" s="787">
        <v>0</v>
      </c>
      <c r="DK8" s="787">
        <v>0</v>
      </c>
      <c r="DL8" s="787">
        <v>2539</v>
      </c>
      <c r="DM8" s="787">
        <v>6984</v>
      </c>
      <c r="DN8" s="787">
        <v>0</v>
      </c>
      <c r="DO8" s="787">
        <v>9523</v>
      </c>
      <c r="DP8" s="787">
        <v>0</v>
      </c>
      <c r="DQ8" s="787">
        <v>0</v>
      </c>
      <c r="DR8" s="787">
        <v>0</v>
      </c>
      <c r="DS8" s="787">
        <v>0</v>
      </c>
      <c r="DT8" s="787">
        <v>0</v>
      </c>
      <c r="DU8" s="787">
        <v>0</v>
      </c>
      <c r="DV8" s="787">
        <v>0</v>
      </c>
      <c r="DW8" s="787">
        <v>0</v>
      </c>
      <c r="DX8" s="787">
        <v>0</v>
      </c>
      <c r="DY8" s="787">
        <v>0</v>
      </c>
      <c r="DZ8" s="787">
        <v>0</v>
      </c>
      <c r="EA8" s="787">
        <v>0</v>
      </c>
      <c r="EB8" s="787">
        <v>52473</v>
      </c>
      <c r="EC8" s="787">
        <v>144302</v>
      </c>
      <c r="ED8" s="787">
        <v>0</v>
      </c>
      <c r="EE8" s="787">
        <v>196775</v>
      </c>
      <c r="EF8" s="787">
        <v>495082</v>
      </c>
      <c r="EG8" s="787">
        <v>1361478</v>
      </c>
      <c r="EH8" s="787">
        <v>0</v>
      </c>
      <c r="EI8" s="798">
        <v>1856560</v>
      </c>
      <c r="EJ8" s="763" t="s">
        <v>679</v>
      </c>
      <c r="EK8" s="607" t="s">
        <v>618</v>
      </c>
      <c r="EL8" s="805" t="s">
        <v>556</v>
      </c>
      <c r="EM8" t="s">
        <v>1574</v>
      </c>
    </row>
    <row r="9" spans="1:143" ht="12.75" x14ac:dyDescent="0.2">
      <c r="A9" s="764">
        <v>2</v>
      </c>
      <c r="B9" s="765" t="s">
        <v>682</v>
      </c>
      <c r="C9" s="766" t="s">
        <v>1217</v>
      </c>
      <c r="D9" s="767" t="s">
        <v>1219</v>
      </c>
      <c r="E9" s="768" t="s">
        <v>681</v>
      </c>
      <c r="F9" s="761">
        <v>27280916</v>
      </c>
      <c r="G9" s="762">
        <v>425350</v>
      </c>
      <c r="H9" s="762">
        <v>0</v>
      </c>
      <c r="I9" s="762">
        <v>182960</v>
      </c>
      <c r="J9" s="762">
        <v>0</v>
      </c>
      <c r="K9" s="762">
        <v>182960</v>
      </c>
      <c r="L9" s="762">
        <v>0</v>
      </c>
      <c r="M9" s="762">
        <v>0</v>
      </c>
      <c r="N9" s="762">
        <v>518804</v>
      </c>
      <c r="O9" s="762">
        <v>507864</v>
      </c>
      <c r="P9" s="762">
        <v>10940</v>
      </c>
      <c r="Q9" s="762">
        <v>0</v>
      </c>
      <c r="R9" s="762">
        <v>27004502</v>
      </c>
      <c r="S9" s="790">
        <v>0.5</v>
      </c>
      <c r="T9" s="790">
        <v>0.4</v>
      </c>
      <c r="U9" s="790">
        <v>0.1</v>
      </c>
      <c r="V9" s="790">
        <v>0</v>
      </c>
      <c r="W9" s="790">
        <v>1</v>
      </c>
      <c r="X9" s="762">
        <v>13502251</v>
      </c>
      <c r="Y9" s="762">
        <v>10801801</v>
      </c>
      <c r="Z9" s="762">
        <v>2700450</v>
      </c>
      <c r="AA9" s="762">
        <v>0</v>
      </c>
      <c r="AB9" s="762">
        <v>27004502</v>
      </c>
      <c r="AC9" s="762">
        <v>0</v>
      </c>
      <c r="AD9" s="762">
        <v>0</v>
      </c>
      <c r="AE9" s="762">
        <v>0</v>
      </c>
      <c r="AF9" s="762">
        <v>0</v>
      </c>
      <c r="AG9" s="762">
        <v>0</v>
      </c>
      <c r="AH9" s="762">
        <v>13502251</v>
      </c>
      <c r="AI9" s="762">
        <v>10801801</v>
      </c>
      <c r="AJ9" s="762">
        <v>2700450</v>
      </c>
      <c r="AK9" s="762">
        <v>0</v>
      </c>
      <c r="AL9" s="762">
        <v>27004502</v>
      </c>
      <c r="AM9" s="762">
        <v>182960</v>
      </c>
      <c r="AN9" s="762">
        <v>182960</v>
      </c>
      <c r="AO9" s="762">
        <v>0</v>
      </c>
      <c r="AP9" s="762">
        <v>0</v>
      </c>
      <c r="AQ9" s="762">
        <v>507864</v>
      </c>
      <c r="AR9" s="762">
        <v>10940</v>
      </c>
      <c r="AS9" s="762">
        <v>518804</v>
      </c>
      <c r="AT9" s="762">
        <v>0</v>
      </c>
      <c r="AU9" s="762">
        <v>0</v>
      </c>
      <c r="AV9" s="762">
        <v>0</v>
      </c>
      <c r="AW9" s="762">
        <v>0</v>
      </c>
      <c r="AX9" s="762">
        <v>0</v>
      </c>
      <c r="AY9" s="762">
        <v>0</v>
      </c>
      <c r="AZ9" s="762">
        <v>0</v>
      </c>
      <c r="BA9" s="762">
        <v>0</v>
      </c>
      <c r="BB9" s="762">
        <v>0</v>
      </c>
      <c r="BC9" s="762">
        <v>0</v>
      </c>
      <c r="BD9" s="762">
        <v>0</v>
      </c>
      <c r="BE9" s="762">
        <v>0</v>
      </c>
      <c r="BF9" s="762">
        <v>0</v>
      </c>
      <c r="BG9" s="762">
        <v>0</v>
      </c>
      <c r="BH9" s="762">
        <v>0</v>
      </c>
      <c r="BI9" s="762">
        <v>0</v>
      </c>
      <c r="BJ9" s="790">
        <v>0.5</v>
      </c>
      <c r="BK9" s="790">
        <v>0.4</v>
      </c>
      <c r="BL9" s="790">
        <v>0.1</v>
      </c>
      <c r="BM9" s="790">
        <v>0</v>
      </c>
      <c r="BN9" s="790">
        <v>1</v>
      </c>
      <c r="BO9" s="762">
        <v>-46808</v>
      </c>
      <c r="BP9" s="762">
        <v>-37446</v>
      </c>
      <c r="BQ9" s="762">
        <v>-9362</v>
      </c>
      <c r="BR9" s="762">
        <v>0</v>
      </c>
      <c r="BS9" s="762">
        <v>-93616</v>
      </c>
      <c r="BT9" s="790">
        <v>0.5</v>
      </c>
      <c r="BU9" s="790">
        <v>0.4</v>
      </c>
      <c r="BV9" s="790">
        <v>0.1</v>
      </c>
      <c r="BW9" s="790">
        <v>0</v>
      </c>
      <c r="BX9" s="790">
        <v>1</v>
      </c>
      <c r="BY9" s="762">
        <v>62914</v>
      </c>
      <c r="BZ9" s="762">
        <v>50332</v>
      </c>
      <c r="CA9" s="762">
        <v>12583</v>
      </c>
      <c r="CB9" s="762">
        <v>0</v>
      </c>
      <c r="CC9" s="762">
        <v>125829</v>
      </c>
      <c r="CD9" s="762">
        <v>16107</v>
      </c>
      <c r="CE9" s="762">
        <v>12885</v>
      </c>
      <c r="CF9" s="762">
        <v>3221</v>
      </c>
      <c r="CG9" s="762">
        <v>0</v>
      </c>
      <c r="CH9" s="762">
        <v>32213</v>
      </c>
      <c r="CI9" s="762">
        <v>13518358</v>
      </c>
      <c r="CJ9" s="762">
        <v>11505510</v>
      </c>
      <c r="CK9" s="762">
        <v>2714611</v>
      </c>
      <c r="CL9" s="762">
        <v>0</v>
      </c>
      <c r="CM9" s="762">
        <v>27738479</v>
      </c>
      <c r="CN9" s="762">
        <v>368543</v>
      </c>
      <c r="CO9" s="762">
        <v>88355</v>
      </c>
      <c r="CP9" s="762">
        <v>0</v>
      </c>
      <c r="CQ9" s="762">
        <v>456898</v>
      </c>
      <c r="CR9" s="762">
        <v>1460371</v>
      </c>
      <c r="CS9" s="762">
        <v>365093</v>
      </c>
      <c r="CT9" s="762">
        <v>0</v>
      </c>
      <c r="CU9" s="762">
        <v>1825464</v>
      </c>
      <c r="CV9" s="762">
        <v>74104</v>
      </c>
      <c r="CW9" s="762">
        <v>18526</v>
      </c>
      <c r="CX9" s="762">
        <v>0</v>
      </c>
      <c r="CY9" s="762">
        <v>92630</v>
      </c>
      <c r="CZ9" s="762">
        <v>4983</v>
      </c>
      <c r="DA9" s="762">
        <v>1246</v>
      </c>
      <c r="DB9" s="762">
        <v>0</v>
      </c>
      <c r="DC9" s="762">
        <v>6229</v>
      </c>
      <c r="DD9" s="762">
        <v>17272</v>
      </c>
      <c r="DE9" s="762">
        <v>4318</v>
      </c>
      <c r="DF9" s="762">
        <v>0</v>
      </c>
      <c r="DG9" s="762">
        <v>21590</v>
      </c>
      <c r="DH9" s="762">
        <v>0</v>
      </c>
      <c r="DI9" s="762">
        <v>0</v>
      </c>
      <c r="DJ9" s="762">
        <v>0</v>
      </c>
      <c r="DK9" s="762">
        <v>0</v>
      </c>
      <c r="DL9" s="762">
        <v>10634</v>
      </c>
      <c r="DM9" s="762">
        <v>2658</v>
      </c>
      <c r="DN9" s="762">
        <v>0</v>
      </c>
      <c r="DO9" s="762">
        <v>13292</v>
      </c>
      <c r="DP9" s="762">
        <v>29439</v>
      </c>
      <c r="DQ9" s="762">
        <v>7360</v>
      </c>
      <c r="DR9" s="762">
        <v>0</v>
      </c>
      <c r="DS9" s="762">
        <v>36799</v>
      </c>
      <c r="DT9" s="762">
        <v>0</v>
      </c>
      <c r="DU9" s="762">
        <v>0</v>
      </c>
      <c r="DV9" s="762">
        <v>0</v>
      </c>
      <c r="DW9" s="762">
        <v>0</v>
      </c>
      <c r="DX9" s="762">
        <v>0</v>
      </c>
      <c r="DY9" s="762">
        <v>0</v>
      </c>
      <c r="DZ9" s="762">
        <v>0</v>
      </c>
      <c r="EA9" s="762">
        <v>0</v>
      </c>
      <c r="EB9" s="762">
        <v>551930</v>
      </c>
      <c r="EC9" s="762">
        <v>137982</v>
      </c>
      <c r="ED9" s="762">
        <v>0</v>
      </c>
      <c r="EE9" s="762">
        <v>689912</v>
      </c>
      <c r="EF9" s="762">
        <v>2517276</v>
      </c>
      <c r="EG9" s="762">
        <v>625538</v>
      </c>
      <c r="EH9" s="762">
        <v>0</v>
      </c>
      <c r="EI9" s="799">
        <v>3142814</v>
      </c>
      <c r="EJ9" s="763" t="s">
        <v>681</v>
      </c>
      <c r="EK9" s="607" t="s">
        <v>557</v>
      </c>
      <c r="EL9" s="805" t="s">
        <v>556</v>
      </c>
      <c r="EM9" t="s">
        <v>1575</v>
      </c>
    </row>
    <row r="10" spans="1:143" ht="12.75" x14ac:dyDescent="0.2">
      <c r="A10" s="764">
        <v>3</v>
      </c>
      <c r="B10" s="765" t="s">
        <v>684</v>
      </c>
      <c r="C10" s="766" t="s">
        <v>1217</v>
      </c>
      <c r="D10" s="767" t="s">
        <v>1220</v>
      </c>
      <c r="E10" s="768" t="s">
        <v>683</v>
      </c>
      <c r="F10" s="761">
        <v>29628187</v>
      </c>
      <c r="G10" s="762">
        <v>347050</v>
      </c>
      <c r="H10" s="762">
        <v>0</v>
      </c>
      <c r="I10" s="762">
        <v>147660</v>
      </c>
      <c r="J10" s="762">
        <v>0</v>
      </c>
      <c r="K10" s="762">
        <v>147660</v>
      </c>
      <c r="L10" s="762">
        <v>0</v>
      </c>
      <c r="M10" s="762">
        <v>0</v>
      </c>
      <c r="N10" s="762">
        <v>10819</v>
      </c>
      <c r="O10" s="762">
        <v>10819</v>
      </c>
      <c r="P10" s="762">
        <v>0</v>
      </c>
      <c r="Q10" s="762">
        <v>0</v>
      </c>
      <c r="R10" s="762">
        <v>29816758</v>
      </c>
      <c r="S10" s="790">
        <v>0.5</v>
      </c>
      <c r="T10" s="790">
        <v>0.4</v>
      </c>
      <c r="U10" s="790">
        <v>0.09</v>
      </c>
      <c r="V10" s="790">
        <v>0.01</v>
      </c>
      <c r="W10" s="790">
        <v>1</v>
      </c>
      <c r="X10" s="762">
        <v>14908379</v>
      </c>
      <c r="Y10" s="762">
        <v>11926703</v>
      </c>
      <c r="Z10" s="762">
        <v>2683508</v>
      </c>
      <c r="AA10" s="762">
        <v>298168</v>
      </c>
      <c r="AB10" s="762">
        <v>29816758</v>
      </c>
      <c r="AC10" s="762">
        <v>0</v>
      </c>
      <c r="AD10" s="762">
        <v>0</v>
      </c>
      <c r="AE10" s="762">
        <v>0</v>
      </c>
      <c r="AF10" s="762">
        <v>0</v>
      </c>
      <c r="AG10" s="762">
        <v>0</v>
      </c>
      <c r="AH10" s="762">
        <v>14908379</v>
      </c>
      <c r="AI10" s="762">
        <v>11926703</v>
      </c>
      <c r="AJ10" s="762">
        <v>2683508</v>
      </c>
      <c r="AK10" s="762">
        <v>298168</v>
      </c>
      <c r="AL10" s="762">
        <v>29816758</v>
      </c>
      <c r="AM10" s="762">
        <v>147660</v>
      </c>
      <c r="AN10" s="762">
        <v>147660</v>
      </c>
      <c r="AO10" s="762">
        <v>0</v>
      </c>
      <c r="AP10" s="762">
        <v>0</v>
      </c>
      <c r="AQ10" s="762">
        <v>10819</v>
      </c>
      <c r="AR10" s="762">
        <v>0</v>
      </c>
      <c r="AS10" s="762">
        <v>10819</v>
      </c>
      <c r="AT10" s="762">
        <v>0</v>
      </c>
      <c r="AU10" s="762">
        <v>0</v>
      </c>
      <c r="AV10" s="762">
        <v>0</v>
      </c>
      <c r="AW10" s="762">
        <v>0</v>
      </c>
      <c r="AX10" s="762">
        <v>0</v>
      </c>
      <c r="AY10" s="762">
        <v>0</v>
      </c>
      <c r="AZ10" s="762">
        <v>0</v>
      </c>
      <c r="BA10" s="762">
        <v>0</v>
      </c>
      <c r="BB10" s="762">
        <v>0</v>
      </c>
      <c r="BC10" s="762">
        <v>0</v>
      </c>
      <c r="BD10" s="762">
        <v>0</v>
      </c>
      <c r="BE10" s="762">
        <v>0</v>
      </c>
      <c r="BF10" s="762">
        <v>0</v>
      </c>
      <c r="BG10" s="762">
        <v>0</v>
      </c>
      <c r="BH10" s="762">
        <v>0</v>
      </c>
      <c r="BI10" s="762">
        <v>0</v>
      </c>
      <c r="BJ10" s="790">
        <v>0</v>
      </c>
      <c r="BK10" s="790">
        <v>0.5</v>
      </c>
      <c r="BL10" s="790">
        <v>0.49</v>
      </c>
      <c r="BM10" s="790">
        <v>0.01</v>
      </c>
      <c r="BN10" s="790">
        <v>1</v>
      </c>
      <c r="BO10" s="762">
        <v>-1</v>
      </c>
      <c r="BP10" s="762">
        <v>97698</v>
      </c>
      <c r="BQ10" s="762">
        <v>95744</v>
      </c>
      <c r="BR10" s="762">
        <v>1954</v>
      </c>
      <c r="BS10" s="762">
        <v>195395</v>
      </c>
      <c r="BT10" s="790">
        <v>0.5</v>
      </c>
      <c r="BU10" s="790">
        <v>0.4</v>
      </c>
      <c r="BV10" s="790">
        <v>0.09</v>
      </c>
      <c r="BW10" s="790">
        <v>0.01</v>
      </c>
      <c r="BX10" s="790">
        <v>1</v>
      </c>
      <c r="BY10" s="762">
        <v>47446</v>
      </c>
      <c r="BZ10" s="762">
        <v>37956</v>
      </c>
      <c r="CA10" s="762">
        <v>8540</v>
      </c>
      <c r="CB10" s="762">
        <v>949</v>
      </c>
      <c r="CC10" s="762">
        <v>94891</v>
      </c>
      <c r="CD10" s="762">
        <v>47445</v>
      </c>
      <c r="CE10" s="762">
        <v>135654</v>
      </c>
      <c r="CF10" s="762">
        <v>104284</v>
      </c>
      <c r="CG10" s="762">
        <v>2903</v>
      </c>
      <c r="CH10" s="762">
        <v>290286</v>
      </c>
      <c r="CI10" s="762">
        <v>14955824</v>
      </c>
      <c r="CJ10" s="762">
        <v>12220836</v>
      </c>
      <c r="CK10" s="762">
        <v>2787792</v>
      </c>
      <c r="CL10" s="762">
        <v>301071</v>
      </c>
      <c r="CM10" s="762">
        <v>30265523</v>
      </c>
      <c r="CN10" s="762">
        <v>389003</v>
      </c>
      <c r="CO10" s="762">
        <v>87446</v>
      </c>
      <c r="CP10" s="762">
        <v>9716</v>
      </c>
      <c r="CQ10" s="762">
        <v>486165</v>
      </c>
      <c r="CR10" s="762">
        <v>1277622</v>
      </c>
      <c r="CS10" s="762">
        <v>287465</v>
      </c>
      <c r="CT10" s="762">
        <v>31941</v>
      </c>
      <c r="CU10" s="762">
        <v>1597028</v>
      </c>
      <c r="CV10" s="762">
        <v>71621</v>
      </c>
      <c r="CW10" s="762">
        <v>16115</v>
      </c>
      <c r="CX10" s="762">
        <v>1791</v>
      </c>
      <c r="CY10" s="762">
        <v>89527</v>
      </c>
      <c r="CZ10" s="762">
        <v>0</v>
      </c>
      <c r="DA10" s="762">
        <v>0</v>
      </c>
      <c r="DB10" s="762">
        <v>0</v>
      </c>
      <c r="DC10" s="762">
        <v>0</v>
      </c>
      <c r="DD10" s="762">
        <v>5930</v>
      </c>
      <c r="DE10" s="762">
        <v>1334</v>
      </c>
      <c r="DF10" s="762">
        <v>148</v>
      </c>
      <c r="DG10" s="762">
        <v>7412</v>
      </c>
      <c r="DH10" s="762">
        <v>0</v>
      </c>
      <c r="DI10" s="762">
        <v>0</v>
      </c>
      <c r="DJ10" s="762">
        <v>0</v>
      </c>
      <c r="DK10" s="762">
        <v>0</v>
      </c>
      <c r="DL10" s="762">
        <v>19248</v>
      </c>
      <c r="DM10" s="762">
        <v>4331</v>
      </c>
      <c r="DN10" s="762">
        <v>481</v>
      </c>
      <c r="DO10" s="762">
        <v>24060</v>
      </c>
      <c r="DP10" s="762">
        <v>4615</v>
      </c>
      <c r="DQ10" s="762">
        <v>1038</v>
      </c>
      <c r="DR10" s="762">
        <v>115</v>
      </c>
      <c r="DS10" s="762">
        <v>5768</v>
      </c>
      <c r="DT10" s="762">
        <v>0</v>
      </c>
      <c r="DU10" s="762">
        <v>0</v>
      </c>
      <c r="DV10" s="762">
        <v>0</v>
      </c>
      <c r="DW10" s="762">
        <v>0</v>
      </c>
      <c r="DX10" s="762">
        <v>0</v>
      </c>
      <c r="DY10" s="762">
        <v>0</v>
      </c>
      <c r="DZ10" s="762">
        <v>0</v>
      </c>
      <c r="EA10" s="762">
        <v>0</v>
      </c>
      <c r="EB10" s="762">
        <v>361088</v>
      </c>
      <c r="EC10" s="762">
        <v>81245</v>
      </c>
      <c r="ED10" s="762">
        <v>9027</v>
      </c>
      <c r="EE10" s="762">
        <v>451360</v>
      </c>
      <c r="EF10" s="762">
        <v>2129127</v>
      </c>
      <c r="EG10" s="762">
        <v>478974</v>
      </c>
      <c r="EH10" s="762">
        <v>53219</v>
      </c>
      <c r="EI10" s="799">
        <v>2661320</v>
      </c>
      <c r="EJ10" s="763" t="s">
        <v>683</v>
      </c>
      <c r="EK10" s="607" t="s">
        <v>560</v>
      </c>
      <c r="EL10" s="805" t="s">
        <v>559</v>
      </c>
      <c r="EM10" t="s">
        <v>1576</v>
      </c>
    </row>
    <row r="11" spans="1:143" ht="12.75" x14ac:dyDescent="0.2">
      <c r="A11" s="764">
        <v>4</v>
      </c>
      <c r="B11" s="765" t="s">
        <v>686</v>
      </c>
      <c r="C11" s="766" t="s">
        <v>1217</v>
      </c>
      <c r="D11" s="767" t="s">
        <v>1218</v>
      </c>
      <c r="E11" s="768" t="s">
        <v>685</v>
      </c>
      <c r="F11" s="761">
        <v>36145148</v>
      </c>
      <c r="G11" s="762">
        <v>144662</v>
      </c>
      <c r="H11" s="762">
        <v>0</v>
      </c>
      <c r="I11" s="762">
        <v>181784</v>
      </c>
      <c r="J11" s="762">
        <v>0</v>
      </c>
      <c r="K11" s="762">
        <v>181784</v>
      </c>
      <c r="L11" s="762">
        <v>0</v>
      </c>
      <c r="M11" s="762">
        <v>0</v>
      </c>
      <c r="N11" s="762">
        <v>0</v>
      </c>
      <c r="O11" s="762">
        <v>0</v>
      </c>
      <c r="P11" s="762">
        <v>0</v>
      </c>
      <c r="Q11" s="762">
        <v>0</v>
      </c>
      <c r="R11" s="762">
        <v>36108026</v>
      </c>
      <c r="S11" s="790">
        <v>0.24999999999999994</v>
      </c>
      <c r="T11" s="790">
        <v>0.2</v>
      </c>
      <c r="U11" s="790">
        <v>0.55000000000000004</v>
      </c>
      <c r="V11" s="790">
        <v>0</v>
      </c>
      <c r="W11" s="790">
        <v>1</v>
      </c>
      <c r="X11" s="762">
        <v>9027007</v>
      </c>
      <c r="Y11" s="762">
        <v>7221605</v>
      </c>
      <c r="Z11" s="762">
        <v>19859414</v>
      </c>
      <c r="AA11" s="762">
        <v>0</v>
      </c>
      <c r="AB11" s="762">
        <v>36108026</v>
      </c>
      <c r="AC11" s="762">
        <v>0</v>
      </c>
      <c r="AD11" s="762">
        <v>0</v>
      </c>
      <c r="AE11" s="762">
        <v>0</v>
      </c>
      <c r="AF11" s="762">
        <v>0</v>
      </c>
      <c r="AG11" s="762">
        <v>0</v>
      </c>
      <c r="AH11" s="762">
        <v>9027007</v>
      </c>
      <c r="AI11" s="762">
        <v>7221605</v>
      </c>
      <c r="AJ11" s="762">
        <v>19859414</v>
      </c>
      <c r="AK11" s="762">
        <v>0</v>
      </c>
      <c r="AL11" s="762">
        <v>36108026</v>
      </c>
      <c r="AM11" s="762">
        <v>181784</v>
      </c>
      <c r="AN11" s="762">
        <v>181784</v>
      </c>
      <c r="AO11" s="762">
        <v>0</v>
      </c>
      <c r="AP11" s="762">
        <v>0</v>
      </c>
      <c r="AQ11" s="762">
        <v>0</v>
      </c>
      <c r="AR11" s="762">
        <v>0</v>
      </c>
      <c r="AS11" s="762">
        <v>0</v>
      </c>
      <c r="AT11" s="762">
        <v>0</v>
      </c>
      <c r="AU11" s="762">
        <v>0</v>
      </c>
      <c r="AV11" s="762">
        <v>0</v>
      </c>
      <c r="AW11" s="762">
        <v>0</v>
      </c>
      <c r="AX11" s="762">
        <v>0</v>
      </c>
      <c r="AY11" s="762">
        <v>0</v>
      </c>
      <c r="AZ11" s="762">
        <v>0</v>
      </c>
      <c r="BA11" s="762">
        <v>0</v>
      </c>
      <c r="BB11" s="762">
        <v>0</v>
      </c>
      <c r="BC11" s="762">
        <v>0</v>
      </c>
      <c r="BD11" s="762">
        <v>0</v>
      </c>
      <c r="BE11" s="762">
        <v>0</v>
      </c>
      <c r="BF11" s="762">
        <v>0</v>
      </c>
      <c r="BG11" s="762">
        <v>0</v>
      </c>
      <c r="BH11" s="762">
        <v>0</v>
      </c>
      <c r="BI11" s="762">
        <v>0</v>
      </c>
      <c r="BJ11" s="790">
        <v>0.5</v>
      </c>
      <c r="BK11" s="790">
        <v>0.4</v>
      </c>
      <c r="BL11" s="790">
        <v>0.1</v>
      </c>
      <c r="BM11" s="790">
        <v>0</v>
      </c>
      <c r="BN11" s="790">
        <v>1</v>
      </c>
      <c r="BO11" s="762">
        <v>-880917</v>
      </c>
      <c r="BP11" s="762">
        <v>-704733</v>
      </c>
      <c r="BQ11" s="762">
        <v>-176183</v>
      </c>
      <c r="BR11" s="762">
        <v>0</v>
      </c>
      <c r="BS11" s="762">
        <v>-1761833</v>
      </c>
      <c r="BT11" s="790">
        <v>0.5</v>
      </c>
      <c r="BU11" s="790">
        <v>0.4</v>
      </c>
      <c r="BV11" s="790">
        <v>0.1</v>
      </c>
      <c r="BW11" s="790">
        <v>0</v>
      </c>
      <c r="BX11" s="790">
        <v>1</v>
      </c>
      <c r="BY11" s="762">
        <v>365992</v>
      </c>
      <c r="BZ11" s="762">
        <v>292794</v>
      </c>
      <c r="CA11" s="762">
        <v>73198</v>
      </c>
      <c r="CB11" s="762">
        <v>0</v>
      </c>
      <c r="CC11" s="762">
        <v>731984</v>
      </c>
      <c r="CD11" s="762">
        <v>-514924</v>
      </c>
      <c r="CE11" s="762">
        <v>-411940</v>
      </c>
      <c r="CF11" s="762">
        <v>-102985</v>
      </c>
      <c r="CG11" s="762">
        <v>0</v>
      </c>
      <c r="CH11" s="762">
        <v>-1029849</v>
      </c>
      <c r="CI11" s="762">
        <v>8512083</v>
      </c>
      <c r="CJ11" s="762">
        <v>6991449</v>
      </c>
      <c r="CK11" s="762">
        <v>19756429</v>
      </c>
      <c r="CL11" s="762">
        <v>0</v>
      </c>
      <c r="CM11" s="762">
        <v>35259961</v>
      </c>
      <c r="CN11" s="762">
        <v>235327</v>
      </c>
      <c r="CO11" s="762">
        <v>647150</v>
      </c>
      <c r="CP11" s="762">
        <v>0</v>
      </c>
      <c r="CQ11" s="762">
        <v>882477</v>
      </c>
      <c r="CR11" s="762">
        <v>765609</v>
      </c>
      <c r="CS11" s="762">
        <v>2105426</v>
      </c>
      <c r="CT11" s="762">
        <v>0</v>
      </c>
      <c r="CU11" s="762">
        <v>2871035</v>
      </c>
      <c r="CV11" s="762">
        <v>44807</v>
      </c>
      <c r="CW11" s="762">
        <v>123220</v>
      </c>
      <c r="CX11" s="762">
        <v>0</v>
      </c>
      <c r="CY11" s="762">
        <v>168027</v>
      </c>
      <c r="CZ11" s="762">
        <v>2452</v>
      </c>
      <c r="DA11" s="762">
        <v>6744</v>
      </c>
      <c r="DB11" s="762">
        <v>0</v>
      </c>
      <c r="DC11" s="762">
        <v>9196</v>
      </c>
      <c r="DD11" s="762">
        <v>0</v>
      </c>
      <c r="DE11" s="762">
        <v>0</v>
      </c>
      <c r="DF11" s="762">
        <v>0</v>
      </c>
      <c r="DG11" s="762">
        <v>0</v>
      </c>
      <c r="DH11" s="762">
        <v>0</v>
      </c>
      <c r="DI11" s="762">
        <v>0</v>
      </c>
      <c r="DJ11" s="762">
        <v>0</v>
      </c>
      <c r="DK11" s="762">
        <v>0</v>
      </c>
      <c r="DL11" s="762">
        <v>8679</v>
      </c>
      <c r="DM11" s="762">
        <v>23869</v>
      </c>
      <c r="DN11" s="762">
        <v>0</v>
      </c>
      <c r="DO11" s="762">
        <v>32548</v>
      </c>
      <c r="DP11" s="762">
        <v>14854</v>
      </c>
      <c r="DQ11" s="762">
        <v>40848</v>
      </c>
      <c r="DR11" s="762">
        <v>0</v>
      </c>
      <c r="DS11" s="762">
        <v>55702</v>
      </c>
      <c r="DT11" s="762">
        <v>0</v>
      </c>
      <c r="DU11" s="762">
        <v>0</v>
      </c>
      <c r="DV11" s="762">
        <v>0</v>
      </c>
      <c r="DW11" s="762">
        <v>0</v>
      </c>
      <c r="DX11" s="762">
        <v>0</v>
      </c>
      <c r="DY11" s="762">
        <v>0</v>
      </c>
      <c r="DZ11" s="762">
        <v>0</v>
      </c>
      <c r="EA11" s="762">
        <v>0</v>
      </c>
      <c r="EB11" s="762">
        <v>277668</v>
      </c>
      <c r="EC11" s="762">
        <v>763587</v>
      </c>
      <c r="ED11" s="762">
        <v>0</v>
      </c>
      <c r="EE11" s="762">
        <v>1041255</v>
      </c>
      <c r="EF11" s="762">
        <v>1349396</v>
      </c>
      <c r="EG11" s="762">
        <v>3710844</v>
      </c>
      <c r="EH11" s="762">
        <v>0</v>
      </c>
      <c r="EI11" s="799">
        <v>5060240</v>
      </c>
      <c r="EJ11" s="763" t="s">
        <v>685</v>
      </c>
      <c r="EK11" s="607" t="s">
        <v>618</v>
      </c>
      <c r="EL11" s="805" t="s">
        <v>556</v>
      </c>
      <c r="EM11" t="s">
        <v>1577</v>
      </c>
    </row>
    <row r="12" spans="1:143" ht="12.75" x14ac:dyDescent="0.2">
      <c r="A12" s="764">
        <v>5</v>
      </c>
      <c r="B12" s="765" t="s">
        <v>688</v>
      </c>
      <c r="C12" s="766" t="s">
        <v>1217</v>
      </c>
      <c r="D12" s="767" t="s">
        <v>1220</v>
      </c>
      <c r="E12" s="768" t="s">
        <v>687</v>
      </c>
      <c r="F12" s="761">
        <v>37881806</v>
      </c>
      <c r="G12" s="762">
        <v>271422</v>
      </c>
      <c r="H12" s="762">
        <v>0</v>
      </c>
      <c r="I12" s="762">
        <v>148104</v>
      </c>
      <c r="J12" s="762">
        <v>0</v>
      </c>
      <c r="K12" s="762">
        <v>148104</v>
      </c>
      <c r="L12" s="762">
        <v>0</v>
      </c>
      <c r="M12" s="762">
        <v>0</v>
      </c>
      <c r="N12" s="762">
        <v>0</v>
      </c>
      <c r="O12" s="762">
        <v>0</v>
      </c>
      <c r="P12" s="762">
        <v>0</v>
      </c>
      <c r="Q12" s="762">
        <v>0</v>
      </c>
      <c r="R12" s="762">
        <v>38005124</v>
      </c>
      <c r="S12" s="790">
        <v>0.5</v>
      </c>
      <c r="T12" s="790">
        <v>0.4</v>
      </c>
      <c r="U12" s="790">
        <v>0.09</v>
      </c>
      <c r="V12" s="790">
        <v>0.01</v>
      </c>
      <c r="W12" s="790">
        <v>1</v>
      </c>
      <c r="X12" s="762">
        <v>19002562</v>
      </c>
      <c r="Y12" s="762">
        <v>15202050</v>
      </c>
      <c r="Z12" s="762">
        <v>3420461</v>
      </c>
      <c r="AA12" s="762">
        <v>380051</v>
      </c>
      <c r="AB12" s="762">
        <v>38005124</v>
      </c>
      <c r="AC12" s="762">
        <v>0</v>
      </c>
      <c r="AD12" s="762">
        <v>0</v>
      </c>
      <c r="AE12" s="762">
        <v>0</v>
      </c>
      <c r="AF12" s="762">
        <v>0</v>
      </c>
      <c r="AG12" s="762">
        <v>0</v>
      </c>
      <c r="AH12" s="762">
        <v>19002562</v>
      </c>
      <c r="AI12" s="762">
        <v>15202050</v>
      </c>
      <c r="AJ12" s="762">
        <v>3420461</v>
      </c>
      <c r="AK12" s="762">
        <v>380051</v>
      </c>
      <c r="AL12" s="762">
        <v>38005124</v>
      </c>
      <c r="AM12" s="762">
        <v>148104</v>
      </c>
      <c r="AN12" s="762">
        <v>148104</v>
      </c>
      <c r="AO12" s="762">
        <v>0</v>
      </c>
      <c r="AP12" s="762">
        <v>0</v>
      </c>
      <c r="AQ12" s="762">
        <v>0</v>
      </c>
      <c r="AR12" s="762">
        <v>0</v>
      </c>
      <c r="AS12" s="762">
        <v>0</v>
      </c>
      <c r="AT12" s="762">
        <v>0</v>
      </c>
      <c r="AU12" s="762">
        <v>0</v>
      </c>
      <c r="AV12" s="762">
        <v>0</v>
      </c>
      <c r="AW12" s="762">
        <v>0</v>
      </c>
      <c r="AX12" s="762">
        <v>0</v>
      </c>
      <c r="AY12" s="762">
        <v>0</v>
      </c>
      <c r="AZ12" s="762">
        <v>0</v>
      </c>
      <c r="BA12" s="762">
        <v>0</v>
      </c>
      <c r="BB12" s="762">
        <v>0</v>
      </c>
      <c r="BC12" s="762">
        <v>0</v>
      </c>
      <c r="BD12" s="762">
        <v>0</v>
      </c>
      <c r="BE12" s="762">
        <v>0</v>
      </c>
      <c r="BF12" s="762">
        <v>0</v>
      </c>
      <c r="BG12" s="762">
        <v>0</v>
      </c>
      <c r="BH12" s="762">
        <v>0</v>
      </c>
      <c r="BI12" s="762">
        <v>0</v>
      </c>
      <c r="BJ12" s="790">
        <v>0.5</v>
      </c>
      <c r="BK12" s="790">
        <v>0.4</v>
      </c>
      <c r="BL12" s="790">
        <v>0.09</v>
      </c>
      <c r="BM12" s="790">
        <v>0.01</v>
      </c>
      <c r="BN12" s="790">
        <v>1</v>
      </c>
      <c r="BO12" s="762">
        <v>-639392</v>
      </c>
      <c r="BP12" s="762">
        <v>-511513</v>
      </c>
      <c r="BQ12" s="762">
        <v>-115090</v>
      </c>
      <c r="BR12" s="762">
        <v>-12788</v>
      </c>
      <c r="BS12" s="762">
        <v>-1278783</v>
      </c>
      <c r="BT12" s="790">
        <v>0.5</v>
      </c>
      <c r="BU12" s="790">
        <v>0.4</v>
      </c>
      <c r="BV12" s="790">
        <v>0.09</v>
      </c>
      <c r="BW12" s="790">
        <v>0.01</v>
      </c>
      <c r="BX12" s="790">
        <v>1</v>
      </c>
      <c r="BY12" s="762">
        <v>-704743</v>
      </c>
      <c r="BZ12" s="762">
        <v>-563794</v>
      </c>
      <c r="CA12" s="762">
        <v>-126854</v>
      </c>
      <c r="CB12" s="762">
        <v>-14095</v>
      </c>
      <c r="CC12" s="762">
        <v>-1409486</v>
      </c>
      <c r="CD12" s="762">
        <v>-1344134</v>
      </c>
      <c r="CE12" s="762">
        <v>-1075308</v>
      </c>
      <c r="CF12" s="762">
        <v>-241944</v>
      </c>
      <c r="CG12" s="762">
        <v>-26883</v>
      </c>
      <c r="CH12" s="762">
        <v>-2688269</v>
      </c>
      <c r="CI12" s="762">
        <v>17658428</v>
      </c>
      <c r="CJ12" s="762">
        <v>14274846</v>
      </c>
      <c r="CK12" s="762">
        <v>3178517</v>
      </c>
      <c r="CL12" s="762">
        <v>353168</v>
      </c>
      <c r="CM12" s="762">
        <v>35464959</v>
      </c>
      <c r="CN12" s="762">
        <v>495382</v>
      </c>
      <c r="CO12" s="762">
        <v>111461</v>
      </c>
      <c r="CP12" s="762">
        <v>12385</v>
      </c>
      <c r="CQ12" s="762">
        <v>619228</v>
      </c>
      <c r="CR12" s="762">
        <v>895217</v>
      </c>
      <c r="CS12" s="762">
        <v>201424</v>
      </c>
      <c r="CT12" s="762">
        <v>22380</v>
      </c>
      <c r="CU12" s="762">
        <v>1119021</v>
      </c>
      <c r="CV12" s="762">
        <v>63075</v>
      </c>
      <c r="CW12" s="762">
        <v>14056</v>
      </c>
      <c r="CX12" s="762">
        <v>1562</v>
      </c>
      <c r="CY12" s="762">
        <v>78693</v>
      </c>
      <c r="CZ12" s="762">
        <v>0</v>
      </c>
      <c r="DA12" s="762">
        <v>0</v>
      </c>
      <c r="DB12" s="762">
        <v>0</v>
      </c>
      <c r="DC12" s="762">
        <v>0</v>
      </c>
      <c r="DD12" s="762">
        <v>5713</v>
      </c>
      <c r="DE12" s="762">
        <v>1285</v>
      </c>
      <c r="DF12" s="762">
        <v>143</v>
      </c>
      <c r="DG12" s="762">
        <v>7141</v>
      </c>
      <c r="DH12" s="762">
        <v>0</v>
      </c>
      <c r="DI12" s="762">
        <v>0</v>
      </c>
      <c r="DJ12" s="762">
        <v>0</v>
      </c>
      <c r="DK12" s="762">
        <v>0</v>
      </c>
      <c r="DL12" s="762">
        <v>6245</v>
      </c>
      <c r="DM12" s="762">
        <v>1405</v>
      </c>
      <c r="DN12" s="762">
        <v>156</v>
      </c>
      <c r="DO12" s="762">
        <v>7806</v>
      </c>
      <c r="DP12" s="762">
        <v>15947</v>
      </c>
      <c r="DQ12" s="762">
        <v>3588</v>
      </c>
      <c r="DR12" s="762">
        <v>399</v>
      </c>
      <c r="DS12" s="762">
        <v>19934</v>
      </c>
      <c r="DT12" s="762">
        <v>0</v>
      </c>
      <c r="DU12" s="762">
        <v>0</v>
      </c>
      <c r="DV12" s="762">
        <v>0</v>
      </c>
      <c r="DW12" s="762">
        <v>0</v>
      </c>
      <c r="DX12" s="762">
        <v>0</v>
      </c>
      <c r="DY12" s="762">
        <v>0</v>
      </c>
      <c r="DZ12" s="762">
        <v>0</v>
      </c>
      <c r="EA12" s="762">
        <v>0</v>
      </c>
      <c r="EB12" s="762">
        <v>165214</v>
      </c>
      <c r="EC12" s="762">
        <v>37173</v>
      </c>
      <c r="ED12" s="762">
        <v>4130</v>
      </c>
      <c r="EE12" s="762">
        <v>206517</v>
      </c>
      <c r="EF12" s="762">
        <v>1646793</v>
      </c>
      <c r="EG12" s="762">
        <v>370392</v>
      </c>
      <c r="EH12" s="762">
        <v>41155</v>
      </c>
      <c r="EI12" s="799">
        <v>2058340</v>
      </c>
      <c r="EJ12" s="763" t="s">
        <v>687</v>
      </c>
      <c r="EK12" s="607" t="s">
        <v>608</v>
      </c>
      <c r="EL12" s="805" t="s">
        <v>607</v>
      </c>
      <c r="EM12" t="s">
        <v>1578</v>
      </c>
    </row>
    <row r="13" spans="1:143" ht="12.75" x14ac:dyDescent="0.2">
      <c r="A13" s="764">
        <v>6</v>
      </c>
      <c r="B13" s="765" t="s">
        <v>690</v>
      </c>
      <c r="C13" s="766" t="s">
        <v>1217</v>
      </c>
      <c r="D13" s="767" t="s">
        <v>1218</v>
      </c>
      <c r="E13" s="768" t="s">
        <v>689</v>
      </c>
      <c r="F13" s="761">
        <v>49715914</v>
      </c>
      <c r="G13" s="762">
        <v>290085</v>
      </c>
      <c r="H13" s="762">
        <v>0</v>
      </c>
      <c r="I13" s="762">
        <v>189084</v>
      </c>
      <c r="J13" s="762">
        <v>0</v>
      </c>
      <c r="K13" s="762">
        <v>189084</v>
      </c>
      <c r="L13" s="762">
        <v>0</v>
      </c>
      <c r="M13" s="762">
        <v>0</v>
      </c>
      <c r="N13" s="762">
        <v>123000</v>
      </c>
      <c r="O13" s="762">
        <v>123000</v>
      </c>
      <c r="P13" s="762">
        <v>0</v>
      </c>
      <c r="Q13" s="762">
        <v>0</v>
      </c>
      <c r="R13" s="762">
        <v>49693915</v>
      </c>
      <c r="S13" s="790">
        <v>0.5</v>
      </c>
      <c r="T13" s="790">
        <v>0.4</v>
      </c>
      <c r="U13" s="790">
        <v>0.09</v>
      </c>
      <c r="V13" s="790">
        <v>0.01</v>
      </c>
      <c r="W13" s="790">
        <v>1</v>
      </c>
      <c r="X13" s="762">
        <v>24846958</v>
      </c>
      <c r="Y13" s="762">
        <v>19877566</v>
      </c>
      <c r="Z13" s="762">
        <v>4472452</v>
      </c>
      <c r="AA13" s="762">
        <v>496939</v>
      </c>
      <c r="AB13" s="762">
        <v>49693915</v>
      </c>
      <c r="AC13" s="762">
        <v>0</v>
      </c>
      <c r="AD13" s="762">
        <v>0</v>
      </c>
      <c r="AE13" s="762">
        <v>0</v>
      </c>
      <c r="AF13" s="762">
        <v>0</v>
      </c>
      <c r="AG13" s="762">
        <v>0</v>
      </c>
      <c r="AH13" s="762">
        <v>24846958</v>
      </c>
      <c r="AI13" s="762">
        <v>19877566</v>
      </c>
      <c r="AJ13" s="762">
        <v>4472452</v>
      </c>
      <c r="AK13" s="762">
        <v>496939</v>
      </c>
      <c r="AL13" s="762">
        <v>49693915</v>
      </c>
      <c r="AM13" s="762">
        <v>189084</v>
      </c>
      <c r="AN13" s="762">
        <v>189084</v>
      </c>
      <c r="AO13" s="762">
        <v>0</v>
      </c>
      <c r="AP13" s="762">
        <v>0</v>
      </c>
      <c r="AQ13" s="762">
        <v>123000</v>
      </c>
      <c r="AR13" s="762">
        <v>0</v>
      </c>
      <c r="AS13" s="762">
        <v>123000</v>
      </c>
      <c r="AT13" s="762">
        <v>0</v>
      </c>
      <c r="AU13" s="762">
        <v>0</v>
      </c>
      <c r="AV13" s="762">
        <v>0</v>
      </c>
      <c r="AW13" s="762">
        <v>0</v>
      </c>
      <c r="AX13" s="762">
        <v>0</v>
      </c>
      <c r="AY13" s="762">
        <v>0</v>
      </c>
      <c r="AZ13" s="762">
        <v>0</v>
      </c>
      <c r="BA13" s="762">
        <v>0</v>
      </c>
      <c r="BB13" s="762">
        <v>0</v>
      </c>
      <c r="BC13" s="762">
        <v>0</v>
      </c>
      <c r="BD13" s="762">
        <v>0</v>
      </c>
      <c r="BE13" s="762">
        <v>0</v>
      </c>
      <c r="BF13" s="762">
        <v>0</v>
      </c>
      <c r="BG13" s="762">
        <v>0</v>
      </c>
      <c r="BH13" s="762">
        <v>0</v>
      </c>
      <c r="BI13" s="762">
        <v>0</v>
      </c>
      <c r="BJ13" s="790">
        <v>0</v>
      </c>
      <c r="BK13" s="790">
        <v>0.4</v>
      </c>
      <c r="BL13" s="790">
        <v>0.59</v>
      </c>
      <c r="BM13" s="790">
        <v>0.01</v>
      </c>
      <c r="BN13" s="790">
        <v>1</v>
      </c>
      <c r="BO13" s="762">
        <v>0</v>
      </c>
      <c r="BP13" s="762">
        <v>696758</v>
      </c>
      <c r="BQ13" s="762">
        <v>1027717</v>
      </c>
      <c r="BR13" s="762">
        <v>17419</v>
      </c>
      <c r="BS13" s="762">
        <v>1741894</v>
      </c>
      <c r="BT13" s="790">
        <v>0.5</v>
      </c>
      <c r="BU13" s="790">
        <v>0.4</v>
      </c>
      <c r="BV13" s="790">
        <v>0.09</v>
      </c>
      <c r="BW13" s="790">
        <v>0.01</v>
      </c>
      <c r="BX13" s="790">
        <v>1</v>
      </c>
      <c r="BY13" s="762">
        <v>-746571</v>
      </c>
      <c r="BZ13" s="762">
        <v>-597256</v>
      </c>
      <c r="CA13" s="762">
        <v>-134383</v>
      </c>
      <c r="CB13" s="762">
        <v>-14931</v>
      </c>
      <c r="CC13" s="762">
        <v>-1493141</v>
      </c>
      <c r="CD13" s="762">
        <v>-746571</v>
      </c>
      <c r="CE13" s="762">
        <v>99502</v>
      </c>
      <c r="CF13" s="762">
        <v>893334</v>
      </c>
      <c r="CG13" s="762">
        <v>2488</v>
      </c>
      <c r="CH13" s="762">
        <v>248753</v>
      </c>
      <c r="CI13" s="762">
        <v>24100387</v>
      </c>
      <c r="CJ13" s="762">
        <v>20289152</v>
      </c>
      <c r="CK13" s="762">
        <v>5365786</v>
      </c>
      <c r="CL13" s="762">
        <v>499427</v>
      </c>
      <c r="CM13" s="762">
        <v>50254752</v>
      </c>
      <c r="CN13" s="762">
        <v>651750</v>
      </c>
      <c r="CO13" s="762">
        <v>145742</v>
      </c>
      <c r="CP13" s="762">
        <v>16194</v>
      </c>
      <c r="CQ13" s="762">
        <v>813686</v>
      </c>
      <c r="CR13" s="762">
        <v>1360652</v>
      </c>
      <c r="CS13" s="762">
        <v>306147</v>
      </c>
      <c r="CT13" s="762">
        <v>34016</v>
      </c>
      <c r="CU13" s="762">
        <v>1700815</v>
      </c>
      <c r="CV13" s="762">
        <v>83974</v>
      </c>
      <c r="CW13" s="762">
        <v>18894</v>
      </c>
      <c r="CX13" s="762">
        <v>2099</v>
      </c>
      <c r="CY13" s="762">
        <v>104967</v>
      </c>
      <c r="CZ13" s="762">
        <v>5871</v>
      </c>
      <c r="DA13" s="762">
        <v>1321</v>
      </c>
      <c r="DB13" s="762">
        <v>147</v>
      </c>
      <c r="DC13" s="762">
        <v>7339</v>
      </c>
      <c r="DD13" s="762">
        <v>4792</v>
      </c>
      <c r="DE13" s="762">
        <v>1078</v>
      </c>
      <c r="DF13" s="762">
        <v>120</v>
      </c>
      <c r="DG13" s="762">
        <v>5990</v>
      </c>
      <c r="DH13" s="762">
        <v>0</v>
      </c>
      <c r="DI13" s="762">
        <v>0</v>
      </c>
      <c r="DJ13" s="762">
        <v>0</v>
      </c>
      <c r="DK13" s="762">
        <v>0</v>
      </c>
      <c r="DL13" s="762">
        <v>11693</v>
      </c>
      <c r="DM13" s="762">
        <v>2631</v>
      </c>
      <c r="DN13" s="762">
        <v>292</v>
      </c>
      <c r="DO13" s="762">
        <v>14616</v>
      </c>
      <c r="DP13" s="762">
        <v>28913</v>
      </c>
      <c r="DQ13" s="762">
        <v>6505</v>
      </c>
      <c r="DR13" s="762">
        <v>723</v>
      </c>
      <c r="DS13" s="762">
        <v>36141</v>
      </c>
      <c r="DT13" s="762">
        <v>0</v>
      </c>
      <c r="DU13" s="762">
        <v>0</v>
      </c>
      <c r="DV13" s="762">
        <v>0</v>
      </c>
      <c r="DW13" s="762">
        <v>0</v>
      </c>
      <c r="DX13" s="762">
        <v>0</v>
      </c>
      <c r="DY13" s="762">
        <v>0</v>
      </c>
      <c r="DZ13" s="762">
        <v>0</v>
      </c>
      <c r="EA13" s="762">
        <v>0</v>
      </c>
      <c r="EB13" s="762">
        <v>603548</v>
      </c>
      <c r="EC13" s="762">
        <v>135799</v>
      </c>
      <c r="ED13" s="762">
        <v>15089</v>
      </c>
      <c r="EE13" s="762">
        <v>754436</v>
      </c>
      <c r="EF13" s="762">
        <v>2751193</v>
      </c>
      <c r="EG13" s="762">
        <v>618117</v>
      </c>
      <c r="EH13" s="762">
        <v>68680</v>
      </c>
      <c r="EI13" s="799">
        <v>3437990</v>
      </c>
      <c r="EJ13" s="763" t="s">
        <v>689</v>
      </c>
      <c r="EK13" s="607" t="s">
        <v>591</v>
      </c>
      <c r="EL13" s="805" t="s">
        <v>590</v>
      </c>
      <c r="EM13" t="s">
        <v>1579</v>
      </c>
    </row>
    <row r="14" spans="1:143" ht="12.75" x14ac:dyDescent="0.2">
      <c r="A14" s="764">
        <v>7</v>
      </c>
      <c r="B14" s="765" t="s">
        <v>692</v>
      </c>
      <c r="C14" s="766" t="s">
        <v>1217</v>
      </c>
      <c r="D14" s="767" t="s">
        <v>1218</v>
      </c>
      <c r="E14" s="768" t="s">
        <v>691</v>
      </c>
      <c r="F14" s="761">
        <v>55701611</v>
      </c>
      <c r="G14" s="762">
        <v>204462</v>
      </c>
      <c r="H14" s="762">
        <v>0</v>
      </c>
      <c r="I14" s="762">
        <v>218131</v>
      </c>
      <c r="J14" s="762">
        <v>0</v>
      </c>
      <c r="K14" s="762">
        <v>218131</v>
      </c>
      <c r="L14" s="762">
        <v>0</v>
      </c>
      <c r="M14" s="762">
        <v>569512</v>
      </c>
      <c r="N14" s="762">
        <v>231840</v>
      </c>
      <c r="O14" s="762">
        <v>0</v>
      </c>
      <c r="P14" s="762">
        <v>231840</v>
      </c>
      <c r="Q14" s="762">
        <v>0</v>
      </c>
      <c r="R14" s="762">
        <v>54886590</v>
      </c>
      <c r="S14" s="790">
        <v>0.25000000000000006</v>
      </c>
      <c r="T14" s="790">
        <v>0.42499999999999999</v>
      </c>
      <c r="U14" s="790">
        <v>0.315</v>
      </c>
      <c r="V14" s="790">
        <v>0.01</v>
      </c>
      <c r="W14" s="790">
        <v>1</v>
      </c>
      <c r="X14" s="762">
        <v>13721647</v>
      </c>
      <c r="Y14" s="762">
        <v>23326801</v>
      </c>
      <c r="Z14" s="762">
        <v>17289276</v>
      </c>
      <c r="AA14" s="762">
        <v>548866</v>
      </c>
      <c r="AB14" s="762">
        <v>54886590</v>
      </c>
      <c r="AC14" s="762">
        <v>162463</v>
      </c>
      <c r="AD14" s="762">
        <v>0</v>
      </c>
      <c r="AE14" s="762">
        <v>0</v>
      </c>
      <c r="AF14" s="762">
        <v>0</v>
      </c>
      <c r="AG14" s="762">
        <v>162463</v>
      </c>
      <c r="AH14" s="762">
        <v>13559184</v>
      </c>
      <c r="AI14" s="762">
        <v>23326801</v>
      </c>
      <c r="AJ14" s="762">
        <v>17289276</v>
      </c>
      <c r="AK14" s="762">
        <v>548866</v>
      </c>
      <c r="AL14" s="762">
        <v>54724127</v>
      </c>
      <c r="AM14" s="762">
        <v>218131</v>
      </c>
      <c r="AN14" s="762">
        <v>218131</v>
      </c>
      <c r="AO14" s="762">
        <v>569512</v>
      </c>
      <c r="AP14" s="762">
        <v>569512</v>
      </c>
      <c r="AQ14" s="762">
        <v>0</v>
      </c>
      <c r="AR14" s="762">
        <v>231840</v>
      </c>
      <c r="AS14" s="762">
        <v>231840</v>
      </c>
      <c r="AT14" s="762">
        <v>0</v>
      </c>
      <c r="AU14" s="762">
        <v>0</v>
      </c>
      <c r="AV14" s="762">
        <v>0</v>
      </c>
      <c r="AW14" s="762">
        <v>0</v>
      </c>
      <c r="AX14" s="762">
        <v>162463</v>
      </c>
      <c r="AY14" s="762">
        <v>0</v>
      </c>
      <c r="AZ14" s="762">
        <v>0</v>
      </c>
      <c r="BA14" s="762">
        <v>162463</v>
      </c>
      <c r="BB14" s="762">
        <v>0</v>
      </c>
      <c r="BC14" s="762">
        <v>0</v>
      </c>
      <c r="BD14" s="762">
        <v>0</v>
      </c>
      <c r="BE14" s="762">
        <v>0</v>
      </c>
      <c r="BF14" s="762">
        <v>0</v>
      </c>
      <c r="BG14" s="762">
        <v>0</v>
      </c>
      <c r="BH14" s="762">
        <v>0</v>
      </c>
      <c r="BI14" s="762">
        <v>0</v>
      </c>
      <c r="BJ14" s="790">
        <v>0.5</v>
      </c>
      <c r="BK14" s="790">
        <v>0.4</v>
      </c>
      <c r="BL14" s="790">
        <v>0.09</v>
      </c>
      <c r="BM14" s="790">
        <v>0.01</v>
      </c>
      <c r="BN14" s="790">
        <v>1</v>
      </c>
      <c r="BO14" s="762">
        <v>102358</v>
      </c>
      <c r="BP14" s="762">
        <v>81887</v>
      </c>
      <c r="BQ14" s="762">
        <v>18425</v>
      </c>
      <c r="BR14" s="762">
        <v>2047</v>
      </c>
      <c r="BS14" s="762">
        <v>204717</v>
      </c>
      <c r="BT14" s="790">
        <v>0.5</v>
      </c>
      <c r="BU14" s="790">
        <v>0.4</v>
      </c>
      <c r="BV14" s="790">
        <v>0.09</v>
      </c>
      <c r="BW14" s="790">
        <v>0.01</v>
      </c>
      <c r="BX14" s="790">
        <v>1</v>
      </c>
      <c r="BY14" s="762">
        <v>-487518</v>
      </c>
      <c r="BZ14" s="762">
        <v>-390014</v>
      </c>
      <c r="CA14" s="762">
        <v>-87753</v>
      </c>
      <c r="CB14" s="762">
        <v>-9750</v>
      </c>
      <c r="CC14" s="762">
        <v>-975035</v>
      </c>
      <c r="CD14" s="762">
        <v>-385159</v>
      </c>
      <c r="CE14" s="762">
        <v>-308127</v>
      </c>
      <c r="CF14" s="762">
        <v>-69329</v>
      </c>
      <c r="CG14" s="762">
        <v>-7703</v>
      </c>
      <c r="CH14" s="762">
        <v>-770318</v>
      </c>
      <c r="CI14" s="762">
        <v>13174025</v>
      </c>
      <c r="CJ14" s="762">
        <v>23968780</v>
      </c>
      <c r="CK14" s="762">
        <v>17451787</v>
      </c>
      <c r="CL14" s="762">
        <v>541163</v>
      </c>
      <c r="CM14" s="762">
        <v>55135755</v>
      </c>
      <c r="CN14" s="762">
        <v>783993</v>
      </c>
      <c r="CO14" s="762">
        <v>570953</v>
      </c>
      <c r="CP14" s="762">
        <v>17886</v>
      </c>
      <c r="CQ14" s="762">
        <v>1372832</v>
      </c>
      <c r="CR14" s="762">
        <v>1770914</v>
      </c>
      <c r="CS14" s="762">
        <v>1312560</v>
      </c>
      <c r="CT14" s="762">
        <v>41669</v>
      </c>
      <c r="CU14" s="762">
        <v>3125143</v>
      </c>
      <c r="CV14" s="762">
        <v>112923</v>
      </c>
      <c r="CW14" s="762">
        <v>78478</v>
      </c>
      <c r="CX14" s="762">
        <v>2491</v>
      </c>
      <c r="CY14" s="762">
        <v>193892</v>
      </c>
      <c r="CZ14" s="762">
        <v>5222</v>
      </c>
      <c r="DA14" s="762">
        <v>3870</v>
      </c>
      <c r="DB14" s="762">
        <v>123</v>
      </c>
      <c r="DC14" s="762">
        <v>9215</v>
      </c>
      <c r="DD14" s="762">
        <v>25724</v>
      </c>
      <c r="DE14" s="762">
        <v>19066</v>
      </c>
      <c r="DF14" s="762">
        <v>605</v>
      </c>
      <c r="DG14" s="762">
        <v>45395</v>
      </c>
      <c r="DH14" s="762">
        <v>659</v>
      </c>
      <c r="DI14" s="762">
        <v>488</v>
      </c>
      <c r="DJ14" s="762">
        <v>15</v>
      </c>
      <c r="DK14" s="762">
        <v>1162</v>
      </c>
      <c r="DL14" s="762">
        <v>13946</v>
      </c>
      <c r="DM14" s="762">
        <v>10336</v>
      </c>
      <c r="DN14" s="762">
        <v>328</v>
      </c>
      <c r="DO14" s="762">
        <v>24610</v>
      </c>
      <c r="DP14" s="762">
        <v>37741</v>
      </c>
      <c r="DQ14" s="762">
        <v>27973</v>
      </c>
      <c r="DR14" s="762">
        <v>888</v>
      </c>
      <c r="DS14" s="762">
        <v>66602</v>
      </c>
      <c r="DT14" s="762">
        <v>0</v>
      </c>
      <c r="DU14" s="762">
        <v>0</v>
      </c>
      <c r="DV14" s="762">
        <v>0</v>
      </c>
      <c r="DW14" s="762">
        <v>0</v>
      </c>
      <c r="DX14" s="762">
        <v>0</v>
      </c>
      <c r="DY14" s="762">
        <v>0</v>
      </c>
      <c r="DZ14" s="762">
        <v>0</v>
      </c>
      <c r="EA14" s="762">
        <v>0</v>
      </c>
      <c r="EB14" s="762">
        <v>373460</v>
      </c>
      <c r="EC14" s="762">
        <v>276799</v>
      </c>
      <c r="ED14" s="762">
        <v>8787</v>
      </c>
      <c r="EE14" s="762">
        <v>659046</v>
      </c>
      <c r="EF14" s="762">
        <v>3124582</v>
      </c>
      <c r="EG14" s="762">
        <v>2300523</v>
      </c>
      <c r="EH14" s="762">
        <v>72792</v>
      </c>
      <c r="EI14" s="799">
        <v>5497897</v>
      </c>
      <c r="EJ14" s="763" t="s">
        <v>691</v>
      </c>
      <c r="EK14" s="607" t="s">
        <v>544</v>
      </c>
      <c r="EL14" s="805" t="s">
        <v>543</v>
      </c>
      <c r="EM14" t="s">
        <v>1580</v>
      </c>
    </row>
    <row r="15" spans="1:143" ht="12.75" x14ac:dyDescent="0.2">
      <c r="A15" s="764">
        <v>8</v>
      </c>
      <c r="B15" s="765" t="s">
        <v>694</v>
      </c>
      <c r="C15" s="766" t="s">
        <v>1217</v>
      </c>
      <c r="D15" s="767" t="s">
        <v>1221</v>
      </c>
      <c r="E15" s="768" t="s">
        <v>693</v>
      </c>
      <c r="F15" s="761">
        <v>22475654</v>
      </c>
      <c r="G15" s="762">
        <v>48307</v>
      </c>
      <c r="H15" s="762">
        <v>0</v>
      </c>
      <c r="I15" s="762">
        <v>129297</v>
      </c>
      <c r="J15" s="762">
        <v>0</v>
      </c>
      <c r="K15" s="762">
        <v>129297</v>
      </c>
      <c r="L15" s="762">
        <v>0</v>
      </c>
      <c r="M15" s="762">
        <v>147850</v>
      </c>
      <c r="N15" s="762">
        <v>11901</v>
      </c>
      <c r="O15" s="762">
        <v>2870</v>
      </c>
      <c r="P15" s="762">
        <v>9031</v>
      </c>
      <c r="Q15" s="762">
        <v>0</v>
      </c>
      <c r="R15" s="762">
        <v>22234913</v>
      </c>
      <c r="S15" s="790">
        <v>0.5</v>
      </c>
      <c r="T15" s="790">
        <v>0.4</v>
      </c>
      <c r="U15" s="790">
        <v>0.1</v>
      </c>
      <c r="V15" s="790">
        <v>0</v>
      </c>
      <c r="W15" s="790">
        <v>1</v>
      </c>
      <c r="X15" s="762">
        <v>11117457</v>
      </c>
      <c r="Y15" s="762">
        <v>8893965</v>
      </c>
      <c r="Z15" s="762">
        <v>2223491</v>
      </c>
      <c r="AA15" s="762">
        <v>0</v>
      </c>
      <c r="AB15" s="762">
        <v>22234913</v>
      </c>
      <c r="AC15" s="762">
        <v>0</v>
      </c>
      <c r="AD15" s="762">
        <v>0</v>
      </c>
      <c r="AE15" s="762">
        <v>0</v>
      </c>
      <c r="AF15" s="762">
        <v>0</v>
      </c>
      <c r="AG15" s="762">
        <v>0</v>
      </c>
      <c r="AH15" s="762">
        <v>11117457</v>
      </c>
      <c r="AI15" s="762">
        <v>8893965</v>
      </c>
      <c r="AJ15" s="762">
        <v>2223491</v>
      </c>
      <c r="AK15" s="762">
        <v>0</v>
      </c>
      <c r="AL15" s="762">
        <v>22234913</v>
      </c>
      <c r="AM15" s="762">
        <v>129297</v>
      </c>
      <c r="AN15" s="762">
        <v>129297</v>
      </c>
      <c r="AO15" s="762">
        <v>147850</v>
      </c>
      <c r="AP15" s="762">
        <v>147850</v>
      </c>
      <c r="AQ15" s="762">
        <v>2870</v>
      </c>
      <c r="AR15" s="762">
        <v>9031</v>
      </c>
      <c r="AS15" s="762">
        <v>11901</v>
      </c>
      <c r="AT15" s="762">
        <v>0</v>
      </c>
      <c r="AU15" s="762">
        <v>0</v>
      </c>
      <c r="AV15" s="762">
        <v>0</v>
      </c>
      <c r="AW15" s="762">
        <v>0</v>
      </c>
      <c r="AX15" s="762">
        <v>0</v>
      </c>
      <c r="AY15" s="762">
        <v>0</v>
      </c>
      <c r="AZ15" s="762">
        <v>0</v>
      </c>
      <c r="BA15" s="762">
        <v>0</v>
      </c>
      <c r="BB15" s="762">
        <v>0</v>
      </c>
      <c r="BC15" s="762">
        <v>0</v>
      </c>
      <c r="BD15" s="762">
        <v>0</v>
      </c>
      <c r="BE15" s="762">
        <v>0</v>
      </c>
      <c r="BF15" s="762">
        <v>0</v>
      </c>
      <c r="BG15" s="762">
        <v>0</v>
      </c>
      <c r="BH15" s="762">
        <v>0</v>
      </c>
      <c r="BI15" s="762">
        <v>0</v>
      </c>
      <c r="BJ15" s="790">
        <v>0</v>
      </c>
      <c r="BK15" s="790">
        <v>0.8</v>
      </c>
      <c r="BL15" s="790">
        <v>0.2</v>
      </c>
      <c r="BM15" s="790">
        <v>0</v>
      </c>
      <c r="BN15" s="790">
        <v>1</v>
      </c>
      <c r="BO15" s="762">
        <v>0</v>
      </c>
      <c r="BP15" s="762">
        <v>-1160994</v>
      </c>
      <c r="BQ15" s="762">
        <v>-290249</v>
      </c>
      <c r="BR15" s="762">
        <v>0</v>
      </c>
      <c r="BS15" s="762">
        <v>-1451243</v>
      </c>
      <c r="BT15" s="790">
        <v>0.5</v>
      </c>
      <c r="BU15" s="790">
        <v>0.4</v>
      </c>
      <c r="BV15" s="790">
        <v>0.1</v>
      </c>
      <c r="BW15" s="790">
        <v>0</v>
      </c>
      <c r="BX15" s="790">
        <v>1</v>
      </c>
      <c r="BY15" s="762">
        <v>797915</v>
      </c>
      <c r="BZ15" s="762">
        <v>638332</v>
      </c>
      <c r="CA15" s="762">
        <v>159583</v>
      </c>
      <c r="CB15" s="762">
        <v>0</v>
      </c>
      <c r="CC15" s="762">
        <v>1595830</v>
      </c>
      <c r="CD15" s="762">
        <v>797915</v>
      </c>
      <c r="CE15" s="762">
        <v>-522662</v>
      </c>
      <c r="CF15" s="762">
        <v>-130666</v>
      </c>
      <c r="CG15" s="762">
        <v>0</v>
      </c>
      <c r="CH15" s="762">
        <v>144587</v>
      </c>
      <c r="CI15" s="762">
        <v>11915372</v>
      </c>
      <c r="CJ15" s="762">
        <v>8651320</v>
      </c>
      <c r="CK15" s="762">
        <v>2101856</v>
      </c>
      <c r="CL15" s="762">
        <v>0</v>
      </c>
      <c r="CM15" s="762">
        <v>22668548</v>
      </c>
      <c r="CN15" s="762">
        <v>294735</v>
      </c>
      <c r="CO15" s="762">
        <v>72750</v>
      </c>
      <c r="CP15" s="762">
        <v>0</v>
      </c>
      <c r="CQ15" s="762">
        <v>367485</v>
      </c>
      <c r="CR15" s="762">
        <v>1033420</v>
      </c>
      <c r="CS15" s="762">
        <v>258225</v>
      </c>
      <c r="CT15" s="762">
        <v>0</v>
      </c>
      <c r="CU15" s="762">
        <v>1291645</v>
      </c>
      <c r="CV15" s="762">
        <v>61652</v>
      </c>
      <c r="CW15" s="762">
        <v>15413</v>
      </c>
      <c r="CX15" s="762">
        <v>0</v>
      </c>
      <c r="CY15" s="762">
        <v>77065</v>
      </c>
      <c r="CZ15" s="762">
        <v>1724</v>
      </c>
      <c r="DA15" s="762">
        <v>431</v>
      </c>
      <c r="DB15" s="762">
        <v>0</v>
      </c>
      <c r="DC15" s="762">
        <v>2155</v>
      </c>
      <c r="DD15" s="762">
        <v>31138</v>
      </c>
      <c r="DE15" s="762">
        <v>7785</v>
      </c>
      <c r="DF15" s="762">
        <v>0</v>
      </c>
      <c r="DG15" s="762">
        <v>38923</v>
      </c>
      <c r="DH15" s="762">
        <v>619</v>
      </c>
      <c r="DI15" s="762">
        <v>155</v>
      </c>
      <c r="DJ15" s="762">
        <v>0</v>
      </c>
      <c r="DK15" s="762">
        <v>774</v>
      </c>
      <c r="DL15" s="762">
        <v>15966</v>
      </c>
      <c r="DM15" s="762">
        <v>3991</v>
      </c>
      <c r="DN15" s="762">
        <v>0</v>
      </c>
      <c r="DO15" s="762">
        <v>19957</v>
      </c>
      <c r="DP15" s="762">
        <v>14709</v>
      </c>
      <c r="DQ15" s="762">
        <v>3677</v>
      </c>
      <c r="DR15" s="762">
        <v>0</v>
      </c>
      <c r="DS15" s="762">
        <v>18386</v>
      </c>
      <c r="DT15" s="762">
        <v>0</v>
      </c>
      <c r="DU15" s="762">
        <v>0</v>
      </c>
      <c r="DV15" s="762">
        <v>0</v>
      </c>
      <c r="DW15" s="762">
        <v>0</v>
      </c>
      <c r="DX15" s="762">
        <v>0</v>
      </c>
      <c r="DY15" s="762">
        <v>0</v>
      </c>
      <c r="DZ15" s="762">
        <v>0</v>
      </c>
      <c r="EA15" s="762">
        <v>0</v>
      </c>
      <c r="EB15" s="762">
        <v>282029</v>
      </c>
      <c r="EC15" s="762">
        <v>70507</v>
      </c>
      <c r="ED15" s="762">
        <v>0</v>
      </c>
      <c r="EE15" s="762">
        <v>352536</v>
      </c>
      <c r="EF15" s="762">
        <v>1735992</v>
      </c>
      <c r="EG15" s="762">
        <v>432934</v>
      </c>
      <c r="EH15" s="762">
        <v>0</v>
      </c>
      <c r="EI15" s="799">
        <v>2168926</v>
      </c>
      <c r="EJ15" s="763" t="s">
        <v>693</v>
      </c>
      <c r="EK15" s="607" t="s">
        <v>615</v>
      </c>
      <c r="EL15" s="805" t="s">
        <v>556</v>
      </c>
      <c r="EM15" t="s">
        <v>1581</v>
      </c>
    </row>
    <row r="16" spans="1:143" ht="12.75" x14ac:dyDescent="0.2">
      <c r="A16" s="764">
        <v>9</v>
      </c>
      <c r="B16" s="765" t="s">
        <v>696</v>
      </c>
      <c r="C16" s="766" t="s">
        <v>1222</v>
      </c>
      <c r="D16" s="767" t="s">
        <v>1223</v>
      </c>
      <c r="E16" s="768" t="s">
        <v>695</v>
      </c>
      <c r="F16" s="761">
        <v>61075540</v>
      </c>
      <c r="G16" s="762">
        <v>214023</v>
      </c>
      <c r="H16" s="762">
        <v>0</v>
      </c>
      <c r="I16" s="762">
        <v>203380</v>
      </c>
      <c r="J16" s="762">
        <v>0</v>
      </c>
      <c r="K16" s="762">
        <v>203380</v>
      </c>
      <c r="L16" s="762">
        <v>0</v>
      </c>
      <c r="M16" s="762">
        <v>0</v>
      </c>
      <c r="N16" s="762">
        <v>0</v>
      </c>
      <c r="O16" s="762">
        <v>0</v>
      </c>
      <c r="P16" s="762">
        <v>0</v>
      </c>
      <c r="Q16" s="762">
        <v>0</v>
      </c>
      <c r="R16" s="762">
        <v>61086183</v>
      </c>
      <c r="S16" s="790">
        <v>0.25</v>
      </c>
      <c r="T16" s="790">
        <v>0.48</v>
      </c>
      <c r="U16" s="790">
        <v>0.27</v>
      </c>
      <c r="V16" s="790">
        <v>0</v>
      </c>
      <c r="W16" s="790">
        <v>1</v>
      </c>
      <c r="X16" s="762">
        <v>15271546</v>
      </c>
      <c r="Y16" s="762">
        <v>29321368</v>
      </c>
      <c r="Z16" s="762">
        <v>16493269</v>
      </c>
      <c r="AA16" s="762">
        <v>0</v>
      </c>
      <c r="AB16" s="762">
        <v>61086183</v>
      </c>
      <c r="AC16" s="762">
        <v>0</v>
      </c>
      <c r="AD16" s="762">
        <v>0</v>
      </c>
      <c r="AE16" s="762">
        <v>0</v>
      </c>
      <c r="AF16" s="762">
        <v>0</v>
      </c>
      <c r="AG16" s="762">
        <v>0</v>
      </c>
      <c r="AH16" s="762">
        <v>15271546</v>
      </c>
      <c r="AI16" s="762">
        <v>29321368</v>
      </c>
      <c r="AJ16" s="762">
        <v>16493269</v>
      </c>
      <c r="AK16" s="762">
        <v>0</v>
      </c>
      <c r="AL16" s="762">
        <v>61086183</v>
      </c>
      <c r="AM16" s="762">
        <v>203380</v>
      </c>
      <c r="AN16" s="762">
        <v>203380</v>
      </c>
      <c r="AO16" s="762">
        <v>0</v>
      </c>
      <c r="AP16" s="762">
        <v>0</v>
      </c>
      <c r="AQ16" s="762">
        <v>0</v>
      </c>
      <c r="AR16" s="762">
        <v>0</v>
      </c>
      <c r="AS16" s="762">
        <v>0</v>
      </c>
      <c r="AT16" s="762">
        <v>0</v>
      </c>
      <c r="AU16" s="762">
        <v>0</v>
      </c>
      <c r="AV16" s="762">
        <v>0</v>
      </c>
      <c r="AW16" s="762">
        <v>0</v>
      </c>
      <c r="AX16" s="762">
        <v>0</v>
      </c>
      <c r="AY16" s="762">
        <v>0</v>
      </c>
      <c r="AZ16" s="762">
        <v>0</v>
      </c>
      <c r="BA16" s="762">
        <v>0</v>
      </c>
      <c r="BB16" s="762">
        <v>0</v>
      </c>
      <c r="BC16" s="762">
        <v>0</v>
      </c>
      <c r="BD16" s="762">
        <v>0</v>
      </c>
      <c r="BE16" s="762">
        <v>0</v>
      </c>
      <c r="BF16" s="762">
        <v>0</v>
      </c>
      <c r="BG16" s="762">
        <v>0</v>
      </c>
      <c r="BH16" s="762">
        <v>0</v>
      </c>
      <c r="BI16" s="762">
        <v>0</v>
      </c>
      <c r="BJ16" s="790">
        <v>0</v>
      </c>
      <c r="BK16" s="790">
        <v>0.64</v>
      </c>
      <c r="BL16" s="790">
        <v>0.36</v>
      </c>
      <c r="BM16" s="790">
        <v>0</v>
      </c>
      <c r="BN16" s="790">
        <v>1</v>
      </c>
      <c r="BO16" s="762">
        <v>0</v>
      </c>
      <c r="BP16" s="762">
        <v>-1936456</v>
      </c>
      <c r="BQ16" s="762">
        <v>-1089257</v>
      </c>
      <c r="BR16" s="762">
        <v>0</v>
      </c>
      <c r="BS16" s="762">
        <v>-3025713</v>
      </c>
      <c r="BT16" s="790">
        <v>0.33</v>
      </c>
      <c r="BU16" s="790">
        <v>0.3</v>
      </c>
      <c r="BV16" s="790">
        <v>0.37</v>
      </c>
      <c r="BW16" s="790">
        <v>0</v>
      </c>
      <c r="BX16" s="790">
        <v>1</v>
      </c>
      <c r="BY16" s="762">
        <v>-931019</v>
      </c>
      <c r="BZ16" s="762">
        <v>-846380</v>
      </c>
      <c r="CA16" s="762">
        <v>-1043869</v>
      </c>
      <c r="CB16" s="762">
        <v>0</v>
      </c>
      <c r="CC16" s="762">
        <v>-2821268</v>
      </c>
      <c r="CD16" s="762">
        <v>-931019</v>
      </c>
      <c r="CE16" s="762">
        <v>-2782836</v>
      </c>
      <c r="CF16" s="762">
        <v>-2133126</v>
      </c>
      <c r="CG16" s="762">
        <v>0</v>
      </c>
      <c r="CH16" s="762">
        <v>-5846981</v>
      </c>
      <c r="CI16" s="762">
        <v>14340527</v>
      </c>
      <c r="CJ16" s="762">
        <v>26741912</v>
      </c>
      <c r="CK16" s="762">
        <v>14360143</v>
      </c>
      <c r="CL16" s="762">
        <v>0</v>
      </c>
      <c r="CM16" s="762">
        <v>55442582</v>
      </c>
      <c r="CN16" s="762">
        <v>955482</v>
      </c>
      <c r="CO16" s="762">
        <v>537459</v>
      </c>
      <c r="CP16" s="762">
        <v>0</v>
      </c>
      <c r="CQ16" s="762">
        <v>1492941</v>
      </c>
      <c r="CR16" s="762">
        <v>1894075</v>
      </c>
      <c r="CS16" s="762">
        <v>1065418</v>
      </c>
      <c r="CT16" s="762">
        <v>0</v>
      </c>
      <c r="CU16" s="762">
        <v>2959493</v>
      </c>
      <c r="CV16" s="762">
        <v>0</v>
      </c>
      <c r="CW16" s="762">
        <v>0</v>
      </c>
      <c r="CX16" s="762">
        <v>0</v>
      </c>
      <c r="CY16" s="762">
        <v>0</v>
      </c>
      <c r="CZ16" s="762">
        <v>9046</v>
      </c>
      <c r="DA16" s="762">
        <v>5089</v>
      </c>
      <c r="DB16" s="762">
        <v>0</v>
      </c>
      <c r="DC16" s="762">
        <v>14135</v>
      </c>
      <c r="DD16" s="762">
        <v>0</v>
      </c>
      <c r="DE16" s="762">
        <v>0</v>
      </c>
      <c r="DF16" s="762">
        <v>0</v>
      </c>
      <c r="DG16" s="762">
        <v>0</v>
      </c>
      <c r="DH16" s="762">
        <v>0</v>
      </c>
      <c r="DI16" s="762">
        <v>0</v>
      </c>
      <c r="DJ16" s="762">
        <v>0</v>
      </c>
      <c r="DK16" s="762">
        <v>0</v>
      </c>
      <c r="DL16" s="762">
        <v>24512</v>
      </c>
      <c r="DM16" s="762">
        <v>13788</v>
      </c>
      <c r="DN16" s="762">
        <v>0</v>
      </c>
      <c r="DO16" s="762">
        <v>38300</v>
      </c>
      <c r="DP16" s="762">
        <v>45500</v>
      </c>
      <c r="DQ16" s="762">
        <v>25594</v>
      </c>
      <c r="DR16" s="762">
        <v>0</v>
      </c>
      <c r="DS16" s="762">
        <v>71094</v>
      </c>
      <c r="DT16" s="762">
        <v>0</v>
      </c>
      <c r="DU16" s="762">
        <v>0</v>
      </c>
      <c r="DV16" s="762">
        <v>0</v>
      </c>
      <c r="DW16" s="762">
        <v>0</v>
      </c>
      <c r="DX16" s="762">
        <v>0</v>
      </c>
      <c r="DY16" s="762">
        <v>0</v>
      </c>
      <c r="DZ16" s="762">
        <v>0</v>
      </c>
      <c r="EA16" s="762">
        <v>0</v>
      </c>
      <c r="EB16" s="762">
        <v>686648</v>
      </c>
      <c r="EC16" s="762">
        <v>386239</v>
      </c>
      <c r="ED16" s="762">
        <v>0</v>
      </c>
      <c r="EE16" s="762">
        <v>1072887</v>
      </c>
      <c r="EF16" s="762">
        <v>3615263</v>
      </c>
      <c r="EG16" s="762">
        <v>2033587</v>
      </c>
      <c r="EH16" s="762">
        <v>0</v>
      </c>
      <c r="EI16" s="799">
        <v>5648850</v>
      </c>
      <c r="EJ16" s="763" t="s">
        <v>695</v>
      </c>
      <c r="EK16" s="607" t="s">
        <v>628</v>
      </c>
      <c r="EL16" s="272" t="s">
        <v>528</v>
      </c>
      <c r="EM16" t="s">
        <v>1582</v>
      </c>
    </row>
    <row r="17" spans="1:143" ht="12.75" x14ac:dyDescent="0.2">
      <c r="A17" s="764">
        <v>10</v>
      </c>
      <c r="B17" s="765" t="s">
        <v>698</v>
      </c>
      <c r="C17" s="766" t="s">
        <v>1222</v>
      </c>
      <c r="D17" s="767" t="s">
        <v>1223</v>
      </c>
      <c r="E17" s="768" t="s">
        <v>697</v>
      </c>
      <c r="F17" s="761">
        <v>108225742</v>
      </c>
      <c r="G17" s="762">
        <v>0</v>
      </c>
      <c r="H17" s="762">
        <v>855836</v>
      </c>
      <c r="I17" s="762">
        <v>409053</v>
      </c>
      <c r="J17" s="762">
        <v>0</v>
      </c>
      <c r="K17" s="762">
        <v>409053</v>
      </c>
      <c r="L17" s="762">
        <v>0</v>
      </c>
      <c r="M17" s="762">
        <v>0</v>
      </c>
      <c r="N17" s="762">
        <v>0</v>
      </c>
      <c r="O17" s="762">
        <v>0</v>
      </c>
      <c r="P17" s="762">
        <v>0</v>
      </c>
      <c r="Q17" s="762">
        <v>0</v>
      </c>
      <c r="R17" s="762">
        <v>106960853</v>
      </c>
      <c r="S17" s="790">
        <v>0.25</v>
      </c>
      <c r="T17" s="790">
        <v>0.48</v>
      </c>
      <c r="U17" s="790">
        <v>0.27</v>
      </c>
      <c r="V17" s="790">
        <v>0</v>
      </c>
      <c r="W17" s="790">
        <v>1</v>
      </c>
      <c r="X17" s="762">
        <v>26740214</v>
      </c>
      <c r="Y17" s="762">
        <v>51341209</v>
      </c>
      <c r="Z17" s="762">
        <v>28879430</v>
      </c>
      <c r="AA17" s="762">
        <v>0</v>
      </c>
      <c r="AB17" s="762">
        <v>106960853</v>
      </c>
      <c r="AC17" s="762">
        <v>0</v>
      </c>
      <c r="AD17" s="762">
        <v>0</v>
      </c>
      <c r="AE17" s="762">
        <v>0</v>
      </c>
      <c r="AF17" s="762">
        <v>0</v>
      </c>
      <c r="AG17" s="762">
        <v>0</v>
      </c>
      <c r="AH17" s="762">
        <v>26740214</v>
      </c>
      <c r="AI17" s="762">
        <v>51341209</v>
      </c>
      <c r="AJ17" s="762">
        <v>28879430</v>
      </c>
      <c r="AK17" s="762">
        <v>0</v>
      </c>
      <c r="AL17" s="762">
        <v>106960853</v>
      </c>
      <c r="AM17" s="762">
        <v>409053</v>
      </c>
      <c r="AN17" s="762">
        <v>409053</v>
      </c>
      <c r="AO17" s="762">
        <v>0</v>
      </c>
      <c r="AP17" s="762">
        <v>0</v>
      </c>
      <c r="AQ17" s="762">
        <v>0</v>
      </c>
      <c r="AR17" s="762">
        <v>0</v>
      </c>
      <c r="AS17" s="762">
        <v>0</v>
      </c>
      <c r="AT17" s="762">
        <v>0</v>
      </c>
      <c r="AU17" s="762">
        <v>0</v>
      </c>
      <c r="AV17" s="762">
        <v>0</v>
      </c>
      <c r="AW17" s="762">
        <v>0</v>
      </c>
      <c r="AX17" s="762">
        <v>0</v>
      </c>
      <c r="AY17" s="762">
        <v>0</v>
      </c>
      <c r="AZ17" s="762">
        <v>0</v>
      </c>
      <c r="BA17" s="762">
        <v>0</v>
      </c>
      <c r="BB17" s="762">
        <v>0</v>
      </c>
      <c r="BC17" s="762">
        <v>0</v>
      </c>
      <c r="BD17" s="762">
        <v>0</v>
      </c>
      <c r="BE17" s="762">
        <v>0</v>
      </c>
      <c r="BF17" s="762">
        <v>0</v>
      </c>
      <c r="BG17" s="762">
        <v>0</v>
      </c>
      <c r="BH17" s="762">
        <v>0</v>
      </c>
      <c r="BI17" s="762">
        <v>0</v>
      </c>
      <c r="BJ17" s="790">
        <v>0</v>
      </c>
      <c r="BK17" s="790">
        <v>0.64</v>
      </c>
      <c r="BL17" s="790">
        <v>0.36</v>
      </c>
      <c r="BM17" s="790">
        <v>0</v>
      </c>
      <c r="BN17" s="790">
        <v>1</v>
      </c>
      <c r="BO17" s="762">
        <v>0</v>
      </c>
      <c r="BP17" s="762">
        <v>-3653070</v>
      </c>
      <c r="BQ17" s="762">
        <v>-2054852</v>
      </c>
      <c r="BR17" s="762">
        <v>0</v>
      </c>
      <c r="BS17" s="762">
        <v>-5707922</v>
      </c>
      <c r="BT17" s="790">
        <v>0.33</v>
      </c>
      <c r="BU17" s="790">
        <v>0.3</v>
      </c>
      <c r="BV17" s="790">
        <v>0.37</v>
      </c>
      <c r="BW17" s="790">
        <v>0</v>
      </c>
      <c r="BX17" s="790">
        <v>1</v>
      </c>
      <c r="BY17" s="762">
        <v>-1008413</v>
      </c>
      <c r="BZ17" s="762">
        <v>-916739</v>
      </c>
      <c r="CA17" s="762">
        <v>-1130645</v>
      </c>
      <c r="CB17" s="762">
        <v>0</v>
      </c>
      <c r="CC17" s="762">
        <v>-3055797</v>
      </c>
      <c r="CD17" s="762">
        <v>-1008413</v>
      </c>
      <c r="CE17" s="762">
        <v>-4569809</v>
      </c>
      <c r="CF17" s="762">
        <v>-3185497</v>
      </c>
      <c r="CG17" s="762">
        <v>0</v>
      </c>
      <c r="CH17" s="762">
        <v>-8763719</v>
      </c>
      <c r="CI17" s="762">
        <v>25731801</v>
      </c>
      <c r="CJ17" s="762">
        <v>47180453</v>
      </c>
      <c r="CK17" s="762">
        <v>25693933</v>
      </c>
      <c r="CL17" s="762">
        <v>0</v>
      </c>
      <c r="CM17" s="762">
        <v>98606187</v>
      </c>
      <c r="CN17" s="762">
        <v>1673033</v>
      </c>
      <c r="CO17" s="762">
        <v>941081</v>
      </c>
      <c r="CP17" s="762">
        <v>0</v>
      </c>
      <c r="CQ17" s="762">
        <v>2614114</v>
      </c>
      <c r="CR17" s="762">
        <v>2929397</v>
      </c>
      <c r="CS17" s="762">
        <v>1645290</v>
      </c>
      <c r="CT17" s="762">
        <v>0</v>
      </c>
      <c r="CU17" s="762">
        <v>4574687</v>
      </c>
      <c r="CV17" s="762">
        <v>234807</v>
      </c>
      <c r="CW17" s="762">
        <v>129072</v>
      </c>
      <c r="CX17" s="762">
        <v>0</v>
      </c>
      <c r="CY17" s="762">
        <v>363879</v>
      </c>
      <c r="CZ17" s="762">
        <v>0</v>
      </c>
      <c r="DA17" s="762">
        <v>0</v>
      </c>
      <c r="DB17" s="762">
        <v>0</v>
      </c>
      <c r="DC17" s="762">
        <v>0</v>
      </c>
      <c r="DD17" s="762">
        <v>0</v>
      </c>
      <c r="DE17" s="762">
        <v>0</v>
      </c>
      <c r="DF17" s="762">
        <v>0</v>
      </c>
      <c r="DG17" s="762">
        <v>0</v>
      </c>
      <c r="DH17" s="762">
        <v>0</v>
      </c>
      <c r="DI17" s="762">
        <v>0</v>
      </c>
      <c r="DJ17" s="762">
        <v>0</v>
      </c>
      <c r="DK17" s="762">
        <v>0</v>
      </c>
      <c r="DL17" s="762">
        <v>71397</v>
      </c>
      <c r="DM17" s="762">
        <v>40161</v>
      </c>
      <c r="DN17" s="762">
        <v>0</v>
      </c>
      <c r="DO17" s="762">
        <v>111558</v>
      </c>
      <c r="DP17" s="762">
        <v>137162</v>
      </c>
      <c r="DQ17" s="762">
        <v>77153</v>
      </c>
      <c r="DR17" s="762">
        <v>0</v>
      </c>
      <c r="DS17" s="762">
        <v>214315</v>
      </c>
      <c r="DT17" s="762">
        <v>0</v>
      </c>
      <c r="DU17" s="762">
        <v>0</v>
      </c>
      <c r="DV17" s="762">
        <v>0</v>
      </c>
      <c r="DW17" s="762">
        <v>0</v>
      </c>
      <c r="DX17" s="762">
        <v>0</v>
      </c>
      <c r="DY17" s="762">
        <v>0</v>
      </c>
      <c r="DZ17" s="762">
        <v>0</v>
      </c>
      <c r="EA17" s="762">
        <v>0</v>
      </c>
      <c r="EB17" s="762">
        <v>2940041</v>
      </c>
      <c r="EC17" s="762">
        <v>1630214</v>
      </c>
      <c r="ED17" s="762">
        <v>0</v>
      </c>
      <c r="EE17" s="762">
        <v>4570255</v>
      </c>
      <c r="EF17" s="762">
        <v>7985837</v>
      </c>
      <c r="EG17" s="762">
        <v>4462971</v>
      </c>
      <c r="EH17" s="762">
        <v>0</v>
      </c>
      <c r="EI17" s="799">
        <v>12448808</v>
      </c>
      <c r="EJ17" s="763" t="s">
        <v>697</v>
      </c>
      <c r="EK17" s="607" t="s">
        <v>628</v>
      </c>
      <c r="EL17" s="272" t="s">
        <v>528</v>
      </c>
      <c r="EM17" t="s">
        <v>1583</v>
      </c>
    </row>
    <row r="18" spans="1:143" ht="12.75" x14ac:dyDescent="0.2">
      <c r="A18" s="764">
        <v>11</v>
      </c>
      <c r="B18" s="765" t="s">
        <v>700</v>
      </c>
      <c r="C18" s="766" t="s">
        <v>1224</v>
      </c>
      <c r="D18" s="767" t="s">
        <v>1225</v>
      </c>
      <c r="E18" s="768" t="s">
        <v>699</v>
      </c>
      <c r="F18" s="761">
        <v>48654578</v>
      </c>
      <c r="G18" s="762">
        <v>0</v>
      </c>
      <c r="H18" s="762">
        <v>1199761</v>
      </c>
      <c r="I18" s="762">
        <v>318952</v>
      </c>
      <c r="J18" s="762">
        <v>0</v>
      </c>
      <c r="K18" s="762">
        <v>318952</v>
      </c>
      <c r="L18" s="762">
        <v>0</v>
      </c>
      <c r="M18" s="762">
        <v>628955</v>
      </c>
      <c r="N18" s="762">
        <v>49392</v>
      </c>
      <c r="O18" s="762">
        <v>49392</v>
      </c>
      <c r="P18" s="762">
        <v>0</v>
      </c>
      <c r="Q18" s="762">
        <v>0</v>
      </c>
      <c r="R18" s="762">
        <v>46457518</v>
      </c>
      <c r="S18" s="790">
        <v>0.5</v>
      </c>
      <c r="T18" s="790">
        <v>0.49</v>
      </c>
      <c r="U18" s="790">
        <v>0</v>
      </c>
      <c r="V18" s="790">
        <v>0.01</v>
      </c>
      <c r="W18" s="790">
        <v>1</v>
      </c>
      <c r="X18" s="762">
        <v>23228759</v>
      </c>
      <c r="Y18" s="762">
        <v>22764184</v>
      </c>
      <c r="Z18" s="762">
        <v>0</v>
      </c>
      <c r="AA18" s="762">
        <v>464575</v>
      </c>
      <c r="AB18" s="762">
        <v>46457518</v>
      </c>
      <c r="AC18" s="762">
        <v>211874</v>
      </c>
      <c r="AD18" s="762">
        <v>0</v>
      </c>
      <c r="AE18" s="762">
        <v>0</v>
      </c>
      <c r="AF18" s="762">
        <v>0</v>
      </c>
      <c r="AG18" s="762">
        <v>211874</v>
      </c>
      <c r="AH18" s="762">
        <v>23016885</v>
      </c>
      <c r="AI18" s="762">
        <v>22764184</v>
      </c>
      <c r="AJ18" s="762">
        <v>0</v>
      </c>
      <c r="AK18" s="762">
        <v>464575</v>
      </c>
      <c r="AL18" s="762">
        <v>46245644</v>
      </c>
      <c r="AM18" s="762">
        <v>318952</v>
      </c>
      <c r="AN18" s="762">
        <v>318952</v>
      </c>
      <c r="AO18" s="762">
        <v>628955</v>
      </c>
      <c r="AP18" s="762">
        <v>628955</v>
      </c>
      <c r="AQ18" s="762">
        <v>49392</v>
      </c>
      <c r="AR18" s="762">
        <v>0</v>
      </c>
      <c r="AS18" s="762">
        <v>49392</v>
      </c>
      <c r="AT18" s="762">
        <v>0</v>
      </c>
      <c r="AU18" s="762">
        <v>0</v>
      </c>
      <c r="AV18" s="762">
        <v>0</v>
      </c>
      <c r="AW18" s="762">
        <v>0</v>
      </c>
      <c r="AX18" s="762">
        <v>211874</v>
      </c>
      <c r="AY18" s="762">
        <v>0</v>
      </c>
      <c r="AZ18" s="762">
        <v>0</v>
      </c>
      <c r="BA18" s="762">
        <v>211874</v>
      </c>
      <c r="BB18" s="762">
        <v>0</v>
      </c>
      <c r="BC18" s="762">
        <v>0</v>
      </c>
      <c r="BD18" s="762">
        <v>0</v>
      </c>
      <c r="BE18" s="762">
        <v>0</v>
      </c>
      <c r="BF18" s="762">
        <v>0</v>
      </c>
      <c r="BG18" s="762">
        <v>0</v>
      </c>
      <c r="BH18" s="762">
        <v>0</v>
      </c>
      <c r="BI18" s="762">
        <v>0</v>
      </c>
      <c r="BJ18" s="790">
        <v>0.5</v>
      </c>
      <c r="BK18" s="790">
        <v>0.49</v>
      </c>
      <c r="BL18" s="790">
        <v>0</v>
      </c>
      <c r="BM18" s="790">
        <v>0.01</v>
      </c>
      <c r="BN18" s="790">
        <v>1</v>
      </c>
      <c r="BO18" s="762">
        <v>688165</v>
      </c>
      <c r="BP18" s="762">
        <v>674402</v>
      </c>
      <c r="BQ18" s="762">
        <v>0</v>
      </c>
      <c r="BR18" s="762">
        <v>13763</v>
      </c>
      <c r="BS18" s="762">
        <v>1376330</v>
      </c>
      <c r="BT18" s="790">
        <v>0.5</v>
      </c>
      <c r="BU18" s="790">
        <v>0.49</v>
      </c>
      <c r="BV18" s="790">
        <v>0</v>
      </c>
      <c r="BW18" s="790">
        <v>0.01</v>
      </c>
      <c r="BX18" s="790">
        <v>1</v>
      </c>
      <c r="BY18" s="762">
        <v>526374</v>
      </c>
      <c r="BZ18" s="762">
        <v>515846</v>
      </c>
      <c r="CA18" s="762">
        <v>0</v>
      </c>
      <c r="CB18" s="762">
        <v>10527</v>
      </c>
      <c r="CC18" s="762">
        <v>1052747</v>
      </c>
      <c r="CD18" s="762">
        <v>1214538</v>
      </c>
      <c r="CE18" s="762">
        <v>1190248</v>
      </c>
      <c r="CF18" s="762">
        <v>0</v>
      </c>
      <c r="CG18" s="762">
        <v>24291</v>
      </c>
      <c r="CH18" s="762">
        <v>2429077</v>
      </c>
      <c r="CI18" s="762">
        <v>24231423</v>
      </c>
      <c r="CJ18" s="762">
        <v>25163605</v>
      </c>
      <c r="CK18" s="762">
        <v>0</v>
      </c>
      <c r="CL18" s="762">
        <v>488866</v>
      </c>
      <c r="CM18" s="762">
        <v>49883894</v>
      </c>
      <c r="CN18" s="762">
        <v>770816</v>
      </c>
      <c r="CO18" s="762">
        <v>0</v>
      </c>
      <c r="CP18" s="762">
        <v>15139</v>
      </c>
      <c r="CQ18" s="762">
        <v>785955</v>
      </c>
      <c r="CR18" s="762">
        <v>2429979</v>
      </c>
      <c r="CS18" s="762">
        <v>0</v>
      </c>
      <c r="CT18" s="762">
        <v>49591</v>
      </c>
      <c r="CU18" s="762">
        <v>2479570</v>
      </c>
      <c r="CV18" s="762">
        <v>126461</v>
      </c>
      <c r="CW18" s="762">
        <v>0</v>
      </c>
      <c r="CX18" s="762">
        <v>2507</v>
      </c>
      <c r="CY18" s="762">
        <v>128968</v>
      </c>
      <c r="CZ18" s="762">
        <v>0</v>
      </c>
      <c r="DA18" s="762">
        <v>0</v>
      </c>
      <c r="DB18" s="762">
        <v>0</v>
      </c>
      <c r="DC18" s="762">
        <v>0</v>
      </c>
      <c r="DD18" s="762">
        <v>1495</v>
      </c>
      <c r="DE18" s="762">
        <v>0</v>
      </c>
      <c r="DF18" s="762">
        <v>31</v>
      </c>
      <c r="DG18" s="762">
        <v>1526</v>
      </c>
      <c r="DH18" s="762">
        <v>759</v>
      </c>
      <c r="DI18" s="762">
        <v>0</v>
      </c>
      <c r="DJ18" s="762">
        <v>15</v>
      </c>
      <c r="DK18" s="762">
        <v>774</v>
      </c>
      <c r="DL18" s="762">
        <v>10624</v>
      </c>
      <c r="DM18" s="762">
        <v>0</v>
      </c>
      <c r="DN18" s="762">
        <v>217</v>
      </c>
      <c r="DO18" s="762">
        <v>10841</v>
      </c>
      <c r="DP18" s="762">
        <v>27963</v>
      </c>
      <c r="DQ18" s="762">
        <v>0</v>
      </c>
      <c r="DR18" s="762">
        <v>571</v>
      </c>
      <c r="DS18" s="762">
        <v>28534</v>
      </c>
      <c r="DT18" s="762">
        <v>0</v>
      </c>
      <c r="DU18" s="762">
        <v>0</v>
      </c>
      <c r="DV18" s="762">
        <v>0</v>
      </c>
      <c r="DW18" s="762">
        <v>0</v>
      </c>
      <c r="DX18" s="762">
        <v>0</v>
      </c>
      <c r="DY18" s="762">
        <v>0</v>
      </c>
      <c r="DZ18" s="762">
        <v>0</v>
      </c>
      <c r="EA18" s="762">
        <v>0</v>
      </c>
      <c r="EB18" s="762">
        <v>557918</v>
      </c>
      <c r="EC18" s="762">
        <v>0</v>
      </c>
      <c r="ED18" s="762">
        <v>11386</v>
      </c>
      <c r="EE18" s="762">
        <v>569304</v>
      </c>
      <c r="EF18" s="762">
        <v>3926015</v>
      </c>
      <c r="EG18" s="762">
        <v>0</v>
      </c>
      <c r="EH18" s="762">
        <v>79457</v>
      </c>
      <c r="EI18" s="799">
        <v>4005472</v>
      </c>
      <c r="EJ18" s="763" t="s">
        <v>699</v>
      </c>
      <c r="EK18" s="607" t="s">
        <v>621</v>
      </c>
      <c r="EL18" s="805" t="s">
        <v>624</v>
      </c>
      <c r="EM18" t="s">
        <v>1584</v>
      </c>
    </row>
    <row r="19" spans="1:143" ht="12.75" x14ac:dyDescent="0.2">
      <c r="A19" s="764">
        <v>12</v>
      </c>
      <c r="B19" s="765" t="s">
        <v>702</v>
      </c>
      <c r="C19" s="766" t="s">
        <v>1217</v>
      </c>
      <c r="D19" s="767" t="s">
        <v>1219</v>
      </c>
      <c r="E19" s="768" t="s">
        <v>701</v>
      </c>
      <c r="F19" s="761">
        <v>22682771</v>
      </c>
      <c r="G19" s="762">
        <v>0</v>
      </c>
      <c r="H19" s="762">
        <v>1405624</v>
      </c>
      <c r="I19" s="762">
        <v>90751</v>
      </c>
      <c r="J19" s="762">
        <v>0</v>
      </c>
      <c r="K19" s="762">
        <v>90751</v>
      </c>
      <c r="L19" s="762">
        <v>0</v>
      </c>
      <c r="M19" s="762">
        <v>0</v>
      </c>
      <c r="N19" s="762">
        <v>159147</v>
      </c>
      <c r="O19" s="762">
        <v>159147</v>
      </c>
      <c r="P19" s="762">
        <v>0</v>
      </c>
      <c r="Q19" s="762">
        <v>0</v>
      </c>
      <c r="R19" s="762">
        <v>21027249</v>
      </c>
      <c r="S19" s="790">
        <v>0.5</v>
      </c>
      <c r="T19" s="790">
        <v>0.4</v>
      </c>
      <c r="U19" s="790">
        <v>0.1</v>
      </c>
      <c r="V19" s="790">
        <v>0</v>
      </c>
      <c r="W19" s="790">
        <v>1</v>
      </c>
      <c r="X19" s="762">
        <v>10513624</v>
      </c>
      <c r="Y19" s="762">
        <v>8410900</v>
      </c>
      <c r="Z19" s="762">
        <v>2102725</v>
      </c>
      <c r="AA19" s="762">
        <v>0</v>
      </c>
      <c r="AB19" s="762">
        <v>21027249</v>
      </c>
      <c r="AC19" s="762">
        <v>0</v>
      </c>
      <c r="AD19" s="762">
        <v>0</v>
      </c>
      <c r="AE19" s="762">
        <v>0</v>
      </c>
      <c r="AF19" s="762">
        <v>0</v>
      </c>
      <c r="AG19" s="762">
        <v>0</v>
      </c>
      <c r="AH19" s="762">
        <v>10513624</v>
      </c>
      <c r="AI19" s="762">
        <v>8410900</v>
      </c>
      <c r="AJ19" s="762">
        <v>2102725</v>
      </c>
      <c r="AK19" s="762">
        <v>0</v>
      </c>
      <c r="AL19" s="762">
        <v>21027249</v>
      </c>
      <c r="AM19" s="762">
        <v>90751</v>
      </c>
      <c r="AN19" s="762">
        <v>90751</v>
      </c>
      <c r="AO19" s="762">
        <v>0</v>
      </c>
      <c r="AP19" s="762">
        <v>0</v>
      </c>
      <c r="AQ19" s="762">
        <v>159147</v>
      </c>
      <c r="AR19" s="762">
        <v>0</v>
      </c>
      <c r="AS19" s="762">
        <v>159147</v>
      </c>
      <c r="AT19" s="762">
        <v>0</v>
      </c>
      <c r="AU19" s="762">
        <v>0</v>
      </c>
      <c r="AV19" s="762">
        <v>0</v>
      </c>
      <c r="AW19" s="762">
        <v>0</v>
      </c>
      <c r="AX19" s="762">
        <v>0</v>
      </c>
      <c r="AY19" s="762">
        <v>0</v>
      </c>
      <c r="AZ19" s="762">
        <v>0</v>
      </c>
      <c r="BA19" s="762">
        <v>0</v>
      </c>
      <c r="BB19" s="762">
        <v>0</v>
      </c>
      <c r="BC19" s="762">
        <v>0</v>
      </c>
      <c r="BD19" s="762">
        <v>0</v>
      </c>
      <c r="BE19" s="762">
        <v>0</v>
      </c>
      <c r="BF19" s="762">
        <v>0</v>
      </c>
      <c r="BG19" s="762">
        <v>0</v>
      </c>
      <c r="BH19" s="762">
        <v>0</v>
      </c>
      <c r="BI19" s="762">
        <v>0</v>
      </c>
      <c r="BJ19" s="790">
        <v>0.5</v>
      </c>
      <c r="BK19" s="790">
        <v>0.4</v>
      </c>
      <c r="BL19" s="790">
        <v>0.1</v>
      </c>
      <c r="BM19" s="790">
        <v>0</v>
      </c>
      <c r="BN19" s="790">
        <v>1</v>
      </c>
      <c r="BO19" s="762">
        <v>404847</v>
      </c>
      <c r="BP19" s="762">
        <v>323878</v>
      </c>
      <c r="BQ19" s="762">
        <v>80969</v>
      </c>
      <c r="BR19" s="762">
        <v>0</v>
      </c>
      <c r="BS19" s="762">
        <v>809694</v>
      </c>
      <c r="BT19" s="790">
        <v>0.5</v>
      </c>
      <c r="BU19" s="790">
        <v>0.4</v>
      </c>
      <c r="BV19" s="790">
        <v>0.1</v>
      </c>
      <c r="BW19" s="790">
        <v>0</v>
      </c>
      <c r="BX19" s="790">
        <v>1</v>
      </c>
      <c r="BY19" s="762">
        <v>-245522</v>
      </c>
      <c r="BZ19" s="762">
        <v>-196417</v>
      </c>
      <c r="CA19" s="762">
        <v>-49104</v>
      </c>
      <c r="CB19" s="762">
        <v>0</v>
      </c>
      <c r="CC19" s="762">
        <v>-491043</v>
      </c>
      <c r="CD19" s="762">
        <v>159326</v>
      </c>
      <c r="CE19" s="762">
        <v>127460</v>
      </c>
      <c r="CF19" s="762">
        <v>31865</v>
      </c>
      <c r="CG19" s="762">
        <v>0</v>
      </c>
      <c r="CH19" s="762">
        <v>318651</v>
      </c>
      <c r="CI19" s="762">
        <v>10672950</v>
      </c>
      <c r="CJ19" s="762">
        <v>8788258</v>
      </c>
      <c r="CK19" s="762">
        <v>2134590</v>
      </c>
      <c r="CL19" s="762">
        <v>0</v>
      </c>
      <c r="CM19" s="762">
        <v>21595798</v>
      </c>
      <c r="CN19" s="762">
        <v>279268</v>
      </c>
      <c r="CO19" s="762">
        <v>68521</v>
      </c>
      <c r="CP19" s="762">
        <v>0</v>
      </c>
      <c r="CQ19" s="762">
        <v>347789</v>
      </c>
      <c r="CR19" s="762">
        <v>581438</v>
      </c>
      <c r="CS19" s="762">
        <v>145360</v>
      </c>
      <c r="CT19" s="762">
        <v>0</v>
      </c>
      <c r="CU19" s="762">
        <v>726798</v>
      </c>
      <c r="CV19" s="762">
        <v>34442</v>
      </c>
      <c r="CW19" s="762">
        <v>8610</v>
      </c>
      <c r="CX19" s="762">
        <v>0</v>
      </c>
      <c r="CY19" s="762">
        <v>43052</v>
      </c>
      <c r="CZ19" s="762">
        <v>0</v>
      </c>
      <c r="DA19" s="762">
        <v>0</v>
      </c>
      <c r="DB19" s="762">
        <v>0</v>
      </c>
      <c r="DC19" s="762">
        <v>0</v>
      </c>
      <c r="DD19" s="762">
        <v>0</v>
      </c>
      <c r="DE19" s="762">
        <v>0</v>
      </c>
      <c r="DF19" s="762">
        <v>0</v>
      </c>
      <c r="DG19" s="762">
        <v>0</v>
      </c>
      <c r="DH19" s="762">
        <v>619</v>
      </c>
      <c r="DI19" s="762">
        <v>155</v>
      </c>
      <c r="DJ19" s="762">
        <v>0</v>
      </c>
      <c r="DK19" s="762">
        <v>774</v>
      </c>
      <c r="DL19" s="762">
        <v>1570</v>
      </c>
      <c r="DM19" s="762">
        <v>392</v>
      </c>
      <c r="DN19" s="762">
        <v>0</v>
      </c>
      <c r="DO19" s="762">
        <v>1962</v>
      </c>
      <c r="DP19" s="762">
        <v>4484</v>
      </c>
      <c r="DQ19" s="762">
        <v>1121</v>
      </c>
      <c r="DR19" s="762">
        <v>0</v>
      </c>
      <c r="DS19" s="762">
        <v>5605</v>
      </c>
      <c r="DT19" s="762">
        <v>0</v>
      </c>
      <c r="DU19" s="762">
        <v>0</v>
      </c>
      <c r="DV19" s="762">
        <v>0</v>
      </c>
      <c r="DW19" s="762">
        <v>0</v>
      </c>
      <c r="DX19" s="762">
        <v>0</v>
      </c>
      <c r="DY19" s="762">
        <v>0</v>
      </c>
      <c r="DZ19" s="762">
        <v>0</v>
      </c>
      <c r="EA19" s="762">
        <v>0</v>
      </c>
      <c r="EB19" s="762">
        <v>206518</v>
      </c>
      <c r="EC19" s="762">
        <v>51629</v>
      </c>
      <c r="ED19" s="762">
        <v>0</v>
      </c>
      <c r="EE19" s="762">
        <v>258147</v>
      </c>
      <c r="EF19" s="762">
        <v>1108339</v>
      </c>
      <c r="EG19" s="762">
        <v>275788</v>
      </c>
      <c r="EH19" s="762">
        <v>0</v>
      </c>
      <c r="EI19" s="799">
        <v>1384127</v>
      </c>
      <c r="EJ19" s="763" t="s">
        <v>701</v>
      </c>
      <c r="EK19" s="607" t="s">
        <v>557</v>
      </c>
      <c r="EL19" s="805" t="s">
        <v>556</v>
      </c>
      <c r="EM19" t="s">
        <v>1585</v>
      </c>
    </row>
    <row r="20" spans="1:143" ht="12.75" x14ac:dyDescent="0.2">
      <c r="A20" s="764">
        <v>13</v>
      </c>
      <c r="B20" s="765" t="s">
        <v>704</v>
      </c>
      <c r="C20" s="766" t="s">
        <v>1217</v>
      </c>
      <c r="D20" s="767" t="s">
        <v>1221</v>
      </c>
      <c r="E20" s="768" t="s">
        <v>703</v>
      </c>
      <c r="F20" s="761">
        <v>79932761</v>
      </c>
      <c r="G20" s="762">
        <v>0</v>
      </c>
      <c r="H20" s="762">
        <v>406286</v>
      </c>
      <c r="I20" s="762">
        <v>227771</v>
      </c>
      <c r="J20" s="762">
        <v>0</v>
      </c>
      <c r="K20" s="762">
        <v>227771</v>
      </c>
      <c r="L20" s="762">
        <v>0</v>
      </c>
      <c r="M20" s="762">
        <v>0</v>
      </c>
      <c r="N20" s="762">
        <v>11331</v>
      </c>
      <c r="O20" s="762">
        <v>11331</v>
      </c>
      <c r="P20" s="762">
        <v>0</v>
      </c>
      <c r="Q20" s="762">
        <v>0</v>
      </c>
      <c r="R20" s="762">
        <v>79287373</v>
      </c>
      <c r="S20" s="790">
        <v>0.5</v>
      </c>
      <c r="T20" s="790">
        <v>0.4</v>
      </c>
      <c r="U20" s="790">
        <v>0.09</v>
      </c>
      <c r="V20" s="790">
        <v>0.01</v>
      </c>
      <c r="W20" s="790">
        <v>1</v>
      </c>
      <c r="X20" s="762">
        <v>39643686</v>
      </c>
      <c r="Y20" s="762">
        <v>31714949</v>
      </c>
      <c r="Z20" s="762">
        <v>7135864</v>
      </c>
      <c r="AA20" s="762">
        <v>792874</v>
      </c>
      <c r="AB20" s="762">
        <v>79287373</v>
      </c>
      <c r="AC20" s="762">
        <v>0</v>
      </c>
      <c r="AD20" s="762">
        <v>0</v>
      </c>
      <c r="AE20" s="762">
        <v>0</v>
      </c>
      <c r="AF20" s="762">
        <v>0</v>
      </c>
      <c r="AG20" s="762">
        <v>0</v>
      </c>
      <c r="AH20" s="762">
        <v>39643686</v>
      </c>
      <c r="AI20" s="762">
        <v>31714949</v>
      </c>
      <c r="AJ20" s="762">
        <v>7135864</v>
      </c>
      <c r="AK20" s="762">
        <v>792874</v>
      </c>
      <c r="AL20" s="762">
        <v>79287373</v>
      </c>
      <c r="AM20" s="762">
        <v>227771</v>
      </c>
      <c r="AN20" s="762">
        <v>227771</v>
      </c>
      <c r="AO20" s="762">
        <v>0</v>
      </c>
      <c r="AP20" s="762">
        <v>0</v>
      </c>
      <c r="AQ20" s="762">
        <v>11331</v>
      </c>
      <c r="AR20" s="762">
        <v>0</v>
      </c>
      <c r="AS20" s="762">
        <v>11331</v>
      </c>
      <c r="AT20" s="762">
        <v>0</v>
      </c>
      <c r="AU20" s="762">
        <v>0</v>
      </c>
      <c r="AV20" s="762">
        <v>0</v>
      </c>
      <c r="AW20" s="762">
        <v>0</v>
      </c>
      <c r="AX20" s="762">
        <v>0</v>
      </c>
      <c r="AY20" s="762">
        <v>0</v>
      </c>
      <c r="AZ20" s="762">
        <v>0</v>
      </c>
      <c r="BA20" s="762">
        <v>0</v>
      </c>
      <c r="BB20" s="762">
        <v>0</v>
      </c>
      <c r="BC20" s="762">
        <v>0</v>
      </c>
      <c r="BD20" s="762">
        <v>0</v>
      </c>
      <c r="BE20" s="762">
        <v>0</v>
      </c>
      <c r="BF20" s="762">
        <v>0</v>
      </c>
      <c r="BG20" s="762">
        <v>0</v>
      </c>
      <c r="BH20" s="762">
        <v>0</v>
      </c>
      <c r="BI20" s="762">
        <v>0</v>
      </c>
      <c r="BJ20" s="790">
        <v>0.5</v>
      </c>
      <c r="BK20" s="790">
        <v>0.4</v>
      </c>
      <c r="BL20" s="790">
        <v>0.09</v>
      </c>
      <c r="BM20" s="790">
        <v>0.01</v>
      </c>
      <c r="BN20" s="790">
        <v>1</v>
      </c>
      <c r="BO20" s="762">
        <v>-571498</v>
      </c>
      <c r="BP20" s="762">
        <v>-457198</v>
      </c>
      <c r="BQ20" s="762">
        <v>-102870</v>
      </c>
      <c r="BR20" s="762">
        <v>-11430</v>
      </c>
      <c r="BS20" s="762">
        <v>-1142996</v>
      </c>
      <c r="BT20" s="790">
        <v>0.5</v>
      </c>
      <c r="BU20" s="790">
        <v>0.4</v>
      </c>
      <c r="BV20" s="790">
        <v>0.09</v>
      </c>
      <c r="BW20" s="790">
        <v>0.01</v>
      </c>
      <c r="BX20" s="790">
        <v>1</v>
      </c>
      <c r="BY20" s="762">
        <v>337091</v>
      </c>
      <c r="BZ20" s="762">
        <v>269673</v>
      </c>
      <c r="CA20" s="762">
        <v>60676</v>
      </c>
      <c r="CB20" s="762">
        <v>6742</v>
      </c>
      <c r="CC20" s="762">
        <v>674182</v>
      </c>
      <c r="CD20" s="762">
        <v>-234407</v>
      </c>
      <c r="CE20" s="762">
        <v>-187526</v>
      </c>
      <c r="CF20" s="762">
        <v>-42193</v>
      </c>
      <c r="CG20" s="762">
        <v>-4688</v>
      </c>
      <c r="CH20" s="762">
        <v>-468814</v>
      </c>
      <c r="CI20" s="762">
        <v>39409279</v>
      </c>
      <c r="CJ20" s="762">
        <v>31766525</v>
      </c>
      <c r="CK20" s="762">
        <v>7093671</v>
      </c>
      <c r="CL20" s="762">
        <v>788186</v>
      </c>
      <c r="CM20" s="762">
        <v>79057661</v>
      </c>
      <c r="CN20" s="762">
        <v>1033850</v>
      </c>
      <c r="CO20" s="762">
        <v>232533</v>
      </c>
      <c r="CP20" s="762">
        <v>25837</v>
      </c>
      <c r="CQ20" s="762">
        <v>1292220</v>
      </c>
      <c r="CR20" s="762">
        <v>1586607</v>
      </c>
      <c r="CS20" s="762">
        <v>356987</v>
      </c>
      <c r="CT20" s="762">
        <v>39665</v>
      </c>
      <c r="CU20" s="762">
        <v>1983259</v>
      </c>
      <c r="CV20" s="762">
        <v>149928</v>
      </c>
      <c r="CW20" s="762">
        <v>33734</v>
      </c>
      <c r="CX20" s="762">
        <v>3748</v>
      </c>
      <c r="CY20" s="762">
        <v>187410</v>
      </c>
      <c r="CZ20" s="762">
        <v>0</v>
      </c>
      <c r="DA20" s="762">
        <v>0</v>
      </c>
      <c r="DB20" s="762">
        <v>0</v>
      </c>
      <c r="DC20" s="762">
        <v>0</v>
      </c>
      <c r="DD20" s="762">
        <v>698</v>
      </c>
      <c r="DE20" s="762">
        <v>157</v>
      </c>
      <c r="DF20" s="762">
        <v>17</v>
      </c>
      <c r="DG20" s="762">
        <v>872</v>
      </c>
      <c r="DH20" s="762">
        <v>620</v>
      </c>
      <c r="DI20" s="762">
        <v>139</v>
      </c>
      <c r="DJ20" s="762">
        <v>15</v>
      </c>
      <c r="DK20" s="762">
        <v>774</v>
      </c>
      <c r="DL20" s="762">
        <v>8652</v>
      </c>
      <c r="DM20" s="762">
        <v>1946</v>
      </c>
      <c r="DN20" s="762">
        <v>216</v>
      </c>
      <c r="DO20" s="762">
        <v>10814</v>
      </c>
      <c r="DP20" s="762">
        <v>21544</v>
      </c>
      <c r="DQ20" s="762">
        <v>4848</v>
      </c>
      <c r="DR20" s="762">
        <v>539</v>
      </c>
      <c r="DS20" s="762">
        <v>26931</v>
      </c>
      <c r="DT20" s="762">
        <v>0</v>
      </c>
      <c r="DU20" s="762">
        <v>0</v>
      </c>
      <c r="DV20" s="762">
        <v>0</v>
      </c>
      <c r="DW20" s="762">
        <v>0</v>
      </c>
      <c r="DX20" s="762">
        <v>0</v>
      </c>
      <c r="DY20" s="762">
        <v>0</v>
      </c>
      <c r="DZ20" s="762">
        <v>0</v>
      </c>
      <c r="EA20" s="762">
        <v>0</v>
      </c>
      <c r="EB20" s="762">
        <v>483958</v>
      </c>
      <c r="EC20" s="762">
        <v>108890</v>
      </c>
      <c r="ED20" s="762">
        <v>12099</v>
      </c>
      <c r="EE20" s="762">
        <v>604947</v>
      </c>
      <c r="EF20" s="762">
        <v>3285857</v>
      </c>
      <c r="EG20" s="762">
        <v>739234</v>
      </c>
      <c r="EH20" s="762">
        <v>82136</v>
      </c>
      <c r="EI20" s="799">
        <v>4107227</v>
      </c>
      <c r="EJ20" s="763" t="s">
        <v>703</v>
      </c>
      <c r="EK20" s="607" t="s">
        <v>575</v>
      </c>
      <c r="EL20" s="805" t="s">
        <v>573</v>
      </c>
      <c r="EM20" t="s">
        <v>1586</v>
      </c>
    </row>
    <row r="21" spans="1:143" ht="12.75" x14ac:dyDescent="0.2">
      <c r="A21" s="764">
        <v>14</v>
      </c>
      <c r="B21" s="765" t="s">
        <v>706</v>
      </c>
      <c r="C21" s="766" t="s">
        <v>1217</v>
      </c>
      <c r="D21" s="767" t="s">
        <v>1218</v>
      </c>
      <c r="E21" s="768" t="s">
        <v>903</v>
      </c>
      <c r="F21" s="761">
        <v>73451769</v>
      </c>
      <c r="G21" s="762">
        <v>0</v>
      </c>
      <c r="H21" s="762">
        <v>1513640</v>
      </c>
      <c r="I21" s="762">
        <v>203904</v>
      </c>
      <c r="J21" s="762">
        <v>0</v>
      </c>
      <c r="K21" s="762">
        <v>203904</v>
      </c>
      <c r="L21" s="762">
        <v>0</v>
      </c>
      <c r="M21" s="762">
        <v>0</v>
      </c>
      <c r="N21" s="762">
        <v>307368</v>
      </c>
      <c r="O21" s="762">
        <v>105377</v>
      </c>
      <c r="P21" s="762">
        <v>201991</v>
      </c>
      <c r="Q21" s="762">
        <v>0</v>
      </c>
      <c r="R21" s="762">
        <v>71426857</v>
      </c>
      <c r="S21" s="790">
        <v>0.5</v>
      </c>
      <c r="T21" s="790">
        <v>0.4</v>
      </c>
      <c r="U21" s="790">
        <v>0.09</v>
      </c>
      <c r="V21" s="790">
        <v>0.01</v>
      </c>
      <c r="W21" s="790">
        <v>1</v>
      </c>
      <c r="X21" s="762">
        <v>35713428</v>
      </c>
      <c r="Y21" s="762">
        <v>28570743</v>
      </c>
      <c r="Z21" s="762">
        <v>6428417</v>
      </c>
      <c r="AA21" s="762">
        <v>714269</v>
      </c>
      <c r="AB21" s="762">
        <v>71426857</v>
      </c>
      <c r="AC21" s="762">
        <v>500000</v>
      </c>
      <c r="AD21" s="762">
        <v>0</v>
      </c>
      <c r="AE21" s="762">
        <v>0</v>
      </c>
      <c r="AF21" s="762">
        <v>0</v>
      </c>
      <c r="AG21" s="762">
        <v>500000</v>
      </c>
      <c r="AH21" s="762">
        <v>35213428</v>
      </c>
      <c r="AI21" s="762">
        <v>28570743</v>
      </c>
      <c r="AJ21" s="762">
        <v>6428417</v>
      </c>
      <c r="AK21" s="762">
        <v>714269</v>
      </c>
      <c r="AL21" s="762">
        <v>70926857</v>
      </c>
      <c r="AM21" s="762">
        <v>203904</v>
      </c>
      <c r="AN21" s="762">
        <v>203904</v>
      </c>
      <c r="AO21" s="762">
        <v>0</v>
      </c>
      <c r="AP21" s="762">
        <v>0</v>
      </c>
      <c r="AQ21" s="762">
        <v>105377</v>
      </c>
      <c r="AR21" s="762">
        <v>201991</v>
      </c>
      <c r="AS21" s="762">
        <v>307368</v>
      </c>
      <c r="AT21" s="762">
        <v>0</v>
      </c>
      <c r="AU21" s="762">
        <v>0</v>
      </c>
      <c r="AV21" s="762">
        <v>0</v>
      </c>
      <c r="AW21" s="762">
        <v>0</v>
      </c>
      <c r="AX21" s="762">
        <v>500000</v>
      </c>
      <c r="AY21" s="762">
        <v>0</v>
      </c>
      <c r="AZ21" s="762">
        <v>0</v>
      </c>
      <c r="BA21" s="762">
        <v>500000</v>
      </c>
      <c r="BB21" s="762">
        <v>0</v>
      </c>
      <c r="BC21" s="762">
        <v>0</v>
      </c>
      <c r="BD21" s="762">
        <v>0</v>
      </c>
      <c r="BE21" s="762">
        <v>0</v>
      </c>
      <c r="BF21" s="762">
        <v>0</v>
      </c>
      <c r="BG21" s="762">
        <v>0</v>
      </c>
      <c r="BH21" s="762">
        <v>0</v>
      </c>
      <c r="BI21" s="762">
        <v>0</v>
      </c>
      <c r="BJ21" s="790">
        <v>0.5</v>
      </c>
      <c r="BK21" s="790">
        <v>0.4</v>
      </c>
      <c r="BL21" s="790">
        <v>0.09</v>
      </c>
      <c r="BM21" s="790">
        <v>0.01</v>
      </c>
      <c r="BN21" s="790">
        <v>1</v>
      </c>
      <c r="BO21" s="762">
        <v>-3016229</v>
      </c>
      <c r="BP21" s="762">
        <v>-2412983</v>
      </c>
      <c r="BQ21" s="762">
        <v>-542921</v>
      </c>
      <c r="BR21" s="762">
        <v>-60325</v>
      </c>
      <c r="BS21" s="762">
        <v>-6032458</v>
      </c>
      <c r="BT21" s="790">
        <v>0.5</v>
      </c>
      <c r="BU21" s="790">
        <v>0.4</v>
      </c>
      <c r="BV21" s="790">
        <v>0.09</v>
      </c>
      <c r="BW21" s="790">
        <v>0.01</v>
      </c>
      <c r="BX21" s="790">
        <v>1</v>
      </c>
      <c r="BY21" s="762">
        <v>371438</v>
      </c>
      <c r="BZ21" s="762">
        <v>297150</v>
      </c>
      <c r="CA21" s="762">
        <v>66859</v>
      </c>
      <c r="CB21" s="762">
        <v>7429</v>
      </c>
      <c r="CC21" s="762">
        <v>742876</v>
      </c>
      <c r="CD21" s="762">
        <v>-2644791</v>
      </c>
      <c r="CE21" s="762">
        <v>-2115833</v>
      </c>
      <c r="CF21" s="762">
        <v>-476062</v>
      </c>
      <c r="CG21" s="762">
        <v>-52896</v>
      </c>
      <c r="CH21" s="762">
        <v>-5289582</v>
      </c>
      <c r="CI21" s="762">
        <v>32568637</v>
      </c>
      <c r="CJ21" s="762">
        <v>27264191</v>
      </c>
      <c r="CK21" s="762">
        <v>6154346</v>
      </c>
      <c r="CL21" s="762">
        <v>661373</v>
      </c>
      <c r="CM21" s="762">
        <v>66648547</v>
      </c>
      <c r="CN21" s="762">
        <v>950749</v>
      </c>
      <c r="CO21" s="762">
        <v>216062</v>
      </c>
      <c r="CP21" s="762">
        <v>23276</v>
      </c>
      <c r="CQ21" s="762">
        <v>1190087</v>
      </c>
      <c r="CR21" s="762">
        <v>848380</v>
      </c>
      <c r="CS21" s="762">
        <v>184223</v>
      </c>
      <c r="CT21" s="762">
        <v>20469</v>
      </c>
      <c r="CU21" s="762">
        <v>1053072</v>
      </c>
      <c r="CV21" s="762">
        <v>131057</v>
      </c>
      <c r="CW21" s="762">
        <v>28089</v>
      </c>
      <c r="CX21" s="762">
        <v>3121</v>
      </c>
      <c r="CY21" s="762">
        <v>162267</v>
      </c>
      <c r="CZ21" s="762">
        <v>30565</v>
      </c>
      <c r="DA21" s="762">
        <v>6877</v>
      </c>
      <c r="DB21" s="762">
        <v>764</v>
      </c>
      <c r="DC21" s="762">
        <v>38206</v>
      </c>
      <c r="DD21" s="762">
        <v>10321</v>
      </c>
      <c r="DE21" s="762">
        <v>2322</v>
      </c>
      <c r="DF21" s="762">
        <v>258</v>
      </c>
      <c r="DG21" s="762">
        <v>12901</v>
      </c>
      <c r="DH21" s="762">
        <v>620</v>
      </c>
      <c r="DI21" s="762">
        <v>139</v>
      </c>
      <c r="DJ21" s="762">
        <v>15</v>
      </c>
      <c r="DK21" s="762">
        <v>774</v>
      </c>
      <c r="DL21" s="762">
        <v>10630</v>
      </c>
      <c r="DM21" s="762">
        <v>2383</v>
      </c>
      <c r="DN21" s="762">
        <v>265</v>
      </c>
      <c r="DO21" s="762">
        <v>13278</v>
      </c>
      <c r="DP21" s="762">
        <v>41820</v>
      </c>
      <c r="DQ21" s="762">
        <v>9061</v>
      </c>
      <c r="DR21" s="762">
        <v>1007</v>
      </c>
      <c r="DS21" s="762">
        <v>51888</v>
      </c>
      <c r="DT21" s="762">
        <v>0</v>
      </c>
      <c r="DU21" s="762">
        <v>0</v>
      </c>
      <c r="DV21" s="762">
        <v>0</v>
      </c>
      <c r="DW21" s="762">
        <v>0</v>
      </c>
      <c r="DX21" s="762">
        <v>142290</v>
      </c>
      <c r="DY21" s="762">
        <v>30389</v>
      </c>
      <c r="DZ21" s="762">
        <v>3377</v>
      </c>
      <c r="EA21" s="762">
        <v>176056</v>
      </c>
      <c r="EB21" s="762">
        <v>619552</v>
      </c>
      <c r="EC21" s="762">
        <v>139399</v>
      </c>
      <c r="ED21" s="762">
        <v>15489</v>
      </c>
      <c r="EE21" s="762">
        <v>774440</v>
      </c>
      <c r="EF21" s="762">
        <v>2785984</v>
      </c>
      <c r="EG21" s="762">
        <v>618944</v>
      </c>
      <c r="EH21" s="762">
        <v>68041</v>
      </c>
      <c r="EI21" s="799">
        <v>3472969</v>
      </c>
      <c r="EJ21" s="763" t="s">
        <v>903</v>
      </c>
      <c r="EK21" s="607" t="s">
        <v>580</v>
      </c>
      <c r="EL21" s="805" t="s">
        <v>578</v>
      </c>
      <c r="EM21" t="s">
        <v>1587</v>
      </c>
    </row>
    <row r="22" spans="1:143" ht="12.75" x14ac:dyDescent="0.2">
      <c r="A22" s="764">
        <v>15</v>
      </c>
      <c r="B22" s="765" t="s">
        <v>708</v>
      </c>
      <c r="C22" s="766" t="s">
        <v>1217</v>
      </c>
      <c r="D22" s="767" t="s">
        <v>1220</v>
      </c>
      <c r="E22" s="768" t="s">
        <v>707</v>
      </c>
      <c r="F22" s="761">
        <v>50309861</v>
      </c>
      <c r="G22" s="762">
        <v>0</v>
      </c>
      <c r="H22" s="762">
        <v>6369634</v>
      </c>
      <c r="I22" s="762">
        <v>169065</v>
      </c>
      <c r="J22" s="762">
        <v>0</v>
      </c>
      <c r="K22" s="762">
        <v>169065</v>
      </c>
      <c r="L22" s="762">
        <v>0</v>
      </c>
      <c r="M22" s="762">
        <v>0</v>
      </c>
      <c r="N22" s="762">
        <v>620879</v>
      </c>
      <c r="O22" s="762">
        <v>620879</v>
      </c>
      <c r="P22" s="762">
        <v>0</v>
      </c>
      <c r="Q22" s="762">
        <v>0</v>
      </c>
      <c r="R22" s="762">
        <v>43150283</v>
      </c>
      <c r="S22" s="790">
        <v>0.5</v>
      </c>
      <c r="T22" s="790">
        <v>0.4</v>
      </c>
      <c r="U22" s="790">
        <v>0.09</v>
      </c>
      <c r="V22" s="790">
        <v>0.01</v>
      </c>
      <c r="W22" s="790">
        <v>1</v>
      </c>
      <c r="X22" s="762">
        <v>21575142</v>
      </c>
      <c r="Y22" s="762">
        <v>17260113</v>
      </c>
      <c r="Z22" s="762">
        <v>3883525</v>
      </c>
      <c r="AA22" s="762">
        <v>431503</v>
      </c>
      <c r="AB22" s="762">
        <v>43150283</v>
      </c>
      <c r="AC22" s="762">
        <v>0</v>
      </c>
      <c r="AD22" s="762">
        <v>0</v>
      </c>
      <c r="AE22" s="762">
        <v>0</v>
      </c>
      <c r="AF22" s="762">
        <v>0</v>
      </c>
      <c r="AG22" s="762">
        <v>0</v>
      </c>
      <c r="AH22" s="762">
        <v>21575142</v>
      </c>
      <c r="AI22" s="762">
        <v>17260113</v>
      </c>
      <c r="AJ22" s="762">
        <v>3883525</v>
      </c>
      <c r="AK22" s="762">
        <v>431503</v>
      </c>
      <c r="AL22" s="762">
        <v>43150283</v>
      </c>
      <c r="AM22" s="762">
        <v>169065</v>
      </c>
      <c r="AN22" s="762">
        <v>169065</v>
      </c>
      <c r="AO22" s="762">
        <v>0</v>
      </c>
      <c r="AP22" s="762">
        <v>0</v>
      </c>
      <c r="AQ22" s="762">
        <v>620879</v>
      </c>
      <c r="AR22" s="762">
        <v>0</v>
      </c>
      <c r="AS22" s="762">
        <v>620879</v>
      </c>
      <c r="AT22" s="762">
        <v>0</v>
      </c>
      <c r="AU22" s="762">
        <v>0</v>
      </c>
      <c r="AV22" s="762">
        <v>0</v>
      </c>
      <c r="AW22" s="762">
        <v>0</v>
      </c>
      <c r="AX22" s="762">
        <v>0</v>
      </c>
      <c r="AY22" s="762">
        <v>0</v>
      </c>
      <c r="AZ22" s="762">
        <v>0</v>
      </c>
      <c r="BA22" s="762">
        <v>0</v>
      </c>
      <c r="BB22" s="762">
        <v>0</v>
      </c>
      <c r="BC22" s="762">
        <v>0</v>
      </c>
      <c r="BD22" s="762">
        <v>0</v>
      </c>
      <c r="BE22" s="762">
        <v>0</v>
      </c>
      <c r="BF22" s="762">
        <v>0</v>
      </c>
      <c r="BG22" s="762">
        <v>0</v>
      </c>
      <c r="BH22" s="762">
        <v>0</v>
      </c>
      <c r="BI22" s="762">
        <v>0</v>
      </c>
      <c r="BJ22" s="790">
        <v>0.5</v>
      </c>
      <c r="BK22" s="790">
        <v>0.4</v>
      </c>
      <c r="BL22" s="790">
        <v>0.09</v>
      </c>
      <c r="BM22" s="790">
        <v>0.01</v>
      </c>
      <c r="BN22" s="790">
        <v>1</v>
      </c>
      <c r="BO22" s="762">
        <v>583064</v>
      </c>
      <c r="BP22" s="762">
        <v>466452</v>
      </c>
      <c r="BQ22" s="762">
        <v>104952</v>
      </c>
      <c r="BR22" s="762">
        <v>11661</v>
      </c>
      <c r="BS22" s="762">
        <v>1166129</v>
      </c>
      <c r="BT22" s="790">
        <v>0.5</v>
      </c>
      <c r="BU22" s="790">
        <v>0.4</v>
      </c>
      <c r="BV22" s="790">
        <v>0.09</v>
      </c>
      <c r="BW22" s="790">
        <v>0.01</v>
      </c>
      <c r="BX22" s="790">
        <v>1</v>
      </c>
      <c r="BY22" s="762">
        <v>1655876</v>
      </c>
      <c r="BZ22" s="762">
        <v>1324702</v>
      </c>
      <c r="CA22" s="762">
        <v>298058</v>
      </c>
      <c r="CB22" s="762">
        <v>33118</v>
      </c>
      <c r="CC22" s="762">
        <v>3311754</v>
      </c>
      <c r="CD22" s="762">
        <v>2238942</v>
      </c>
      <c r="CE22" s="762">
        <v>1791153</v>
      </c>
      <c r="CF22" s="762">
        <v>403009</v>
      </c>
      <c r="CG22" s="762">
        <v>44779</v>
      </c>
      <c r="CH22" s="762">
        <v>4477883</v>
      </c>
      <c r="CI22" s="762">
        <v>23814084</v>
      </c>
      <c r="CJ22" s="762">
        <v>19841210</v>
      </c>
      <c r="CK22" s="762">
        <v>4286534</v>
      </c>
      <c r="CL22" s="762">
        <v>476282</v>
      </c>
      <c r="CM22" s="762">
        <v>48418110</v>
      </c>
      <c r="CN22" s="762">
        <v>582680</v>
      </c>
      <c r="CO22" s="762">
        <v>126551</v>
      </c>
      <c r="CP22" s="762">
        <v>14061</v>
      </c>
      <c r="CQ22" s="762">
        <v>723292</v>
      </c>
      <c r="CR22" s="762">
        <v>1194181</v>
      </c>
      <c r="CS22" s="762">
        <v>268691</v>
      </c>
      <c r="CT22" s="762">
        <v>29855</v>
      </c>
      <c r="CU22" s="762">
        <v>1492727</v>
      </c>
      <c r="CV22" s="762">
        <v>73535</v>
      </c>
      <c r="CW22" s="762">
        <v>16545</v>
      </c>
      <c r="CX22" s="762">
        <v>1838</v>
      </c>
      <c r="CY22" s="762">
        <v>91918</v>
      </c>
      <c r="CZ22" s="762">
        <v>3021</v>
      </c>
      <c r="DA22" s="762">
        <v>680</v>
      </c>
      <c r="DB22" s="762">
        <v>76</v>
      </c>
      <c r="DC22" s="762">
        <v>3777</v>
      </c>
      <c r="DD22" s="762">
        <v>13956</v>
      </c>
      <c r="DE22" s="762">
        <v>3140</v>
      </c>
      <c r="DF22" s="762">
        <v>349</v>
      </c>
      <c r="DG22" s="762">
        <v>17445</v>
      </c>
      <c r="DH22" s="762">
        <v>0</v>
      </c>
      <c r="DI22" s="762">
        <v>0</v>
      </c>
      <c r="DJ22" s="762">
        <v>0</v>
      </c>
      <c r="DK22" s="762">
        <v>0</v>
      </c>
      <c r="DL22" s="762">
        <v>16133</v>
      </c>
      <c r="DM22" s="762">
        <v>3630</v>
      </c>
      <c r="DN22" s="762">
        <v>403</v>
      </c>
      <c r="DO22" s="762">
        <v>20166</v>
      </c>
      <c r="DP22" s="762">
        <v>23130</v>
      </c>
      <c r="DQ22" s="762">
        <v>5204</v>
      </c>
      <c r="DR22" s="762">
        <v>578</v>
      </c>
      <c r="DS22" s="762">
        <v>28912</v>
      </c>
      <c r="DT22" s="762">
        <v>0</v>
      </c>
      <c r="DU22" s="762">
        <v>0</v>
      </c>
      <c r="DV22" s="762">
        <v>0</v>
      </c>
      <c r="DW22" s="762">
        <v>0</v>
      </c>
      <c r="DX22" s="762">
        <v>0</v>
      </c>
      <c r="DY22" s="762">
        <v>0</v>
      </c>
      <c r="DZ22" s="762">
        <v>0</v>
      </c>
      <c r="EA22" s="762">
        <v>0</v>
      </c>
      <c r="EB22" s="762">
        <v>371731</v>
      </c>
      <c r="EC22" s="762">
        <v>83640</v>
      </c>
      <c r="ED22" s="762">
        <v>9293</v>
      </c>
      <c r="EE22" s="762">
        <v>464664</v>
      </c>
      <c r="EF22" s="762">
        <v>2278367</v>
      </c>
      <c r="EG22" s="762">
        <v>508081</v>
      </c>
      <c r="EH22" s="762">
        <v>56453</v>
      </c>
      <c r="EI22" s="799">
        <v>2842901</v>
      </c>
      <c r="EJ22" s="763" t="s">
        <v>707</v>
      </c>
      <c r="EK22" s="607" t="s">
        <v>608</v>
      </c>
      <c r="EL22" s="805" t="s">
        <v>607</v>
      </c>
      <c r="EM22" t="s">
        <v>1588</v>
      </c>
    </row>
    <row r="23" spans="1:143" ht="12.75" x14ac:dyDescent="0.2">
      <c r="A23" s="764">
        <v>16</v>
      </c>
      <c r="B23" s="765" t="s">
        <v>710</v>
      </c>
      <c r="C23" s="766" t="s">
        <v>529</v>
      </c>
      <c r="D23" s="767" t="s">
        <v>1226</v>
      </c>
      <c r="E23" s="768" t="s">
        <v>904</v>
      </c>
      <c r="F23" s="761">
        <v>66307132</v>
      </c>
      <c r="G23" s="762">
        <v>0</v>
      </c>
      <c r="H23" s="762">
        <v>250973</v>
      </c>
      <c r="I23" s="762">
        <v>265444</v>
      </c>
      <c r="J23" s="762">
        <v>0</v>
      </c>
      <c r="K23" s="762">
        <v>265444</v>
      </c>
      <c r="L23" s="762">
        <v>0</v>
      </c>
      <c r="M23" s="762">
        <v>299460</v>
      </c>
      <c r="N23" s="762">
        <v>37493</v>
      </c>
      <c r="O23" s="762">
        <v>37493</v>
      </c>
      <c r="P23" s="762">
        <v>0</v>
      </c>
      <c r="Q23" s="762">
        <v>0</v>
      </c>
      <c r="R23" s="762">
        <v>65453762</v>
      </c>
      <c r="S23" s="790">
        <v>0</v>
      </c>
      <c r="T23" s="790">
        <v>0.94</v>
      </c>
      <c r="U23" s="790">
        <v>0.05</v>
      </c>
      <c r="V23" s="790">
        <v>0.01</v>
      </c>
      <c r="W23" s="790">
        <v>1</v>
      </c>
      <c r="X23" s="762">
        <v>0</v>
      </c>
      <c r="Y23" s="762">
        <v>61526536</v>
      </c>
      <c r="Z23" s="762">
        <v>3272688</v>
      </c>
      <c r="AA23" s="762">
        <v>654538</v>
      </c>
      <c r="AB23" s="762">
        <v>65453762</v>
      </c>
      <c r="AC23" s="762">
        <v>0</v>
      </c>
      <c r="AD23" s="762">
        <v>0</v>
      </c>
      <c r="AE23" s="762">
        <v>0</v>
      </c>
      <c r="AF23" s="762">
        <v>0</v>
      </c>
      <c r="AG23" s="762">
        <v>0</v>
      </c>
      <c r="AH23" s="762">
        <v>0</v>
      </c>
      <c r="AI23" s="762">
        <v>61526536</v>
      </c>
      <c r="AJ23" s="762">
        <v>3272688</v>
      </c>
      <c r="AK23" s="762">
        <v>654538</v>
      </c>
      <c r="AL23" s="762">
        <v>65453762</v>
      </c>
      <c r="AM23" s="762">
        <v>265444</v>
      </c>
      <c r="AN23" s="762">
        <v>265444</v>
      </c>
      <c r="AO23" s="762">
        <v>299460</v>
      </c>
      <c r="AP23" s="762">
        <v>299460</v>
      </c>
      <c r="AQ23" s="762">
        <v>37493</v>
      </c>
      <c r="AR23" s="762">
        <v>0</v>
      </c>
      <c r="AS23" s="762">
        <v>37493</v>
      </c>
      <c r="AT23" s="762">
        <v>0</v>
      </c>
      <c r="AU23" s="762">
        <v>0</v>
      </c>
      <c r="AV23" s="762">
        <v>0</v>
      </c>
      <c r="AW23" s="762">
        <v>0</v>
      </c>
      <c r="AX23" s="762">
        <v>0</v>
      </c>
      <c r="AY23" s="762">
        <v>0</v>
      </c>
      <c r="AZ23" s="762">
        <v>0</v>
      </c>
      <c r="BA23" s="762">
        <v>0</v>
      </c>
      <c r="BB23" s="762">
        <v>0</v>
      </c>
      <c r="BC23" s="762">
        <v>0</v>
      </c>
      <c r="BD23" s="762">
        <v>0</v>
      </c>
      <c r="BE23" s="762">
        <v>0</v>
      </c>
      <c r="BF23" s="762">
        <v>0</v>
      </c>
      <c r="BG23" s="762">
        <v>0</v>
      </c>
      <c r="BH23" s="762">
        <v>0</v>
      </c>
      <c r="BI23" s="762">
        <v>0</v>
      </c>
      <c r="BJ23" s="790">
        <v>0</v>
      </c>
      <c r="BK23" s="790">
        <v>0.94</v>
      </c>
      <c r="BL23" s="790">
        <v>0.05</v>
      </c>
      <c r="BM23" s="790">
        <v>0.01</v>
      </c>
      <c r="BN23" s="790">
        <v>1</v>
      </c>
      <c r="BO23" s="762">
        <v>-1</v>
      </c>
      <c r="BP23" s="762">
        <v>-532550</v>
      </c>
      <c r="BQ23" s="762">
        <v>-28327</v>
      </c>
      <c r="BR23" s="762">
        <v>-5665</v>
      </c>
      <c r="BS23" s="762">
        <v>-566543</v>
      </c>
      <c r="BT23" s="790">
        <v>0</v>
      </c>
      <c r="BU23" s="790">
        <v>0.94</v>
      </c>
      <c r="BV23" s="790">
        <v>0.05</v>
      </c>
      <c r="BW23" s="790">
        <v>0.01</v>
      </c>
      <c r="BX23" s="790">
        <v>1</v>
      </c>
      <c r="BY23" s="762">
        <v>0</v>
      </c>
      <c r="BZ23" s="762">
        <v>258529</v>
      </c>
      <c r="CA23" s="762">
        <v>13752</v>
      </c>
      <c r="CB23" s="762">
        <v>2750</v>
      </c>
      <c r="CC23" s="762">
        <v>275031</v>
      </c>
      <c r="CD23" s="762">
        <v>-1</v>
      </c>
      <c r="CE23" s="762">
        <v>-274021</v>
      </c>
      <c r="CF23" s="762">
        <v>-14575</v>
      </c>
      <c r="CG23" s="762">
        <v>-2915</v>
      </c>
      <c r="CH23" s="762">
        <v>-291512</v>
      </c>
      <c r="CI23" s="762">
        <v>-1</v>
      </c>
      <c r="CJ23" s="762">
        <v>61854912</v>
      </c>
      <c r="CK23" s="762">
        <v>3258113</v>
      </c>
      <c r="CL23" s="762">
        <v>651623</v>
      </c>
      <c r="CM23" s="762">
        <v>65764647</v>
      </c>
      <c r="CN23" s="762">
        <v>2015918</v>
      </c>
      <c r="CO23" s="762">
        <v>106646</v>
      </c>
      <c r="CP23" s="762">
        <v>21329</v>
      </c>
      <c r="CQ23" s="762">
        <v>2143893</v>
      </c>
      <c r="CR23" s="762">
        <v>4514204</v>
      </c>
      <c r="CS23" s="762">
        <v>235396</v>
      </c>
      <c r="CT23" s="762">
        <v>47079</v>
      </c>
      <c r="CU23" s="762">
        <v>4796679</v>
      </c>
      <c r="CV23" s="762">
        <v>348626</v>
      </c>
      <c r="CW23" s="762">
        <v>17724</v>
      </c>
      <c r="CX23" s="762">
        <v>3545</v>
      </c>
      <c r="CY23" s="762">
        <v>369895</v>
      </c>
      <c r="CZ23" s="762">
        <v>3384</v>
      </c>
      <c r="DA23" s="762">
        <v>180</v>
      </c>
      <c r="DB23" s="762">
        <v>36</v>
      </c>
      <c r="DC23" s="762">
        <v>3600</v>
      </c>
      <c r="DD23" s="762">
        <v>19312</v>
      </c>
      <c r="DE23" s="762">
        <v>1027</v>
      </c>
      <c r="DF23" s="762">
        <v>205</v>
      </c>
      <c r="DG23" s="762">
        <v>20544</v>
      </c>
      <c r="DH23" s="762">
        <v>0</v>
      </c>
      <c r="DI23" s="762">
        <v>0</v>
      </c>
      <c r="DJ23" s="762">
        <v>0</v>
      </c>
      <c r="DK23" s="762">
        <v>0</v>
      </c>
      <c r="DL23" s="762">
        <v>25054</v>
      </c>
      <c r="DM23" s="762">
        <v>1333</v>
      </c>
      <c r="DN23" s="762">
        <v>267</v>
      </c>
      <c r="DO23" s="762">
        <v>26654</v>
      </c>
      <c r="DP23" s="762">
        <v>75841</v>
      </c>
      <c r="DQ23" s="762">
        <v>3917</v>
      </c>
      <c r="DR23" s="762">
        <v>783</v>
      </c>
      <c r="DS23" s="762">
        <v>80541</v>
      </c>
      <c r="DT23" s="762">
        <v>146702</v>
      </c>
      <c r="DU23" s="762">
        <v>0</v>
      </c>
      <c r="DV23" s="762">
        <v>0</v>
      </c>
      <c r="DW23" s="762">
        <v>146702</v>
      </c>
      <c r="DX23" s="762">
        <v>0</v>
      </c>
      <c r="DY23" s="762">
        <v>0</v>
      </c>
      <c r="DZ23" s="762">
        <v>0</v>
      </c>
      <c r="EA23" s="762">
        <v>0</v>
      </c>
      <c r="EB23" s="762">
        <v>1789251</v>
      </c>
      <c r="EC23" s="762">
        <v>89096</v>
      </c>
      <c r="ED23" s="762">
        <v>17819</v>
      </c>
      <c r="EE23" s="762">
        <v>1896166</v>
      </c>
      <c r="EF23" s="762">
        <v>8938292</v>
      </c>
      <c r="EG23" s="762">
        <v>455319</v>
      </c>
      <c r="EH23" s="762">
        <v>91063</v>
      </c>
      <c r="EI23" s="799">
        <v>9484674</v>
      </c>
      <c r="EJ23" s="763" t="s">
        <v>904</v>
      </c>
      <c r="EK23" s="607" t="s">
        <v>529</v>
      </c>
      <c r="EL23" s="805" t="s">
        <v>530</v>
      </c>
      <c r="EM23" t="s">
        <v>1589</v>
      </c>
    </row>
    <row r="24" spans="1:143" ht="12.75" x14ac:dyDescent="0.2">
      <c r="A24" s="764">
        <v>17</v>
      </c>
      <c r="B24" s="765" t="s">
        <v>712</v>
      </c>
      <c r="C24" s="766" t="s">
        <v>529</v>
      </c>
      <c r="D24" s="767" t="s">
        <v>1221</v>
      </c>
      <c r="E24" s="768" t="s">
        <v>711</v>
      </c>
      <c r="F24" s="761">
        <v>66707331</v>
      </c>
      <c r="G24" s="762">
        <v>0</v>
      </c>
      <c r="H24" s="762">
        <v>1730951</v>
      </c>
      <c r="I24" s="762">
        <v>231924</v>
      </c>
      <c r="J24" s="762">
        <v>0</v>
      </c>
      <c r="K24" s="762">
        <v>231924</v>
      </c>
      <c r="L24" s="762">
        <v>0</v>
      </c>
      <c r="M24" s="762">
        <v>0</v>
      </c>
      <c r="N24" s="762">
        <v>625723</v>
      </c>
      <c r="O24" s="762">
        <v>625723</v>
      </c>
      <c r="P24" s="762">
        <v>0</v>
      </c>
      <c r="Q24" s="762">
        <v>0</v>
      </c>
      <c r="R24" s="762">
        <v>64118733</v>
      </c>
      <c r="S24" s="790">
        <v>0.5</v>
      </c>
      <c r="T24" s="790">
        <v>0.49</v>
      </c>
      <c r="U24" s="790">
        <v>0</v>
      </c>
      <c r="V24" s="790">
        <v>0.01</v>
      </c>
      <c r="W24" s="790">
        <v>1</v>
      </c>
      <c r="X24" s="762">
        <v>32059367</v>
      </c>
      <c r="Y24" s="762">
        <v>31418179</v>
      </c>
      <c r="Z24" s="762">
        <v>0</v>
      </c>
      <c r="AA24" s="762">
        <v>641187</v>
      </c>
      <c r="AB24" s="762">
        <v>64118733</v>
      </c>
      <c r="AC24" s="762">
        <v>0</v>
      </c>
      <c r="AD24" s="762">
        <v>0</v>
      </c>
      <c r="AE24" s="762">
        <v>0</v>
      </c>
      <c r="AF24" s="762">
        <v>0</v>
      </c>
      <c r="AG24" s="762">
        <v>0</v>
      </c>
      <c r="AH24" s="762">
        <v>32059367</v>
      </c>
      <c r="AI24" s="762">
        <v>31418179</v>
      </c>
      <c r="AJ24" s="762">
        <v>0</v>
      </c>
      <c r="AK24" s="762">
        <v>641187</v>
      </c>
      <c r="AL24" s="762">
        <v>64118733</v>
      </c>
      <c r="AM24" s="762">
        <v>231924</v>
      </c>
      <c r="AN24" s="762">
        <v>231924</v>
      </c>
      <c r="AO24" s="762">
        <v>0</v>
      </c>
      <c r="AP24" s="762">
        <v>0</v>
      </c>
      <c r="AQ24" s="762">
        <v>625723</v>
      </c>
      <c r="AR24" s="762">
        <v>0</v>
      </c>
      <c r="AS24" s="762">
        <v>625723</v>
      </c>
      <c r="AT24" s="762">
        <v>0</v>
      </c>
      <c r="AU24" s="762">
        <v>0</v>
      </c>
      <c r="AV24" s="762">
        <v>0</v>
      </c>
      <c r="AW24" s="762">
        <v>0</v>
      </c>
      <c r="AX24" s="762">
        <v>0</v>
      </c>
      <c r="AY24" s="762">
        <v>0</v>
      </c>
      <c r="AZ24" s="762">
        <v>0</v>
      </c>
      <c r="BA24" s="762">
        <v>0</v>
      </c>
      <c r="BB24" s="762">
        <v>0</v>
      </c>
      <c r="BC24" s="762">
        <v>0</v>
      </c>
      <c r="BD24" s="762">
        <v>0</v>
      </c>
      <c r="BE24" s="762">
        <v>0</v>
      </c>
      <c r="BF24" s="762">
        <v>0</v>
      </c>
      <c r="BG24" s="762">
        <v>0</v>
      </c>
      <c r="BH24" s="762">
        <v>0</v>
      </c>
      <c r="BI24" s="762">
        <v>0</v>
      </c>
      <c r="BJ24" s="790">
        <v>0.5</v>
      </c>
      <c r="BK24" s="790">
        <v>0.49</v>
      </c>
      <c r="BL24" s="790">
        <v>0</v>
      </c>
      <c r="BM24" s="790">
        <v>0.01</v>
      </c>
      <c r="BN24" s="790">
        <v>1</v>
      </c>
      <c r="BO24" s="762">
        <v>-48733</v>
      </c>
      <c r="BP24" s="762">
        <v>-47759</v>
      </c>
      <c r="BQ24" s="762">
        <v>0</v>
      </c>
      <c r="BR24" s="762">
        <v>-975</v>
      </c>
      <c r="BS24" s="762">
        <v>-97467</v>
      </c>
      <c r="BT24" s="790">
        <v>0.5</v>
      </c>
      <c r="BU24" s="790">
        <v>0.49</v>
      </c>
      <c r="BV24" s="790">
        <v>0</v>
      </c>
      <c r="BW24" s="790">
        <v>0.01</v>
      </c>
      <c r="BX24" s="790">
        <v>1</v>
      </c>
      <c r="BY24" s="762">
        <v>-412729</v>
      </c>
      <c r="BZ24" s="762">
        <v>-404474</v>
      </c>
      <c r="CA24" s="762">
        <v>0</v>
      </c>
      <c r="CB24" s="762">
        <v>-8255</v>
      </c>
      <c r="CC24" s="762">
        <v>-825458</v>
      </c>
      <c r="CD24" s="762">
        <v>-461463</v>
      </c>
      <c r="CE24" s="762">
        <v>-452233</v>
      </c>
      <c r="CF24" s="762">
        <v>0</v>
      </c>
      <c r="CG24" s="762">
        <v>-9229</v>
      </c>
      <c r="CH24" s="762">
        <v>-922925</v>
      </c>
      <c r="CI24" s="762">
        <v>31597904</v>
      </c>
      <c r="CJ24" s="762">
        <v>31823593</v>
      </c>
      <c r="CK24" s="762">
        <v>0</v>
      </c>
      <c r="CL24" s="762">
        <v>631958</v>
      </c>
      <c r="CM24" s="762">
        <v>64053455</v>
      </c>
      <c r="CN24" s="762">
        <v>1044200</v>
      </c>
      <c r="CO24" s="762">
        <v>0</v>
      </c>
      <c r="CP24" s="762">
        <v>20894</v>
      </c>
      <c r="CQ24" s="762">
        <v>1065094</v>
      </c>
      <c r="CR24" s="762">
        <v>1968105</v>
      </c>
      <c r="CS24" s="762">
        <v>0</v>
      </c>
      <c r="CT24" s="762">
        <v>40165</v>
      </c>
      <c r="CU24" s="762">
        <v>2008270</v>
      </c>
      <c r="CV24" s="762">
        <v>131022</v>
      </c>
      <c r="CW24" s="762">
        <v>0</v>
      </c>
      <c r="CX24" s="762">
        <v>2674</v>
      </c>
      <c r="CY24" s="762">
        <v>133696</v>
      </c>
      <c r="CZ24" s="762">
        <v>6297</v>
      </c>
      <c r="DA24" s="762">
        <v>0</v>
      </c>
      <c r="DB24" s="762">
        <v>129</v>
      </c>
      <c r="DC24" s="762">
        <v>6426</v>
      </c>
      <c r="DD24" s="762">
        <v>16097</v>
      </c>
      <c r="DE24" s="762">
        <v>0</v>
      </c>
      <c r="DF24" s="762">
        <v>329</v>
      </c>
      <c r="DG24" s="762">
        <v>16426</v>
      </c>
      <c r="DH24" s="762">
        <v>0</v>
      </c>
      <c r="DI24" s="762">
        <v>0</v>
      </c>
      <c r="DJ24" s="762">
        <v>0</v>
      </c>
      <c r="DK24" s="762">
        <v>0</v>
      </c>
      <c r="DL24" s="762">
        <v>7616</v>
      </c>
      <c r="DM24" s="762">
        <v>0</v>
      </c>
      <c r="DN24" s="762">
        <v>155</v>
      </c>
      <c r="DO24" s="762">
        <v>7771</v>
      </c>
      <c r="DP24" s="762">
        <v>21757</v>
      </c>
      <c r="DQ24" s="762">
        <v>0</v>
      </c>
      <c r="DR24" s="762">
        <v>444</v>
      </c>
      <c r="DS24" s="762">
        <v>22201</v>
      </c>
      <c r="DT24" s="762">
        <v>0</v>
      </c>
      <c r="DU24" s="762">
        <v>0</v>
      </c>
      <c r="DV24" s="762">
        <v>0</v>
      </c>
      <c r="DW24" s="762">
        <v>0</v>
      </c>
      <c r="DX24" s="762">
        <v>0</v>
      </c>
      <c r="DY24" s="762">
        <v>0</v>
      </c>
      <c r="DZ24" s="762">
        <v>0</v>
      </c>
      <c r="EA24" s="762">
        <v>0</v>
      </c>
      <c r="EB24" s="762">
        <v>0</v>
      </c>
      <c r="EC24" s="762">
        <v>0</v>
      </c>
      <c r="ED24" s="762">
        <v>0</v>
      </c>
      <c r="EE24" s="762">
        <v>0</v>
      </c>
      <c r="EF24" s="762">
        <v>3195094</v>
      </c>
      <c r="EG24" s="762">
        <v>0</v>
      </c>
      <c r="EH24" s="762">
        <v>64790</v>
      </c>
      <c r="EI24" s="799">
        <v>3259884</v>
      </c>
      <c r="EJ24" s="763" t="s">
        <v>711</v>
      </c>
      <c r="EK24" s="607" t="s">
        <v>529</v>
      </c>
      <c r="EL24" s="805" t="s">
        <v>535</v>
      </c>
      <c r="EM24" t="s">
        <v>1590</v>
      </c>
    </row>
    <row r="25" spans="1:143" ht="12.75" x14ac:dyDescent="0.2">
      <c r="A25" s="764">
        <v>18</v>
      </c>
      <c r="B25" s="765" t="s">
        <v>714</v>
      </c>
      <c r="C25" s="766" t="s">
        <v>1222</v>
      </c>
      <c r="D25" s="767" t="s">
        <v>1223</v>
      </c>
      <c r="E25" s="768" t="s">
        <v>713</v>
      </c>
      <c r="F25" s="761">
        <v>71398389</v>
      </c>
      <c r="G25" s="762">
        <v>0</v>
      </c>
      <c r="H25" s="762">
        <v>183121</v>
      </c>
      <c r="I25" s="762">
        <v>248651</v>
      </c>
      <c r="J25" s="762">
        <v>0</v>
      </c>
      <c r="K25" s="762">
        <v>248651</v>
      </c>
      <c r="L25" s="762">
        <v>0</v>
      </c>
      <c r="M25" s="762">
        <v>0</v>
      </c>
      <c r="N25" s="762">
        <v>0</v>
      </c>
      <c r="O25" s="762">
        <v>0</v>
      </c>
      <c r="P25" s="762">
        <v>0</v>
      </c>
      <c r="Q25" s="762">
        <v>0</v>
      </c>
      <c r="R25" s="762">
        <v>70966617</v>
      </c>
      <c r="S25" s="790">
        <v>0.25</v>
      </c>
      <c r="T25" s="790">
        <v>0.48</v>
      </c>
      <c r="U25" s="790">
        <v>0.27</v>
      </c>
      <c r="V25" s="790">
        <v>0</v>
      </c>
      <c r="W25" s="790">
        <v>1</v>
      </c>
      <c r="X25" s="762">
        <v>17741654</v>
      </c>
      <c r="Y25" s="762">
        <v>34063976</v>
      </c>
      <c r="Z25" s="762">
        <v>19160987</v>
      </c>
      <c r="AA25" s="762">
        <v>0</v>
      </c>
      <c r="AB25" s="762">
        <v>70966617</v>
      </c>
      <c r="AC25" s="762">
        <v>0</v>
      </c>
      <c r="AD25" s="762">
        <v>0</v>
      </c>
      <c r="AE25" s="762">
        <v>0</v>
      </c>
      <c r="AF25" s="762">
        <v>0</v>
      </c>
      <c r="AG25" s="762">
        <v>0</v>
      </c>
      <c r="AH25" s="762">
        <v>17741654</v>
      </c>
      <c r="AI25" s="762">
        <v>34063976</v>
      </c>
      <c r="AJ25" s="762">
        <v>19160987</v>
      </c>
      <c r="AK25" s="762">
        <v>0</v>
      </c>
      <c r="AL25" s="762">
        <v>70966617</v>
      </c>
      <c r="AM25" s="762">
        <v>248651</v>
      </c>
      <c r="AN25" s="762">
        <v>248651</v>
      </c>
      <c r="AO25" s="762">
        <v>0</v>
      </c>
      <c r="AP25" s="762">
        <v>0</v>
      </c>
      <c r="AQ25" s="762">
        <v>0</v>
      </c>
      <c r="AR25" s="762">
        <v>0</v>
      </c>
      <c r="AS25" s="762">
        <v>0</v>
      </c>
      <c r="AT25" s="762">
        <v>0</v>
      </c>
      <c r="AU25" s="762">
        <v>0</v>
      </c>
      <c r="AV25" s="762">
        <v>0</v>
      </c>
      <c r="AW25" s="762">
        <v>0</v>
      </c>
      <c r="AX25" s="762">
        <v>0</v>
      </c>
      <c r="AY25" s="762">
        <v>0</v>
      </c>
      <c r="AZ25" s="762">
        <v>0</v>
      </c>
      <c r="BA25" s="762">
        <v>0</v>
      </c>
      <c r="BB25" s="762">
        <v>0</v>
      </c>
      <c r="BC25" s="762">
        <v>0</v>
      </c>
      <c r="BD25" s="762">
        <v>0</v>
      </c>
      <c r="BE25" s="762">
        <v>0</v>
      </c>
      <c r="BF25" s="762">
        <v>0</v>
      </c>
      <c r="BG25" s="762">
        <v>0</v>
      </c>
      <c r="BH25" s="762">
        <v>0</v>
      </c>
      <c r="BI25" s="762">
        <v>0</v>
      </c>
      <c r="BJ25" s="790">
        <v>0</v>
      </c>
      <c r="BK25" s="790">
        <v>0.64</v>
      </c>
      <c r="BL25" s="790">
        <v>0.36</v>
      </c>
      <c r="BM25" s="790">
        <v>0</v>
      </c>
      <c r="BN25" s="790">
        <v>1</v>
      </c>
      <c r="BO25" s="762">
        <v>0</v>
      </c>
      <c r="BP25" s="762">
        <v>-165336</v>
      </c>
      <c r="BQ25" s="762">
        <v>-93002</v>
      </c>
      <c r="BR25" s="762">
        <v>0</v>
      </c>
      <c r="BS25" s="762">
        <v>-258338</v>
      </c>
      <c r="BT25" s="790">
        <v>0.33</v>
      </c>
      <c r="BU25" s="790">
        <v>0.3</v>
      </c>
      <c r="BV25" s="790">
        <v>0.37</v>
      </c>
      <c r="BW25" s="790">
        <v>0</v>
      </c>
      <c r="BX25" s="790">
        <v>1</v>
      </c>
      <c r="BY25" s="762">
        <v>1404014</v>
      </c>
      <c r="BZ25" s="762">
        <v>1276376</v>
      </c>
      <c r="CA25" s="762">
        <v>1574197</v>
      </c>
      <c r="CB25" s="762">
        <v>0</v>
      </c>
      <c r="CC25" s="762">
        <v>4254587</v>
      </c>
      <c r="CD25" s="762">
        <v>1404014</v>
      </c>
      <c r="CE25" s="762">
        <v>1111040</v>
      </c>
      <c r="CF25" s="762">
        <v>1481195</v>
      </c>
      <c r="CG25" s="762">
        <v>0</v>
      </c>
      <c r="CH25" s="762">
        <v>3996249</v>
      </c>
      <c r="CI25" s="762">
        <v>19145668</v>
      </c>
      <c r="CJ25" s="762">
        <v>35423667</v>
      </c>
      <c r="CK25" s="762">
        <v>20642182</v>
      </c>
      <c r="CL25" s="762">
        <v>0</v>
      </c>
      <c r="CM25" s="762">
        <v>75211517</v>
      </c>
      <c r="CN25" s="762">
        <v>1110028</v>
      </c>
      <c r="CO25" s="762">
        <v>624391</v>
      </c>
      <c r="CP25" s="762">
        <v>0</v>
      </c>
      <c r="CQ25" s="762">
        <v>1734419</v>
      </c>
      <c r="CR25" s="762">
        <v>2285834</v>
      </c>
      <c r="CS25" s="762">
        <v>1285781</v>
      </c>
      <c r="CT25" s="762">
        <v>0</v>
      </c>
      <c r="CU25" s="762">
        <v>3571615</v>
      </c>
      <c r="CV25" s="762">
        <v>113731</v>
      </c>
      <c r="CW25" s="762">
        <v>63974</v>
      </c>
      <c r="CX25" s="762">
        <v>0</v>
      </c>
      <c r="CY25" s="762">
        <v>177705</v>
      </c>
      <c r="CZ25" s="762">
        <v>0</v>
      </c>
      <c r="DA25" s="762">
        <v>0</v>
      </c>
      <c r="DB25" s="762">
        <v>0</v>
      </c>
      <c r="DC25" s="762">
        <v>0</v>
      </c>
      <c r="DD25" s="762">
        <v>0</v>
      </c>
      <c r="DE25" s="762">
        <v>0</v>
      </c>
      <c r="DF25" s="762">
        <v>0</v>
      </c>
      <c r="DG25" s="762">
        <v>0</v>
      </c>
      <c r="DH25" s="762">
        <v>0</v>
      </c>
      <c r="DI25" s="762">
        <v>0</v>
      </c>
      <c r="DJ25" s="762">
        <v>0</v>
      </c>
      <c r="DK25" s="762">
        <v>0</v>
      </c>
      <c r="DL25" s="762">
        <v>16895</v>
      </c>
      <c r="DM25" s="762">
        <v>9503</v>
      </c>
      <c r="DN25" s="762">
        <v>0</v>
      </c>
      <c r="DO25" s="762">
        <v>26398</v>
      </c>
      <c r="DP25" s="762">
        <v>54362</v>
      </c>
      <c r="DQ25" s="762">
        <v>30579</v>
      </c>
      <c r="DR25" s="762">
        <v>0</v>
      </c>
      <c r="DS25" s="762">
        <v>84941</v>
      </c>
      <c r="DT25" s="762">
        <v>0</v>
      </c>
      <c r="DU25" s="762">
        <v>0</v>
      </c>
      <c r="DV25" s="762">
        <v>0</v>
      </c>
      <c r="DW25" s="762">
        <v>0</v>
      </c>
      <c r="DX25" s="762">
        <v>0</v>
      </c>
      <c r="DY25" s="762">
        <v>0</v>
      </c>
      <c r="DZ25" s="762">
        <v>0</v>
      </c>
      <c r="EA25" s="762">
        <v>0</v>
      </c>
      <c r="EB25" s="762">
        <v>756843</v>
      </c>
      <c r="EC25" s="762">
        <v>425724</v>
      </c>
      <c r="ED25" s="762">
        <v>0</v>
      </c>
      <c r="EE25" s="762">
        <v>1182567</v>
      </c>
      <c r="EF25" s="762">
        <v>4337693</v>
      </c>
      <c r="EG25" s="762">
        <v>2439952</v>
      </c>
      <c r="EH25" s="762">
        <v>0</v>
      </c>
      <c r="EI25" s="799">
        <v>6777645</v>
      </c>
      <c r="EJ25" s="763" t="s">
        <v>713</v>
      </c>
      <c r="EK25" s="607" t="s">
        <v>628</v>
      </c>
      <c r="EL25" s="272" t="s">
        <v>528</v>
      </c>
      <c r="EM25" t="s">
        <v>1591</v>
      </c>
    </row>
    <row r="26" spans="1:143" ht="12.75" x14ac:dyDescent="0.2">
      <c r="A26" s="764">
        <v>19</v>
      </c>
      <c r="B26" s="765" t="s">
        <v>716</v>
      </c>
      <c r="C26" s="766" t="s">
        <v>1224</v>
      </c>
      <c r="D26" s="767" t="s">
        <v>1227</v>
      </c>
      <c r="E26" s="768" t="s">
        <v>715</v>
      </c>
      <c r="F26" s="761">
        <v>449397537</v>
      </c>
      <c r="G26" s="762">
        <v>0</v>
      </c>
      <c r="H26" s="762">
        <v>2136500</v>
      </c>
      <c r="I26" s="762">
        <v>1843987</v>
      </c>
      <c r="J26" s="762">
        <v>0</v>
      </c>
      <c r="K26" s="762">
        <v>1843987</v>
      </c>
      <c r="L26" s="762">
        <v>0</v>
      </c>
      <c r="M26" s="762">
        <v>3933223</v>
      </c>
      <c r="N26" s="762">
        <v>0</v>
      </c>
      <c r="O26" s="762">
        <v>0</v>
      </c>
      <c r="P26" s="762">
        <v>0</v>
      </c>
      <c r="Q26" s="762">
        <v>0</v>
      </c>
      <c r="R26" s="762">
        <v>441483827</v>
      </c>
      <c r="S26" s="790">
        <v>0</v>
      </c>
      <c r="T26" s="790">
        <v>0.99</v>
      </c>
      <c r="U26" s="790">
        <v>0</v>
      </c>
      <c r="V26" s="790">
        <v>0.01</v>
      </c>
      <c r="W26" s="790">
        <v>1</v>
      </c>
      <c r="X26" s="762">
        <v>0</v>
      </c>
      <c r="Y26" s="762">
        <v>437068989</v>
      </c>
      <c r="Z26" s="762">
        <v>0</v>
      </c>
      <c r="AA26" s="762">
        <v>4414838</v>
      </c>
      <c r="AB26" s="762">
        <v>441483827</v>
      </c>
      <c r="AC26" s="762">
        <v>0</v>
      </c>
      <c r="AD26" s="762">
        <v>0</v>
      </c>
      <c r="AE26" s="762">
        <v>0</v>
      </c>
      <c r="AF26" s="762">
        <v>0</v>
      </c>
      <c r="AG26" s="762">
        <v>0</v>
      </c>
      <c r="AH26" s="762">
        <v>0</v>
      </c>
      <c r="AI26" s="762">
        <v>437068989</v>
      </c>
      <c r="AJ26" s="762">
        <v>0</v>
      </c>
      <c r="AK26" s="762">
        <v>4414838</v>
      </c>
      <c r="AL26" s="762">
        <v>441483827</v>
      </c>
      <c r="AM26" s="762">
        <v>1843987</v>
      </c>
      <c r="AN26" s="762">
        <v>1843987</v>
      </c>
      <c r="AO26" s="762">
        <v>3933223</v>
      </c>
      <c r="AP26" s="762">
        <v>3933223</v>
      </c>
      <c r="AQ26" s="762">
        <v>0</v>
      </c>
      <c r="AR26" s="762">
        <v>0</v>
      </c>
      <c r="AS26" s="762">
        <v>0</v>
      </c>
      <c r="AT26" s="762">
        <v>0</v>
      </c>
      <c r="AU26" s="762">
        <v>0</v>
      </c>
      <c r="AV26" s="762">
        <v>0</v>
      </c>
      <c r="AW26" s="762">
        <v>0</v>
      </c>
      <c r="AX26" s="762">
        <v>0</v>
      </c>
      <c r="AY26" s="762">
        <v>0</v>
      </c>
      <c r="AZ26" s="762">
        <v>0</v>
      </c>
      <c r="BA26" s="762">
        <v>0</v>
      </c>
      <c r="BB26" s="762">
        <v>0</v>
      </c>
      <c r="BC26" s="762">
        <v>0</v>
      </c>
      <c r="BD26" s="762">
        <v>0</v>
      </c>
      <c r="BE26" s="762">
        <v>0</v>
      </c>
      <c r="BF26" s="762">
        <v>0</v>
      </c>
      <c r="BG26" s="762">
        <v>0</v>
      </c>
      <c r="BH26" s="762">
        <v>0</v>
      </c>
      <c r="BI26" s="762">
        <v>0</v>
      </c>
      <c r="BJ26" s="790">
        <v>0</v>
      </c>
      <c r="BK26" s="790">
        <v>0.99</v>
      </c>
      <c r="BL26" s="790">
        <v>0</v>
      </c>
      <c r="BM26" s="790">
        <v>0.01</v>
      </c>
      <c r="BN26" s="790">
        <v>1</v>
      </c>
      <c r="BO26" s="762">
        <v>0</v>
      </c>
      <c r="BP26" s="762">
        <v>11376631</v>
      </c>
      <c r="BQ26" s="762">
        <v>0</v>
      </c>
      <c r="BR26" s="762">
        <v>114915</v>
      </c>
      <c r="BS26" s="762">
        <v>11491546</v>
      </c>
      <c r="BT26" s="790">
        <v>0</v>
      </c>
      <c r="BU26" s="790">
        <v>0.99</v>
      </c>
      <c r="BV26" s="790">
        <v>0</v>
      </c>
      <c r="BW26" s="790">
        <v>0.01</v>
      </c>
      <c r="BX26" s="790">
        <v>1</v>
      </c>
      <c r="BY26" s="762">
        <v>0</v>
      </c>
      <c r="BZ26" s="762">
        <v>1303669</v>
      </c>
      <c r="CA26" s="762">
        <v>0</v>
      </c>
      <c r="CB26" s="762">
        <v>13168</v>
      </c>
      <c r="CC26" s="762">
        <v>1316837</v>
      </c>
      <c r="CD26" s="762">
        <v>0</v>
      </c>
      <c r="CE26" s="762">
        <v>12680300</v>
      </c>
      <c r="CF26" s="762">
        <v>0</v>
      </c>
      <c r="CG26" s="762">
        <v>128083</v>
      </c>
      <c r="CH26" s="762">
        <v>12808383</v>
      </c>
      <c r="CI26" s="762">
        <v>0</v>
      </c>
      <c r="CJ26" s="762">
        <v>455526499</v>
      </c>
      <c r="CK26" s="762">
        <v>0</v>
      </c>
      <c r="CL26" s="762">
        <v>4542921</v>
      </c>
      <c r="CM26" s="762">
        <v>460069420</v>
      </c>
      <c r="CN26" s="762">
        <v>14370744</v>
      </c>
      <c r="CO26" s="762">
        <v>0</v>
      </c>
      <c r="CP26" s="762">
        <v>143864</v>
      </c>
      <c r="CQ26" s="762">
        <v>14514608</v>
      </c>
      <c r="CR26" s="762">
        <v>26556160</v>
      </c>
      <c r="CS26" s="762">
        <v>0</v>
      </c>
      <c r="CT26" s="762">
        <v>262690</v>
      </c>
      <c r="CU26" s="762">
        <v>26818850</v>
      </c>
      <c r="CV26" s="762">
        <v>1753341</v>
      </c>
      <c r="CW26" s="762">
        <v>0</v>
      </c>
      <c r="CX26" s="762">
        <v>17205</v>
      </c>
      <c r="CY26" s="762">
        <v>1770546</v>
      </c>
      <c r="CZ26" s="762">
        <v>0</v>
      </c>
      <c r="DA26" s="762">
        <v>0</v>
      </c>
      <c r="DB26" s="762">
        <v>0</v>
      </c>
      <c r="DC26" s="762">
        <v>0</v>
      </c>
      <c r="DD26" s="762">
        <v>0</v>
      </c>
      <c r="DE26" s="762">
        <v>0</v>
      </c>
      <c r="DF26" s="762">
        <v>0</v>
      </c>
      <c r="DG26" s="762">
        <v>0</v>
      </c>
      <c r="DH26" s="762">
        <v>0</v>
      </c>
      <c r="DI26" s="762">
        <v>0</v>
      </c>
      <c r="DJ26" s="762">
        <v>0</v>
      </c>
      <c r="DK26" s="762">
        <v>0</v>
      </c>
      <c r="DL26" s="762">
        <v>532746</v>
      </c>
      <c r="DM26" s="762">
        <v>0</v>
      </c>
      <c r="DN26" s="762">
        <v>5354</v>
      </c>
      <c r="DO26" s="762">
        <v>538100</v>
      </c>
      <c r="DP26" s="762">
        <v>536687</v>
      </c>
      <c r="DQ26" s="762">
        <v>0</v>
      </c>
      <c r="DR26" s="762">
        <v>5421</v>
      </c>
      <c r="DS26" s="762">
        <v>542108</v>
      </c>
      <c r="DT26" s="762">
        <v>858385</v>
      </c>
      <c r="DU26" s="762">
        <v>0</v>
      </c>
      <c r="DV26" s="762">
        <v>0</v>
      </c>
      <c r="DW26" s="762">
        <v>858385</v>
      </c>
      <c r="DX26" s="762">
        <v>0</v>
      </c>
      <c r="DY26" s="762">
        <v>0</v>
      </c>
      <c r="DZ26" s="762">
        <v>0</v>
      </c>
      <c r="EA26" s="762">
        <v>0</v>
      </c>
      <c r="EB26" s="762">
        <v>3893871</v>
      </c>
      <c r="EC26" s="762">
        <v>0</v>
      </c>
      <c r="ED26" s="762">
        <v>38515</v>
      </c>
      <c r="EE26" s="762">
        <v>3932386</v>
      </c>
      <c r="EF26" s="762">
        <v>48501934</v>
      </c>
      <c r="EG26" s="762">
        <v>0</v>
      </c>
      <c r="EH26" s="762">
        <v>473049</v>
      </c>
      <c r="EI26" s="799">
        <v>48974983</v>
      </c>
      <c r="EJ26" s="763" t="s">
        <v>715</v>
      </c>
      <c r="EK26" s="607" t="s">
        <v>621</v>
      </c>
      <c r="EL26" s="805" t="s">
        <v>626</v>
      </c>
      <c r="EM26" t="s">
        <v>1592</v>
      </c>
    </row>
    <row r="27" spans="1:143" ht="12.75" x14ac:dyDescent="0.2">
      <c r="A27" s="764">
        <v>20</v>
      </c>
      <c r="B27" s="765" t="s">
        <v>718</v>
      </c>
      <c r="C27" s="766" t="s">
        <v>1217</v>
      </c>
      <c r="D27" s="767" t="s">
        <v>1220</v>
      </c>
      <c r="E27" s="768" t="s">
        <v>717</v>
      </c>
      <c r="F27" s="761">
        <v>47882854</v>
      </c>
      <c r="G27" s="762">
        <v>144718</v>
      </c>
      <c r="H27" s="762">
        <v>0</v>
      </c>
      <c r="I27" s="762">
        <v>104427</v>
      </c>
      <c r="J27" s="762">
        <v>0</v>
      </c>
      <c r="K27" s="762">
        <v>104427</v>
      </c>
      <c r="L27" s="762">
        <v>0</v>
      </c>
      <c r="M27" s="762">
        <v>0</v>
      </c>
      <c r="N27" s="762">
        <v>0</v>
      </c>
      <c r="O27" s="762">
        <v>0</v>
      </c>
      <c r="P27" s="762">
        <v>0</v>
      </c>
      <c r="Q27" s="762">
        <v>0</v>
      </c>
      <c r="R27" s="762">
        <v>47923145</v>
      </c>
      <c r="S27" s="790">
        <v>0.25</v>
      </c>
      <c r="T27" s="790">
        <v>0.375</v>
      </c>
      <c r="U27" s="790">
        <v>0.36499999999999999</v>
      </c>
      <c r="V27" s="790">
        <v>0.01</v>
      </c>
      <c r="W27" s="790">
        <v>1</v>
      </c>
      <c r="X27" s="762">
        <v>11980787</v>
      </c>
      <c r="Y27" s="762">
        <v>17971179</v>
      </c>
      <c r="Z27" s="762">
        <v>17491948</v>
      </c>
      <c r="AA27" s="762">
        <v>479231</v>
      </c>
      <c r="AB27" s="762">
        <v>47923145</v>
      </c>
      <c r="AC27" s="762">
        <v>0</v>
      </c>
      <c r="AD27" s="762">
        <v>0</v>
      </c>
      <c r="AE27" s="762">
        <v>0</v>
      </c>
      <c r="AF27" s="762">
        <v>0</v>
      </c>
      <c r="AG27" s="762">
        <v>0</v>
      </c>
      <c r="AH27" s="762">
        <v>11980787</v>
      </c>
      <c r="AI27" s="762">
        <v>17971179</v>
      </c>
      <c r="AJ27" s="762">
        <v>17491948</v>
      </c>
      <c r="AK27" s="762">
        <v>479231</v>
      </c>
      <c r="AL27" s="762">
        <v>47923145</v>
      </c>
      <c r="AM27" s="762">
        <v>104427</v>
      </c>
      <c r="AN27" s="762">
        <v>104427</v>
      </c>
      <c r="AO27" s="762">
        <v>0</v>
      </c>
      <c r="AP27" s="762">
        <v>0</v>
      </c>
      <c r="AQ27" s="762">
        <v>0</v>
      </c>
      <c r="AR27" s="762">
        <v>0</v>
      </c>
      <c r="AS27" s="762">
        <v>0</v>
      </c>
      <c r="AT27" s="762">
        <v>0</v>
      </c>
      <c r="AU27" s="762">
        <v>0</v>
      </c>
      <c r="AV27" s="762">
        <v>0</v>
      </c>
      <c r="AW27" s="762">
        <v>0</v>
      </c>
      <c r="AX27" s="762">
        <v>0</v>
      </c>
      <c r="AY27" s="762">
        <v>0</v>
      </c>
      <c r="AZ27" s="762">
        <v>0</v>
      </c>
      <c r="BA27" s="762">
        <v>0</v>
      </c>
      <c r="BB27" s="762">
        <v>0</v>
      </c>
      <c r="BC27" s="762">
        <v>0</v>
      </c>
      <c r="BD27" s="762">
        <v>0</v>
      </c>
      <c r="BE27" s="762">
        <v>0</v>
      </c>
      <c r="BF27" s="762">
        <v>0</v>
      </c>
      <c r="BG27" s="762">
        <v>0</v>
      </c>
      <c r="BH27" s="762">
        <v>0</v>
      </c>
      <c r="BI27" s="762">
        <v>0</v>
      </c>
      <c r="BJ27" s="790">
        <v>0.5</v>
      </c>
      <c r="BK27" s="790">
        <v>0.4</v>
      </c>
      <c r="BL27" s="790">
        <v>0.09</v>
      </c>
      <c r="BM27" s="790">
        <v>0.01</v>
      </c>
      <c r="BN27" s="790">
        <v>1</v>
      </c>
      <c r="BO27" s="762">
        <v>-829805</v>
      </c>
      <c r="BP27" s="762">
        <v>-663844</v>
      </c>
      <c r="BQ27" s="762">
        <v>-149365</v>
      </c>
      <c r="BR27" s="762">
        <v>-16596</v>
      </c>
      <c r="BS27" s="762">
        <v>-1659610</v>
      </c>
      <c r="BT27" s="790">
        <v>0.5</v>
      </c>
      <c r="BU27" s="790">
        <v>0.4</v>
      </c>
      <c r="BV27" s="790">
        <v>0.09</v>
      </c>
      <c r="BW27" s="790">
        <v>0.01</v>
      </c>
      <c r="BX27" s="790">
        <v>1</v>
      </c>
      <c r="BY27" s="762">
        <v>388976</v>
      </c>
      <c r="BZ27" s="762">
        <v>311181</v>
      </c>
      <c r="CA27" s="762">
        <v>70016</v>
      </c>
      <c r="CB27" s="762">
        <v>7780</v>
      </c>
      <c r="CC27" s="762">
        <v>777953</v>
      </c>
      <c r="CD27" s="762">
        <v>-440828</v>
      </c>
      <c r="CE27" s="762">
        <v>-352663</v>
      </c>
      <c r="CF27" s="762">
        <v>-79349</v>
      </c>
      <c r="CG27" s="762">
        <v>-8817</v>
      </c>
      <c r="CH27" s="762">
        <v>-881657</v>
      </c>
      <c r="CI27" s="762">
        <v>11539959</v>
      </c>
      <c r="CJ27" s="762">
        <v>17722943</v>
      </c>
      <c r="CK27" s="762">
        <v>17412599</v>
      </c>
      <c r="CL27" s="762">
        <v>470414</v>
      </c>
      <c r="CM27" s="762">
        <v>47145915</v>
      </c>
      <c r="CN27" s="762">
        <v>585619</v>
      </c>
      <c r="CO27" s="762">
        <v>570002</v>
      </c>
      <c r="CP27" s="762">
        <v>15616</v>
      </c>
      <c r="CQ27" s="762">
        <v>1171237</v>
      </c>
      <c r="CR27" s="762">
        <v>595677</v>
      </c>
      <c r="CS27" s="762">
        <v>579793</v>
      </c>
      <c r="CT27" s="762">
        <v>15885</v>
      </c>
      <c r="CU27" s="762">
        <v>1191355</v>
      </c>
      <c r="CV27" s="762">
        <v>50050</v>
      </c>
      <c r="CW27" s="762">
        <v>48715</v>
      </c>
      <c r="CX27" s="762">
        <v>1335</v>
      </c>
      <c r="CY27" s="762">
        <v>100100</v>
      </c>
      <c r="CZ27" s="762">
        <v>2984</v>
      </c>
      <c r="DA27" s="762">
        <v>2905</v>
      </c>
      <c r="DB27" s="762">
        <v>80</v>
      </c>
      <c r="DC27" s="762">
        <v>5969</v>
      </c>
      <c r="DD27" s="762">
        <v>0</v>
      </c>
      <c r="DE27" s="762">
        <v>0</v>
      </c>
      <c r="DF27" s="762">
        <v>0</v>
      </c>
      <c r="DG27" s="762">
        <v>0</v>
      </c>
      <c r="DH27" s="762">
        <v>0</v>
      </c>
      <c r="DI27" s="762">
        <v>0</v>
      </c>
      <c r="DJ27" s="762">
        <v>0</v>
      </c>
      <c r="DK27" s="762">
        <v>0</v>
      </c>
      <c r="DL27" s="762">
        <v>6181</v>
      </c>
      <c r="DM27" s="762">
        <v>6016</v>
      </c>
      <c r="DN27" s="762">
        <v>165</v>
      </c>
      <c r="DO27" s="762">
        <v>12362</v>
      </c>
      <c r="DP27" s="762">
        <v>11917</v>
      </c>
      <c r="DQ27" s="762">
        <v>11599</v>
      </c>
      <c r="DR27" s="762">
        <v>318</v>
      </c>
      <c r="DS27" s="762">
        <v>23834</v>
      </c>
      <c r="DT27" s="762">
        <v>0</v>
      </c>
      <c r="DU27" s="762">
        <v>0</v>
      </c>
      <c r="DV27" s="762">
        <v>0</v>
      </c>
      <c r="DW27" s="762">
        <v>0</v>
      </c>
      <c r="DX27" s="762">
        <v>0</v>
      </c>
      <c r="DY27" s="762">
        <v>0</v>
      </c>
      <c r="DZ27" s="762">
        <v>0</v>
      </c>
      <c r="EA27" s="762">
        <v>0</v>
      </c>
      <c r="EB27" s="762">
        <v>69172</v>
      </c>
      <c r="EC27" s="762">
        <v>67328</v>
      </c>
      <c r="ED27" s="762">
        <v>1845</v>
      </c>
      <c r="EE27" s="762">
        <v>138345</v>
      </c>
      <c r="EF27" s="762">
        <v>1321600</v>
      </c>
      <c r="EG27" s="762">
        <v>1286358</v>
      </c>
      <c r="EH27" s="762">
        <v>35244</v>
      </c>
      <c r="EI27" s="799">
        <v>2643202</v>
      </c>
      <c r="EJ27" s="763" t="s">
        <v>717</v>
      </c>
      <c r="EK27" s="607" t="s">
        <v>599</v>
      </c>
      <c r="EL27" s="805" t="s">
        <v>597</v>
      </c>
      <c r="EM27" t="s">
        <v>1593</v>
      </c>
    </row>
    <row r="28" spans="1:143" ht="12.75" x14ac:dyDescent="0.2">
      <c r="A28" s="764">
        <v>21</v>
      </c>
      <c r="B28" s="765" t="s">
        <v>720</v>
      </c>
      <c r="C28" s="766" t="s">
        <v>529</v>
      </c>
      <c r="D28" s="767" t="s">
        <v>1219</v>
      </c>
      <c r="E28" s="768" t="s">
        <v>592</v>
      </c>
      <c r="F28" s="761">
        <v>44211612</v>
      </c>
      <c r="G28" s="762">
        <v>0</v>
      </c>
      <c r="H28" s="762">
        <v>2000000</v>
      </c>
      <c r="I28" s="762">
        <v>247910</v>
      </c>
      <c r="J28" s="762">
        <v>0</v>
      </c>
      <c r="K28" s="762">
        <v>247910</v>
      </c>
      <c r="L28" s="762">
        <v>0</v>
      </c>
      <c r="M28" s="762">
        <v>0</v>
      </c>
      <c r="N28" s="762">
        <v>0</v>
      </c>
      <c r="O28" s="762">
        <v>0</v>
      </c>
      <c r="P28" s="762">
        <v>0</v>
      </c>
      <c r="Q28" s="762">
        <v>0</v>
      </c>
      <c r="R28" s="762">
        <v>41963702</v>
      </c>
      <c r="S28" s="790">
        <v>0.25</v>
      </c>
      <c r="T28" s="790">
        <v>0.73499999999999999</v>
      </c>
      <c r="U28" s="790">
        <v>0</v>
      </c>
      <c r="V28" s="790">
        <v>1.4999999999999999E-2</v>
      </c>
      <c r="W28" s="790">
        <v>1</v>
      </c>
      <c r="X28" s="762">
        <v>10490925</v>
      </c>
      <c r="Y28" s="762">
        <v>30843321</v>
      </c>
      <c r="Z28" s="762">
        <v>0</v>
      </c>
      <c r="AA28" s="762">
        <v>629456</v>
      </c>
      <c r="AB28" s="762">
        <v>41963702</v>
      </c>
      <c r="AC28" s="762">
        <v>0</v>
      </c>
      <c r="AD28" s="762">
        <v>0</v>
      </c>
      <c r="AE28" s="762">
        <v>0</v>
      </c>
      <c r="AF28" s="762">
        <v>0</v>
      </c>
      <c r="AG28" s="762">
        <v>0</v>
      </c>
      <c r="AH28" s="762">
        <v>10490925</v>
      </c>
      <c r="AI28" s="762">
        <v>30843321</v>
      </c>
      <c r="AJ28" s="762">
        <v>0</v>
      </c>
      <c r="AK28" s="762">
        <v>629456</v>
      </c>
      <c r="AL28" s="762">
        <v>41963702</v>
      </c>
      <c r="AM28" s="762">
        <v>247910</v>
      </c>
      <c r="AN28" s="762">
        <v>247910</v>
      </c>
      <c r="AO28" s="762">
        <v>0</v>
      </c>
      <c r="AP28" s="762">
        <v>0</v>
      </c>
      <c r="AQ28" s="762">
        <v>0</v>
      </c>
      <c r="AR28" s="762">
        <v>0</v>
      </c>
      <c r="AS28" s="762">
        <v>0</v>
      </c>
      <c r="AT28" s="762">
        <v>0</v>
      </c>
      <c r="AU28" s="762">
        <v>0</v>
      </c>
      <c r="AV28" s="762">
        <v>0</v>
      </c>
      <c r="AW28" s="762">
        <v>0</v>
      </c>
      <c r="AX28" s="762">
        <v>0</v>
      </c>
      <c r="AY28" s="762">
        <v>0</v>
      </c>
      <c r="AZ28" s="762">
        <v>0</v>
      </c>
      <c r="BA28" s="762">
        <v>0</v>
      </c>
      <c r="BB28" s="762">
        <v>0</v>
      </c>
      <c r="BC28" s="762">
        <v>0</v>
      </c>
      <c r="BD28" s="762">
        <v>0</v>
      </c>
      <c r="BE28" s="762">
        <v>0</v>
      </c>
      <c r="BF28" s="762">
        <v>0</v>
      </c>
      <c r="BG28" s="762">
        <v>0</v>
      </c>
      <c r="BH28" s="762">
        <v>0</v>
      </c>
      <c r="BI28" s="762">
        <v>0</v>
      </c>
      <c r="BJ28" s="790">
        <v>0.5</v>
      </c>
      <c r="BK28" s="790">
        <v>0.49</v>
      </c>
      <c r="BL28" s="790">
        <v>0</v>
      </c>
      <c r="BM28" s="790">
        <v>0.01</v>
      </c>
      <c r="BN28" s="790">
        <v>1</v>
      </c>
      <c r="BO28" s="762">
        <v>250000</v>
      </c>
      <c r="BP28" s="762">
        <v>245000</v>
      </c>
      <c r="BQ28" s="762">
        <v>0</v>
      </c>
      <c r="BR28" s="762">
        <v>5000</v>
      </c>
      <c r="BS28" s="762">
        <v>500000</v>
      </c>
      <c r="BT28" s="790">
        <v>0.5</v>
      </c>
      <c r="BU28" s="790">
        <v>0.49</v>
      </c>
      <c r="BV28" s="790">
        <v>0</v>
      </c>
      <c r="BW28" s="790">
        <v>0.01</v>
      </c>
      <c r="BX28" s="790">
        <v>1</v>
      </c>
      <c r="BY28" s="762">
        <v>559700</v>
      </c>
      <c r="BZ28" s="762">
        <v>548506</v>
      </c>
      <c r="CA28" s="762">
        <v>0</v>
      </c>
      <c r="CB28" s="762">
        <v>11194</v>
      </c>
      <c r="CC28" s="762">
        <v>1119400</v>
      </c>
      <c r="CD28" s="762">
        <v>809700</v>
      </c>
      <c r="CE28" s="762">
        <v>793506</v>
      </c>
      <c r="CF28" s="762">
        <v>0</v>
      </c>
      <c r="CG28" s="762">
        <v>16194</v>
      </c>
      <c r="CH28" s="762">
        <v>1619400</v>
      </c>
      <c r="CI28" s="762">
        <v>11300625</v>
      </c>
      <c r="CJ28" s="762">
        <v>31884737</v>
      </c>
      <c r="CK28" s="762">
        <v>0</v>
      </c>
      <c r="CL28" s="762">
        <v>645650</v>
      </c>
      <c r="CM28" s="762">
        <v>43831012</v>
      </c>
      <c r="CN28" s="762">
        <v>1005078</v>
      </c>
      <c r="CO28" s="762">
        <v>0</v>
      </c>
      <c r="CP28" s="762">
        <v>20512</v>
      </c>
      <c r="CQ28" s="762">
        <v>1025590</v>
      </c>
      <c r="CR28" s="762">
        <v>3563644</v>
      </c>
      <c r="CS28" s="762">
        <v>0</v>
      </c>
      <c r="CT28" s="762">
        <v>72727</v>
      </c>
      <c r="CU28" s="762">
        <v>3636371</v>
      </c>
      <c r="CV28" s="762">
        <v>50787</v>
      </c>
      <c r="CW28" s="762">
        <v>0</v>
      </c>
      <c r="CX28" s="762">
        <v>1036</v>
      </c>
      <c r="CY28" s="762">
        <v>51823</v>
      </c>
      <c r="CZ28" s="762">
        <v>26563</v>
      </c>
      <c r="DA28" s="762">
        <v>0</v>
      </c>
      <c r="DB28" s="762">
        <v>542</v>
      </c>
      <c r="DC28" s="762">
        <v>27105</v>
      </c>
      <c r="DD28" s="762">
        <v>2277</v>
      </c>
      <c r="DE28" s="762">
        <v>0</v>
      </c>
      <c r="DF28" s="762">
        <v>46</v>
      </c>
      <c r="DG28" s="762">
        <v>2323</v>
      </c>
      <c r="DH28" s="762">
        <v>0</v>
      </c>
      <c r="DI28" s="762">
        <v>0</v>
      </c>
      <c r="DJ28" s="762">
        <v>0</v>
      </c>
      <c r="DK28" s="762">
        <v>0</v>
      </c>
      <c r="DL28" s="762">
        <v>15179</v>
      </c>
      <c r="DM28" s="762">
        <v>0</v>
      </c>
      <c r="DN28" s="762">
        <v>310</v>
      </c>
      <c r="DO28" s="762">
        <v>15489</v>
      </c>
      <c r="DP28" s="762">
        <v>26563</v>
      </c>
      <c r="DQ28" s="762">
        <v>0</v>
      </c>
      <c r="DR28" s="762">
        <v>542</v>
      </c>
      <c r="DS28" s="762">
        <v>27105</v>
      </c>
      <c r="DT28" s="762">
        <v>0</v>
      </c>
      <c r="DU28" s="762">
        <v>0</v>
      </c>
      <c r="DV28" s="762">
        <v>0</v>
      </c>
      <c r="DW28" s="762">
        <v>0</v>
      </c>
      <c r="DX28" s="762">
        <v>0</v>
      </c>
      <c r="DY28" s="762">
        <v>0</v>
      </c>
      <c r="DZ28" s="762">
        <v>0</v>
      </c>
      <c r="EA28" s="762">
        <v>0</v>
      </c>
      <c r="EB28" s="762">
        <v>910741</v>
      </c>
      <c r="EC28" s="762">
        <v>0</v>
      </c>
      <c r="ED28" s="762">
        <v>18587</v>
      </c>
      <c r="EE28" s="762">
        <v>929328</v>
      </c>
      <c r="EF28" s="762">
        <v>5600832</v>
      </c>
      <c r="EG28" s="762">
        <v>0</v>
      </c>
      <c r="EH28" s="762">
        <v>114302</v>
      </c>
      <c r="EI28" s="799">
        <v>5715134</v>
      </c>
      <c r="EJ28" s="763" t="s">
        <v>592</v>
      </c>
      <c r="EK28" s="607" t="s">
        <v>529</v>
      </c>
      <c r="EL28" s="805" t="s">
        <v>593</v>
      </c>
      <c r="EM28" t="s">
        <v>1594</v>
      </c>
    </row>
    <row r="29" spans="1:143" ht="12.75" x14ac:dyDescent="0.2">
      <c r="A29" s="764">
        <v>22</v>
      </c>
      <c r="B29" s="765" t="s">
        <v>722</v>
      </c>
      <c r="C29" s="766" t="s">
        <v>529</v>
      </c>
      <c r="D29" s="767" t="s">
        <v>1219</v>
      </c>
      <c r="E29" s="768" t="s">
        <v>594</v>
      </c>
      <c r="F29" s="761">
        <v>40040250</v>
      </c>
      <c r="G29" s="762">
        <v>0</v>
      </c>
      <c r="H29" s="762">
        <v>749294</v>
      </c>
      <c r="I29" s="762">
        <v>250904</v>
      </c>
      <c r="J29" s="762">
        <v>0</v>
      </c>
      <c r="K29" s="762">
        <v>250904</v>
      </c>
      <c r="L29" s="762">
        <v>0</v>
      </c>
      <c r="M29" s="762">
        <v>244552</v>
      </c>
      <c r="N29" s="762">
        <v>0</v>
      </c>
      <c r="O29" s="762">
        <v>0</v>
      </c>
      <c r="P29" s="762">
        <v>0</v>
      </c>
      <c r="Q29" s="762">
        <v>0</v>
      </c>
      <c r="R29" s="762">
        <v>38795500</v>
      </c>
      <c r="S29" s="790">
        <v>0.25</v>
      </c>
      <c r="T29" s="790">
        <v>0.73499999999999999</v>
      </c>
      <c r="U29" s="790">
        <v>0</v>
      </c>
      <c r="V29" s="790">
        <v>1.4999999999999999E-2</v>
      </c>
      <c r="W29" s="790">
        <v>1</v>
      </c>
      <c r="X29" s="762">
        <v>9698874</v>
      </c>
      <c r="Y29" s="762">
        <v>28514693</v>
      </c>
      <c r="Z29" s="762">
        <v>0</v>
      </c>
      <c r="AA29" s="762">
        <v>581933</v>
      </c>
      <c r="AB29" s="762">
        <v>38795500</v>
      </c>
      <c r="AC29" s="762">
        <v>251514</v>
      </c>
      <c r="AD29" s="762">
        <v>0</v>
      </c>
      <c r="AE29" s="762">
        <v>0</v>
      </c>
      <c r="AF29" s="762">
        <v>0</v>
      </c>
      <c r="AG29" s="762">
        <v>251514</v>
      </c>
      <c r="AH29" s="762">
        <v>9447360</v>
      </c>
      <c r="AI29" s="762">
        <v>28514693</v>
      </c>
      <c r="AJ29" s="762">
        <v>0</v>
      </c>
      <c r="AK29" s="762">
        <v>581933</v>
      </c>
      <c r="AL29" s="762">
        <v>38543986</v>
      </c>
      <c r="AM29" s="762">
        <v>250904</v>
      </c>
      <c r="AN29" s="762">
        <v>250904</v>
      </c>
      <c r="AO29" s="762">
        <v>244552</v>
      </c>
      <c r="AP29" s="762">
        <v>244552</v>
      </c>
      <c r="AQ29" s="762">
        <v>0</v>
      </c>
      <c r="AR29" s="762">
        <v>0</v>
      </c>
      <c r="AS29" s="762">
        <v>0</v>
      </c>
      <c r="AT29" s="762">
        <v>0</v>
      </c>
      <c r="AU29" s="762">
        <v>0</v>
      </c>
      <c r="AV29" s="762">
        <v>0</v>
      </c>
      <c r="AW29" s="762">
        <v>0</v>
      </c>
      <c r="AX29" s="762">
        <v>251514</v>
      </c>
      <c r="AY29" s="762">
        <v>0</v>
      </c>
      <c r="AZ29" s="762">
        <v>0</v>
      </c>
      <c r="BA29" s="762">
        <v>251514</v>
      </c>
      <c r="BB29" s="762">
        <v>0</v>
      </c>
      <c r="BC29" s="762">
        <v>0</v>
      </c>
      <c r="BD29" s="762">
        <v>0</v>
      </c>
      <c r="BE29" s="762">
        <v>0</v>
      </c>
      <c r="BF29" s="762">
        <v>0</v>
      </c>
      <c r="BG29" s="762">
        <v>0</v>
      </c>
      <c r="BH29" s="762">
        <v>0</v>
      </c>
      <c r="BI29" s="762">
        <v>0</v>
      </c>
      <c r="BJ29" s="790">
        <v>0.5</v>
      </c>
      <c r="BK29" s="790">
        <v>0.49</v>
      </c>
      <c r="BL29" s="790">
        <v>0</v>
      </c>
      <c r="BM29" s="790">
        <v>0.01</v>
      </c>
      <c r="BN29" s="790">
        <v>1</v>
      </c>
      <c r="BO29" s="762">
        <v>803592</v>
      </c>
      <c r="BP29" s="762">
        <v>787520</v>
      </c>
      <c r="BQ29" s="762">
        <v>0</v>
      </c>
      <c r="BR29" s="762">
        <v>16072</v>
      </c>
      <c r="BS29" s="762">
        <v>1607184</v>
      </c>
      <c r="BT29" s="790">
        <v>0.5</v>
      </c>
      <c r="BU29" s="790">
        <v>0.49</v>
      </c>
      <c r="BV29" s="790">
        <v>0</v>
      </c>
      <c r="BW29" s="790">
        <v>0.01</v>
      </c>
      <c r="BX29" s="790">
        <v>1</v>
      </c>
      <c r="BY29" s="762">
        <v>-2306309</v>
      </c>
      <c r="BZ29" s="762">
        <v>-2260183</v>
      </c>
      <c r="CA29" s="762">
        <v>0</v>
      </c>
      <c r="CB29" s="762">
        <v>-46126</v>
      </c>
      <c r="CC29" s="762">
        <v>-4612618</v>
      </c>
      <c r="CD29" s="762">
        <v>-1502717</v>
      </c>
      <c r="CE29" s="762">
        <v>-1472663</v>
      </c>
      <c r="CF29" s="762">
        <v>0</v>
      </c>
      <c r="CG29" s="762">
        <v>-30054</v>
      </c>
      <c r="CH29" s="762">
        <v>-3005434</v>
      </c>
      <c r="CI29" s="762">
        <v>7944643</v>
      </c>
      <c r="CJ29" s="762">
        <v>27789000</v>
      </c>
      <c r="CK29" s="762">
        <v>0</v>
      </c>
      <c r="CL29" s="762">
        <v>551879</v>
      </c>
      <c r="CM29" s="762">
        <v>36285522</v>
      </c>
      <c r="CN29" s="762">
        <v>945361</v>
      </c>
      <c r="CO29" s="762">
        <v>0</v>
      </c>
      <c r="CP29" s="762">
        <v>18963</v>
      </c>
      <c r="CQ29" s="762">
        <v>964324</v>
      </c>
      <c r="CR29" s="762">
        <v>4613284</v>
      </c>
      <c r="CS29" s="762">
        <v>0</v>
      </c>
      <c r="CT29" s="762">
        <v>91021</v>
      </c>
      <c r="CU29" s="762">
        <v>4704305</v>
      </c>
      <c r="CV29" s="762">
        <v>162252</v>
      </c>
      <c r="CW29" s="762">
        <v>0</v>
      </c>
      <c r="CX29" s="762">
        <v>3030</v>
      </c>
      <c r="CY29" s="762">
        <v>165282</v>
      </c>
      <c r="CZ29" s="762">
        <v>3540</v>
      </c>
      <c r="DA29" s="762">
        <v>0</v>
      </c>
      <c r="DB29" s="762">
        <v>72</v>
      </c>
      <c r="DC29" s="762">
        <v>3612</v>
      </c>
      <c r="DD29" s="762">
        <v>0</v>
      </c>
      <c r="DE29" s="762">
        <v>0</v>
      </c>
      <c r="DF29" s="762">
        <v>0</v>
      </c>
      <c r="DG29" s="762">
        <v>0</v>
      </c>
      <c r="DH29" s="762">
        <v>0</v>
      </c>
      <c r="DI29" s="762">
        <v>0</v>
      </c>
      <c r="DJ29" s="762">
        <v>0</v>
      </c>
      <c r="DK29" s="762">
        <v>0</v>
      </c>
      <c r="DL29" s="762">
        <v>37012</v>
      </c>
      <c r="DM29" s="762">
        <v>0</v>
      </c>
      <c r="DN29" s="762">
        <v>733</v>
      </c>
      <c r="DO29" s="762">
        <v>37745</v>
      </c>
      <c r="DP29" s="762">
        <v>34754</v>
      </c>
      <c r="DQ29" s="762">
        <v>0</v>
      </c>
      <c r="DR29" s="762">
        <v>709</v>
      </c>
      <c r="DS29" s="762">
        <v>35463</v>
      </c>
      <c r="DT29" s="762">
        <v>0</v>
      </c>
      <c r="DU29" s="762">
        <v>0</v>
      </c>
      <c r="DV29" s="762">
        <v>0</v>
      </c>
      <c r="DW29" s="762">
        <v>0</v>
      </c>
      <c r="DX29" s="762">
        <v>0</v>
      </c>
      <c r="DY29" s="762">
        <v>0</v>
      </c>
      <c r="DZ29" s="762">
        <v>0</v>
      </c>
      <c r="EA29" s="762">
        <v>0</v>
      </c>
      <c r="EB29" s="762">
        <v>834846</v>
      </c>
      <c r="EC29" s="762">
        <v>0</v>
      </c>
      <c r="ED29" s="762">
        <v>17038</v>
      </c>
      <c r="EE29" s="762">
        <v>851884</v>
      </c>
      <c r="EF29" s="762">
        <v>6631049</v>
      </c>
      <c r="EG29" s="762">
        <v>0</v>
      </c>
      <c r="EH29" s="762">
        <v>131566</v>
      </c>
      <c r="EI29" s="799">
        <v>6762615</v>
      </c>
      <c r="EJ29" s="763" t="s">
        <v>594</v>
      </c>
      <c r="EK29" s="607" t="s">
        <v>529</v>
      </c>
      <c r="EL29" s="805" t="s">
        <v>593</v>
      </c>
      <c r="EM29" t="s">
        <v>1595</v>
      </c>
    </row>
    <row r="30" spans="1:143" ht="12.75" x14ac:dyDescent="0.2">
      <c r="A30" s="764">
        <v>23</v>
      </c>
      <c r="B30" s="765" t="s">
        <v>724</v>
      </c>
      <c r="C30" s="766" t="s">
        <v>1217</v>
      </c>
      <c r="D30" s="767" t="s">
        <v>1220</v>
      </c>
      <c r="E30" s="768" t="s">
        <v>723</v>
      </c>
      <c r="F30" s="761">
        <v>27027765</v>
      </c>
      <c r="G30" s="762">
        <v>10681</v>
      </c>
      <c r="H30" s="762">
        <v>0</v>
      </c>
      <c r="I30" s="762">
        <v>93658</v>
      </c>
      <c r="J30" s="762">
        <v>0</v>
      </c>
      <c r="K30" s="762">
        <v>93658</v>
      </c>
      <c r="L30" s="762">
        <v>0</v>
      </c>
      <c r="M30" s="762">
        <v>0</v>
      </c>
      <c r="N30" s="762">
        <v>62549</v>
      </c>
      <c r="O30" s="762">
        <v>62549</v>
      </c>
      <c r="P30" s="762">
        <v>0</v>
      </c>
      <c r="Q30" s="762">
        <v>0</v>
      </c>
      <c r="R30" s="762">
        <v>26882239</v>
      </c>
      <c r="S30" s="790">
        <v>0.5</v>
      </c>
      <c r="T30" s="790">
        <v>0.4</v>
      </c>
      <c r="U30" s="790">
        <v>0.09</v>
      </c>
      <c r="V30" s="790">
        <v>0.01</v>
      </c>
      <c r="W30" s="790">
        <v>1</v>
      </c>
      <c r="X30" s="762">
        <v>13441119</v>
      </c>
      <c r="Y30" s="762">
        <v>10752896</v>
      </c>
      <c r="Z30" s="762">
        <v>2419402</v>
      </c>
      <c r="AA30" s="762">
        <v>268822</v>
      </c>
      <c r="AB30" s="762">
        <v>26882239</v>
      </c>
      <c r="AC30" s="762">
        <v>0</v>
      </c>
      <c r="AD30" s="762">
        <v>0</v>
      </c>
      <c r="AE30" s="762">
        <v>0</v>
      </c>
      <c r="AF30" s="762">
        <v>0</v>
      </c>
      <c r="AG30" s="762">
        <v>0</v>
      </c>
      <c r="AH30" s="762">
        <v>13441119</v>
      </c>
      <c r="AI30" s="762">
        <v>10752896</v>
      </c>
      <c r="AJ30" s="762">
        <v>2419402</v>
      </c>
      <c r="AK30" s="762">
        <v>268822</v>
      </c>
      <c r="AL30" s="762">
        <v>26882239</v>
      </c>
      <c r="AM30" s="762">
        <v>93658</v>
      </c>
      <c r="AN30" s="762">
        <v>93658</v>
      </c>
      <c r="AO30" s="762">
        <v>0</v>
      </c>
      <c r="AP30" s="762">
        <v>0</v>
      </c>
      <c r="AQ30" s="762">
        <v>62549</v>
      </c>
      <c r="AR30" s="762">
        <v>0</v>
      </c>
      <c r="AS30" s="762">
        <v>62549</v>
      </c>
      <c r="AT30" s="762">
        <v>0</v>
      </c>
      <c r="AU30" s="762">
        <v>0</v>
      </c>
      <c r="AV30" s="762">
        <v>0</v>
      </c>
      <c r="AW30" s="762">
        <v>0</v>
      </c>
      <c r="AX30" s="762">
        <v>0</v>
      </c>
      <c r="AY30" s="762">
        <v>0</v>
      </c>
      <c r="AZ30" s="762">
        <v>0</v>
      </c>
      <c r="BA30" s="762">
        <v>0</v>
      </c>
      <c r="BB30" s="762">
        <v>0</v>
      </c>
      <c r="BC30" s="762">
        <v>0</v>
      </c>
      <c r="BD30" s="762">
        <v>0</v>
      </c>
      <c r="BE30" s="762">
        <v>0</v>
      </c>
      <c r="BF30" s="762">
        <v>0</v>
      </c>
      <c r="BG30" s="762">
        <v>0</v>
      </c>
      <c r="BH30" s="762">
        <v>0</v>
      </c>
      <c r="BI30" s="762">
        <v>0</v>
      </c>
      <c r="BJ30" s="790">
        <v>0</v>
      </c>
      <c r="BK30" s="790">
        <v>0.5</v>
      </c>
      <c r="BL30" s="790">
        <v>0.49</v>
      </c>
      <c r="BM30" s="790">
        <v>0.01</v>
      </c>
      <c r="BN30" s="790">
        <v>1</v>
      </c>
      <c r="BO30" s="762">
        <v>-1</v>
      </c>
      <c r="BP30" s="762">
        <v>1005690</v>
      </c>
      <c r="BQ30" s="762">
        <v>985576</v>
      </c>
      <c r="BR30" s="762">
        <v>20114</v>
      </c>
      <c r="BS30" s="762">
        <v>2011379</v>
      </c>
      <c r="BT30" s="790">
        <v>0.5</v>
      </c>
      <c r="BU30" s="790">
        <v>0.4</v>
      </c>
      <c r="BV30" s="790">
        <v>0.09</v>
      </c>
      <c r="BW30" s="790">
        <v>0.01</v>
      </c>
      <c r="BX30" s="790">
        <v>1</v>
      </c>
      <c r="BY30" s="762">
        <v>-1823949</v>
      </c>
      <c r="BZ30" s="762">
        <v>-1459159</v>
      </c>
      <c r="CA30" s="762">
        <v>-328311</v>
      </c>
      <c r="CB30" s="762">
        <v>-36479</v>
      </c>
      <c r="CC30" s="762">
        <v>-3647898</v>
      </c>
      <c r="CD30" s="762">
        <v>-1823950</v>
      </c>
      <c r="CE30" s="762">
        <v>-453469</v>
      </c>
      <c r="CF30" s="762">
        <v>657265</v>
      </c>
      <c r="CG30" s="762">
        <v>-16365</v>
      </c>
      <c r="CH30" s="762">
        <v>-1636519</v>
      </c>
      <c r="CI30" s="762">
        <v>11617169</v>
      </c>
      <c r="CJ30" s="762">
        <v>10455634</v>
      </c>
      <c r="CK30" s="762">
        <v>3076667</v>
      </c>
      <c r="CL30" s="762">
        <v>252457</v>
      </c>
      <c r="CM30" s="762">
        <v>25401927</v>
      </c>
      <c r="CN30" s="762">
        <v>352438</v>
      </c>
      <c r="CO30" s="762">
        <v>78840</v>
      </c>
      <c r="CP30" s="762">
        <v>8760</v>
      </c>
      <c r="CQ30" s="762">
        <v>440038</v>
      </c>
      <c r="CR30" s="762">
        <v>522673</v>
      </c>
      <c r="CS30" s="762">
        <v>117602</v>
      </c>
      <c r="CT30" s="762">
        <v>13067</v>
      </c>
      <c r="CU30" s="762">
        <v>653342</v>
      </c>
      <c r="CV30" s="762">
        <v>40327</v>
      </c>
      <c r="CW30" s="762">
        <v>9074</v>
      </c>
      <c r="CX30" s="762">
        <v>1008</v>
      </c>
      <c r="CY30" s="762">
        <v>50409</v>
      </c>
      <c r="CZ30" s="762">
        <v>8107</v>
      </c>
      <c r="DA30" s="762">
        <v>1824</v>
      </c>
      <c r="DB30" s="762">
        <v>203</v>
      </c>
      <c r="DC30" s="762">
        <v>10134</v>
      </c>
      <c r="DD30" s="762">
        <v>3784</v>
      </c>
      <c r="DE30" s="762">
        <v>852</v>
      </c>
      <c r="DF30" s="762">
        <v>95</v>
      </c>
      <c r="DG30" s="762">
        <v>4731</v>
      </c>
      <c r="DH30" s="762">
        <v>0</v>
      </c>
      <c r="DI30" s="762">
        <v>0</v>
      </c>
      <c r="DJ30" s="762">
        <v>0</v>
      </c>
      <c r="DK30" s="762">
        <v>0</v>
      </c>
      <c r="DL30" s="762">
        <v>3437</v>
      </c>
      <c r="DM30" s="762">
        <v>773</v>
      </c>
      <c r="DN30" s="762">
        <v>86</v>
      </c>
      <c r="DO30" s="762">
        <v>4296</v>
      </c>
      <c r="DP30" s="762">
        <v>14673</v>
      </c>
      <c r="DQ30" s="762">
        <v>3301</v>
      </c>
      <c r="DR30" s="762">
        <v>367</v>
      </c>
      <c r="DS30" s="762">
        <v>18341</v>
      </c>
      <c r="DT30" s="762">
        <v>0</v>
      </c>
      <c r="DU30" s="762">
        <v>0</v>
      </c>
      <c r="DV30" s="762">
        <v>0</v>
      </c>
      <c r="DW30" s="762">
        <v>0</v>
      </c>
      <c r="DX30" s="762">
        <v>0</v>
      </c>
      <c r="DY30" s="762">
        <v>0</v>
      </c>
      <c r="DZ30" s="762">
        <v>0</v>
      </c>
      <c r="EA30" s="762">
        <v>0</v>
      </c>
      <c r="EB30" s="762">
        <v>145085</v>
      </c>
      <c r="EC30" s="762">
        <v>32644</v>
      </c>
      <c r="ED30" s="762">
        <v>3627</v>
      </c>
      <c r="EE30" s="762">
        <v>181356</v>
      </c>
      <c r="EF30" s="762">
        <v>1090524</v>
      </c>
      <c r="EG30" s="762">
        <v>244910</v>
      </c>
      <c r="EH30" s="762">
        <v>27213</v>
      </c>
      <c r="EI30" s="799">
        <v>1362647</v>
      </c>
      <c r="EJ30" s="763" t="s">
        <v>723</v>
      </c>
      <c r="EK30" s="607" t="s">
        <v>560</v>
      </c>
      <c r="EL30" s="805" t="s">
        <v>559</v>
      </c>
      <c r="EM30" t="s">
        <v>1596</v>
      </c>
    </row>
    <row r="31" spans="1:143" ht="12.75" x14ac:dyDescent="0.2">
      <c r="A31" s="764">
        <v>24</v>
      </c>
      <c r="B31" s="765" t="s">
        <v>726</v>
      </c>
      <c r="C31" s="766" t="s">
        <v>1224</v>
      </c>
      <c r="D31" s="767" t="s">
        <v>1219</v>
      </c>
      <c r="E31" s="768" t="s">
        <v>725</v>
      </c>
      <c r="F31" s="761">
        <v>82361677</v>
      </c>
      <c r="G31" s="762">
        <v>0</v>
      </c>
      <c r="H31" s="762">
        <v>1887394</v>
      </c>
      <c r="I31" s="762">
        <v>400132</v>
      </c>
      <c r="J31" s="762">
        <v>0</v>
      </c>
      <c r="K31" s="762">
        <v>400132</v>
      </c>
      <c r="L31" s="762">
        <v>0</v>
      </c>
      <c r="M31" s="762">
        <v>0</v>
      </c>
      <c r="N31" s="762">
        <v>0</v>
      </c>
      <c r="O31" s="762">
        <v>0</v>
      </c>
      <c r="P31" s="762">
        <v>0</v>
      </c>
      <c r="Q31" s="762">
        <v>0</v>
      </c>
      <c r="R31" s="762">
        <v>80074151</v>
      </c>
      <c r="S31" s="790">
        <v>0</v>
      </c>
      <c r="T31" s="790">
        <v>0.99</v>
      </c>
      <c r="U31" s="790">
        <v>0</v>
      </c>
      <c r="V31" s="790">
        <v>0.01</v>
      </c>
      <c r="W31" s="790">
        <v>1</v>
      </c>
      <c r="X31" s="762">
        <v>0</v>
      </c>
      <c r="Y31" s="762">
        <v>79273409</v>
      </c>
      <c r="Z31" s="762">
        <v>0</v>
      </c>
      <c r="AA31" s="762">
        <v>800742</v>
      </c>
      <c r="AB31" s="762">
        <v>80074151</v>
      </c>
      <c r="AC31" s="762">
        <v>0</v>
      </c>
      <c r="AD31" s="762">
        <v>0</v>
      </c>
      <c r="AE31" s="762">
        <v>0</v>
      </c>
      <c r="AF31" s="762">
        <v>0</v>
      </c>
      <c r="AG31" s="762">
        <v>0</v>
      </c>
      <c r="AH31" s="762">
        <v>0</v>
      </c>
      <c r="AI31" s="762">
        <v>79273409</v>
      </c>
      <c r="AJ31" s="762">
        <v>0</v>
      </c>
      <c r="AK31" s="762">
        <v>800742</v>
      </c>
      <c r="AL31" s="762">
        <v>80074151</v>
      </c>
      <c r="AM31" s="762">
        <v>400132</v>
      </c>
      <c r="AN31" s="762">
        <v>400132</v>
      </c>
      <c r="AO31" s="762">
        <v>0</v>
      </c>
      <c r="AP31" s="762">
        <v>0</v>
      </c>
      <c r="AQ31" s="762">
        <v>0</v>
      </c>
      <c r="AR31" s="762">
        <v>0</v>
      </c>
      <c r="AS31" s="762">
        <v>0</v>
      </c>
      <c r="AT31" s="762">
        <v>0</v>
      </c>
      <c r="AU31" s="762">
        <v>0</v>
      </c>
      <c r="AV31" s="762">
        <v>0</v>
      </c>
      <c r="AW31" s="762">
        <v>0</v>
      </c>
      <c r="AX31" s="762">
        <v>0</v>
      </c>
      <c r="AY31" s="762">
        <v>0</v>
      </c>
      <c r="AZ31" s="762">
        <v>0</v>
      </c>
      <c r="BA31" s="762">
        <v>0</v>
      </c>
      <c r="BB31" s="762">
        <v>0</v>
      </c>
      <c r="BC31" s="762">
        <v>0</v>
      </c>
      <c r="BD31" s="762">
        <v>0</v>
      </c>
      <c r="BE31" s="762">
        <v>0</v>
      </c>
      <c r="BF31" s="762">
        <v>0</v>
      </c>
      <c r="BG31" s="762">
        <v>0</v>
      </c>
      <c r="BH31" s="762">
        <v>0</v>
      </c>
      <c r="BI31" s="762">
        <v>0</v>
      </c>
      <c r="BJ31" s="790">
        <v>0</v>
      </c>
      <c r="BK31" s="790">
        <v>0.99</v>
      </c>
      <c r="BL31" s="790">
        <v>0</v>
      </c>
      <c r="BM31" s="790">
        <v>0.01</v>
      </c>
      <c r="BN31" s="790">
        <v>1</v>
      </c>
      <c r="BO31" s="762">
        <v>0</v>
      </c>
      <c r="BP31" s="762">
        <v>837839</v>
      </c>
      <c r="BQ31" s="762">
        <v>0</v>
      </c>
      <c r="BR31" s="762">
        <v>8463</v>
      </c>
      <c r="BS31" s="762">
        <v>846302</v>
      </c>
      <c r="BT31" s="790">
        <v>0</v>
      </c>
      <c r="BU31" s="790">
        <v>0.99</v>
      </c>
      <c r="BV31" s="790">
        <v>0</v>
      </c>
      <c r="BW31" s="790">
        <v>0.01</v>
      </c>
      <c r="BX31" s="790">
        <v>1</v>
      </c>
      <c r="BY31" s="762">
        <v>0</v>
      </c>
      <c r="BZ31" s="762">
        <v>1437787</v>
      </c>
      <c r="CA31" s="762">
        <v>0</v>
      </c>
      <c r="CB31" s="762">
        <v>14523</v>
      </c>
      <c r="CC31" s="762">
        <v>1452310</v>
      </c>
      <c r="CD31" s="762">
        <v>0</v>
      </c>
      <c r="CE31" s="762">
        <v>2275626</v>
      </c>
      <c r="CF31" s="762">
        <v>0</v>
      </c>
      <c r="CG31" s="762">
        <v>22986</v>
      </c>
      <c r="CH31" s="762">
        <v>2298612</v>
      </c>
      <c r="CI31" s="762">
        <v>0</v>
      </c>
      <c r="CJ31" s="762">
        <v>81949167</v>
      </c>
      <c r="CK31" s="762">
        <v>0</v>
      </c>
      <c r="CL31" s="762">
        <v>823728</v>
      </c>
      <c r="CM31" s="762">
        <v>82772895</v>
      </c>
      <c r="CN31" s="762">
        <v>2583248</v>
      </c>
      <c r="CO31" s="762">
        <v>0</v>
      </c>
      <c r="CP31" s="762">
        <v>26093</v>
      </c>
      <c r="CQ31" s="762">
        <v>2609341</v>
      </c>
      <c r="CR31" s="762">
        <v>8034969</v>
      </c>
      <c r="CS31" s="762">
        <v>0</v>
      </c>
      <c r="CT31" s="762">
        <v>81161</v>
      </c>
      <c r="CU31" s="762">
        <v>8116130</v>
      </c>
      <c r="CV31" s="762">
        <v>386954</v>
      </c>
      <c r="CW31" s="762">
        <v>0</v>
      </c>
      <c r="CX31" s="762">
        <v>3909</v>
      </c>
      <c r="CY31" s="762">
        <v>390863</v>
      </c>
      <c r="CZ31" s="762">
        <v>0</v>
      </c>
      <c r="DA31" s="762">
        <v>0</v>
      </c>
      <c r="DB31" s="762">
        <v>0</v>
      </c>
      <c r="DC31" s="762">
        <v>0</v>
      </c>
      <c r="DD31" s="762">
        <v>0</v>
      </c>
      <c r="DE31" s="762">
        <v>0</v>
      </c>
      <c r="DF31" s="762">
        <v>0</v>
      </c>
      <c r="DG31" s="762">
        <v>0</v>
      </c>
      <c r="DH31" s="762">
        <v>1534</v>
      </c>
      <c r="DI31" s="762">
        <v>0</v>
      </c>
      <c r="DJ31" s="762">
        <v>15</v>
      </c>
      <c r="DK31" s="762">
        <v>1549</v>
      </c>
      <c r="DL31" s="762">
        <v>40890</v>
      </c>
      <c r="DM31" s="762">
        <v>0</v>
      </c>
      <c r="DN31" s="762">
        <v>413</v>
      </c>
      <c r="DO31" s="762">
        <v>41303</v>
      </c>
      <c r="DP31" s="762">
        <v>85732</v>
      </c>
      <c r="DQ31" s="762">
        <v>0</v>
      </c>
      <c r="DR31" s="762">
        <v>866</v>
      </c>
      <c r="DS31" s="762">
        <v>86598</v>
      </c>
      <c r="DT31" s="762">
        <v>0</v>
      </c>
      <c r="DU31" s="762">
        <v>0</v>
      </c>
      <c r="DV31" s="762">
        <v>0</v>
      </c>
      <c r="DW31" s="762">
        <v>0</v>
      </c>
      <c r="DX31" s="762">
        <v>0</v>
      </c>
      <c r="DY31" s="762">
        <v>0</v>
      </c>
      <c r="DZ31" s="762">
        <v>0</v>
      </c>
      <c r="EA31" s="762">
        <v>0</v>
      </c>
      <c r="EB31" s="762">
        <v>2044521</v>
      </c>
      <c r="EC31" s="762">
        <v>0</v>
      </c>
      <c r="ED31" s="762">
        <v>20652</v>
      </c>
      <c r="EE31" s="762">
        <v>2065173</v>
      </c>
      <c r="EF31" s="762">
        <v>13177848</v>
      </c>
      <c r="EG31" s="762">
        <v>0</v>
      </c>
      <c r="EH31" s="762">
        <v>133109</v>
      </c>
      <c r="EI31" s="799">
        <v>13310957</v>
      </c>
      <c r="EJ31" s="763" t="s">
        <v>725</v>
      </c>
      <c r="EK31" s="607" t="s">
        <v>621</v>
      </c>
      <c r="EL31" s="805" t="s">
        <v>622</v>
      </c>
      <c r="EM31" t="s">
        <v>1597</v>
      </c>
    </row>
    <row r="32" spans="1:143" ht="12.75" x14ac:dyDescent="0.2">
      <c r="A32" s="764">
        <v>25</v>
      </c>
      <c r="B32" s="765" t="s">
        <v>728</v>
      </c>
      <c r="C32" s="766" t="s">
        <v>1217</v>
      </c>
      <c r="D32" s="767" t="s">
        <v>1220</v>
      </c>
      <c r="E32" s="768" t="s">
        <v>727</v>
      </c>
      <c r="F32" s="761">
        <v>19805615</v>
      </c>
      <c r="G32" s="762">
        <v>203536</v>
      </c>
      <c r="H32" s="762">
        <v>0</v>
      </c>
      <c r="I32" s="762">
        <v>91610</v>
      </c>
      <c r="J32" s="762">
        <v>0</v>
      </c>
      <c r="K32" s="762">
        <v>91610</v>
      </c>
      <c r="L32" s="762">
        <v>0</v>
      </c>
      <c r="M32" s="762">
        <v>0</v>
      </c>
      <c r="N32" s="762">
        <v>157969</v>
      </c>
      <c r="O32" s="762">
        <v>157969</v>
      </c>
      <c r="P32" s="762">
        <v>0</v>
      </c>
      <c r="Q32" s="762">
        <v>0</v>
      </c>
      <c r="R32" s="762">
        <v>19759572</v>
      </c>
      <c r="S32" s="790">
        <v>0.5</v>
      </c>
      <c r="T32" s="790">
        <v>0.4</v>
      </c>
      <c r="U32" s="790">
        <v>0.1</v>
      </c>
      <c r="V32" s="790">
        <v>0</v>
      </c>
      <c r="W32" s="790">
        <v>1</v>
      </c>
      <c r="X32" s="762">
        <v>9879786</v>
      </c>
      <c r="Y32" s="762">
        <v>7903829</v>
      </c>
      <c r="Z32" s="762">
        <v>1975957</v>
      </c>
      <c r="AA32" s="762">
        <v>0</v>
      </c>
      <c r="AB32" s="762">
        <v>19759572</v>
      </c>
      <c r="AC32" s="762">
        <v>0</v>
      </c>
      <c r="AD32" s="762">
        <v>0</v>
      </c>
      <c r="AE32" s="762">
        <v>0</v>
      </c>
      <c r="AF32" s="762">
        <v>0</v>
      </c>
      <c r="AG32" s="762">
        <v>0</v>
      </c>
      <c r="AH32" s="762">
        <v>9879786</v>
      </c>
      <c r="AI32" s="762">
        <v>7903829</v>
      </c>
      <c r="AJ32" s="762">
        <v>1975957</v>
      </c>
      <c r="AK32" s="762">
        <v>0</v>
      </c>
      <c r="AL32" s="762">
        <v>19759572</v>
      </c>
      <c r="AM32" s="762">
        <v>91610</v>
      </c>
      <c r="AN32" s="762">
        <v>91610</v>
      </c>
      <c r="AO32" s="762">
        <v>0</v>
      </c>
      <c r="AP32" s="762">
        <v>0</v>
      </c>
      <c r="AQ32" s="762">
        <v>157969</v>
      </c>
      <c r="AR32" s="762">
        <v>0</v>
      </c>
      <c r="AS32" s="762">
        <v>157969</v>
      </c>
      <c r="AT32" s="762">
        <v>0</v>
      </c>
      <c r="AU32" s="762">
        <v>0</v>
      </c>
      <c r="AV32" s="762">
        <v>0</v>
      </c>
      <c r="AW32" s="762">
        <v>0</v>
      </c>
      <c r="AX32" s="762">
        <v>0</v>
      </c>
      <c r="AY32" s="762">
        <v>0</v>
      </c>
      <c r="AZ32" s="762">
        <v>0</v>
      </c>
      <c r="BA32" s="762">
        <v>0</v>
      </c>
      <c r="BB32" s="762">
        <v>0</v>
      </c>
      <c r="BC32" s="762">
        <v>0</v>
      </c>
      <c r="BD32" s="762">
        <v>0</v>
      </c>
      <c r="BE32" s="762">
        <v>0</v>
      </c>
      <c r="BF32" s="762">
        <v>0</v>
      </c>
      <c r="BG32" s="762">
        <v>0</v>
      </c>
      <c r="BH32" s="762">
        <v>0</v>
      </c>
      <c r="BI32" s="762">
        <v>0</v>
      </c>
      <c r="BJ32" s="790">
        <v>0</v>
      </c>
      <c r="BK32" s="790">
        <v>0.6</v>
      </c>
      <c r="BL32" s="790">
        <v>0.4</v>
      </c>
      <c r="BM32" s="790">
        <v>0</v>
      </c>
      <c r="BN32" s="790">
        <v>1</v>
      </c>
      <c r="BO32" s="762">
        <v>0</v>
      </c>
      <c r="BP32" s="762">
        <v>1584338</v>
      </c>
      <c r="BQ32" s="762">
        <v>1056225</v>
      </c>
      <c r="BR32" s="762">
        <v>0</v>
      </c>
      <c r="BS32" s="762">
        <v>2640563</v>
      </c>
      <c r="BT32" s="790">
        <v>0.5</v>
      </c>
      <c r="BU32" s="790">
        <v>0.4</v>
      </c>
      <c r="BV32" s="790">
        <v>0.1</v>
      </c>
      <c r="BW32" s="790">
        <v>0</v>
      </c>
      <c r="BX32" s="790">
        <v>1</v>
      </c>
      <c r="BY32" s="762">
        <v>-18647</v>
      </c>
      <c r="BZ32" s="762">
        <v>-14918</v>
      </c>
      <c r="CA32" s="762">
        <v>-3730</v>
      </c>
      <c r="CB32" s="762">
        <v>0</v>
      </c>
      <c r="CC32" s="762">
        <v>-37295</v>
      </c>
      <c r="CD32" s="762">
        <v>-18647</v>
      </c>
      <c r="CE32" s="762">
        <v>1569420</v>
      </c>
      <c r="CF32" s="762">
        <v>1052495</v>
      </c>
      <c r="CG32" s="762">
        <v>0</v>
      </c>
      <c r="CH32" s="762">
        <v>2603268</v>
      </c>
      <c r="CI32" s="762">
        <v>9861139</v>
      </c>
      <c r="CJ32" s="762">
        <v>9722828</v>
      </c>
      <c r="CK32" s="762">
        <v>3028452</v>
      </c>
      <c r="CL32" s="762">
        <v>0</v>
      </c>
      <c r="CM32" s="762">
        <v>22612419</v>
      </c>
      <c r="CN32" s="762">
        <v>262706</v>
      </c>
      <c r="CO32" s="762">
        <v>64390</v>
      </c>
      <c r="CP32" s="762">
        <v>0</v>
      </c>
      <c r="CQ32" s="762">
        <v>327096</v>
      </c>
      <c r="CR32" s="762">
        <v>703254</v>
      </c>
      <c r="CS32" s="762">
        <v>175814</v>
      </c>
      <c r="CT32" s="762">
        <v>0</v>
      </c>
      <c r="CU32" s="762">
        <v>879068</v>
      </c>
      <c r="CV32" s="762">
        <v>40955</v>
      </c>
      <c r="CW32" s="762">
        <v>10239</v>
      </c>
      <c r="CX32" s="762">
        <v>0</v>
      </c>
      <c r="CY32" s="762">
        <v>51194</v>
      </c>
      <c r="CZ32" s="762">
        <v>0</v>
      </c>
      <c r="DA32" s="762">
        <v>0</v>
      </c>
      <c r="DB32" s="762">
        <v>0</v>
      </c>
      <c r="DC32" s="762">
        <v>0</v>
      </c>
      <c r="DD32" s="762">
        <v>6597</v>
      </c>
      <c r="DE32" s="762">
        <v>1649</v>
      </c>
      <c r="DF32" s="762">
        <v>0</v>
      </c>
      <c r="DG32" s="762">
        <v>8246</v>
      </c>
      <c r="DH32" s="762">
        <v>1239</v>
      </c>
      <c r="DI32" s="762">
        <v>310</v>
      </c>
      <c r="DJ32" s="762">
        <v>0</v>
      </c>
      <c r="DK32" s="762">
        <v>1549</v>
      </c>
      <c r="DL32" s="762">
        <v>2994</v>
      </c>
      <c r="DM32" s="762">
        <v>749</v>
      </c>
      <c r="DN32" s="762">
        <v>0</v>
      </c>
      <c r="DO32" s="762">
        <v>3743</v>
      </c>
      <c r="DP32" s="762">
        <v>11002</v>
      </c>
      <c r="DQ32" s="762">
        <v>2751</v>
      </c>
      <c r="DR32" s="762">
        <v>0</v>
      </c>
      <c r="DS32" s="762">
        <v>13753</v>
      </c>
      <c r="DT32" s="762">
        <v>0</v>
      </c>
      <c r="DU32" s="762">
        <v>0</v>
      </c>
      <c r="DV32" s="762">
        <v>0</v>
      </c>
      <c r="DW32" s="762">
        <v>0</v>
      </c>
      <c r="DX32" s="762">
        <v>0</v>
      </c>
      <c r="DY32" s="762">
        <v>0</v>
      </c>
      <c r="DZ32" s="762">
        <v>0</v>
      </c>
      <c r="EA32" s="762">
        <v>0</v>
      </c>
      <c r="EB32" s="762">
        <v>248918</v>
      </c>
      <c r="EC32" s="762">
        <v>62229</v>
      </c>
      <c r="ED32" s="762">
        <v>0</v>
      </c>
      <c r="EE32" s="762">
        <v>311147</v>
      </c>
      <c r="EF32" s="762">
        <v>1277665</v>
      </c>
      <c r="EG32" s="762">
        <v>318131</v>
      </c>
      <c r="EH32" s="762">
        <v>0</v>
      </c>
      <c r="EI32" s="799">
        <v>1595796</v>
      </c>
      <c r="EJ32" s="763" t="s">
        <v>727</v>
      </c>
      <c r="EK32" s="607" t="s">
        <v>600</v>
      </c>
      <c r="EL32" s="805" t="s">
        <v>556</v>
      </c>
      <c r="EM32" t="s">
        <v>1598</v>
      </c>
    </row>
    <row r="33" spans="1:143" ht="12.75" x14ac:dyDescent="0.2">
      <c r="A33" s="764">
        <v>26</v>
      </c>
      <c r="B33" s="765" t="s">
        <v>1144</v>
      </c>
      <c r="C33" s="766" t="s">
        <v>529</v>
      </c>
      <c r="D33" s="767" t="s">
        <v>1226</v>
      </c>
      <c r="E33" s="768" t="s">
        <v>1167</v>
      </c>
      <c r="F33" s="761">
        <v>135364347</v>
      </c>
      <c r="G33" s="762">
        <v>0</v>
      </c>
      <c r="H33" s="762">
        <v>889747</v>
      </c>
      <c r="I33" s="762">
        <v>596476</v>
      </c>
      <c r="J33" s="762">
        <v>0</v>
      </c>
      <c r="K33" s="762">
        <v>596476</v>
      </c>
      <c r="L33" s="762">
        <v>0</v>
      </c>
      <c r="M33" s="762">
        <v>0</v>
      </c>
      <c r="N33" s="762">
        <v>318855</v>
      </c>
      <c r="O33" s="762">
        <v>318855</v>
      </c>
      <c r="P33" s="762">
        <v>0</v>
      </c>
      <c r="Q33" s="762">
        <v>0</v>
      </c>
      <c r="R33" s="762">
        <v>133559269</v>
      </c>
      <c r="S33" s="790">
        <v>0.5</v>
      </c>
      <c r="T33" s="790">
        <v>0.49</v>
      </c>
      <c r="U33" s="790">
        <v>0</v>
      </c>
      <c r="V33" s="790">
        <v>0.01</v>
      </c>
      <c r="W33" s="790">
        <v>1</v>
      </c>
      <c r="X33" s="762">
        <v>66779634</v>
      </c>
      <c r="Y33" s="762">
        <v>65444042</v>
      </c>
      <c r="Z33" s="762">
        <v>0</v>
      </c>
      <c r="AA33" s="762">
        <v>1335593</v>
      </c>
      <c r="AB33" s="762">
        <v>133559269</v>
      </c>
      <c r="AC33" s="762">
        <v>0</v>
      </c>
      <c r="AD33" s="762">
        <v>0</v>
      </c>
      <c r="AE33" s="762">
        <v>0</v>
      </c>
      <c r="AF33" s="762">
        <v>0</v>
      </c>
      <c r="AG33" s="762">
        <v>0</v>
      </c>
      <c r="AH33" s="762">
        <v>66779634</v>
      </c>
      <c r="AI33" s="762">
        <v>65444042</v>
      </c>
      <c r="AJ33" s="762">
        <v>0</v>
      </c>
      <c r="AK33" s="762">
        <v>1335593</v>
      </c>
      <c r="AL33" s="762">
        <v>133559269</v>
      </c>
      <c r="AM33" s="762">
        <v>596476</v>
      </c>
      <c r="AN33" s="762">
        <v>596476</v>
      </c>
      <c r="AO33" s="762">
        <v>0</v>
      </c>
      <c r="AP33" s="762">
        <v>0</v>
      </c>
      <c r="AQ33" s="762">
        <v>318855</v>
      </c>
      <c r="AR33" s="762">
        <v>0</v>
      </c>
      <c r="AS33" s="762">
        <v>318855</v>
      </c>
      <c r="AT33" s="762">
        <v>0</v>
      </c>
      <c r="AU33" s="762">
        <v>0</v>
      </c>
      <c r="AV33" s="762">
        <v>0</v>
      </c>
      <c r="AW33" s="762">
        <v>0</v>
      </c>
      <c r="AX33" s="762">
        <v>0</v>
      </c>
      <c r="AY33" s="762">
        <v>0</v>
      </c>
      <c r="AZ33" s="762">
        <v>0</v>
      </c>
      <c r="BA33" s="762">
        <v>0</v>
      </c>
      <c r="BB33" s="762">
        <v>0</v>
      </c>
      <c r="BC33" s="762">
        <v>0</v>
      </c>
      <c r="BD33" s="762">
        <v>0</v>
      </c>
      <c r="BE33" s="762">
        <v>0</v>
      </c>
      <c r="BF33" s="762">
        <v>0</v>
      </c>
      <c r="BG33" s="762">
        <v>0</v>
      </c>
      <c r="BH33" s="762">
        <v>0</v>
      </c>
      <c r="BI33" s="762">
        <v>0</v>
      </c>
      <c r="BJ33" s="790">
        <v>0.5</v>
      </c>
      <c r="BK33" s="790">
        <v>0.49</v>
      </c>
      <c r="BL33" s="790">
        <v>0</v>
      </c>
      <c r="BM33" s="790">
        <v>0.01</v>
      </c>
      <c r="BN33" s="790">
        <v>1</v>
      </c>
      <c r="BO33" s="762">
        <v>-1472555.9999999963</v>
      </c>
      <c r="BP33" s="762">
        <v>-1443104</v>
      </c>
      <c r="BQ33" s="762">
        <v>0</v>
      </c>
      <c r="BR33" s="762">
        <v>-29451</v>
      </c>
      <c r="BS33" s="762">
        <v>-2945110.9999999963</v>
      </c>
      <c r="BT33" s="790">
        <v>0.5</v>
      </c>
      <c r="BU33" s="790">
        <v>0.49</v>
      </c>
      <c r="BV33" s="790">
        <v>0</v>
      </c>
      <c r="BW33" s="790">
        <v>0.01</v>
      </c>
      <c r="BX33" s="790">
        <v>1</v>
      </c>
      <c r="BY33" s="762">
        <v>1472555.5899999999</v>
      </c>
      <c r="BZ33" s="762">
        <v>1443104</v>
      </c>
      <c r="CA33" s="762">
        <v>0</v>
      </c>
      <c r="CB33" s="762">
        <v>29451</v>
      </c>
      <c r="CC33" s="762">
        <v>2945110.59</v>
      </c>
      <c r="CD33" s="762">
        <v>0</v>
      </c>
      <c r="CE33" s="762">
        <v>0</v>
      </c>
      <c r="CF33" s="762">
        <v>0</v>
      </c>
      <c r="CG33" s="762">
        <v>0</v>
      </c>
      <c r="CH33" s="762">
        <v>-0.40999999642372131</v>
      </c>
      <c r="CI33" s="762">
        <v>66779634</v>
      </c>
      <c r="CJ33" s="762">
        <v>66359373</v>
      </c>
      <c r="CK33" s="762">
        <v>0</v>
      </c>
      <c r="CL33" s="762">
        <v>1335593</v>
      </c>
      <c r="CM33" s="762">
        <v>134474600</v>
      </c>
      <c r="CN33" s="762">
        <v>2142986</v>
      </c>
      <c r="CO33" s="762">
        <v>0</v>
      </c>
      <c r="CP33" s="762">
        <v>43522</v>
      </c>
      <c r="CQ33" s="762">
        <v>2186508</v>
      </c>
      <c r="CR33" s="762">
        <v>5395519</v>
      </c>
      <c r="CS33" s="762">
        <v>0</v>
      </c>
      <c r="CT33" s="762">
        <v>110113</v>
      </c>
      <c r="CU33" s="762">
        <v>5505632</v>
      </c>
      <c r="CV33" s="762">
        <v>349514</v>
      </c>
      <c r="CW33" s="762">
        <v>0</v>
      </c>
      <c r="CX33" s="762">
        <v>7133</v>
      </c>
      <c r="CY33" s="762">
        <v>356647</v>
      </c>
      <c r="CZ33" s="762">
        <v>8391</v>
      </c>
      <c r="DA33" s="762">
        <v>0</v>
      </c>
      <c r="DB33" s="762">
        <v>171</v>
      </c>
      <c r="DC33" s="762">
        <v>8562</v>
      </c>
      <c r="DD33" s="762">
        <v>0</v>
      </c>
      <c r="DE33" s="762">
        <v>0</v>
      </c>
      <c r="DF33" s="762">
        <v>0</v>
      </c>
      <c r="DG33" s="762">
        <v>0</v>
      </c>
      <c r="DH33" s="762">
        <v>759</v>
      </c>
      <c r="DI33" s="762">
        <v>0</v>
      </c>
      <c r="DJ33" s="762">
        <v>15</v>
      </c>
      <c r="DK33" s="762">
        <v>774</v>
      </c>
      <c r="DL33" s="762">
        <v>37393</v>
      </c>
      <c r="DM33" s="762">
        <v>0</v>
      </c>
      <c r="DN33" s="762">
        <v>763</v>
      </c>
      <c r="DO33" s="762">
        <v>38156</v>
      </c>
      <c r="DP33" s="762">
        <v>85509</v>
      </c>
      <c r="DQ33" s="762">
        <v>0</v>
      </c>
      <c r="DR33" s="762">
        <v>1745</v>
      </c>
      <c r="DS33" s="762">
        <v>87254</v>
      </c>
      <c r="DT33" s="762">
        <v>0</v>
      </c>
      <c r="DU33" s="762">
        <v>0</v>
      </c>
      <c r="DV33" s="762">
        <v>0</v>
      </c>
      <c r="DW33" s="762">
        <v>0</v>
      </c>
      <c r="DX33" s="762">
        <v>0</v>
      </c>
      <c r="DY33" s="762">
        <v>0</v>
      </c>
      <c r="DZ33" s="762">
        <v>0</v>
      </c>
      <c r="EA33" s="762">
        <v>0</v>
      </c>
      <c r="EB33" s="762">
        <v>2209280</v>
      </c>
      <c r="EC33" s="762">
        <v>0</v>
      </c>
      <c r="ED33" s="762">
        <v>45087</v>
      </c>
      <c r="EE33" s="762">
        <v>2254367</v>
      </c>
      <c r="EF33" s="762">
        <v>10229351</v>
      </c>
      <c r="EG33" s="762">
        <v>0</v>
      </c>
      <c r="EH33" s="762">
        <v>208549</v>
      </c>
      <c r="EI33" s="799">
        <v>10437900</v>
      </c>
      <c r="EJ33" s="763" t="s">
        <v>1167</v>
      </c>
      <c r="EK33" s="607" t="s">
        <v>529</v>
      </c>
      <c r="EL33" s="805" t="s">
        <v>566</v>
      </c>
      <c r="EM33" t="s">
        <v>1599</v>
      </c>
    </row>
    <row r="34" spans="1:143" ht="12.75" x14ac:dyDescent="0.2">
      <c r="A34" s="764">
        <v>27</v>
      </c>
      <c r="B34" s="765" t="s">
        <v>730</v>
      </c>
      <c r="C34" s="766" t="s">
        <v>529</v>
      </c>
      <c r="D34" s="767" t="s">
        <v>1218</v>
      </c>
      <c r="E34" s="768" t="s">
        <v>536</v>
      </c>
      <c r="F34" s="761">
        <v>73555458</v>
      </c>
      <c r="G34" s="762">
        <v>204621</v>
      </c>
      <c r="H34" s="762">
        <v>0</v>
      </c>
      <c r="I34" s="762">
        <v>149530</v>
      </c>
      <c r="J34" s="762">
        <v>0</v>
      </c>
      <c r="K34" s="762">
        <v>149530</v>
      </c>
      <c r="L34" s="762">
        <v>0</v>
      </c>
      <c r="M34" s="762">
        <v>0</v>
      </c>
      <c r="N34" s="762">
        <v>527</v>
      </c>
      <c r="O34" s="762">
        <v>527</v>
      </c>
      <c r="P34" s="762">
        <v>0</v>
      </c>
      <c r="Q34" s="762">
        <v>0</v>
      </c>
      <c r="R34" s="762">
        <v>73610022</v>
      </c>
      <c r="S34" s="790">
        <v>0.25</v>
      </c>
      <c r="T34" s="790">
        <v>0.74</v>
      </c>
      <c r="U34" s="790">
        <v>0</v>
      </c>
      <c r="V34" s="790">
        <v>0.01</v>
      </c>
      <c r="W34" s="790">
        <v>1</v>
      </c>
      <c r="X34" s="762">
        <v>18402506</v>
      </c>
      <c r="Y34" s="762">
        <v>54471416</v>
      </c>
      <c r="Z34" s="762">
        <v>0</v>
      </c>
      <c r="AA34" s="762">
        <v>736100</v>
      </c>
      <c r="AB34" s="762">
        <v>73610022</v>
      </c>
      <c r="AC34" s="762">
        <v>0</v>
      </c>
      <c r="AD34" s="762">
        <v>0</v>
      </c>
      <c r="AE34" s="762">
        <v>0</v>
      </c>
      <c r="AF34" s="762">
        <v>0</v>
      </c>
      <c r="AG34" s="762">
        <v>0</v>
      </c>
      <c r="AH34" s="762">
        <v>18402506</v>
      </c>
      <c r="AI34" s="762">
        <v>54471416</v>
      </c>
      <c r="AJ34" s="762">
        <v>0</v>
      </c>
      <c r="AK34" s="762">
        <v>736100</v>
      </c>
      <c r="AL34" s="762">
        <v>73610022</v>
      </c>
      <c r="AM34" s="762">
        <v>149530</v>
      </c>
      <c r="AN34" s="762">
        <v>149530</v>
      </c>
      <c r="AO34" s="762">
        <v>0</v>
      </c>
      <c r="AP34" s="762">
        <v>0</v>
      </c>
      <c r="AQ34" s="762">
        <v>527</v>
      </c>
      <c r="AR34" s="762">
        <v>0</v>
      </c>
      <c r="AS34" s="762">
        <v>527</v>
      </c>
      <c r="AT34" s="762">
        <v>0</v>
      </c>
      <c r="AU34" s="762">
        <v>0</v>
      </c>
      <c r="AV34" s="762">
        <v>0</v>
      </c>
      <c r="AW34" s="762">
        <v>0</v>
      </c>
      <c r="AX34" s="762">
        <v>0</v>
      </c>
      <c r="AY34" s="762">
        <v>0</v>
      </c>
      <c r="AZ34" s="762">
        <v>0</v>
      </c>
      <c r="BA34" s="762">
        <v>0</v>
      </c>
      <c r="BB34" s="762">
        <v>0</v>
      </c>
      <c r="BC34" s="762">
        <v>0</v>
      </c>
      <c r="BD34" s="762">
        <v>0</v>
      </c>
      <c r="BE34" s="762">
        <v>0</v>
      </c>
      <c r="BF34" s="762">
        <v>0</v>
      </c>
      <c r="BG34" s="762">
        <v>0</v>
      </c>
      <c r="BH34" s="762">
        <v>0</v>
      </c>
      <c r="BI34" s="762">
        <v>0</v>
      </c>
      <c r="BJ34" s="790">
        <v>0</v>
      </c>
      <c r="BK34" s="790">
        <v>0.99</v>
      </c>
      <c r="BL34" s="790">
        <v>0</v>
      </c>
      <c r="BM34" s="790">
        <v>0.01</v>
      </c>
      <c r="BN34" s="790">
        <v>1</v>
      </c>
      <c r="BO34" s="762">
        <v>0</v>
      </c>
      <c r="BP34" s="762">
        <v>527530</v>
      </c>
      <c r="BQ34" s="762">
        <v>0</v>
      </c>
      <c r="BR34" s="762">
        <v>5329</v>
      </c>
      <c r="BS34" s="762">
        <v>532859</v>
      </c>
      <c r="BT34" s="790">
        <v>0.5</v>
      </c>
      <c r="BU34" s="790">
        <v>0.49</v>
      </c>
      <c r="BV34" s="790">
        <v>0</v>
      </c>
      <c r="BW34" s="790">
        <v>0.01</v>
      </c>
      <c r="BX34" s="790">
        <v>1</v>
      </c>
      <c r="BY34" s="762">
        <v>-5581404</v>
      </c>
      <c r="BZ34" s="762">
        <v>-5469776</v>
      </c>
      <c r="CA34" s="762">
        <v>0</v>
      </c>
      <c r="CB34" s="762">
        <v>-111628</v>
      </c>
      <c r="CC34" s="762">
        <v>-11162808</v>
      </c>
      <c r="CD34" s="762">
        <v>-5581404</v>
      </c>
      <c r="CE34" s="762">
        <v>-4942246</v>
      </c>
      <c r="CF34" s="762">
        <v>0</v>
      </c>
      <c r="CG34" s="762">
        <v>-106299</v>
      </c>
      <c r="CH34" s="762">
        <v>-10629949</v>
      </c>
      <c r="CI34" s="762">
        <v>12821102</v>
      </c>
      <c r="CJ34" s="762">
        <v>49679227</v>
      </c>
      <c r="CK34" s="762">
        <v>0</v>
      </c>
      <c r="CL34" s="762">
        <v>629801</v>
      </c>
      <c r="CM34" s="762">
        <v>63130130</v>
      </c>
      <c r="CN34" s="762">
        <v>1775053</v>
      </c>
      <c r="CO34" s="762">
        <v>0</v>
      </c>
      <c r="CP34" s="762">
        <v>23987</v>
      </c>
      <c r="CQ34" s="762">
        <v>1799040</v>
      </c>
      <c r="CR34" s="762">
        <v>805092</v>
      </c>
      <c r="CS34" s="762">
        <v>0</v>
      </c>
      <c r="CT34" s="762">
        <v>10880</v>
      </c>
      <c r="CU34" s="762">
        <v>815972</v>
      </c>
      <c r="CV34" s="762">
        <v>95137</v>
      </c>
      <c r="CW34" s="762">
        <v>0</v>
      </c>
      <c r="CX34" s="762">
        <v>1286</v>
      </c>
      <c r="CY34" s="762">
        <v>96423</v>
      </c>
      <c r="CZ34" s="762">
        <v>576</v>
      </c>
      <c r="DA34" s="762">
        <v>0</v>
      </c>
      <c r="DB34" s="762">
        <v>8</v>
      </c>
      <c r="DC34" s="762">
        <v>584</v>
      </c>
      <c r="DD34" s="762">
        <v>0</v>
      </c>
      <c r="DE34" s="762">
        <v>0</v>
      </c>
      <c r="DF34" s="762">
        <v>0</v>
      </c>
      <c r="DG34" s="762">
        <v>0</v>
      </c>
      <c r="DH34" s="762">
        <v>0</v>
      </c>
      <c r="DI34" s="762">
        <v>0</v>
      </c>
      <c r="DJ34" s="762">
        <v>0</v>
      </c>
      <c r="DK34" s="762">
        <v>0</v>
      </c>
      <c r="DL34" s="762">
        <v>2142</v>
      </c>
      <c r="DM34" s="762">
        <v>0</v>
      </c>
      <c r="DN34" s="762">
        <v>29</v>
      </c>
      <c r="DO34" s="762">
        <v>2171</v>
      </c>
      <c r="DP34" s="762">
        <v>35912</v>
      </c>
      <c r="DQ34" s="762">
        <v>0</v>
      </c>
      <c r="DR34" s="762">
        <v>485</v>
      </c>
      <c r="DS34" s="762">
        <v>36397</v>
      </c>
      <c r="DT34" s="762">
        <v>0</v>
      </c>
      <c r="DU34" s="762">
        <v>0</v>
      </c>
      <c r="DV34" s="762">
        <v>0</v>
      </c>
      <c r="DW34" s="762">
        <v>0</v>
      </c>
      <c r="DX34" s="762">
        <v>0</v>
      </c>
      <c r="DY34" s="762">
        <v>0</v>
      </c>
      <c r="DZ34" s="762">
        <v>0</v>
      </c>
      <c r="EA34" s="762">
        <v>0</v>
      </c>
      <c r="EB34" s="762">
        <v>130722</v>
      </c>
      <c r="EC34" s="762">
        <v>0</v>
      </c>
      <c r="ED34" s="762">
        <v>1767</v>
      </c>
      <c r="EE34" s="762">
        <v>132489</v>
      </c>
      <c r="EF34" s="762">
        <v>2844634</v>
      </c>
      <c r="EG34" s="762">
        <v>0</v>
      </c>
      <c r="EH34" s="762">
        <v>38442</v>
      </c>
      <c r="EI34" s="799">
        <v>2883076</v>
      </c>
      <c r="EJ34" s="763" t="s">
        <v>536</v>
      </c>
      <c r="EK34" s="607" t="s">
        <v>529</v>
      </c>
      <c r="EL34" s="805" t="s">
        <v>537</v>
      </c>
      <c r="EM34" t="s">
        <v>1600</v>
      </c>
    </row>
    <row r="35" spans="1:143" ht="12.75" x14ac:dyDescent="0.2">
      <c r="A35" s="764">
        <v>28</v>
      </c>
      <c r="B35" s="765" t="s">
        <v>732</v>
      </c>
      <c r="C35" s="766" t="s">
        <v>1224</v>
      </c>
      <c r="D35" s="767" t="s">
        <v>1225</v>
      </c>
      <c r="E35" s="768" t="s">
        <v>731</v>
      </c>
      <c r="F35" s="761">
        <v>131050894</v>
      </c>
      <c r="G35" s="762">
        <v>0</v>
      </c>
      <c r="H35" s="762">
        <v>915811</v>
      </c>
      <c r="I35" s="762">
        <v>727519</v>
      </c>
      <c r="J35" s="762">
        <v>0</v>
      </c>
      <c r="K35" s="762">
        <v>727519</v>
      </c>
      <c r="L35" s="762">
        <v>0</v>
      </c>
      <c r="M35" s="762">
        <v>0</v>
      </c>
      <c r="N35" s="762">
        <v>0</v>
      </c>
      <c r="O35" s="762">
        <v>0</v>
      </c>
      <c r="P35" s="762">
        <v>0</v>
      </c>
      <c r="Q35" s="762">
        <v>0</v>
      </c>
      <c r="R35" s="762">
        <v>129407564</v>
      </c>
      <c r="S35" s="790">
        <v>0.25</v>
      </c>
      <c r="T35" s="790">
        <v>0.74</v>
      </c>
      <c r="U35" s="790">
        <v>0</v>
      </c>
      <c r="V35" s="790">
        <v>0.01</v>
      </c>
      <c r="W35" s="790">
        <v>1</v>
      </c>
      <c r="X35" s="762">
        <v>32351891</v>
      </c>
      <c r="Y35" s="762">
        <v>95761597</v>
      </c>
      <c r="Z35" s="762">
        <v>0</v>
      </c>
      <c r="AA35" s="762">
        <v>1294076</v>
      </c>
      <c r="AB35" s="762">
        <v>129407564</v>
      </c>
      <c r="AC35" s="762">
        <v>0</v>
      </c>
      <c r="AD35" s="762">
        <v>0</v>
      </c>
      <c r="AE35" s="762">
        <v>0</v>
      </c>
      <c r="AF35" s="762">
        <v>0</v>
      </c>
      <c r="AG35" s="762">
        <v>0</v>
      </c>
      <c r="AH35" s="762">
        <v>32351891</v>
      </c>
      <c r="AI35" s="762">
        <v>95761597</v>
      </c>
      <c r="AJ35" s="762">
        <v>0</v>
      </c>
      <c r="AK35" s="762">
        <v>1294076</v>
      </c>
      <c r="AL35" s="762">
        <v>129407564</v>
      </c>
      <c r="AM35" s="762">
        <v>727519</v>
      </c>
      <c r="AN35" s="762">
        <v>727519</v>
      </c>
      <c r="AO35" s="762">
        <v>0</v>
      </c>
      <c r="AP35" s="762">
        <v>0</v>
      </c>
      <c r="AQ35" s="762">
        <v>0</v>
      </c>
      <c r="AR35" s="762">
        <v>0</v>
      </c>
      <c r="AS35" s="762">
        <v>0</v>
      </c>
      <c r="AT35" s="762">
        <v>0</v>
      </c>
      <c r="AU35" s="762">
        <v>0</v>
      </c>
      <c r="AV35" s="762">
        <v>0</v>
      </c>
      <c r="AW35" s="762">
        <v>0</v>
      </c>
      <c r="AX35" s="762">
        <v>0</v>
      </c>
      <c r="AY35" s="762">
        <v>0</v>
      </c>
      <c r="AZ35" s="762">
        <v>0</v>
      </c>
      <c r="BA35" s="762">
        <v>0</v>
      </c>
      <c r="BB35" s="762">
        <v>0</v>
      </c>
      <c r="BC35" s="762">
        <v>0</v>
      </c>
      <c r="BD35" s="762">
        <v>0</v>
      </c>
      <c r="BE35" s="762">
        <v>0</v>
      </c>
      <c r="BF35" s="762">
        <v>0</v>
      </c>
      <c r="BG35" s="762">
        <v>0</v>
      </c>
      <c r="BH35" s="762">
        <v>0</v>
      </c>
      <c r="BI35" s="762">
        <v>0</v>
      </c>
      <c r="BJ35" s="790">
        <v>0</v>
      </c>
      <c r="BK35" s="790">
        <v>0.99</v>
      </c>
      <c r="BL35" s="790">
        <v>0</v>
      </c>
      <c r="BM35" s="790">
        <v>0.01</v>
      </c>
      <c r="BN35" s="790">
        <v>1</v>
      </c>
      <c r="BO35" s="762">
        <v>0</v>
      </c>
      <c r="BP35" s="762">
        <v>1707037</v>
      </c>
      <c r="BQ35" s="762">
        <v>0</v>
      </c>
      <c r="BR35" s="762">
        <v>17243</v>
      </c>
      <c r="BS35" s="762">
        <v>1724280</v>
      </c>
      <c r="BT35" s="790">
        <v>0.5</v>
      </c>
      <c r="BU35" s="790">
        <v>0.49</v>
      </c>
      <c r="BV35" s="790">
        <v>0</v>
      </c>
      <c r="BW35" s="790">
        <v>0.01</v>
      </c>
      <c r="BX35" s="790">
        <v>1</v>
      </c>
      <c r="BY35" s="762">
        <v>-1176141</v>
      </c>
      <c r="BZ35" s="762">
        <v>-1152619</v>
      </c>
      <c r="CA35" s="762">
        <v>0</v>
      </c>
      <c r="CB35" s="762">
        <v>-23523</v>
      </c>
      <c r="CC35" s="762">
        <v>-2352283</v>
      </c>
      <c r="CD35" s="762">
        <v>-1176141</v>
      </c>
      <c r="CE35" s="762">
        <v>554418</v>
      </c>
      <c r="CF35" s="762">
        <v>0</v>
      </c>
      <c r="CG35" s="762">
        <v>-6280</v>
      </c>
      <c r="CH35" s="762">
        <v>-628003</v>
      </c>
      <c r="CI35" s="762">
        <v>31175750</v>
      </c>
      <c r="CJ35" s="762">
        <v>97043534</v>
      </c>
      <c r="CK35" s="762">
        <v>0</v>
      </c>
      <c r="CL35" s="762">
        <v>1287796</v>
      </c>
      <c r="CM35" s="762">
        <v>129507080</v>
      </c>
      <c r="CN35" s="762">
        <v>3120541</v>
      </c>
      <c r="CO35" s="762">
        <v>0</v>
      </c>
      <c r="CP35" s="762">
        <v>42169</v>
      </c>
      <c r="CQ35" s="762">
        <v>3162710</v>
      </c>
      <c r="CR35" s="762">
        <v>13440193</v>
      </c>
      <c r="CS35" s="762">
        <v>0</v>
      </c>
      <c r="CT35" s="762">
        <v>181624</v>
      </c>
      <c r="CU35" s="762">
        <v>13621817</v>
      </c>
      <c r="CV35" s="762">
        <v>510670</v>
      </c>
      <c r="CW35" s="762">
        <v>0</v>
      </c>
      <c r="CX35" s="762">
        <v>6901</v>
      </c>
      <c r="CY35" s="762">
        <v>517571</v>
      </c>
      <c r="CZ35" s="762">
        <v>38206</v>
      </c>
      <c r="DA35" s="762">
        <v>0</v>
      </c>
      <c r="DB35" s="762">
        <v>516</v>
      </c>
      <c r="DC35" s="762">
        <v>38722</v>
      </c>
      <c r="DD35" s="762">
        <v>3717</v>
      </c>
      <c r="DE35" s="762">
        <v>0</v>
      </c>
      <c r="DF35" s="762">
        <v>50</v>
      </c>
      <c r="DG35" s="762">
        <v>3767</v>
      </c>
      <c r="DH35" s="762">
        <v>0</v>
      </c>
      <c r="DI35" s="762">
        <v>0</v>
      </c>
      <c r="DJ35" s="762">
        <v>0</v>
      </c>
      <c r="DK35" s="762">
        <v>0</v>
      </c>
      <c r="DL35" s="762">
        <v>46368</v>
      </c>
      <c r="DM35" s="762">
        <v>0</v>
      </c>
      <c r="DN35" s="762">
        <v>627</v>
      </c>
      <c r="DO35" s="762">
        <v>46995</v>
      </c>
      <c r="DP35" s="762">
        <v>152477</v>
      </c>
      <c r="DQ35" s="762">
        <v>0</v>
      </c>
      <c r="DR35" s="762">
        <v>2060</v>
      </c>
      <c r="DS35" s="762">
        <v>154537</v>
      </c>
      <c r="DT35" s="762">
        <v>0</v>
      </c>
      <c r="DU35" s="762">
        <v>0</v>
      </c>
      <c r="DV35" s="762">
        <v>0</v>
      </c>
      <c r="DW35" s="762">
        <v>0</v>
      </c>
      <c r="DX35" s="762">
        <v>0</v>
      </c>
      <c r="DY35" s="762">
        <v>0</v>
      </c>
      <c r="DZ35" s="762">
        <v>0</v>
      </c>
      <c r="EA35" s="762">
        <v>0</v>
      </c>
      <c r="EB35" s="762">
        <v>3126755</v>
      </c>
      <c r="EC35" s="762">
        <v>0</v>
      </c>
      <c r="ED35" s="762">
        <v>42253</v>
      </c>
      <c r="EE35" s="762">
        <v>3169008</v>
      </c>
      <c r="EF35" s="762">
        <v>20438927</v>
      </c>
      <c r="EG35" s="762">
        <v>0</v>
      </c>
      <c r="EH35" s="762">
        <v>276200</v>
      </c>
      <c r="EI35" s="799">
        <v>20715127</v>
      </c>
      <c r="EJ35" s="763" t="s">
        <v>731</v>
      </c>
      <c r="EK35" s="607" t="s">
        <v>621</v>
      </c>
      <c r="EL35" s="805" t="s">
        <v>627</v>
      </c>
      <c r="EM35" t="s">
        <v>1601</v>
      </c>
    </row>
    <row r="36" spans="1:143" ht="12.75" x14ac:dyDescent="0.2">
      <c r="A36" s="764">
        <v>29</v>
      </c>
      <c r="B36" s="765" t="s">
        <v>734</v>
      </c>
      <c r="C36" s="766" t="s">
        <v>1217</v>
      </c>
      <c r="D36" s="767" t="s">
        <v>1221</v>
      </c>
      <c r="E36" s="768" t="s">
        <v>733</v>
      </c>
      <c r="F36" s="761">
        <v>41826277</v>
      </c>
      <c r="G36" s="762">
        <v>214649</v>
      </c>
      <c r="H36" s="762">
        <v>0</v>
      </c>
      <c r="I36" s="762">
        <v>188693</v>
      </c>
      <c r="J36" s="762">
        <v>0</v>
      </c>
      <c r="K36" s="762">
        <v>188693</v>
      </c>
      <c r="L36" s="762">
        <v>0</v>
      </c>
      <c r="M36" s="762">
        <v>0</v>
      </c>
      <c r="N36" s="762">
        <v>206000</v>
      </c>
      <c r="O36" s="762">
        <v>99000</v>
      </c>
      <c r="P36" s="762">
        <v>107000</v>
      </c>
      <c r="Q36" s="762">
        <v>0</v>
      </c>
      <c r="R36" s="762">
        <v>41646233</v>
      </c>
      <c r="S36" s="790">
        <v>0.5</v>
      </c>
      <c r="T36" s="790">
        <v>0.4</v>
      </c>
      <c r="U36" s="790">
        <v>0.09</v>
      </c>
      <c r="V36" s="790">
        <v>0.01</v>
      </c>
      <c r="W36" s="790">
        <v>1</v>
      </c>
      <c r="X36" s="762">
        <v>20823117</v>
      </c>
      <c r="Y36" s="762">
        <v>16658493</v>
      </c>
      <c r="Z36" s="762">
        <v>3748161</v>
      </c>
      <c r="AA36" s="762">
        <v>416462</v>
      </c>
      <c r="AB36" s="762">
        <v>41646233</v>
      </c>
      <c r="AC36" s="762">
        <v>0</v>
      </c>
      <c r="AD36" s="762">
        <v>0</v>
      </c>
      <c r="AE36" s="762">
        <v>0</v>
      </c>
      <c r="AF36" s="762">
        <v>0</v>
      </c>
      <c r="AG36" s="762">
        <v>0</v>
      </c>
      <c r="AH36" s="762">
        <v>20823117</v>
      </c>
      <c r="AI36" s="762">
        <v>16658493</v>
      </c>
      <c r="AJ36" s="762">
        <v>3748161</v>
      </c>
      <c r="AK36" s="762">
        <v>416462</v>
      </c>
      <c r="AL36" s="762">
        <v>41646233</v>
      </c>
      <c r="AM36" s="762">
        <v>188693</v>
      </c>
      <c r="AN36" s="762">
        <v>188693</v>
      </c>
      <c r="AO36" s="762">
        <v>0</v>
      </c>
      <c r="AP36" s="762">
        <v>0</v>
      </c>
      <c r="AQ36" s="762">
        <v>99000</v>
      </c>
      <c r="AR36" s="762">
        <v>107000</v>
      </c>
      <c r="AS36" s="762">
        <v>206000</v>
      </c>
      <c r="AT36" s="762">
        <v>0</v>
      </c>
      <c r="AU36" s="762">
        <v>0</v>
      </c>
      <c r="AV36" s="762">
        <v>0</v>
      </c>
      <c r="AW36" s="762">
        <v>0</v>
      </c>
      <c r="AX36" s="762">
        <v>0</v>
      </c>
      <c r="AY36" s="762">
        <v>0</v>
      </c>
      <c r="AZ36" s="762">
        <v>0</v>
      </c>
      <c r="BA36" s="762">
        <v>0</v>
      </c>
      <c r="BB36" s="762">
        <v>0</v>
      </c>
      <c r="BC36" s="762">
        <v>0</v>
      </c>
      <c r="BD36" s="762">
        <v>0</v>
      </c>
      <c r="BE36" s="762">
        <v>0</v>
      </c>
      <c r="BF36" s="762">
        <v>0</v>
      </c>
      <c r="BG36" s="762">
        <v>0</v>
      </c>
      <c r="BH36" s="762">
        <v>0</v>
      </c>
      <c r="BI36" s="762">
        <v>0</v>
      </c>
      <c r="BJ36" s="790">
        <v>0.5</v>
      </c>
      <c r="BK36" s="790">
        <v>0.4</v>
      </c>
      <c r="BL36" s="790">
        <v>0.09</v>
      </c>
      <c r="BM36" s="790">
        <v>0.01</v>
      </c>
      <c r="BN36" s="790">
        <v>1</v>
      </c>
      <c r="BO36" s="762">
        <v>-221424</v>
      </c>
      <c r="BP36" s="762">
        <v>-177140</v>
      </c>
      <c r="BQ36" s="762">
        <v>-39857</v>
      </c>
      <c r="BR36" s="762">
        <v>-4429</v>
      </c>
      <c r="BS36" s="762">
        <v>-442850</v>
      </c>
      <c r="BT36" s="790">
        <v>0.5</v>
      </c>
      <c r="BU36" s="790">
        <v>0.4</v>
      </c>
      <c r="BV36" s="790">
        <v>0.09</v>
      </c>
      <c r="BW36" s="790">
        <v>0.01</v>
      </c>
      <c r="BX36" s="790">
        <v>1</v>
      </c>
      <c r="BY36" s="762">
        <v>292717</v>
      </c>
      <c r="BZ36" s="762">
        <v>234174</v>
      </c>
      <c r="CA36" s="762">
        <v>52689</v>
      </c>
      <c r="CB36" s="762">
        <v>5854</v>
      </c>
      <c r="CC36" s="762">
        <v>585434</v>
      </c>
      <c r="CD36" s="762">
        <v>71291</v>
      </c>
      <c r="CE36" s="762">
        <v>57034</v>
      </c>
      <c r="CF36" s="762">
        <v>12833</v>
      </c>
      <c r="CG36" s="762">
        <v>1426</v>
      </c>
      <c r="CH36" s="762">
        <v>142584</v>
      </c>
      <c r="CI36" s="762">
        <v>20894408</v>
      </c>
      <c r="CJ36" s="762">
        <v>17003220</v>
      </c>
      <c r="CK36" s="762">
        <v>3867994</v>
      </c>
      <c r="CL36" s="762">
        <v>417888</v>
      </c>
      <c r="CM36" s="762">
        <v>42183510</v>
      </c>
      <c r="CN36" s="762">
        <v>546069</v>
      </c>
      <c r="CO36" s="762">
        <v>125626</v>
      </c>
      <c r="CP36" s="762">
        <v>13571</v>
      </c>
      <c r="CQ36" s="762">
        <v>685266</v>
      </c>
      <c r="CR36" s="762">
        <v>1507220</v>
      </c>
      <c r="CS36" s="762">
        <v>339125</v>
      </c>
      <c r="CT36" s="762">
        <v>37681</v>
      </c>
      <c r="CU36" s="762">
        <v>1884026</v>
      </c>
      <c r="CV36" s="762">
        <v>121829</v>
      </c>
      <c r="CW36" s="762">
        <v>27411</v>
      </c>
      <c r="CX36" s="762">
        <v>3046</v>
      </c>
      <c r="CY36" s="762">
        <v>152286</v>
      </c>
      <c r="CZ36" s="762">
        <v>0</v>
      </c>
      <c r="DA36" s="762">
        <v>0</v>
      </c>
      <c r="DB36" s="762">
        <v>0</v>
      </c>
      <c r="DC36" s="762">
        <v>0</v>
      </c>
      <c r="DD36" s="762">
        <v>5576</v>
      </c>
      <c r="DE36" s="762">
        <v>1255</v>
      </c>
      <c r="DF36" s="762">
        <v>139</v>
      </c>
      <c r="DG36" s="762">
        <v>6970</v>
      </c>
      <c r="DH36" s="762">
        <v>620</v>
      </c>
      <c r="DI36" s="762">
        <v>139</v>
      </c>
      <c r="DJ36" s="762">
        <v>15</v>
      </c>
      <c r="DK36" s="762">
        <v>774</v>
      </c>
      <c r="DL36" s="762">
        <v>7434</v>
      </c>
      <c r="DM36" s="762">
        <v>1673</v>
      </c>
      <c r="DN36" s="762">
        <v>186</v>
      </c>
      <c r="DO36" s="762">
        <v>9293</v>
      </c>
      <c r="DP36" s="762">
        <v>23543</v>
      </c>
      <c r="DQ36" s="762">
        <v>5297</v>
      </c>
      <c r="DR36" s="762">
        <v>589</v>
      </c>
      <c r="DS36" s="762">
        <v>29429</v>
      </c>
      <c r="DT36" s="762">
        <v>0</v>
      </c>
      <c r="DU36" s="762">
        <v>0</v>
      </c>
      <c r="DV36" s="762">
        <v>0</v>
      </c>
      <c r="DW36" s="762">
        <v>0</v>
      </c>
      <c r="DX36" s="762">
        <v>0</v>
      </c>
      <c r="DY36" s="762">
        <v>0</v>
      </c>
      <c r="DZ36" s="762">
        <v>0</v>
      </c>
      <c r="EA36" s="762">
        <v>0</v>
      </c>
      <c r="EB36" s="762">
        <v>481216</v>
      </c>
      <c r="EC36" s="762">
        <v>108274</v>
      </c>
      <c r="ED36" s="762">
        <v>12030</v>
      </c>
      <c r="EE36" s="762">
        <v>601520</v>
      </c>
      <c r="EF36" s="762">
        <v>2693507</v>
      </c>
      <c r="EG36" s="762">
        <v>608800</v>
      </c>
      <c r="EH36" s="762">
        <v>67257</v>
      </c>
      <c r="EI36" s="799">
        <v>3369564</v>
      </c>
      <c r="EJ36" s="763" t="s">
        <v>733</v>
      </c>
      <c r="EK36" s="607" t="s">
        <v>575</v>
      </c>
      <c r="EL36" s="805" t="s">
        <v>573</v>
      </c>
      <c r="EM36" t="s">
        <v>1602</v>
      </c>
    </row>
    <row r="37" spans="1:143" ht="12.75" x14ac:dyDescent="0.2">
      <c r="A37" s="764">
        <v>30</v>
      </c>
      <c r="B37" s="765" t="s">
        <v>736</v>
      </c>
      <c r="C37" s="766" t="s">
        <v>1217</v>
      </c>
      <c r="D37" s="767" t="s">
        <v>1221</v>
      </c>
      <c r="E37" s="768" t="s">
        <v>735</v>
      </c>
      <c r="F37" s="761">
        <v>32877803</v>
      </c>
      <c r="G37" s="762">
        <v>292382</v>
      </c>
      <c r="H37" s="762">
        <v>0</v>
      </c>
      <c r="I37" s="762">
        <v>167726</v>
      </c>
      <c r="J37" s="762">
        <v>0</v>
      </c>
      <c r="K37" s="762">
        <v>167726</v>
      </c>
      <c r="L37" s="762">
        <v>0</v>
      </c>
      <c r="M37" s="762">
        <v>0</v>
      </c>
      <c r="N37" s="762">
        <v>2462330</v>
      </c>
      <c r="O37" s="762">
        <v>2462330</v>
      </c>
      <c r="P37" s="762">
        <v>0</v>
      </c>
      <c r="Q37" s="762">
        <v>0</v>
      </c>
      <c r="R37" s="762">
        <v>30540129</v>
      </c>
      <c r="S37" s="790">
        <v>0.25000000000000006</v>
      </c>
      <c r="T37" s="790">
        <v>0.42499999999999999</v>
      </c>
      <c r="U37" s="790">
        <v>0.32500000000000001</v>
      </c>
      <c r="V37" s="790">
        <v>0</v>
      </c>
      <c r="W37" s="790">
        <v>1</v>
      </c>
      <c r="X37" s="762">
        <v>7635032</v>
      </c>
      <c r="Y37" s="762">
        <v>12979555</v>
      </c>
      <c r="Z37" s="762">
        <v>9925542</v>
      </c>
      <c r="AA37" s="762">
        <v>0</v>
      </c>
      <c r="AB37" s="762">
        <v>30540129</v>
      </c>
      <c r="AC37" s="762">
        <v>0</v>
      </c>
      <c r="AD37" s="762">
        <v>0</v>
      </c>
      <c r="AE37" s="762">
        <v>0</v>
      </c>
      <c r="AF37" s="762">
        <v>0</v>
      </c>
      <c r="AG37" s="762">
        <v>0</v>
      </c>
      <c r="AH37" s="762">
        <v>7635032</v>
      </c>
      <c r="AI37" s="762">
        <v>12979555</v>
      </c>
      <c r="AJ37" s="762">
        <v>9925542</v>
      </c>
      <c r="AK37" s="762">
        <v>0</v>
      </c>
      <c r="AL37" s="762">
        <v>30540129</v>
      </c>
      <c r="AM37" s="762">
        <v>167726</v>
      </c>
      <c r="AN37" s="762">
        <v>167726</v>
      </c>
      <c r="AO37" s="762">
        <v>0</v>
      </c>
      <c r="AP37" s="762">
        <v>0</v>
      </c>
      <c r="AQ37" s="762">
        <v>2462330</v>
      </c>
      <c r="AR37" s="762">
        <v>0</v>
      </c>
      <c r="AS37" s="762">
        <v>2462330</v>
      </c>
      <c r="AT37" s="762">
        <v>0</v>
      </c>
      <c r="AU37" s="762">
        <v>0</v>
      </c>
      <c r="AV37" s="762">
        <v>0</v>
      </c>
      <c r="AW37" s="762">
        <v>0</v>
      </c>
      <c r="AX37" s="762">
        <v>0</v>
      </c>
      <c r="AY37" s="762">
        <v>0</v>
      </c>
      <c r="AZ37" s="762">
        <v>0</v>
      </c>
      <c r="BA37" s="762">
        <v>0</v>
      </c>
      <c r="BB37" s="762">
        <v>0</v>
      </c>
      <c r="BC37" s="762">
        <v>0</v>
      </c>
      <c r="BD37" s="762">
        <v>0</v>
      </c>
      <c r="BE37" s="762">
        <v>0</v>
      </c>
      <c r="BF37" s="762">
        <v>0</v>
      </c>
      <c r="BG37" s="762">
        <v>0</v>
      </c>
      <c r="BH37" s="762">
        <v>0</v>
      </c>
      <c r="BI37" s="762">
        <v>0</v>
      </c>
      <c r="BJ37" s="790">
        <v>0.5</v>
      </c>
      <c r="BK37" s="790">
        <v>0.4</v>
      </c>
      <c r="BL37" s="790">
        <v>0.1</v>
      </c>
      <c r="BM37" s="790">
        <v>0</v>
      </c>
      <c r="BN37" s="790">
        <v>1</v>
      </c>
      <c r="BO37" s="762">
        <v>-1018223</v>
      </c>
      <c r="BP37" s="762">
        <v>-814579</v>
      </c>
      <c r="BQ37" s="762">
        <v>-203645</v>
      </c>
      <c r="BR37" s="762">
        <v>0</v>
      </c>
      <c r="BS37" s="762">
        <v>-2036447</v>
      </c>
      <c r="BT37" s="790">
        <v>0.5</v>
      </c>
      <c r="BU37" s="790">
        <v>0.4</v>
      </c>
      <c r="BV37" s="790">
        <v>0.1</v>
      </c>
      <c r="BW37" s="790">
        <v>0</v>
      </c>
      <c r="BX37" s="790">
        <v>1</v>
      </c>
      <c r="BY37" s="762">
        <v>-130290</v>
      </c>
      <c r="BZ37" s="762">
        <v>-104232</v>
      </c>
      <c r="CA37" s="762">
        <v>-26058</v>
      </c>
      <c r="CB37" s="762">
        <v>0</v>
      </c>
      <c r="CC37" s="762">
        <v>-260580</v>
      </c>
      <c r="CD37" s="762">
        <v>-1148513</v>
      </c>
      <c r="CE37" s="762">
        <v>-918811</v>
      </c>
      <c r="CF37" s="762">
        <v>-229703</v>
      </c>
      <c r="CG37" s="762">
        <v>0</v>
      </c>
      <c r="CH37" s="762">
        <v>-2297027</v>
      </c>
      <c r="CI37" s="762">
        <v>6486519</v>
      </c>
      <c r="CJ37" s="762">
        <v>14690800</v>
      </c>
      <c r="CK37" s="762">
        <v>9695839</v>
      </c>
      <c r="CL37" s="762">
        <v>0</v>
      </c>
      <c r="CM37" s="762">
        <v>30873158</v>
      </c>
      <c r="CN37" s="762">
        <v>503198</v>
      </c>
      <c r="CO37" s="762">
        <v>323439</v>
      </c>
      <c r="CP37" s="762">
        <v>0</v>
      </c>
      <c r="CQ37" s="762">
        <v>826637</v>
      </c>
      <c r="CR37" s="762">
        <v>1449902</v>
      </c>
      <c r="CS37" s="762">
        <v>1108748</v>
      </c>
      <c r="CT37" s="762">
        <v>0</v>
      </c>
      <c r="CU37" s="762">
        <v>2558650</v>
      </c>
      <c r="CV37" s="762">
        <v>89702</v>
      </c>
      <c r="CW37" s="762">
        <v>68596</v>
      </c>
      <c r="CX37" s="762">
        <v>0</v>
      </c>
      <c r="CY37" s="762">
        <v>158298</v>
      </c>
      <c r="CZ37" s="762">
        <v>0</v>
      </c>
      <c r="DA37" s="762">
        <v>0</v>
      </c>
      <c r="DB37" s="762">
        <v>0</v>
      </c>
      <c r="DC37" s="762">
        <v>0</v>
      </c>
      <c r="DD37" s="762">
        <v>27217</v>
      </c>
      <c r="DE37" s="762">
        <v>20813</v>
      </c>
      <c r="DF37" s="762">
        <v>0</v>
      </c>
      <c r="DG37" s="762">
        <v>48030</v>
      </c>
      <c r="DH37" s="762">
        <v>550</v>
      </c>
      <c r="DI37" s="762">
        <v>420</v>
      </c>
      <c r="DJ37" s="762">
        <v>0</v>
      </c>
      <c r="DK37" s="762">
        <v>970</v>
      </c>
      <c r="DL37" s="762">
        <v>16979</v>
      </c>
      <c r="DM37" s="762">
        <v>12984</v>
      </c>
      <c r="DN37" s="762">
        <v>0</v>
      </c>
      <c r="DO37" s="762">
        <v>29963</v>
      </c>
      <c r="DP37" s="762">
        <v>28252</v>
      </c>
      <c r="DQ37" s="762">
        <v>21605</v>
      </c>
      <c r="DR37" s="762">
        <v>0</v>
      </c>
      <c r="DS37" s="762">
        <v>49857</v>
      </c>
      <c r="DT37" s="762">
        <v>0</v>
      </c>
      <c r="DU37" s="762">
        <v>0</v>
      </c>
      <c r="DV37" s="762">
        <v>0</v>
      </c>
      <c r="DW37" s="762">
        <v>0</v>
      </c>
      <c r="DX37" s="762">
        <v>0</v>
      </c>
      <c r="DY37" s="762">
        <v>0</v>
      </c>
      <c r="DZ37" s="762">
        <v>0</v>
      </c>
      <c r="EA37" s="762">
        <v>0</v>
      </c>
      <c r="EB37" s="762">
        <v>413976</v>
      </c>
      <c r="EC37" s="762">
        <v>316570</v>
      </c>
      <c r="ED37" s="762">
        <v>0</v>
      </c>
      <c r="EE37" s="762">
        <v>730546</v>
      </c>
      <c r="EF37" s="762">
        <v>2529776</v>
      </c>
      <c r="EG37" s="762">
        <v>1873175</v>
      </c>
      <c r="EH37" s="762">
        <v>0</v>
      </c>
      <c r="EI37" s="799">
        <v>4402951</v>
      </c>
      <c r="EJ37" s="763" t="s">
        <v>735</v>
      </c>
      <c r="EK37" s="607" t="s">
        <v>601</v>
      </c>
      <c r="EL37" s="805" t="s">
        <v>556</v>
      </c>
      <c r="EM37" t="s">
        <v>1603</v>
      </c>
    </row>
    <row r="38" spans="1:143" ht="12.75" x14ac:dyDescent="0.2">
      <c r="A38" s="764">
        <v>31</v>
      </c>
      <c r="B38" s="765" t="s">
        <v>738</v>
      </c>
      <c r="C38" s="766" t="s">
        <v>1222</v>
      </c>
      <c r="D38" s="767" t="s">
        <v>1223</v>
      </c>
      <c r="E38" s="768" t="s">
        <v>737</v>
      </c>
      <c r="F38" s="761">
        <v>129336191</v>
      </c>
      <c r="G38" s="762">
        <v>1042541</v>
      </c>
      <c r="H38" s="762">
        <v>0</v>
      </c>
      <c r="I38" s="762">
        <v>427032</v>
      </c>
      <c r="J38" s="762">
        <v>0</v>
      </c>
      <c r="K38" s="762">
        <v>427032</v>
      </c>
      <c r="L38" s="762">
        <v>0</v>
      </c>
      <c r="M38" s="762">
        <v>0</v>
      </c>
      <c r="N38" s="762">
        <v>0</v>
      </c>
      <c r="O38" s="762">
        <v>0</v>
      </c>
      <c r="P38" s="762">
        <v>0</v>
      </c>
      <c r="Q38" s="762">
        <v>0</v>
      </c>
      <c r="R38" s="762">
        <v>129951700</v>
      </c>
      <c r="S38" s="790">
        <v>0.25</v>
      </c>
      <c r="T38" s="790">
        <v>0.48</v>
      </c>
      <c r="U38" s="790">
        <v>0.27</v>
      </c>
      <c r="V38" s="790">
        <v>0</v>
      </c>
      <c r="W38" s="790">
        <v>1</v>
      </c>
      <c r="X38" s="762">
        <v>32487925</v>
      </c>
      <c r="Y38" s="762">
        <v>62376816</v>
      </c>
      <c r="Z38" s="762">
        <v>35086959</v>
      </c>
      <c r="AA38" s="762">
        <v>0</v>
      </c>
      <c r="AB38" s="762">
        <v>129951700</v>
      </c>
      <c r="AC38" s="762">
        <v>0</v>
      </c>
      <c r="AD38" s="762">
        <v>0</v>
      </c>
      <c r="AE38" s="762">
        <v>0</v>
      </c>
      <c r="AF38" s="762">
        <v>0</v>
      </c>
      <c r="AG38" s="762">
        <v>0</v>
      </c>
      <c r="AH38" s="762">
        <v>32487925</v>
      </c>
      <c r="AI38" s="762">
        <v>62376816</v>
      </c>
      <c r="AJ38" s="762">
        <v>35086959</v>
      </c>
      <c r="AK38" s="762">
        <v>0</v>
      </c>
      <c r="AL38" s="762">
        <v>129951700</v>
      </c>
      <c r="AM38" s="762">
        <v>427032</v>
      </c>
      <c r="AN38" s="762">
        <v>427032</v>
      </c>
      <c r="AO38" s="762">
        <v>0</v>
      </c>
      <c r="AP38" s="762">
        <v>0</v>
      </c>
      <c r="AQ38" s="762">
        <v>0</v>
      </c>
      <c r="AR38" s="762">
        <v>0</v>
      </c>
      <c r="AS38" s="762">
        <v>0</v>
      </c>
      <c r="AT38" s="762">
        <v>0</v>
      </c>
      <c r="AU38" s="762">
        <v>0</v>
      </c>
      <c r="AV38" s="762">
        <v>0</v>
      </c>
      <c r="AW38" s="762">
        <v>0</v>
      </c>
      <c r="AX38" s="762">
        <v>0</v>
      </c>
      <c r="AY38" s="762">
        <v>0</v>
      </c>
      <c r="AZ38" s="762">
        <v>0</v>
      </c>
      <c r="BA38" s="762">
        <v>0</v>
      </c>
      <c r="BB38" s="762">
        <v>0</v>
      </c>
      <c r="BC38" s="762">
        <v>0</v>
      </c>
      <c r="BD38" s="762">
        <v>0</v>
      </c>
      <c r="BE38" s="762">
        <v>0</v>
      </c>
      <c r="BF38" s="762">
        <v>0</v>
      </c>
      <c r="BG38" s="762">
        <v>0</v>
      </c>
      <c r="BH38" s="762">
        <v>0</v>
      </c>
      <c r="BI38" s="762">
        <v>0</v>
      </c>
      <c r="BJ38" s="790">
        <v>0</v>
      </c>
      <c r="BK38" s="790">
        <v>0.64</v>
      </c>
      <c r="BL38" s="790">
        <v>0.36</v>
      </c>
      <c r="BM38" s="790">
        <v>0</v>
      </c>
      <c r="BN38" s="790">
        <v>1</v>
      </c>
      <c r="BO38" s="762">
        <v>0</v>
      </c>
      <c r="BP38" s="762">
        <v>5127263</v>
      </c>
      <c r="BQ38" s="762">
        <v>2884085</v>
      </c>
      <c r="BR38" s="762">
        <v>0</v>
      </c>
      <c r="BS38" s="762">
        <v>8011348</v>
      </c>
      <c r="BT38" s="790">
        <v>0.33</v>
      </c>
      <c r="BU38" s="790">
        <v>0.3</v>
      </c>
      <c r="BV38" s="790">
        <v>0.37</v>
      </c>
      <c r="BW38" s="790">
        <v>0</v>
      </c>
      <c r="BX38" s="790">
        <v>1</v>
      </c>
      <c r="BY38" s="762">
        <v>-1956143</v>
      </c>
      <c r="BZ38" s="762">
        <v>-1778312</v>
      </c>
      <c r="CA38" s="762">
        <v>-2193252</v>
      </c>
      <c r="CB38" s="762">
        <v>0</v>
      </c>
      <c r="CC38" s="762">
        <v>-5927707</v>
      </c>
      <c r="CD38" s="762">
        <v>-1956143</v>
      </c>
      <c r="CE38" s="762">
        <v>3348951</v>
      </c>
      <c r="CF38" s="762">
        <v>690833</v>
      </c>
      <c r="CG38" s="762">
        <v>0</v>
      </c>
      <c r="CH38" s="762">
        <v>2083641</v>
      </c>
      <c r="CI38" s="762">
        <v>30531782</v>
      </c>
      <c r="CJ38" s="762">
        <v>66152799</v>
      </c>
      <c r="CK38" s="762">
        <v>35777792</v>
      </c>
      <c r="CL38" s="762">
        <v>0</v>
      </c>
      <c r="CM38" s="762">
        <v>132462373</v>
      </c>
      <c r="CN38" s="762">
        <v>2032646</v>
      </c>
      <c r="CO38" s="762">
        <v>1143363</v>
      </c>
      <c r="CP38" s="762">
        <v>0</v>
      </c>
      <c r="CQ38" s="762">
        <v>3176009</v>
      </c>
      <c r="CR38" s="762">
        <v>3489332</v>
      </c>
      <c r="CS38" s="762">
        <v>1962749</v>
      </c>
      <c r="CT38" s="762">
        <v>0</v>
      </c>
      <c r="CU38" s="762">
        <v>5452081</v>
      </c>
      <c r="CV38" s="762">
        <v>235792</v>
      </c>
      <c r="CW38" s="762">
        <v>132633</v>
      </c>
      <c r="CX38" s="762">
        <v>0</v>
      </c>
      <c r="CY38" s="762">
        <v>368425</v>
      </c>
      <c r="CZ38" s="762">
        <v>2044</v>
      </c>
      <c r="DA38" s="762">
        <v>1150</v>
      </c>
      <c r="DB38" s="762">
        <v>0</v>
      </c>
      <c r="DC38" s="762">
        <v>3194</v>
      </c>
      <c r="DD38" s="762">
        <v>0</v>
      </c>
      <c r="DE38" s="762">
        <v>0</v>
      </c>
      <c r="DF38" s="762">
        <v>0</v>
      </c>
      <c r="DG38" s="762">
        <v>0</v>
      </c>
      <c r="DH38" s="762">
        <v>0</v>
      </c>
      <c r="DI38" s="762">
        <v>0</v>
      </c>
      <c r="DJ38" s="762">
        <v>0</v>
      </c>
      <c r="DK38" s="762">
        <v>0</v>
      </c>
      <c r="DL38" s="762">
        <v>57532</v>
      </c>
      <c r="DM38" s="762">
        <v>32362</v>
      </c>
      <c r="DN38" s="762">
        <v>0</v>
      </c>
      <c r="DO38" s="762">
        <v>89894</v>
      </c>
      <c r="DP38" s="762">
        <v>108634</v>
      </c>
      <c r="DQ38" s="762">
        <v>61107</v>
      </c>
      <c r="DR38" s="762">
        <v>0</v>
      </c>
      <c r="DS38" s="762">
        <v>169741</v>
      </c>
      <c r="DT38" s="762">
        <v>0</v>
      </c>
      <c r="DU38" s="762">
        <v>0</v>
      </c>
      <c r="DV38" s="762">
        <v>0</v>
      </c>
      <c r="DW38" s="762">
        <v>0</v>
      </c>
      <c r="DX38" s="762">
        <v>0</v>
      </c>
      <c r="DY38" s="762">
        <v>0</v>
      </c>
      <c r="DZ38" s="762">
        <v>0</v>
      </c>
      <c r="EA38" s="762">
        <v>0</v>
      </c>
      <c r="EB38" s="762">
        <v>2434207</v>
      </c>
      <c r="EC38" s="762">
        <v>1369242</v>
      </c>
      <c r="ED38" s="762">
        <v>0</v>
      </c>
      <c r="EE38" s="762">
        <v>3803449</v>
      </c>
      <c r="EF38" s="762">
        <v>8360187</v>
      </c>
      <c r="EG38" s="762">
        <v>4702606</v>
      </c>
      <c r="EH38" s="762">
        <v>0</v>
      </c>
      <c r="EI38" s="799">
        <v>13062793</v>
      </c>
      <c r="EJ38" s="763" t="s">
        <v>737</v>
      </c>
      <c r="EK38" s="607" t="s">
        <v>628</v>
      </c>
      <c r="EL38" s="272" t="s">
        <v>528</v>
      </c>
      <c r="EM38" t="s">
        <v>1604</v>
      </c>
    </row>
    <row r="39" spans="1:143" ht="12.75" x14ac:dyDescent="0.2">
      <c r="A39" s="764">
        <v>32</v>
      </c>
      <c r="B39" s="765" t="s">
        <v>740</v>
      </c>
      <c r="C39" s="766" t="s">
        <v>1217</v>
      </c>
      <c r="D39" s="767" t="s">
        <v>1221</v>
      </c>
      <c r="E39" s="768" t="s">
        <v>739</v>
      </c>
      <c r="F39" s="761">
        <v>26503974</v>
      </c>
      <c r="G39" s="762">
        <v>0</v>
      </c>
      <c r="H39" s="762">
        <v>20123</v>
      </c>
      <c r="I39" s="762">
        <v>102237</v>
      </c>
      <c r="J39" s="762">
        <v>0</v>
      </c>
      <c r="K39" s="762">
        <v>102237</v>
      </c>
      <c r="L39" s="762">
        <v>0</v>
      </c>
      <c r="M39" s="762">
        <v>0</v>
      </c>
      <c r="N39" s="762">
        <v>0</v>
      </c>
      <c r="O39" s="762">
        <v>0</v>
      </c>
      <c r="P39" s="762">
        <v>0</v>
      </c>
      <c r="Q39" s="762">
        <v>0</v>
      </c>
      <c r="R39" s="762">
        <v>26381614</v>
      </c>
      <c r="S39" s="790">
        <v>0.5</v>
      </c>
      <c r="T39" s="790">
        <v>0.4</v>
      </c>
      <c r="U39" s="790">
        <v>0.09</v>
      </c>
      <c r="V39" s="790">
        <v>0.01</v>
      </c>
      <c r="W39" s="790">
        <v>1</v>
      </c>
      <c r="X39" s="762">
        <v>13190807</v>
      </c>
      <c r="Y39" s="762">
        <v>10552646</v>
      </c>
      <c r="Z39" s="762">
        <v>2374345</v>
      </c>
      <c r="AA39" s="762">
        <v>263816</v>
      </c>
      <c r="AB39" s="762">
        <v>26381614</v>
      </c>
      <c r="AC39" s="762">
        <v>0</v>
      </c>
      <c r="AD39" s="762">
        <v>0</v>
      </c>
      <c r="AE39" s="762">
        <v>0</v>
      </c>
      <c r="AF39" s="762">
        <v>0</v>
      </c>
      <c r="AG39" s="762">
        <v>0</v>
      </c>
      <c r="AH39" s="762">
        <v>13190807</v>
      </c>
      <c r="AI39" s="762">
        <v>10552646</v>
      </c>
      <c r="AJ39" s="762">
        <v>2374345</v>
      </c>
      <c r="AK39" s="762">
        <v>263816</v>
      </c>
      <c r="AL39" s="762">
        <v>26381614</v>
      </c>
      <c r="AM39" s="762">
        <v>102237</v>
      </c>
      <c r="AN39" s="762">
        <v>102237</v>
      </c>
      <c r="AO39" s="762">
        <v>0</v>
      </c>
      <c r="AP39" s="762">
        <v>0</v>
      </c>
      <c r="AQ39" s="762">
        <v>0</v>
      </c>
      <c r="AR39" s="762">
        <v>0</v>
      </c>
      <c r="AS39" s="762">
        <v>0</v>
      </c>
      <c r="AT39" s="762">
        <v>0</v>
      </c>
      <c r="AU39" s="762">
        <v>0</v>
      </c>
      <c r="AV39" s="762">
        <v>0</v>
      </c>
      <c r="AW39" s="762">
        <v>0</v>
      </c>
      <c r="AX39" s="762">
        <v>0</v>
      </c>
      <c r="AY39" s="762">
        <v>0</v>
      </c>
      <c r="AZ39" s="762">
        <v>0</v>
      </c>
      <c r="BA39" s="762">
        <v>0</v>
      </c>
      <c r="BB39" s="762">
        <v>0</v>
      </c>
      <c r="BC39" s="762">
        <v>0</v>
      </c>
      <c r="BD39" s="762">
        <v>0</v>
      </c>
      <c r="BE39" s="762">
        <v>0</v>
      </c>
      <c r="BF39" s="762">
        <v>0</v>
      </c>
      <c r="BG39" s="762">
        <v>0</v>
      </c>
      <c r="BH39" s="762">
        <v>0</v>
      </c>
      <c r="BI39" s="762">
        <v>0</v>
      </c>
      <c r="BJ39" s="790">
        <v>0.5</v>
      </c>
      <c r="BK39" s="790">
        <v>0.4</v>
      </c>
      <c r="BL39" s="790">
        <v>0.09</v>
      </c>
      <c r="BM39" s="790">
        <v>0.01</v>
      </c>
      <c r="BN39" s="790">
        <v>1</v>
      </c>
      <c r="BO39" s="762">
        <v>-392124</v>
      </c>
      <c r="BP39" s="762">
        <v>-313700</v>
      </c>
      <c r="BQ39" s="762">
        <v>-70583</v>
      </c>
      <c r="BR39" s="762">
        <v>-7843</v>
      </c>
      <c r="BS39" s="762">
        <v>-784250</v>
      </c>
      <c r="BT39" s="790">
        <v>0.5</v>
      </c>
      <c r="BU39" s="790">
        <v>0.4</v>
      </c>
      <c r="BV39" s="790">
        <v>0.09</v>
      </c>
      <c r="BW39" s="790">
        <v>0.01</v>
      </c>
      <c r="BX39" s="790">
        <v>1</v>
      </c>
      <c r="BY39" s="762">
        <v>-79197</v>
      </c>
      <c r="BZ39" s="762">
        <v>-63358</v>
      </c>
      <c r="CA39" s="762">
        <v>-14255</v>
      </c>
      <c r="CB39" s="762">
        <v>-1584</v>
      </c>
      <c r="CC39" s="762">
        <v>-158394</v>
      </c>
      <c r="CD39" s="762">
        <v>-471322</v>
      </c>
      <c r="CE39" s="762">
        <v>-377058</v>
      </c>
      <c r="CF39" s="762">
        <v>-84838</v>
      </c>
      <c r="CG39" s="762">
        <v>-9426</v>
      </c>
      <c r="CH39" s="762">
        <v>-942644</v>
      </c>
      <c r="CI39" s="762">
        <v>12719485</v>
      </c>
      <c r="CJ39" s="762">
        <v>10277825</v>
      </c>
      <c r="CK39" s="762">
        <v>2289507</v>
      </c>
      <c r="CL39" s="762">
        <v>254390</v>
      </c>
      <c r="CM39" s="762">
        <v>25541207</v>
      </c>
      <c r="CN39" s="762">
        <v>343874</v>
      </c>
      <c r="CO39" s="762">
        <v>77372</v>
      </c>
      <c r="CP39" s="762">
        <v>8597</v>
      </c>
      <c r="CQ39" s="762">
        <v>429843</v>
      </c>
      <c r="CR39" s="762">
        <v>747430</v>
      </c>
      <c r="CS39" s="762">
        <v>168172</v>
      </c>
      <c r="CT39" s="762">
        <v>18686</v>
      </c>
      <c r="CU39" s="762">
        <v>934288</v>
      </c>
      <c r="CV39" s="762">
        <v>76165</v>
      </c>
      <c r="CW39" s="762">
        <v>17137</v>
      </c>
      <c r="CX39" s="762">
        <v>1904</v>
      </c>
      <c r="CY39" s="762">
        <v>95206</v>
      </c>
      <c r="CZ39" s="762">
        <v>0</v>
      </c>
      <c r="DA39" s="762">
        <v>0</v>
      </c>
      <c r="DB39" s="762">
        <v>0</v>
      </c>
      <c r="DC39" s="762">
        <v>0</v>
      </c>
      <c r="DD39" s="762">
        <v>0</v>
      </c>
      <c r="DE39" s="762">
        <v>0</v>
      </c>
      <c r="DF39" s="762">
        <v>0</v>
      </c>
      <c r="DG39" s="762">
        <v>0</v>
      </c>
      <c r="DH39" s="762">
        <v>0</v>
      </c>
      <c r="DI39" s="762">
        <v>0</v>
      </c>
      <c r="DJ39" s="762">
        <v>0</v>
      </c>
      <c r="DK39" s="762">
        <v>0</v>
      </c>
      <c r="DL39" s="762">
        <v>2110</v>
      </c>
      <c r="DM39" s="762">
        <v>475</v>
      </c>
      <c r="DN39" s="762">
        <v>53</v>
      </c>
      <c r="DO39" s="762">
        <v>2638</v>
      </c>
      <c r="DP39" s="762">
        <v>10326</v>
      </c>
      <c r="DQ39" s="762">
        <v>2323</v>
      </c>
      <c r="DR39" s="762">
        <v>258</v>
      </c>
      <c r="DS39" s="762">
        <v>12907</v>
      </c>
      <c r="DT39" s="762">
        <v>0</v>
      </c>
      <c r="DU39" s="762">
        <v>0</v>
      </c>
      <c r="DV39" s="762">
        <v>0</v>
      </c>
      <c r="DW39" s="762">
        <v>0</v>
      </c>
      <c r="DX39" s="762">
        <v>0</v>
      </c>
      <c r="DY39" s="762">
        <v>0</v>
      </c>
      <c r="DZ39" s="762">
        <v>0</v>
      </c>
      <c r="EA39" s="762">
        <v>0</v>
      </c>
      <c r="EB39" s="762">
        <v>432575</v>
      </c>
      <c r="EC39" s="762">
        <v>97329</v>
      </c>
      <c r="ED39" s="762">
        <v>10814</v>
      </c>
      <c r="EE39" s="762">
        <v>540718</v>
      </c>
      <c r="EF39" s="762">
        <v>1612480</v>
      </c>
      <c r="EG39" s="762">
        <v>362808</v>
      </c>
      <c r="EH39" s="762">
        <v>40312</v>
      </c>
      <c r="EI39" s="799">
        <v>2015600</v>
      </c>
      <c r="EJ39" s="763" t="s">
        <v>739</v>
      </c>
      <c r="EK39" s="607" t="s">
        <v>575</v>
      </c>
      <c r="EL39" s="805" t="s">
        <v>573</v>
      </c>
      <c r="EM39" t="s">
        <v>1605</v>
      </c>
    </row>
    <row r="40" spans="1:143" ht="12.75" x14ac:dyDescent="0.2">
      <c r="A40" s="764">
        <v>33</v>
      </c>
      <c r="B40" s="765" t="s">
        <v>742</v>
      </c>
      <c r="C40" s="766" t="s">
        <v>529</v>
      </c>
      <c r="D40" s="767" t="s">
        <v>1218</v>
      </c>
      <c r="E40" s="768" t="s">
        <v>902</v>
      </c>
      <c r="F40" s="761">
        <v>114789023</v>
      </c>
      <c r="G40" s="762">
        <v>2480908</v>
      </c>
      <c r="H40" s="762">
        <v>0</v>
      </c>
      <c r="I40" s="762">
        <v>444785</v>
      </c>
      <c r="J40" s="762">
        <v>0</v>
      </c>
      <c r="K40" s="762">
        <v>444785</v>
      </c>
      <c r="L40" s="762">
        <v>0</v>
      </c>
      <c r="M40" s="762">
        <v>0</v>
      </c>
      <c r="N40" s="762">
        <v>0</v>
      </c>
      <c r="O40" s="762">
        <v>0</v>
      </c>
      <c r="P40" s="762">
        <v>0</v>
      </c>
      <c r="Q40" s="762">
        <v>0</v>
      </c>
      <c r="R40" s="762">
        <v>116825146</v>
      </c>
      <c r="S40" s="790">
        <v>0.5</v>
      </c>
      <c r="T40" s="790">
        <v>0.49</v>
      </c>
      <c r="U40" s="790">
        <v>0</v>
      </c>
      <c r="V40" s="790">
        <v>0.01</v>
      </c>
      <c r="W40" s="790">
        <v>1</v>
      </c>
      <c r="X40" s="762">
        <v>58412573</v>
      </c>
      <c r="Y40" s="762">
        <v>57244322</v>
      </c>
      <c r="Z40" s="762">
        <v>0</v>
      </c>
      <c r="AA40" s="762">
        <v>1168251</v>
      </c>
      <c r="AB40" s="762">
        <v>116825146</v>
      </c>
      <c r="AC40" s="762">
        <v>0</v>
      </c>
      <c r="AD40" s="762">
        <v>0</v>
      </c>
      <c r="AE40" s="762">
        <v>0</v>
      </c>
      <c r="AF40" s="762">
        <v>0</v>
      </c>
      <c r="AG40" s="762">
        <v>0</v>
      </c>
      <c r="AH40" s="762">
        <v>58412573</v>
      </c>
      <c r="AI40" s="762">
        <v>57244322</v>
      </c>
      <c r="AJ40" s="762">
        <v>0</v>
      </c>
      <c r="AK40" s="762">
        <v>1168251</v>
      </c>
      <c r="AL40" s="762">
        <v>116825146</v>
      </c>
      <c r="AM40" s="762">
        <v>444785</v>
      </c>
      <c r="AN40" s="762">
        <v>444785</v>
      </c>
      <c r="AO40" s="762">
        <v>0</v>
      </c>
      <c r="AP40" s="762">
        <v>0</v>
      </c>
      <c r="AQ40" s="762">
        <v>0</v>
      </c>
      <c r="AR40" s="762">
        <v>0</v>
      </c>
      <c r="AS40" s="762">
        <v>0</v>
      </c>
      <c r="AT40" s="762">
        <v>0</v>
      </c>
      <c r="AU40" s="762">
        <v>0</v>
      </c>
      <c r="AV40" s="762">
        <v>0</v>
      </c>
      <c r="AW40" s="762">
        <v>0</v>
      </c>
      <c r="AX40" s="762">
        <v>0</v>
      </c>
      <c r="AY40" s="762">
        <v>0</v>
      </c>
      <c r="AZ40" s="762">
        <v>0</v>
      </c>
      <c r="BA40" s="762">
        <v>0</v>
      </c>
      <c r="BB40" s="762">
        <v>0</v>
      </c>
      <c r="BC40" s="762">
        <v>0</v>
      </c>
      <c r="BD40" s="762">
        <v>0</v>
      </c>
      <c r="BE40" s="762">
        <v>0</v>
      </c>
      <c r="BF40" s="762">
        <v>0</v>
      </c>
      <c r="BG40" s="762">
        <v>0</v>
      </c>
      <c r="BH40" s="762">
        <v>0</v>
      </c>
      <c r="BI40" s="762">
        <v>0</v>
      </c>
      <c r="BJ40" s="790">
        <v>0.5</v>
      </c>
      <c r="BK40" s="790">
        <v>0.49</v>
      </c>
      <c r="BL40" s="790">
        <v>0</v>
      </c>
      <c r="BM40" s="790">
        <v>0.01</v>
      </c>
      <c r="BN40" s="790">
        <v>1</v>
      </c>
      <c r="BO40" s="762">
        <v>-1965579</v>
      </c>
      <c r="BP40" s="762">
        <v>-1926268</v>
      </c>
      <c r="BQ40" s="762">
        <v>0</v>
      </c>
      <c r="BR40" s="762">
        <v>-39312</v>
      </c>
      <c r="BS40" s="762">
        <v>-3931159</v>
      </c>
      <c r="BT40" s="790">
        <v>0.5</v>
      </c>
      <c r="BU40" s="790">
        <v>0.49</v>
      </c>
      <c r="BV40" s="790">
        <v>0</v>
      </c>
      <c r="BW40" s="790">
        <v>0.01</v>
      </c>
      <c r="BX40" s="790">
        <v>1</v>
      </c>
      <c r="BY40" s="762">
        <v>-161011</v>
      </c>
      <c r="BZ40" s="762">
        <v>-157791</v>
      </c>
      <c r="CA40" s="762">
        <v>0</v>
      </c>
      <c r="CB40" s="762">
        <v>-3220</v>
      </c>
      <c r="CC40" s="762">
        <v>-322022</v>
      </c>
      <c r="CD40" s="762">
        <v>-2126590</v>
      </c>
      <c r="CE40" s="762">
        <v>-2084059</v>
      </c>
      <c r="CF40" s="762">
        <v>0</v>
      </c>
      <c r="CG40" s="762">
        <v>-42532</v>
      </c>
      <c r="CH40" s="762">
        <v>-4253181</v>
      </c>
      <c r="CI40" s="762">
        <v>56285983</v>
      </c>
      <c r="CJ40" s="762">
        <v>55605048</v>
      </c>
      <c r="CK40" s="762">
        <v>0</v>
      </c>
      <c r="CL40" s="762">
        <v>1125719</v>
      </c>
      <c r="CM40" s="762">
        <v>113016750</v>
      </c>
      <c r="CN40" s="762">
        <v>1865395</v>
      </c>
      <c r="CO40" s="762">
        <v>0</v>
      </c>
      <c r="CP40" s="762">
        <v>38069</v>
      </c>
      <c r="CQ40" s="762">
        <v>1903464</v>
      </c>
      <c r="CR40" s="762">
        <v>4004697</v>
      </c>
      <c r="CS40" s="762">
        <v>0</v>
      </c>
      <c r="CT40" s="762">
        <v>81728</v>
      </c>
      <c r="CU40" s="762">
        <v>4086425</v>
      </c>
      <c r="CV40" s="762">
        <v>326948</v>
      </c>
      <c r="CW40" s="762">
        <v>0</v>
      </c>
      <c r="CX40" s="762">
        <v>6672</v>
      </c>
      <c r="CY40" s="762">
        <v>333620</v>
      </c>
      <c r="CZ40" s="762">
        <v>2852</v>
      </c>
      <c r="DA40" s="762">
        <v>0</v>
      </c>
      <c r="DB40" s="762">
        <v>58</v>
      </c>
      <c r="DC40" s="762">
        <v>2910</v>
      </c>
      <c r="DD40" s="762">
        <v>0</v>
      </c>
      <c r="DE40" s="762">
        <v>0</v>
      </c>
      <c r="DF40" s="762">
        <v>0</v>
      </c>
      <c r="DG40" s="762">
        <v>0</v>
      </c>
      <c r="DH40" s="762">
        <v>0</v>
      </c>
      <c r="DI40" s="762">
        <v>0</v>
      </c>
      <c r="DJ40" s="762">
        <v>0</v>
      </c>
      <c r="DK40" s="762">
        <v>0</v>
      </c>
      <c r="DL40" s="762">
        <v>85411</v>
      </c>
      <c r="DM40" s="762">
        <v>0</v>
      </c>
      <c r="DN40" s="762">
        <v>1743</v>
      </c>
      <c r="DO40" s="762">
        <v>87154</v>
      </c>
      <c r="DP40" s="762">
        <v>113680</v>
      </c>
      <c r="DQ40" s="762">
        <v>0</v>
      </c>
      <c r="DR40" s="762">
        <v>2320</v>
      </c>
      <c r="DS40" s="762">
        <v>116000</v>
      </c>
      <c r="DT40" s="762">
        <v>0</v>
      </c>
      <c r="DU40" s="762">
        <v>0</v>
      </c>
      <c r="DV40" s="762">
        <v>0</v>
      </c>
      <c r="DW40" s="762">
        <v>0</v>
      </c>
      <c r="DX40" s="762">
        <v>0</v>
      </c>
      <c r="DY40" s="762">
        <v>0</v>
      </c>
      <c r="DZ40" s="762">
        <v>0</v>
      </c>
      <c r="EA40" s="762">
        <v>0</v>
      </c>
      <c r="EB40" s="762">
        <v>2684359</v>
      </c>
      <c r="EC40" s="762">
        <v>0</v>
      </c>
      <c r="ED40" s="762">
        <v>54783</v>
      </c>
      <c r="EE40" s="762">
        <v>2739142</v>
      </c>
      <c r="EF40" s="762">
        <v>9083342</v>
      </c>
      <c r="EG40" s="762">
        <v>0</v>
      </c>
      <c r="EH40" s="762">
        <v>185373</v>
      </c>
      <c r="EI40" s="799">
        <v>9268715</v>
      </c>
      <c r="EJ40" s="763" t="s">
        <v>902</v>
      </c>
      <c r="EK40" s="607" t="s">
        <v>529</v>
      </c>
      <c r="EL40" s="805" t="s">
        <v>570</v>
      </c>
      <c r="EM40" t="s">
        <v>1606</v>
      </c>
    </row>
    <row r="41" spans="1:143" ht="12.75" x14ac:dyDescent="0.2">
      <c r="A41" s="764">
        <v>34</v>
      </c>
      <c r="B41" s="765" t="s">
        <v>744</v>
      </c>
      <c r="C41" s="766" t="s">
        <v>529</v>
      </c>
      <c r="D41" s="767" t="s">
        <v>1226</v>
      </c>
      <c r="E41" s="768" t="s">
        <v>531</v>
      </c>
      <c r="F41" s="761">
        <v>219098836</v>
      </c>
      <c r="G41" s="762">
        <v>0</v>
      </c>
      <c r="H41" s="762">
        <v>2761555</v>
      </c>
      <c r="I41" s="762">
        <v>703945</v>
      </c>
      <c r="J41" s="762">
        <v>0</v>
      </c>
      <c r="K41" s="762">
        <v>703945</v>
      </c>
      <c r="L41" s="762">
        <v>0</v>
      </c>
      <c r="M41" s="762">
        <v>5541756</v>
      </c>
      <c r="N41" s="762">
        <v>165987</v>
      </c>
      <c r="O41" s="762">
        <v>165987</v>
      </c>
      <c r="P41" s="762">
        <v>0</v>
      </c>
      <c r="Q41" s="762">
        <v>0</v>
      </c>
      <c r="R41" s="762">
        <v>209925593</v>
      </c>
      <c r="S41" s="790">
        <v>0</v>
      </c>
      <c r="T41" s="790">
        <v>0.94</v>
      </c>
      <c r="U41" s="790">
        <v>0.05</v>
      </c>
      <c r="V41" s="790">
        <v>0.01</v>
      </c>
      <c r="W41" s="790">
        <v>1</v>
      </c>
      <c r="X41" s="762">
        <v>0</v>
      </c>
      <c r="Y41" s="762">
        <v>197330057</v>
      </c>
      <c r="Z41" s="762">
        <v>10496280</v>
      </c>
      <c r="AA41" s="762">
        <v>2099256</v>
      </c>
      <c r="AB41" s="762">
        <v>209925593</v>
      </c>
      <c r="AC41" s="762">
        <v>0</v>
      </c>
      <c r="AD41" s="762">
        <v>0</v>
      </c>
      <c r="AE41" s="762">
        <v>0</v>
      </c>
      <c r="AF41" s="762">
        <v>0</v>
      </c>
      <c r="AG41" s="762">
        <v>0</v>
      </c>
      <c r="AH41" s="762">
        <v>0</v>
      </c>
      <c r="AI41" s="762">
        <v>197330057</v>
      </c>
      <c r="AJ41" s="762">
        <v>10496280</v>
      </c>
      <c r="AK41" s="762">
        <v>2099256</v>
      </c>
      <c r="AL41" s="762">
        <v>209925593</v>
      </c>
      <c r="AM41" s="762">
        <v>703945</v>
      </c>
      <c r="AN41" s="762">
        <v>703945</v>
      </c>
      <c r="AO41" s="762">
        <v>5541756</v>
      </c>
      <c r="AP41" s="762">
        <v>5541756</v>
      </c>
      <c r="AQ41" s="762">
        <v>165987</v>
      </c>
      <c r="AR41" s="762">
        <v>0</v>
      </c>
      <c r="AS41" s="762">
        <v>165987</v>
      </c>
      <c r="AT41" s="762">
        <v>0</v>
      </c>
      <c r="AU41" s="762">
        <v>0</v>
      </c>
      <c r="AV41" s="762">
        <v>0</v>
      </c>
      <c r="AW41" s="762">
        <v>0</v>
      </c>
      <c r="AX41" s="762">
        <v>0</v>
      </c>
      <c r="AY41" s="762">
        <v>0</v>
      </c>
      <c r="AZ41" s="762">
        <v>0</v>
      </c>
      <c r="BA41" s="762">
        <v>0</v>
      </c>
      <c r="BB41" s="762">
        <v>0</v>
      </c>
      <c r="BC41" s="762">
        <v>0</v>
      </c>
      <c r="BD41" s="762">
        <v>0</v>
      </c>
      <c r="BE41" s="762">
        <v>0</v>
      </c>
      <c r="BF41" s="762">
        <v>0</v>
      </c>
      <c r="BG41" s="762">
        <v>0</v>
      </c>
      <c r="BH41" s="762">
        <v>0</v>
      </c>
      <c r="BI41" s="762">
        <v>0</v>
      </c>
      <c r="BJ41" s="790">
        <v>0</v>
      </c>
      <c r="BK41" s="790">
        <v>0.94</v>
      </c>
      <c r="BL41" s="790">
        <v>0.05</v>
      </c>
      <c r="BM41" s="790">
        <v>0.01</v>
      </c>
      <c r="BN41" s="790">
        <v>1</v>
      </c>
      <c r="BO41" s="762">
        <v>0</v>
      </c>
      <c r="BP41" s="762">
        <v>-448627</v>
      </c>
      <c r="BQ41" s="762">
        <v>-23863</v>
      </c>
      <c r="BR41" s="762">
        <v>-4773</v>
      </c>
      <c r="BS41" s="762">
        <v>-477263</v>
      </c>
      <c r="BT41" s="790">
        <v>0</v>
      </c>
      <c r="BU41" s="790">
        <v>0.94</v>
      </c>
      <c r="BV41" s="790">
        <v>0.05</v>
      </c>
      <c r="BW41" s="790">
        <v>0.01</v>
      </c>
      <c r="BX41" s="790">
        <v>1</v>
      </c>
      <c r="BY41" s="762">
        <v>0</v>
      </c>
      <c r="BZ41" s="762">
        <v>1460508</v>
      </c>
      <c r="CA41" s="762">
        <v>77687</v>
      </c>
      <c r="CB41" s="762">
        <v>15537</v>
      </c>
      <c r="CC41" s="762">
        <v>1553732</v>
      </c>
      <c r="CD41" s="762">
        <v>0</v>
      </c>
      <c r="CE41" s="762">
        <v>1011881</v>
      </c>
      <c r="CF41" s="762">
        <v>53824</v>
      </c>
      <c r="CG41" s="762">
        <v>10764</v>
      </c>
      <c r="CH41" s="762">
        <v>1076469</v>
      </c>
      <c r="CI41" s="762">
        <v>0</v>
      </c>
      <c r="CJ41" s="762">
        <v>204753626</v>
      </c>
      <c r="CK41" s="762">
        <v>10550104</v>
      </c>
      <c r="CL41" s="762">
        <v>2110020</v>
      </c>
      <c r="CM41" s="762">
        <v>217413750</v>
      </c>
      <c r="CN41" s="762">
        <v>6616303</v>
      </c>
      <c r="CO41" s="762">
        <v>342038</v>
      </c>
      <c r="CP41" s="762">
        <v>68408</v>
      </c>
      <c r="CQ41" s="762">
        <v>7026749</v>
      </c>
      <c r="CR41" s="762">
        <v>8882299</v>
      </c>
      <c r="CS41" s="762">
        <v>462444</v>
      </c>
      <c r="CT41" s="762">
        <v>92489</v>
      </c>
      <c r="CU41" s="762">
        <v>9437232</v>
      </c>
      <c r="CV41" s="762">
        <v>886031</v>
      </c>
      <c r="CW41" s="762">
        <v>43571</v>
      </c>
      <c r="CX41" s="762">
        <v>8714</v>
      </c>
      <c r="CY41" s="762">
        <v>938316</v>
      </c>
      <c r="CZ41" s="762">
        <v>30954</v>
      </c>
      <c r="DA41" s="762">
        <v>1646</v>
      </c>
      <c r="DB41" s="762">
        <v>329</v>
      </c>
      <c r="DC41" s="762">
        <v>32929</v>
      </c>
      <c r="DD41" s="762">
        <v>0</v>
      </c>
      <c r="DE41" s="762">
        <v>0</v>
      </c>
      <c r="DF41" s="762">
        <v>0</v>
      </c>
      <c r="DG41" s="762">
        <v>0</v>
      </c>
      <c r="DH41" s="762">
        <v>1457</v>
      </c>
      <c r="DI41" s="762">
        <v>77</v>
      </c>
      <c r="DJ41" s="762">
        <v>15</v>
      </c>
      <c r="DK41" s="762">
        <v>1549</v>
      </c>
      <c r="DL41" s="762">
        <v>62866</v>
      </c>
      <c r="DM41" s="762">
        <v>3240</v>
      </c>
      <c r="DN41" s="762">
        <v>648</v>
      </c>
      <c r="DO41" s="762">
        <v>66754</v>
      </c>
      <c r="DP41" s="762">
        <v>190097</v>
      </c>
      <c r="DQ41" s="762">
        <v>9381</v>
      </c>
      <c r="DR41" s="762">
        <v>1876</v>
      </c>
      <c r="DS41" s="762">
        <v>201354</v>
      </c>
      <c r="DT41" s="762">
        <v>1479559</v>
      </c>
      <c r="DU41" s="762">
        <v>0</v>
      </c>
      <c r="DV41" s="762">
        <v>0</v>
      </c>
      <c r="DW41" s="762">
        <v>1479559</v>
      </c>
      <c r="DX41" s="762">
        <v>0</v>
      </c>
      <c r="DY41" s="762">
        <v>0</v>
      </c>
      <c r="DZ41" s="762">
        <v>0</v>
      </c>
      <c r="EA41" s="762">
        <v>0</v>
      </c>
      <c r="EB41" s="762">
        <v>3284110</v>
      </c>
      <c r="EC41" s="762">
        <v>170165</v>
      </c>
      <c r="ED41" s="762">
        <v>34033</v>
      </c>
      <c r="EE41" s="762">
        <v>3488308</v>
      </c>
      <c r="EF41" s="762">
        <v>21433676</v>
      </c>
      <c r="EG41" s="762">
        <v>1032562</v>
      </c>
      <c r="EH41" s="762">
        <v>206512</v>
      </c>
      <c r="EI41" s="799">
        <v>22672750</v>
      </c>
      <c r="EJ41" s="763" t="s">
        <v>531</v>
      </c>
      <c r="EK41" s="607" t="s">
        <v>529</v>
      </c>
      <c r="EL41" s="805" t="s">
        <v>530</v>
      </c>
      <c r="EM41" t="s">
        <v>1607</v>
      </c>
    </row>
    <row r="42" spans="1:143" ht="12.75" x14ac:dyDescent="0.2">
      <c r="A42" s="764">
        <v>35</v>
      </c>
      <c r="B42" s="765" t="s">
        <v>746</v>
      </c>
      <c r="C42" s="766" t="s">
        <v>1217</v>
      </c>
      <c r="D42" s="767" t="s">
        <v>1221</v>
      </c>
      <c r="E42" s="768" t="s">
        <v>745</v>
      </c>
      <c r="F42" s="761">
        <v>29812621</v>
      </c>
      <c r="G42" s="762">
        <v>0</v>
      </c>
      <c r="H42" s="762">
        <v>513065</v>
      </c>
      <c r="I42" s="762">
        <v>139999</v>
      </c>
      <c r="J42" s="762">
        <v>0</v>
      </c>
      <c r="K42" s="762">
        <v>139999</v>
      </c>
      <c r="L42" s="762">
        <v>0</v>
      </c>
      <c r="M42" s="762">
        <v>0</v>
      </c>
      <c r="N42" s="762">
        <v>153987</v>
      </c>
      <c r="O42" s="762">
        <v>153987</v>
      </c>
      <c r="P42" s="762">
        <v>0</v>
      </c>
      <c r="Q42" s="762">
        <v>0</v>
      </c>
      <c r="R42" s="762">
        <v>29005570</v>
      </c>
      <c r="S42" s="790">
        <v>0.25000000000000006</v>
      </c>
      <c r="T42" s="790">
        <v>0.42499999999999999</v>
      </c>
      <c r="U42" s="790">
        <v>0.32500000000000001</v>
      </c>
      <c r="V42" s="790">
        <v>0</v>
      </c>
      <c r="W42" s="790">
        <v>1</v>
      </c>
      <c r="X42" s="762">
        <v>7251393</v>
      </c>
      <c r="Y42" s="762">
        <v>12327367</v>
      </c>
      <c r="Z42" s="762">
        <v>9426810</v>
      </c>
      <c r="AA42" s="762">
        <v>0</v>
      </c>
      <c r="AB42" s="762">
        <v>29005570</v>
      </c>
      <c r="AC42" s="762">
        <v>0</v>
      </c>
      <c r="AD42" s="762">
        <v>0</v>
      </c>
      <c r="AE42" s="762">
        <v>0</v>
      </c>
      <c r="AF42" s="762">
        <v>0</v>
      </c>
      <c r="AG42" s="762">
        <v>0</v>
      </c>
      <c r="AH42" s="762">
        <v>7251393</v>
      </c>
      <c r="AI42" s="762">
        <v>12327367</v>
      </c>
      <c r="AJ42" s="762">
        <v>9426810</v>
      </c>
      <c r="AK42" s="762">
        <v>0</v>
      </c>
      <c r="AL42" s="762">
        <v>29005570</v>
      </c>
      <c r="AM42" s="762">
        <v>139999</v>
      </c>
      <c r="AN42" s="762">
        <v>139999</v>
      </c>
      <c r="AO42" s="762">
        <v>0</v>
      </c>
      <c r="AP42" s="762">
        <v>0</v>
      </c>
      <c r="AQ42" s="762">
        <v>153987</v>
      </c>
      <c r="AR42" s="762">
        <v>0</v>
      </c>
      <c r="AS42" s="762">
        <v>153987</v>
      </c>
      <c r="AT42" s="762">
        <v>0</v>
      </c>
      <c r="AU42" s="762">
        <v>0</v>
      </c>
      <c r="AV42" s="762">
        <v>0</v>
      </c>
      <c r="AW42" s="762">
        <v>0</v>
      </c>
      <c r="AX42" s="762">
        <v>0</v>
      </c>
      <c r="AY42" s="762">
        <v>0</v>
      </c>
      <c r="AZ42" s="762">
        <v>0</v>
      </c>
      <c r="BA42" s="762">
        <v>0</v>
      </c>
      <c r="BB42" s="762">
        <v>0</v>
      </c>
      <c r="BC42" s="762">
        <v>0</v>
      </c>
      <c r="BD42" s="762">
        <v>0</v>
      </c>
      <c r="BE42" s="762">
        <v>0</v>
      </c>
      <c r="BF42" s="762">
        <v>0</v>
      </c>
      <c r="BG42" s="762">
        <v>0</v>
      </c>
      <c r="BH42" s="762">
        <v>0</v>
      </c>
      <c r="BI42" s="762">
        <v>0</v>
      </c>
      <c r="BJ42" s="790">
        <v>0.5</v>
      </c>
      <c r="BK42" s="790">
        <v>0.4</v>
      </c>
      <c r="BL42" s="790">
        <v>0.1</v>
      </c>
      <c r="BM42" s="790">
        <v>0</v>
      </c>
      <c r="BN42" s="790">
        <v>1</v>
      </c>
      <c r="BO42" s="762">
        <v>305271</v>
      </c>
      <c r="BP42" s="762">
        <v>244216</v>
      </c>
      <c r="BQ42" s="762">
        <v>61054</v>
      </c>
      <c r="BR42" s="762">
        <v>0</v>
      </c>
      <c r="BS42" s="762">
        <v>610541</v>
      </c>
      <c r="BT42" s="790">
        <v>0.5</v>
      </c>
      <c r="BU42" s="790">
        <v>0.4</v>
      </c>
      <c r="BV42" s="790">
        <v>0.1</v>
      </c>
      <c r="BW42" s="790">
        <v>0</v>
      </c>
      <c r="BX42" s="790">
        <v>1</v>
      </c>
      <c r="BY42" s="762">
        <v>-934184</v>
      </c>
      <c r="BZ42" s="762">
        <v>-747347</v>
      </c>
      <c r="CA42" s="762">
        <v>-186837</v>
      </c>
      <c r="CB42" s="762">
        <v>0</v>
      </c>
      <c r="CC42" s="762">
        <v>-1868368</v>
      </c>
      <c r="CD42" s="762">
        <v>-628913</v>
      </c>
      <c r="CE42" s="762">
        <v>-503131</v>
      </c>
      <c r="CF42" s="762">
        <v>-125783</v>
      </c>
      <c r="CG42" s="762">
        <v>0</v>
      </c>
      <c r="CH42" s="762">
        <v>-1257827</v>
      </c>
      <c r="CI42" s="762">
        <v>6622480</v>
      </c>
      <c r="CJ42" s="762">
        <v>12118222</v>
      </c>
      <c r="CK42" s="762">
        <v>9301027</v>
      </c>
      <c r="CL42" s="762">
        <v>0</v>
      </c>
      <c r="CM42" s="762">
        <v>28041729</v>
      </c>
      <c r="CN42" s="762">
        <v>406724</v>
      </c>
      <c r="CO42" s="762">
        <v>307187</v>
      </c>
      <c r="CP42" s="762">
        <v>0</v>
      </c>
      <c r="CQ42" s="762">
        <v>713911</v>
      </c>
      <c r="CR42" s="762">
        <v>1199386</v>
      </c>
      <c r="CS42" s="762">
        <v>917177</v>
      </c>
      <c r="CT42" s="762">
        <v>0</v>
      </c>
      <c r="CU42" s="762">
        <v>2116563</v>
      </c>
      <c r="CV42" s="762">
        <v>72150</v>
      </c>
      <c r="CW42" s="762">
        <v>55173</v>
      </c>
      <c r="CX42" s="762">
        <v>0</v>
      </c>
      <c r="CY42" s="762">
        <v>127323</v>
      </c>
      <c r="CZ42" s="762">
        <v>5125</v>
      </c>
      <c r="DA42" s="762">
        <v>3920</v>
      </c>
      <c r="DB42" s="762">
        <v>0</v>
      </c>
      <c r="DC42" s="762">
        <v>9045</v>
      </c>
      <c r="DD42" s="762">
        <v>19794</v>
      </c>
      <c r="DE42" s="762">
        <v>15136</v>
      </c>
      <c r="DF42" s="762">
        <v>0</v>
      </c>
      <c r="DG42" s="762">
        <v>34930</v>
      </c>
      <c r="DH42" s="762">
        <v>0</v>
      </c>
      <c r="DI42" s="762">
        <v>0</v>
      </c>
      <c r="DJ42" s="762">
        <v>0</v>
      </c>
      <c r="DK42" s="762">
        <v>0</v>
      </c>
      <c r="DL42" s="762">
        <v>14399</v>
      </c>
      <c r="DM42" s="762">
        <v>11010</v>
      </c>
      <c r="DN42" s="762">
        <v>0</v>
      </c>
      <c r="DO42" s="762">
        <v>25409</v>
      </c>
      <c r="DP42" s="762">
        <v>25454</v>
      </c>
      <c r="DQ42" s="762">
        <v>19464</v>
      </c>
      <c r="DR42" s="762">
        <v>0</v>
      </c>
      <c r="DS42" s="762">
        <v>44918</v>
      </c>
      <c r="DT42" s="762">
        <v>0</v>
      </c>
      <c r="DU42" s="762">
        <v>0</v>
      </c>
      <c r="DV42" s="762">
        <v>0</v>
      </c>
      <c r="DW42" s="762">
        <v>0</v>
      </c>
      <c r="DX42" s="762">
        <v>0</v>
      </c>
      <c r="DY42" s="762">
        <v>0</v>
      </c>
      <c r="DZ42" s="762">
        <v>0</v>
      </c>
      <c r="EA42" s="762">
        <v>0</v>
      </c>
      <c r="EB42" s="762">
        <v>224235</v>
      </c>
      <c r="EC42" s="762">
        <v>171474</v>
      </c>
      <c r="ED42" s="762">
        <v>0</v>
      </c>
      <c r="EE42" s="762">
        <v>395709</v>
      </c>
      <c r="EF42" s="762">
        <v>1967267</v>
      </c>
      <c r="EG42" s="762">
        <v>1500541</v>
      </c>
      <c r="EH42" s="762">
        <v>0</v>
      </c>
      <c r="EI42" s="799">
        <v>3467808</v>
      </c>
      <c r="EJ42" s="763" t="s">
        <v>745</v>
      </c>
      <c r="EK42" s="607" t="s">
        <v>601</v>
      </c>
      <c r="EL42" s="805" t="s">
        <v>556</v>
      </c>
      <c r="EM42" t="s">
        <v>1608</v>
      </c>
    </row>
    <row r="43" spans="1:143" ht="12.75" x14ac:dyDescent="0.2">
      <c r="A43" s="764">
        <v>36</v>
      </c>
      <c r="B43" s="765" t="s">
        <v>748</v>
      </c>
      <c r="C43" s="766" t="s">
        <v>1222</v>
      </c>
      <c r="D43" s="767" t="s">
        <v>1223</v>
      </c>
      <c r="E43" s="768" t="s">
        <v>747</v>
      </c>
      <c r="F43" s="761">
        <v>90879889</v>
      </c>
      <c r="G43" s="762">
        <v>2044034</v>
      </c>
      <c r="H43" s="762">
        <v>0</v>
      </c>
      <c r="I43" s="762">
        <v>325447</v>
      </c>
      <c r="J43" s="762">
        <v>0</v>
      </c>
      <c r="K43" s="762">
        <v>325447</v>
      </c>
      <c r="L43" s="762">
        <v>0</v>
      </c>
      <c r="M43" s="762">
        <v>0</v>
      </c>
      <c r="N43" s="762">
        <v>0</v>
      </c>
      <c r="O43" s="762">
        <v>0</v>
      </c>
      <c r="P43" s="762">
        <v>0</v>
      </c>
      <c r="Q43" s="762">
        <v>0</v>
      </c>
      <c r="R43" s="762">
        <v>92598476</v>
      </c>
      <c r="S43" s="790">
        <v>0.25</v>
      </c>
      <c r="T43" s="790">
        <v>0.48</v>
      </c>
      <c r="U43" s="790">
        <v>0.27</v>
      </c>
      <c r="V43" s="790">
        <v>0</v>
      </c>
      <c r="W43" s="790">
        <v>1</v>
      </c>
      <c r="X43" s="762">
        <v>23149619</v>
      </c>
      <c r="Y43" s="762">
        <v>44447268</v>
      </c>
      <c r="Z43" s="762">
        <v>25001589</v>
      </c>
      <c r="AA43" s="762">
        <v>0</v>
      </c>
      <c r="AB43" s="762">
        <v>92598476</v>
      </c>
      <c r="AC43" s="762">
        <v>0</v>
      </c>
      <c r="AD43" s="762">
        <v>0</v>
      </c>
      <c r="AE43" s="762">
        <v>0</v>
      </c>
      <c r="AF43" s="762">
        <v>0</v>
      </c>
      <c r="AG43" s="762">
        <v>0</v>
      </c>
      <c r="AH43" s="762">
        <v>23149619</v>
      </c>
      <c r="AI43" s="762">
        <v>44447268</v>
      </c>
      <c r="AJ43" s="762">
        <v>25001589</v>
      </c>
      <c r="AK43" s="762">
        <v>0</v>
      </c>
      <c r="AL43" s="762">
        <v>92598476</v>
      </c>
      <c r="AM43" s="762">
        <v>325447</v>
      </c>
      <c r="AN43" s="762">
        <v>325447</v>
      </c>
      <c r="AO43" s="762">
        <v>0</v>
      </c>
      <c r="AP43" s="762">
        <v>0</v>
      </c>
      <c r="AQ43" s="762">
        <v>0</v>
      </c>
      <c r="AR43" s="762">
        <v>0</v>
      </c>
      <c r="AS43" s="762">
        <v>0</v>
      </c>
      <c r="AT43" s="762">
        <v>0</v>
      </c>
      <c r="AU43" s="762">
        <v>0</v>
      </c>
      <c r="AV43" s="762">
        <v>0</v>
      </c>
      <c r="AW43" s="762">
        <v>0</v>
      </c>
      <c r="AX43" s="762">
        <v>0</v>
      </c>
      <c r="AY43" s="762">
        <v>0</v>
      </c>
      <c r="AZ43" s="762">
        <v>0</v>
      </c>
      <c r="BA43" s="762">
        <v>0</v>
      </c>
      <c r="BB43" s="762">
        <v>0</v>
      </c>
      <c r="BC43" s="762">
        <v>0</v>
      </c>
      <c r="BD43" s="762">
        <v>0</v>
      </c>
      <c r="BE43" s="762">
        <v>0</v>
      </c>
      <c r="BF43" s="762">
        <v>0</v>
      </c>
      <c r="BG43" s="762">
        <v>0</v>
      </c>
      <c r="BH43" s="762">
        <v>0</v>
      </c>
      <c r="BI43" s="762">
        <v>0</v>
      </c>
      <c r="BJ43" s="790">
        <v>0</v>
      </c>
      <c r="BK43" s="790">
        <v>0.64</v>
      </c>
      <c r="BL43" s="790">
        <v>0.36</v>
      </c>
      <c r="BM43" s="790">
        <v>0</v>
      </c>
      <c r="BN43" s="790">
        <v>1</v>
      </c>
      <c r="BO43" s="762">
        <v>5.5879354476928711E-9</v>
      </c>
      <c r="BP43" s="762">
        <v>-495192</v>
      </c>
      <c r="BQ43" s="762">
        <v>-278545</v>
      </c>
      <c r="BR43" s="762">
        <v>0</v>
      </c>
      <c r="BS43" s="762">
        <v>-773736.99999999441</v>
      </c>
      <c r="BT43" s="790">
        <v>0.33</v>
      </c>
      <c r="BU43" s="790">
        <v>0.3</v>
      </c>
      <c r="BV43" s="790">
        <v>0.37</v>
      </c>
      <c r="BW43" s="790">
        <v>0</v>
      </c>
      <c r="BX43" s="790">
        <v>1</v>
      </c>
      <c r="BY43" s="762">
        <v>-559141.09999999963</v>
      </c>
      <c r="BZ43" s="762">
        <v>-508310</v>
      </c>
      <c r="CA43" s="762">
        <v>-626915</v>
      </c>
      <c r="CB43" s="762">
        <v>0</v>
      </c>
      <c r="CC43" s="762">
        <v>-1694366.0999999996</v>
      </c>
      <c r="CD43" s="762">
        <v>-559141</v>
      </c>
      <c r="CE43" s="762">
        <v>-1003502</v>
      </c>
      <c r="CF43" s="762">
        <v>-905460</v>
      </c>
      <c r="CG43" s="762">
        <v>0</v>
      </c>
      <c r="CH43" s="762">
        <v>-2468103.099999994</v>
      </c>
      <c r="CI43" s="762">
        <v>22590478</v>
      </c>
      <c r="CJ43" s="762">
        <v>43769213</v>
      </c>
      <c r="CK43" s="762">
        <v>24096129</v>
      </c>
      <c r="CL43" s="762">
        <v>0</v>
      </c>
      <c r="CM43" s="762">
        <v>90455820</v>
      </c>
      <c r="CN43" s="762">
        <v>1448383</v>
      </c>
      <c r="CO43" s="762">
        <v>814716</v>
      </c>
      <c r="CP43" s="762">
        <v>0</v>
      </c>
      <c r="CQ43" s="762">
        <v>2263099</v>
      </c>
      <c r="CR43" s="762">
        <v>2689640</v>
      </c>
      <c r="CS43" s="762">
        <v>1512922</v>
      </c>
      <c r="CT43" s="762">
        <v>0</v>
      </c>
      <c r="CU43" s="762">
        <v>4202562</v>
      </c>
      <c r="CV43" s="762">
        <v>156209</v>
      </c>
      <c r="CW43" s="762">
        <v>87868</v>
      </c>
      <c r="CX43" s="762">
        <v>0</v>
      </c>
      <c r="CY43" s="762">
        <v>244077</v>
      </c>
      <c r="CZ43" s="762">
        <v>0</v>
      </c>
      <c r="DA43" s="762">
        <v>0</v>
      </c>
      <c r="DB43" s="762">
        <v>0</v>
      </c>
      <c r="DC43" s="762">
        <v>0</v>
      </c>
      <c r="DD43" s="762">
        <v>0</v>
      </c>
      <c r="DE43" s="762">
        <v>0</v>
      </c>
      <c r="DF43" s="762">
        <v>0</v>
      </c>
      <c r="DG43" s="762">
        <v>0</v>
      </c>
      <c r="DH43" s="762">
        <v>0</v>
      </c>
      <c r="DI43" s="762">
        <v>0</v>
      </c>
      <c r="DJ43" s="762">
        <v>0</v>
      </c>
      <c r="DK43" s="762">
        <v>0</v>
      </c>
      <c r="DL43" s="762">
        <v>1132</v>
      </c>
      <c r="DM43" s="762">
        <v>637</v>
      </c>
      <c r="DN43" s="762">
        <v>0</v>
      </c>
      <c r="DO43" s="762">
        <v>1769</v>
      </c>
      <c r="DP43" s="762">
        <v>139251</v>
      </c>
      <c r="DQ43" s="762">
        <v>78329</v>
      </c>
      <c r="DR43" s="762">
        <v>0</v>
      </c>
      <c r="DS43" s="762">
        <v>217580</v>
      </c>
      <c r="DT43" s="762">
        <v>0</v>
      </c>
      <c r="DU43" s="762">
        <v>0</v>
      </c>
      <c r="DV43" s="762">
        <v>0</v>
      </c>
      <c r="DW43" s="762">
        <v>0</v>
      </c>
      <c r="DX43" s="762">
        <v>0</v>
      </c>
      <c r="DY43" s="762">
        <v>0</v>
      </c>
      <c r="DZ43" s="762">
        <v>0</v>
      </c>
      <c r="EA43" s="762">
        <v>0</v>
      </c>
      <c r="EB43" s="762">
        <v>1953622</v>
      </c>
      <c r="EC43" s="762">
        <v>1098912</v>
      </c>
      <c r="ED43" s="762">
        <v>0</v>
      </c>
      <c r="EE43" s="762">
        <v>3052534</v>
      </c>
      <c r="EF43" s="762">
        <v>6388237</v>
      </c>
      <c r="EG43" s="762">
        <v>3593384</v>
      </c>
      <c r="EH43" s="762">
        <v>0</v>
      </c>
      <c r="EI43" s="799">
        <v>9981621</v>
      </c>
      <c r="EJ43" s="763" t="s">
        <v>747</v>
      </c>
      <c r="EK43" s="607" t="s">
        <v>628</v>
      </c>
      <c r="EL43" s="272" t="s">
        <v>528</v>
      </c>
      <c r="EM43" t="s">
        <v>1609</v>
      </c>
    </row>
    <row r="44" spans="1:143" ht="12.75" x14ac:dyDescent="0.2">
      <c r="A44" s="764">
        <v>37</v>
      </c>
      <c r="B44" s="765" t="s">
        <v>750</v>
      </c>
      <c r="C44" s="766" t="s">
        <v>1217</v>
      </c>
      <c r="D44" s="767" t="s">
        <v>1227</v>
      </c>
      <c r="E44" s="768" t="s">
        <v>749</v>
      </c>
      <c r="F44" s="761">
        <v>24248476</v>
      </c>
      <c r="G44" s="762">
        <v>0</v>
      </c>
      <c r="H44" s="762">
        <v>196579</v>
      </c>
      <c r="I44" s="762">
        <v>126252</v>
      </c>
      <c r="J44" s="762">
        <v>0</v>
      </c>
      <c r="K44" s="762">
        <v>126252</v>
      </c>
      <c r="L44" s="762">
        <v>0</v>
      </c>
      <c r="M44" s="762">
        <v>0</v>
      </c>
      <c r="N44" s="762">
        <v>0</v>
      </c>
      <c r="O44" s="762">
        <v>0</v>
      </c>
      <c r="P44" s="762">
        <v>0</v>
      </c>
      <c r="Q44" s="762">
        <v>0</v>
      </c>
      <c r="R44" s="762">
        <v>23925645</v>
      </c>
      <c r="S44" s="790">
        <v>0.25</v>
      </c>
      <c r="T44" s="790">
        <v>0</v>
      </c>
      <c r="U44" s="790">
        <v>0.74</v>
      </c>
      <c r="V44" s="790">
        <v>0.01</v>
      </c>
      <c r="W44" s="790">
        <v>1</v>
      </c>
      <c r="X44" s="762">
        <v>5981412</v>
      </c>
      <c r="Y44" s="762">
        <v>0</v>
      </c>
      <c r="Z44" s="762">
        <v>17704977</v>
      </c>
      <c r="AA44" s="762">
        <v>239256</v>
      </c>
      <c r="AB44" s="762">
        <v>23925645</v>
      </c>
      <c r="AC44" s="762">
        <v>0</v>
      </c>
      <c r="AD44" s="762">
        <v>0</v>
      </c>
      <c r="AE44" s="762">
        <v>0</v>
      </c>
      <c r="AF44" s="762">
        <v>0</v>
      </c>
      <c r="AG44" s="762">
        <v>0</v>
      </c>
      <c r="AH44" s="762">
        <v>5981412</v>
      </c>
      <c r="AI44" s="762">
        <v>0</v>
      </c>
      <c r="AJ44" s="762">
        <v>17704977</v>
      </c>
      <c r="AK44" s="762">
        <v>239256</v>
      </c>
      <c r="AL44" s="762">
        <v>23925645</v>
      </c>
      <c r="AM44" s="762">
        <v>126252</v>
      </c>
      <c r="AN44" s="762">
        <v>126252</v>
      </c>
      <c r="AO44" s="762">
        <v>0</v>
      </c>
      <c r="AP44" s="762">
        <v>0</v>
      </c>
      <c r="AQ44" s="762">
        <v>0</v>
      </c>
      <c r="AR44" s="762">
        <v>0</v>
      </c>
      <c r="AS44" s="762">
        <v>0</v>
      </c>
      <c r="AT44" s="762">
        <v>0</v>
      </c>
      <c r="AU44" s="762">
        <v>0</v>
      </c>
      <c r="AV44" s="762">
        <v>0</v>
      </c>
      <c r="AW44" s="762">
        <v>0</v>
      </c>
      <c r="AX44" s="762">
        <v>0</v>
      </c>
      <c r="AY44" s="762">
        <v>0</v>
      </c>
      <c r="AZ44" s="762">
        <v>0</v>
      </c>
      <c r="BA44" s="762">
        <v>0</v>
      </c>
      <c r="BB44" s="762">
        <v>0</v>
      </c>
      <c r="BC44" s="762">
        <v>0</v>
      </c>
      <c r="BD44" s="762">
        <v>0</v>
      </c>
      <c r="BE44" s="762">
        <v>0</v>
      </c>
      <c r="BF44" s="762">
        <v>0</v>
      </c>
      <c r="BG44" s="762">
        <v>0</v>
      </c>
      <c r="BH44" s="762">
        <v>0</v>
      </c>
      <c r="BI44" s="762">
        <v>0</v>
      </c>
      <c r="BJ44" s="790">
        <v>0.5</v>
      </c>
      <c r="BK44" s="790">
        <v>0.4</v>
      </c>
      <c r="BL44" s="790">
        <v>0.09</v>
      </c>
      <c r="BM44" s="790">
        <v>0.01</v>
      </c>
      <c r="BN44" s="790">
        <v>1</v>
      </c>
      <c r="BO44" s="762">
        <v>-992221</v>
      </c>
      <c r="BP44" s="762">
        <v>-793776</v>
      </c>
      <c r="BQ44" s="762">
        <v>-178600</v>
      </c>
      <c r="BR44" s="762">
        <v>-19844</v>
      </c>
      <c r="BS44" s="762">
        <v>-1984441</v>
      </c>
      <c r="BT44" s="790">
        <v>0.5</v>
      </c>
      <c r="BU44" s="790">
        <v>0.4</v>
      </c>
      <c r="BV44" s="790">
        <v>0.09</v>
      </c>
      <c r="BW44" s="790">
        <v>0.01</v>
      </c>
      <c r="BX44" s="790">
        <v>1</v>
      </c>
      <c r="BY44" s="762">
        <v>-1888910</v>
      </c>
      <c r="BZ44" s="762">
        <v>-1511128</v>
      </c>
      <c r="CA44" s="762">
        <v>-340004</v>
      </c>
      <c r="CB44" s="762">
        <v>-37778</v>
      </c>
      <c r="CC44" s="762">
        <v>-3777820</v>
      </c>
      <c r="CD44" s="762">
        <v>-2881131</v>
      </c>
      <c r="CE44" s="762">
        <v>-2304904</v>
      </c>
      <c r="CF44" s="762">
        <v>-518603</v>
      </c>
      <c r="CG44" s="762">
        <v>-57623</v>
      </c>
      <c r="CH44" s="762">
        <v>-5762261</v>
      </c>
      <c r="CI44" s="762">
        <v>3100281</v>
      </c>
      <c r="CJ44" s="762">
        <v>-2178652</v>
      </c>
      <c r="CK44" s="762">
        <v>17186374</v>
      </c>
      <c r="CL44" s="762">
        <v>181633</v>
      </c>
      <c r="CM44" s="762">
        <v>18289636</v>
      </c>
      <c r="CN44" s="762">
        <v>0</v>
      </c>
      <c r="CO44" s="762">
        <v>576944</v>
      </c>
      <c r="CP44" s="762">
        <v>7797</v>
      </c>
      <c r="CQ44" s="762">
        <v>584741</v>
      </c>
      <c r="CR44" s="762">
        <v>0</v>
      </c>
      <c r="CS44" s="762">
        <v>2081064</v>
      </c>
      <c r="CT44" s="762">
        <v>28122</v>
      </c>
      <c r="CU44" s="762">
        <v>2109186</v>
      </c>
      <c r="CV44" s="762">
        <v>0</v>
      </c>
      <c r="CW44" s="762">
        <v>0</v>
      </c>
      <c r="CX44" s="762">
        <v>0</v>
      </c>
      <c r="CY44" s="762">
        <v>0</v>
      </c>
      <c r="CZ44" s="762">
        <v>0</v>
      </c>
      <c r="DA44" s="762">
        <v>0</v>
      </c>
      <c r="DB44" s="762">
        <v>0</v>
      </c>
      <c r="DC44" s="762">
        <v>0</v>
      </c>
      <c r="DD44" s="762">
        <v>0</v>
      </c>
      <c r="DE44" s="762">
        <v>1017</v>
      </c>
      <c r="DF44" s="762">
        <v>14</v>
      </c>
      <c r="DG44" s="762">
        <v>1031</v>
      </c>
      <c r="DH44" s="762">
        <v>0</v>
      </c>
      <c r="DI44" s="762">
        <v>0</v>
      </c>
      <c r="DJ44" s="762">
        <v>0</v>
      </c>
      <c r="DK44" s="762">
        <v>0</v>
      </c>
      <c r="DL44" s="762">
        <v>0</v>
      </c>
      <c r="DM44" s="762">
        <v>15033</v>
      </c>
      <c r="DN44" s="762">
        <v>203</v>
      </c>
      <c r="DO44" s="762">
        <v>15236</v>
      </c>
      <c r="DP44" s="762">
        <v>0</v>
      </c>
      <c r="DQ44" s="762">
        <v>0</v>
      </c>
      <c r="DR44" s="762">
        <v>0</v>
      </c>
      <c r="DS44" s="762">
        <v>0</v>
      </c>
      <c r="DT44" s="762">
        <v>0</v>
      </c>
      <c r="DU44" s="762">
        <v>0</v>
      </c>
      <c r="DV44" s="762">
        <v>0</v>
      </c>
      <c r="DW44" s="762">
        <v>0</v>
      </c>
      <c r="DX44" s="762">
        <v>0</v>
      </c>
      <c r="DY44" s="762">
        <v>0</v>
      </c>
      <c r="DZ44" s="762">
        <v>0</v>
      </c>
      <c r="EA44" s="762">
        <v>0</v>
      </c>
      <c r="EB44" s="762">
        <v>1</v>
      </c>
      <c r="EC44" s="762">
        <v>514850</v>
      </c>
      <c r="ED44" s="762">
        <v>6957</v>
      </c>
      <c r="EE44" s="762">
        <v>521808</v>
      </c>
      <c r="EF44" s="762">
        <v>1</v>
      </c>
      <c r="EG44" s="762">
        <v>3188908</v>
      </c>
      <c r="EH44" s="762">
        <v>43093</v>
      </c>
      <c r="EI44" s="799">
        <v>3232002</v>
      </c>
      <c r="EJ44" s="763" t="s">
        <v>749</v>
      </c>
      <c r="EK44" s="607" t="s">
        <v>583</v>
      </c>
      <c r="EL44" s="805" t="s">
        <v>582</v>
      </c>
      <c r="EM44" t="s">
        <v>1610</v>
      </c>
    </row>
    <row r="45" spans="1:143" ht="12.75" x14ac:dyDescent="0.2">
      <c r="A45" s="764">
        <v>38</v>
      </c>
      <c r="B45" s="765" t="s">
        <v>752</v>
      </c>
      <c r="C45" s="766" t="s">
        <v>1217</v>
      </c>
      <c r="D45" s="767" t="s">
        <v>1221</v>
      </c>
      <c r="E45" s="768" t="s">
        <v>751</v>
      </c>
      <c r="F45" s="761">
        <v>41437445</v>
      </c>
      <c r="G45" s="762">
        <v>0</v>
      </c>
      <c r="H45" s="762">
        <v>805799</v>
      </c>
      <c r="I45" s="762">
        <v>110735</v>
      </c>
      <c r="J45" s="762">
        <v>0</v>
      </c>
      <c r="K45" s="762">
        <v>110735</v>
      </c>
      <c r="L45" s="762">
        <v>0</v>
      </c>
      <c r="M45" s="762">
        <v>0</v>
      </c>
      <c r="N45" s="762">
        <v>0</v>
      </c>
      <c r="O45" s="762">
        <v>0</v>
      </c>
      <c r="P45" s="762">
        <v>0</v>
      </c>
      <c r="Q45" s="762">
        <v>0</v>
      </c>
      <c r="R45" s="762">
        <v>40520911</v>
      </c>
      <c r="S45" s="790">
        <v>0.25</v>
      </c>
      <c r="T45" s="790">
        <v>0.35</v>
      </c>
      <c r="U45" s="790">
        <v>0.4</v>
      </c>
      <c r="V45" s="790">
        <v>0</v>
      </c>
      <c r="W45" s="790">
        <v>1</v>
      </c>
      <c r="X45" s="762">
        <v>10130228</v>
      </c>
      <c r="Y45" s="762">
        <v>14182319</v>
      </c>
      <c r="Z45" s="762">
        <v>16208364</v>
      </c>
      <c r="AA45" s="762">
        <v>0</v>
      </c>
      <c r="AB45" s="762">
        <v>40520911</v>
      </c>
      <c r="AC45" s="762">
        <v>0</v>
      </c>
      <c r="AD45" s="762">
        <v>0</v>
      </c>
      <c r="AE45" s="762">
        <v>0</v>
      </c>
      <c r="AF45" s="762">
        <v>0</v>
      </c>
      <c r="AG45" s="762">
        <v>0</v>
      </c>
      <c r="AH45" s="762">
        <v>10130228</v>
      </c>
      <c r="AI45" s="762">
        <v>14182319</v>
      </c>
      <c r="AJ45" s="762">
        <v>16208364</v>
      </c>
      <c r="AK45" s="762">
        <v>0</v>
      </c>
      <c r="AL45" s="762">
        <v>40520911</v>
      </c>
      <c r="AM45" s="762">
        <v>110735</v>
      </c>
      <c r="AN45" s="762">
        <v>110735</v>
      </c>
      <c r="AO45" s="762">
        <v>0</v>
      </c>
      <c r="AP45" s="762">
        <v>0</v>
      </c>
      <c r="AQ45" s="762">
        <v>0</v>
      </c>
      <c r="AR45" s="762">
        <v>0</v>
      </c>
      <c r="AS45" s="762">
        <v>0</v>
      </c>
      <c r="AT45" s="762">
        <v>0</v>
      </c>
      <c r="AU45" s="762">
        <v>0</v>
      </c>
      <c r="AV45" s="762">
        <v>0</v>
      </c>
      <c r="AW45" s="762">
        <v>0</v>
      </c>
      <c r="AX45" s="762">
        <v>0</v>
      </c>
      <c r="AY45" s="762">
        <v>0</v>
      </c>
      <c r="AZ45" s="762">
        <v>0</v>
      </c>
      <c r="BA45" s="762">
        <v>0</v>
      </c>
      <c r="BB45" s="762">
        <v>0</v>
      </c>
      <c r="BC45" s="762">
        <v>0</v>
      </c>
      <c r="BD45" s="762">
        <v>0</v>
      </c>
      <c r="BE45" s="762">
        <v>0</v>
      </c>
      <c r="BF45" s="762">
        <v>0</v>
      </c>
      <c r="BG45" s="762">
        <v>0</v>
      </c>
      <c r="BH45" s="762">
        <v>0</v>
      </c>
      <c r="BI45" s="762">
        <v>0</v>
      </c>
      <c r="BJ45" s="790">
        <v>0.5</v>
      </c>
      <c r="BK45" s="790">
        <v>0.4</v>
      </c>
      <c r="BL45" s="790">
        <v>0.1</v>
      </c>
      <c r="BM45" s="790">
        <v>0</v>
      </c>
      <c r="BN45" s="790">
        <v>1</v>
      </c>
      <c r="BO45" s="762">
        <v>-1549265</v>
      </c>
      <c r="BP45" s="762">
        <v>-1239412</v>
      </c>
      <c r="BQ45" s="762">
        <v>-309853</v>
      </c>
      <c r="BR45" s="762">
        <v>0</v>
      </c>
      <c r="BS45" s="762">
        <v>-3098530</v>
      </c>
      <c r="BT45" s="790">
        <v>0.5</v>
      </c>
      <c r="BU45" s="790">
        <v>0.4</v>
      </c>
      <c r="BV45" s="790">
        <v>0.1</v>
      </c>
      <c r="BW45" s="790">
        <v>0</v>
      </c>
      <c r="BX45" s="790">
        <v>1</v>
      </c>
      <c r="BY45" s="762">
        <v>826212.29999999702</v>
      </c>
      <c r="BZ45" s="762">
        <v>660970</v>
      </c>
      <c r="CA45" s="762">
        <v>165242</v>
      </c>
      <c r="CB45" s="762">
        <v>0</v>
      </c>
      <c r="CC45" s="762">
        <v>1652424.299999997</v>
      </c>
      <c r="CD45" s="762">
        <v>-723053</v>
      </c>
      <c r="CE45" s="762">
        <v>-578442</v>
      </c>
      <c r="CF45" s="762">
        <v>-144611</v>
      </c>
      <c r="CG45" s="762">
        <v>0</v>
      </c>
      <c r="CH45" s="762">
        <v>-1446105.700000003</v>
      </c>
      <c r="CI45" s="762">
        <v>9407175</v>
      </c>
      <c r="CJ45" s="762">
        <v>13714612</v>
      </c>
      <c r="CK45" s="762">
        <v>16063753</v>
      </c>
      <c r="CL45" s="762">
        <v>0</v>
      </c>
      <c r="CM45" s="762">
        <v>39185540</v>
      </c>
      <c r="CN45" s="762">
        <v>462153</v>
      </c>
      <c r="CO45" s="762">
        <v>528175</v>
      </c>
      <c r="CP45" s="762">
        <v>0</v>
      </c>
      <c r="CQ45" s="762">
        <v>990328</v>
      </c>
      <c r="CR45" s="762">
        <v>783660</v>
      </c>
      <c r="CS45" s="762">
        <v>895611</v>
      </c>
      <c r="CT45" s="762">
        <v>0</v>
      </c>
      <c r="CU45" s="762">
        <v>1679271</v>
      </c>
      <c r="CV45" s="762">
        <v>57061</v>
      </c>
      <c r="CW45" s="762">
        <v>65213</v>
      </c>
      <c r="CX45" s="762">
        <v>0</v>
      </c>
      <c r="CY45" s="762">
        <v>122274</v>
      </c>
      <c r="CZ45" s="762">
        <v>0</v>
      </c>
      <c r="DA45" s="762">
        <v>0</v>
      </c>
      <c r="DB45" s="762">
        <v>0</v>
      </c>
      <c r="DC45" s="762">
        <v>0</v>
      </c>
      <c r="DD45" s="762">
        <v>0</v>
      </c>
      <c r="DE45" s="762">
        <v>0</v>
      </c>
      <c r="DF45" s="762">
        <v>0</v>
      </c>
      <c r="DG45" s="762">
        <v>0</v>
      </c>
      <c r="DH45" s="762">
        <v>0</v>
      </c>
      <c r="DI45" s="762">
        <v>0</v>
      </c>
      <c r="DJ45" s="762">
        <v>0</v>
      </c>
      <c r="DK45" s="762">
        <v>0</v>
      </c>
      <c r="DL45" s="762">
        <v>6677</v>
      </c>
      <c r="DM45" s="762">
        <v>7632</v>
      </c>
      <c r="DN45" s="762">
        <v>0</v>
      </c>
      <c r="DO45" s="762">
        <v>14309</v>
      </c>
      <c r="DP45" s="762">
        <v>4306</v>
      </c>
      <c r="DQ45" s="762">
        <v>4921</v>
      </c>
      <c r="DR45" s="762">
        <v>0</v>
      </c>
      <c r="DS45" s="762">
        <v>9227</v>
      </c>
      <c r="DT45" s="762">
        <v>0</v>
      </c>
      <c r="DU45" s="762">
        <v>0</v>
      </c>
      <c r="DV45" s="762">
        <v>0</v>
      </c>
      <c r="DW45" s="762">
        <v>0</v>
      </c>
      <c r="DX45" s="762">
        <v>0</v>
      </c>
      <c r="DY45" s="762">
        <v>0</v>
      </c>
      <c r="DZ45" s="762">
        <v>0</v>
      </c>
      <c r="EA45" s="762">
        <v>0</v>
      </c>
      <c r="EB45" s="762">
        <v>332086</v>
      </c>
      <c r="EC45" s="762">
        <v>379528</v>
      </c>
      <c r="ED45" s="762">
        <v>0</v>
      </c>
      <c r="EE45" s="762">
        <v>711614</v>
      </c>
      <c r="EF45" s="762">
        <v>1645943</v>
      </c>
      <c r="EG45" s="762">
        <v>1881080</v>
      </c>
      <c r="EH45" s="762">
        <v>0</v>
      </c>
      <c r="EI45" s="799">
        <v>3527023</v>
      </c>
      <c r="EJ45" s="763" t="s">
        <v>751</v>
      </c>
      <c r="EK45" s="607" t="s">
        <v>584</v>
      </c>
      <c r="EL45" s="805" t="s">
        <v>556</v>
      </c>
      <c r="EM45" t="s">
        <v>1611</v>
      </c>
    </row>
    <row r="46" spans="1:143" ht="12.75" x14ac:dyDescent="0.2">
      <c r="A46" s="764">
        <v>39</v>
      </c>
      <c r="B46" s="765" t="s">
        <v>754</v>
      </c>
      <c r="C46" s="766" t="s">
        <v>1217</v>
      </c>
      <c r="D46" s="767" t="s">
        <v>1220</v>
      </c>
      <c r="E46" s="768" t="s">
        <v>753</v>
      </c>
      <c r="F46" s="761">
        <v>27081135</v>
      </c>
      <c r="G46" s="762">
        <v>402722</v>
      </c>
      <c r="H46" s="762">
        <v>0</v>
      </c>
      <c r="I46" s="762">
        <v>102982</v>
      </c>
      <c r="J46" s="762">
        <v>0</v>
      </c>
      <c r="K46" s="762">
        <v>102982</v>
      </c>
      <c r="L46" s="762">
        <v>0</v>
      </c>
      <c r="M46" s="762">
        <v>0</v>
      </c>
      <c r="N46" s="762">
        <v>0</v>
      </c>
      <c r="O46" s="762">
        <v>0</v>
      </c>
      <c r="P46" s="762">
        <v>0</v>
      </c>
      <c r="Q46" s="762">
        <v>0</v>
      </c>
      <c r="R46" s="762">
        <v>27380875</v>
      </c>
      <c r="S46" s="790">
        <v>0.5</v>
      </c>
      <c r="T46" s="790">
        <v>0.4</v>
      </c>
      <c r="U46" s="790">
        <v>0.09</v>
      </c>
      <c r="V46" s="790">
        <v>0.01</v>
      </c>
      <c r="W46" s="790">
        <v>1</v>
      </c>
      <c r="X46" s="762">
        <v>13690437</v>
      </c>
      <c r="Y46" s="762">
        <v>10952350</v>
      </c>
      <c r="Z46" s="762">
        <v>2464279</v>
      </c>
      <c r="AA46" s="762">
        <v>273809</v>
      </c>
      <c r="AB46" s="762">
        <v>27380875</v>
      </c>
      <c r="AC46" s="762">
        <v>110000</v>
      </c>
      <c r="AD46" s="762">
        <v>0</v>
      </c>
      <c r="AE46" s="762">
        <v>0</v>
      </c>
      <c r="AF46" s="762">
        <v>0</v>
      </c>
      <c r="AG46" s="762">
        <v>110000</v>
      </c>
      <c r="AH46" s="762">
        <v>13580437</v>
      </c>
      <c r="AI46" s="762">
        <v>10952350</v>
      </c>
      <c r="AJ46" s="762">
        <v>2464279</v>
      </c>
      <c r="AK46" s="762">
        <v>273809</v>
      </c>
      <c r="AL46" s="762">
        <v>27270875</v>
      </c>
      <c r="AM46" s="762">
        <v>102982</v>
      </c>
      <c r="AN46" s="762">
        <v>102982</v>
      </c>
      <c r="AO46" s="762">
        <v>0</v>
      </c>
      <c r="AP46" s="762">
        <v>0</v>
      </c>
      <c r="AQ46" s="762">
        <v>0</v>
      </c>
      <c r="AR46" s="762">
        <v>0</v>
      </c>
      <c r="AS46" s="762">
        <v>0</v>
      </c>
      <c r="AT46" s="762">
        <v>0</v>
      </c>
      <c r="AU46" s="762">
        <v>0</v>
      </c>
      <c r="AV46" s="762">
        <v>0</v>
      </c>
      <c r="AW46" s="762">
        <v>0</v>
      </c>
      <c r="AX46" s="762">
        <v>110000</v>
      </c>
      <c r="AY46" s="762">
        <v>0</v>
      </c>
      <c r="AZ46" s="762">
        <v>0</v>
      </c>
      <c r="BA46" s="762">
        <v>110000</v>
      </c>
      <c r="BB46" s="762">
        <v>0</v>
      </c>
      <c r="BC46" s="762">
        <v>0</v>
      </c>
      <c r="BD46" s="762">
        <v>0</v>
      </c>
      <c r="BE46" s="762">
        <v>0</v>
      </c>
      <c r="BF46" s="762">
        <v>0</v>
      </c>
      <c r="BG46" s="762">
        <v>0</v>
      </c>
      <c r="BH46" s="762">
        <v>0</v>
      </c>
      <c r="BI46" s="762">
        <v>0</v>
      </c>
      <c r="BJ46" s="790">
        <v>0.5</v>
      </c>
      <c r="BK46" s="790">
        <v>0.4</v>
      </c>
      <c r="BL46" s="790">
        <v>0.09</v>
      </c>
      <c r="BM46" s="790">
        <v>0.01</v>
      </c>
      <c r="BN46" s="790">
        <v>1</v>
      </c>
      <c r="BO46" s="762">
        <v>-544628</v>
      </c>
      <c r="BP46" s="762">
        <v>-435703</v>
      </c>
      <c r="BQ46" s="762">
        <v>-98033</v>
      </c>
      <c r="BR46" s="762">
        <v>-10893</v>
      </c>
      <c r="BS46" s="762">
        <v>-1089257</v>
      </c>
      <c r="BT46" s="790">
        <v>0.5</v>
      </c>
      <c r="BU46" s="790">
        <v>0.4</v>
      </c>
      <c r="BV46" s="790">
        <v>0.09</v>
      </c>
      <c r="BW46" s="790">
        <v>0.01</v>
      </c>
      <c r="BX46" s="790">
        <v>1</v>
      </c>
      <c r="BY46" s="762">
        <v>255203.3200000003</v>
      </c>
      <c r="BZ46" s="762">
        <v>204162</v>
      </c>
      <c r="CA46" s="762">
        <v>45936</v>
      </c>
      <c r="CB46" s="762">
        <v>5104</v>
      </c>
      <c r="CC46" s="762">
        <v>510405.3200000003</v>
      </c>
      <c r="CD46" s="762">
        <v>-289425</v>
      </c>
      <c r="CE46" s="762">
        <v>-231541</v>
      </c>
      <c r="CF46" s="762">
        <v>-52097</v>
      </c>
      <c r="CG46" s="762">
        <v>-5789</v>
      </c>
      <c r="CH46" s="762">
        <v>-578851.6799999997</v>
      </c>
      <c r="CI46" s="762">
        <v>13291012</v>
      </c>
      <c r="CJ46" s="762">
        <v>10933791</v>
      </c>
      <c r="CK46" s="762">
        <v>2412182</v>
      </c>
      <c r="CL46" s="762">
        <v>268020</v>
      </c>
      <c r="CM46" s="762">
        <v>26905005</v>
      </c>
      <c r="CN46" s="762">
        <v>360484</v>
      </c>
      <c r="CO46" s="762">
        <v>80302</v>
      </c>
      <c r="CP46" s="762">
        <v>8922</v>
      </c>
      <c r="CQ46" s="762">
        <v>449708</v>
      </c>
      <c r="CR46" s="762">
        <v>779543</v>
      </c>
      <c r="CS46" s="762">
        <v>175397</v>
      </c>
      <c r="CT46" s="762">
        <v>19489</v>
      </c>
      <c r="CU46" s="762">
        <v>974429</v>
      </c>
      <c r="CV46" s="762">
        <v>47942</v>
      </c>
      <c r="CW46" s="762">
        <v>10787</v>
      </c>
      <c r="CX46" s="762">
        <v>1199</v>
      </c>
      <c r="CY46" s="762">
        <v>59928</v>
      </c>
      <c r="CZ46" s="762">
        <v>0</v>
      </c>
      <c r="DA46" s="762">
        <v>0</v>
      </c>
      <c r="DB46" s="762">
        <v>0</v>
      </c>
      <c r="DC46" s="762">
        <v>0</v>
      </c>
      <c r="DD46" s="762">
        <v>1089</v>
      </c>
      <c r="DE46" s="762">
        <v>245</v>
      </c>
      <c r="DF46" s="762">
        <v>27</v>
      </c>
      <c r="DG46" s="762">
        <v>1361</v>
      </c>
      <c r="DH46" s="762">
        <v>0</v>
      </c>
      <c r="DI46" s="762">
        <v>0</v>
      </c>
      <c r="DJ46" s="762">
        <v>0</v>
      </c>
      <c r="DK46" s="762">
        <v>0</v>
      </c>
      <c r="DL46" s="762">
        <v>4033</v>
      </c>
      <c r="DM46" s="762">
        <v>908</v>
      </c>
      <c r="DN46" s="762">
        <v>101</v>
      </c>
      <c r="DO46" s="762">
        <v>5042</v>
      </c>
      <c r="DP46" s="762">
        <v>7905</v>
      </c>
      <c r="DQ46" s="762">
        <v>1779</v>
      </c>
      <c r="DR46" s="762">
        <v>198</v>
      </c>
      <c r="DS46" s="762">
        <v>9882</v>
      </c>
      <c r="DT46" s="762">
        <v>0</v>
      </c>
      <c r="DU46" s="762">
        <v>0</v>
      </c>
      <c r="DV46" s="762">
        <v>0</v>
      </c>
      <c r="DW46" s="762">
        <v>0</v>
      </c>
      <c r="DX46" s="762">
        <v>0</v>
      </c>
      <c r="DY46" s="762">
        <v>0</v>
      </c>
      <c r="DZ46" s="762">
        <v>0</v>
      </c>
      <c r="EA46" s="762">
        <v>0</v>
      </c>
      <c r="EB46" s="762">
        <v>206950</v>
      </c>
      <c r="EC46" s="762">
        <v>46564</v>
      </c>
      <c r="ED46" s="762">
        <v>5174</v>
      </c>
      <c r="EE46" s="762">
        <v>258688</v>
      </c>
      <c r="EF46" s="762">
        <v>1407946</v>
      </c>
      <c r="EG46" s="762">
        <v>315982</v>
      </c>
      <c r="EH46" s="762">
        <v>35110</v>
      </c>
      <c r="EI46" s="799">
        <v>1759038</v>
      </c>
      <c r="EJ46" s="763" t="s">
        <v>753</v>
      </c>
      <c r="EK46" s="607" t="s">
        <v>608</v>
      </c>
      <c r="EL46" s="805" t="s">
        <v>607</v>
      </c>
      <c r="EM46" t="s">
        <v>1612</v>
      </c>
    </row>
    <row r="47" spans="1:143" ht="12.75" x14ac:dyDescent="0.2">
      <c r="A47" s="764">
        <v>40</v>
      </c>
      <c r="B47" s="765" t="s">
        <v>756</v>
      </c>
      <c r="C47" s="766" t="s">
        <v>1217</v>
      </c>
      <c r="D47" s="767" t="s">
        <v>1219</v>
      </c>
      <c r="E47" s="768" t="s">
        <v>755</v>
      </c>
      <c r="F47" s="761">
        <v>28852334</v>
      </c>
      <c r="G47" s="762">
        <v>0</v>
      </c>
      <c r="H47" s="762">
        <v>294106</v>
      </c>
      <c r="I47" s="762">
        <v>148271</v>
      </c>
      <c r="J47" s="762">
        <v>0</v>
      </c>
      <c r="K47" s="762">
        <v>148271</v>
      </c>
      <c r="L47" s="762">
        <v>0</v>
      </c>
      <c r="M47" s="762">
        <v>0</v>
      </c>
      <c r="N47" s="762">
        <v>239000</v>
      </c>
      <c r="O47" s="762">
        <v>239000</v>
      </c>
      <c r="P47" s="762">
        <v>0</v>
      </c>
      <c r="Q47" s="762">
        <v>0</v>
      </c>
      <c r="R47" s="762">
        <v>28170957</v>
      </c>
      <c r="S47" s="790">
        <v>0.25</v>
      </c>
      <c r="T47" s="790">
        <v>0.56000000000000005</v>
      </c>
      <c r="U47" s="790">
        <v>0.17499999999999999</v>
      </c>
      <c r="V47" s="790">
        <v>1.4999999999999999E-2</v>
      </c>
      <c r="W47" s="790">
        <v>1</v>
      </c>
      <c r="X47" s="762">
        <v>7042740</v>
      </c>
      <c r="Y47" s="762">
        <v>15775736</v>
      </c>
      <c r="Z47" s="762">
        <v>4929917</v>
      </c>
      <c r="AA47" s="762">
        <v>422564</v>
      </c>
      <c r="AB47" s="762">
        <v>28170957</v>
      </c>
      <c r="AC47" s="762">
        <v>0</v>
      </c>
      <c r="AD47" s="762">
        <v>0</v>
      </c>
      <c r="AE47" s="762">
        <v>0</v>
      </c>
      <c r="AF47" s="762">
        <v>0</v>
      </c>
      <c r="AG47" s="762">
        <v>0</v>
      </c>
      <c r="AH47" s="762">
        <v>7042740</v>
      </c>
      <c r="AI47" s="762">
        <v>15775736</v>
      </c>
      <c r="AJ47" s="762">
        <v>4929917</v>
      </c>
      <c r="AK47" s="762">
        <v>422564</v>
      </c>
      <c r="AL47" s="762">
        <v>28170957</v>
      </c>
      <c r="AM47" s="762">
        <v>148271</v>
      </c>
      <c r="AN47" s="762">
        <v>148271</v>
      </c>
      <c r="AO47" s="762">
        <v>0</v>
      </c>
      <c r="AP47" s="762">
        <v>0</v>
      </c>
      <c r="AQ47" s="762">
        <v>239000</v>
      </c>
      <c r="AR47" s="762">
        <v>0</v>
      </c>
      <c r="AS47" s="762">
        <v>239000</v>
      </c>
      <c r="AT47" s="762">
        <v>0</v>
      </c>
      <c r="AU47" s="762">
        <v>0</v>
      </c>
      <c r="AV47" s="762">
        <v>0</v>
      </c>
      <c r="AW47" s="762">
        <v>0</v>
      </c>
      <c r="AX47" s="762">
        <v>0</v>
      </c>
      <c r="AY47" s="762">
        <v>0</v>
      </c>
      <c r="AZ47" s="762">
        <v>0</v>
      </c>
      <c r="BA47" s="762">
        <v>0</v>
      </c>
      <c r="BB47" s="762">
        <v>0</v>
      </c>
      <c r="BC47" s="762">
        <v>0</v>
      </c>
      <c r="BD47" s="762">
        <v>0</v>
      </c>
      <c r="BE47" s="762">
        <v>0</v>
      </c>
      <c r="BF47" s="762">
        <v>0</v>
      </c>
      <c r="BG47" s="762">
        <v>0</v>
      </c>
      <c r="BH47" s="762">
        <v>0</v>
      </c>
      <c r="BI47" s="762">
        <v>0</v>
      </c>
      <c r="BJ47" s="790">
        <v>0.5</v>
      </c>
      <c r="BK47" s="790">
        <v>0.4</v>
      </c>
      <c r="BL47" s="790">
        <v>0.09</v>
      </c>
      <c r="BM47" s="790">
        <v>0.01</v>
      </c>
      <c r="BN47" s="790">
        <v>1</v>
      </c>
      <c r="BO47" s="762">
        <v>138362</v>
      </c>
      <c r="BP47" s="762">
        <v>110690</v>
      </c>
      <c r="BQ47" s="762">
        <v>24905</v>
      </c>
      <c r="BR47" s="762">
        <v>2767</v>
      </c>
      <c r="BS47" s="762">
        <v>276724</v>
      </c>
      <c r="BT47" s="790">
        <v>0.5</v>
      </c>
      <c r="BU47" s="790">
        <v>0.4</v>
      </c>
      <c r="BV47" s="790">
        <v>0.09</v>
      </c>
      <c r="BW47" s="790">
        <v>0.01</v>
      </c>
      <c r="BX47" s="790">
        <v>1</v>
      </c>
      <c r="BY47" s="762">
        <v>-138362</v>
      </c>
      <c r="BZ47" s="762">
        <v>-110690</v>
      </c>
      <c r="CA47" s="762">
        <v>-24905</v>
      </c>
      <c r="CB47" s="762">
        <v>-2767</v>
      </c>
      <c r="CC47" s="762">
        <v>-276724</v>
      </c>
      <c r="CD47" s="762">
        <v>0</v>
      </c>
      <c r="CE47" s="762">
        <v>0</v>
      </c>
      <c r="CF47" s="762">
        <v>0</v>
      </c>
      <c r="CG47" s="762">
        <v>0</v>
      </c>
      <c r="CH47" s="762">
        <v>0</v>
      </c>
      <c r="CI47" s="762">
        <v>7042740</v>
      </c>
      <c r="CJ47" s="762">
        <v>16163007</v>
      </c>
      <c r="CK47" s="762">
        <v>4929917</v>
      </c>
      <c r="CL47" s="762">
        <v>422564</v>
      </c>
      <c r="CM47" s="762">
        <v>28558228</v>
      </c>
      <c r="CN47" s="762">
        <v>521865</v>
      </c>
      <c r="CO47" s="762">
        <v>160649</v>
      </c>
      <c r="CP47" s="762">
        <v>13770</v>
      </c>
      <c r="CQ47" s="762">
        <v>696284</v>
      </c>
      <c r="CR47" s="762">
        <v>1428691</v>
      </c>
      <c r="CS47" s="762">
        <v>446466</v>
      </c>
      <c r="CT47" s="762">
        <v>38269</v>
      </c>
      <c r="CU47" s="762">
        <v>1913426</v>
      </c>
      <c r="CV47" s="762">
        <v>69811</v>
      </c>
      <c r="CW47" s="762">
        <v>21816</v>
      </c>
      <c r="CX47" s="762">
        <v>1870</v>
      </c>
      <c r="CY47" s="762">
        <v>93497</v>
      </c>
      <c r="CZ47" s="762">
        <v>6970</v>
      </c>
      <c r="DA47" s="762">
        <v>2178</v>
      </c>
      <c r="DB47" s="762">
        <v>187</v>
      </c>
      <c r="DC47" s="762">
        <v>9335</v>
      </c>
      <c r="DD47" s="762">
        <v>0</v>
      </c>
      <c r="DE47" s="762">
        <v>0</v>
      </c>
      <c r="DF47" s="762">
        <v>0</v>
      </c>
      <c r="DG47" s="762">
        <v>0</v>
      </c>
      <c r="DH47" s="762">
        <v>0</v>
      </c>
      <c r="DI47" s="762">
        <v>0</v>
      </c>
      <c r="DJ47" s="762">
        <v>0</v>
      </c>
      <c r="DK47" s="762">
        <v>0</v>
      </c>
      <c r="DL47" s="762">
        <v>6939</v>
      </c>
      <c r="DM47" s="762">
        <v>2168</v>
      </c>
      <c r="DN47" s="762">
        <v>186</v>
      </c>
      <c r="DO47" s="762">
        <v>9293</v>
      </c>
      <c r="DP47" s="762">
        <v>10408</v>
      </c>
      <c r="DQ47" s="762">
        <v>3253</v>
      </c>
      <c r="DR47" s="762">
        <v>279</v>
      </c>
      <c r="DS47" s="762">
        <v>13940</v>
      </c>
      <c r="DT47" s="762">
        <v>0</v>
      </c>
      <c r="DU47" s="762">
        <v>0</v>
      </c>
      <c r="DV47" s="762">
        <v>0</v>
      </c>
      <c r="DW47" s="762">
        <v>0</v>
      </c>
      <c r="DX47" s="762">
        <v>0</v>
      </c>
      <c r="DY47" s="762">
        <v>0</v>
      </c>
      <c r="DZ47" s="762">
        <v>0</v>
      </c>
      <c r="EA47" s="762">
        <v>0</v>
      </c>
      <c r="EB47" s="762">
        <v>312255</v>
      </c>
      <c r="EC47" s="762">
        <v>97579</v>
      </c>
      <c r="ED47" s="762">
        <v>8364</v>
      </c>
      <c r="EE47" s="762">
        <v>418198</v>
      </c>
      <c r="EF47" s="762">
        <v>2356939</v>
      </c>
      <c r="EG47" s="762">
        <v>734109</v>
      </c>
      <c r="EH47" s="762">
        <v>62925</v>
      </c>
      <c r="EI47" s="799">
        <v>3153973</v>
      </c>
      <c r="EJ47" s="763" t="s">
        <v>755</v>
      </c>
      <c r="EK47" s="607" t="s">
        <v>595</v>
      </c>
      <c r="EL47" s="805" t="s">
        <v>593</v>
      </c>
      <c r="EM47" t="s">
        <v>1613</v>
      </c>
    </row>
    <row r="48" spans="1:143" ht="12.75" x14ac:dyDescent="0.2">
      <c r="A48" s="764">
        <v>41</v>
      </c>
      <c r="B48" s="765" t="s">
        <v>758</v>
      </c>
      <c r="C48" s="766" t="s">
        <v>1224</v>
      </c>
      <c r="D48" s="767" t="s">
        <v>1219</v>
      </c>
      <c r="E48" s="768" t="s">
        <v>757</v>
      </c>
      <c r="F48" s="761">
        <v>47702554</v>
      </c>
      <c r="G48" s="762">
        <v>0</v>
      </c>
      <c r="H48" s="762">
        <v>209694</v>
      </c>
      <c r="I48" s="762">
        <v>234797</v>
      </c>
      <c r="J48" s="762">
        <v>0</v>
      </c>
      <c r="K48" s="762">
        <v>234797</v>
      </c>
      <c r="L48" s="762">
        <v>0</v>
      </c>
      <c r="M48" s="762">
        <v>0</v>
      </c>
      <c r="N48" s="762">
        <v>0</v>
      </c>
      <c r="O48" s="762">
        <v>0</v>
      </c>
      <c r="P48" s="762">
        <v>0</v>
      </c>
      <c r="Q48" s="762">
        <v>0</v>
      </c>
      <c r="R48" s="762">
        <v>47258063</v>
      </c>
      <c r="S48" s="790">
        <v>0</v>
      </c>
      <c r="T48" s="790">
        <v>0.99</v>
      </c>
      <c r="U48" s="790">
        <v>0</v>
      </c>
      <c r="V48" s="790">
        <v>0.01</v>
      </c>
      <c r="W48" s="790">
        <v>1</v>
      </c>
      <c r="X48" s="762">
        <v>0</v>
      </c>
      <c r="Y48" s="762">
        <v>46785482</v>
      </c>
      <c r="Z48" s="762">
        <v>0</v>
      </c>
      <c r="AA48" s="762">
        <v>472581</v>
      </c>
      <c r="AB48" s="762">
        <v>47258063</v>
      </c>
      <c r="AC48" s="762">
        <v>0</v>
      </c>
      <c r="AD48" s="762">
        <v>0</v>
      </c>
      <c r="AE48" s="762">
        <v>0</v>
      </c>
      <c r="AF48" s="762">
        <v>0</v>
      </c>
      <c r="AG48" s="762">
        <v>0</v>
      </c>
      <c r="AH48" s="762">
        <v>0</v>
      </c>
      <c r="AI48" s="762">
        <v>46785482</v>
      </c>
      <c r="AJ48" s="762">
        <v>0</v>
      </c>
      <c r="AK48" s="762">
        <v>472581</v>
      </c>
      <c r="AL48" s="762">
        <v>47258063</v>
      </c>
      <c r="AM48" s="762">
        <v>234797</v>
      </c>
      <c r="AN48" s="762">
        <v>234797</v>
      </c>
      <c r="AO48" s="762">
        <v>0</v>
      </c>
      <c r="AP48" s="762">
        <v>0</v>
      </c>
      <c r="AQ48" s="762">
        <v>0</v>
      </c>
      <c r="AR48" s="762">
        <v>0</v>
      </c>
      <c r="AS48" s="762">
        <v>0</v>
      </c>
      <c r="AT48" s="762">
        <v>0</v>
      </c>
      <c r="AU48" s="762">
        <v>0</v>
      </c>
      <c r="AV48" s="762">
        <v>0</v>
      </c>
      <c r="AW48" s="762">
        <v>0</v>
      </c>
      <c r="AX48" s="762">
        <v>0</v>
      </c>
      <c r="AY48" s="762">
        <v>0</v>
      </c>
      <c r="AZ48" s="762">
        <v>0</v>
      </c>
      <c r="BA48" s="762">
        <v>0</v>
      </c>
      <c r="BB48" s="762">
        <v>0</v>
      </c>
      <c r="BC48" s="762">
        <v>0</v>
      </c>
      <c r="BD48" s="762">
        <v>0</v>
      </c>
      <c r="BE48" s="762">
        <v>0</v>
      </c>
      <c r="BF48" s="762">
        <v>0</v>
      </c>
      <c r="BG48" s="762">
        <v>0</v>
      </c>
      <c r="BH48" s="762">
        <v>0</v>
      </c>
      <c r="BI48" s="762">
        <v>0</v>
      </c>
      <c r="BJ48" s="790">
        <v>0</v>
      </c>
      <c r="BK48" s="790">
        <v>0.99</v>
      </c>
      <c r="BL48" s="790">
        <v>0</v>
      </c>
      <c r="BM48" s="790">
        <v>0.01</v>
      </c>
      <c r="BN48" s="790">
        <v>1</v>
      </c>
      <c r="BO48" s="762">
        <v>0</v>
      </c>
      <c r="BP48" s="762">
        <v>1123601</v>
      </c>
      <c r="BQ48" s="762">
        <v>0</v>
      </c>
      <c r="BR48" s="762">
        <v>11350</v>
      </c>
      <c r="BS48" s="762">
        <v>1134951</v>
      </c>
      <c r="BT48" s="790">
        <v>0</v>
      </c>
      <c r="BU48" s="790">
        <v>0.99</v>
      </c>
      <c r="BV48" s="790">
        <v>0</v>
      </c>
      <c r="BW48" s="790">
        <v>0.01</v>
      </c>
      <c r="BX48" s="790">
        <v>1</v>
      </c>
      <c r="BY48" s="762">
        <v>0</v>
      </c>
      <c r="BZ48" s="762">
        <v>-3072945</v>
      </c>
      <c r="CA48" s="762">
        <v>0</v>
      </c>
      <c r="CB48" s="762">
        <v>-31040</v>
      </c>
      <c r="CC48" s="762">
        <v>-3103985</v>
      </c>
      <c r="CD48" s="762">
        <v>0</v>
      </c>
      <c r="CE48" s="762">
        <v>-1949344</v>
      </c>
      <c r="CF48" s="762">
        <v>0</v>
      </c>
      <c r="CG48" s="762">
        <v>-19690</v>
      </c>
      <c r="CH48" s="762">
        <v>-1969034</v>
      </c>
      <c r="CI48" s="762">
        <v>0</v>
      </c>
      <c r="CJ48" s="762">
        <v>45070935</v>
      </c>
      <c r="CK48" s="762">
        <v>0</v>
      </c>
      <c r="CL48" s="762">
        <v>452891</v>
      </c>
      <c r="CM48" s="762">
        <v>45523826</v>
      </c>
      <c r="CN48" s="762">
        <v>1524578</v>
      </c>
      <c r="CO48" s="762">
        <v>0</v>
      </c>
      <c r="CP48" s="762">
        <v>15400</v>
      </c>
      <c r="CQ48" s="762">
        <v>1539978</v>
      </c>
      <c r="CR48" s="762">
        <v>5395115</v>
      </c>
      <c r="CS48" s="762">
        <v>0</v>
      </c>
      <c r="CT48" s="762">
        <v>54496</v>
      </c>
      <c r="CU48" s="762">
        <v>5449611</v>
      </c>
      <c r="CV48" s="762">
        <v>301305</v>
      </c>
      <c r="CW48" s="762">
        <v>0</v>
      </c>
      <c r="CX48" s="762">
        <v>3043</v>
      </c>
      <c r="CY48" s="762">
        <v>304348</v>
      </c>
      <c r="CZ48" s="762">
        <v>0</v>
      </c>
      <c r="DA48" s="762">
        <v>0</v>
      </c>
      <c r="DB48" s="762">
        <v>0</v>
      </c>
      <c r="DC48" s="762">
        <v>0</v>
      </c>
      <c r="DD48" s="762">
        <v>1624</v>
      </c>
      <c r="DE48" s="762">
        <v>0</v>
      </c>
      <c r="DF48" s="762">
        <v>16</v>
      </c>
      <c r="DG48" s="762">
        <v>1640</v>
      </c>
      <c r="DH48" s="762">
        <v>0</v>
      </c>
      <c r="DI48" s="762">
        <v>0</v>
      </c>
      <c r="DJ48" s="762">
        <v>0</v>
      </c>
      <c r="DK48" s="762">
        <v>0</v>
      </c>
      <c r="DL48" s="762">
        <v>42491</v>
      </c>
      <c r="DM48" s="762">
        <v>0</v>
      </c>
      <c r="DN48" s="762">
        <v>429</v>
      </c>
      <c r="DO48" s="762">
        <v>42920</v>
      </c>
      <c r="DP48" s="762">
        <v>77630</v>
      </c>
      <c r="DQ48" s="762">
        <v>0</v>
      </c>
      <c r="DR48" s="762">
        <v>784</v>
      </c>
      <c r="DS48" s="762">
        <v>78414</v>
      </c>
      <c r="DT48" s="762">
        <v>0</v>
      </c>
      <c r="DU48" s="762">
        <v>0</v>
      </c>
      <c r="DV48" s="762">
        <v>0</v>
      </c>
      <c r="DW48" s="762">
        <v>0</v>
      </c>
      <c r="DX48" s="762">
        <v>0</v>
      </c>
      <c r="DY48" s="762">
        <v>0</v>
      </c>
      <c r="DZ48" s="762">
        <v>0</v>
      </c>
      <c r="EA48" s="762">
        <v>0</v>
      </c>
      <c r="EB48" s="762">
        <v>1391077</v>
      </c>
      <c r="EC48" s="762">
        <v>0</v>
      </c>
      <c r="ED48" s="762">
        <v>14051</v>
      </c>
      <c r="EE48" s="762">
        <v>1405128</v>
      </c>
      <c r="EF48" s="762">
        <v>8733820</v>
      </c>
      <c r="EG48" s="762">
        <v>0</v>
      </c>
      <c r="EH48" s="762">
        <v>88219</v>
      </c>
      <c r="EI48" s="799">
        <v>8822039</v>
      </c>
      <c r="EJ48" s="763" t="s">
        <v>757</v>
      </c>
      <c r="EK48" s="607" t="s">
        <v>621</v>
      </c>
      <c r="EL48" s="805" t="s">
        <v>622</v>
      </c>
      <c r="EM48" t="s">
        <v>1614</v>
      </c>
    </row>
    <row r="49" spans="1:143" ht="12.75" x14ac:dyDescent="0.2">
      <c r="A49" s="764">
        <v>42</v>
      </c>
      <c r="B49" s="765" t="s">
        <v>760</v>
      </c>
      <c r="C49" s="766" t="s">
        <v>1224</v>
      </c>
      <c r="D49" s="767" t="s">
        <v>1225</v>
      </c>
      <c r="E49" s="768" t="s">
        <v>759</v>
      </c>
      <c r="F49" s="761">
        <v>53880831</v>
      </c>
      <c r="G49" s="762">
        <v>82679</v>
      </c>
      <c r="H49" s="762">
        <v>0</v>
      </c>
      <c r="I49" s="762">
        <v>349398</v>
      </c>
      <c r="J49" s="762">
        <v>0</v>
      </c>
      <c r="K49" s="762">
        <v>349398</v>
      </c>
      <c r="L49" s="762">
        <v>0</v>
      </c>
      <c r="M49" s="762">
        <v>0</v>
      </c>
      <c r="N49" s="762">
        <v>447947</v>
      </c>
      <c r="O49" s="762">
        <v>447947</v>
      </c>
      <c r="P49" s="762">
        <v>0</v>
      </c>
      <c r="Q49" s="762">
        <v>0</v>
      </c>
      <c r="R49" s="762">
        <v>53166165</v>
      </c>
      <c r="S49" s="790">
        <v>0.25</v>
      </c>
      <c r="T49" s="790">
        <v>0.74</v>
      </c>
      <c r="U49" s="790">
        <v>0</v>
      </c>
      <c r="V49" s="790">
        <v>0.01</v>
      </c>
      <c r="W49" s="790">
        <v>1</v>
      </c>
      <c r="X49" s="762">
        <v>13291541</v>
      </c>
      <c r="Y49" s="762">
        <v>39342962</v>
      </c>
      <c r="Z49" s="762">
        <v>0</v>
      </c>
      <c r="AA49" s="762">
        <v>531662</v>
      </c>
      <c r="AB49" s="762">
        <v>53166165</v>
      </c>
      <c r="AC49" s="762">
        <v>0</v>
      </c>
      <c r="AD49" s="762">
        <v>0</v>
      </c>
      <c r="AE49" s="762">
        <v>0</v>
      </c>
      <c r="AF49" s="762">
        <v>0</v>
      </c>
      <c r="AG49" s="762">
        <v>0</v>
      </c>
      <c r="AH49" s="762">
        <v>13291541</v>
      </c>
      <c r="AI49" s="762">
        <v>39342962</v>
      </c>
      <c r="AJ49" s="762">
        <v>0</v>
      </c>
      <c r="AK49" s="762">
        <v>531662</v>
      </c>
      <c r="AL49" s="762">
        <v>53166165</v>
      </c>
      <c r="AM49" s="762">
        <v>349398</v>
      </c>
      <c r="AN49" s="762">
        <v>349398</v>
      </c>
      <c r="AO49" s="762">
        <v>0</v>
      </c>
      <c r="AP49" s="762">
        <v>0</v>
      </c>
      <c r="AQ49" s="762">
        <v>447947</v>
      </c>
      <c r="AR49" s="762">
        <v>0</v>
      </c>
      <c r="AS49" s="762">
        <v>447947</v>
      </c>
      <c r="AT49" s="762">
        <v>0</v>
      </c>
      <c r="AU49" s="762">
        <v>0</v>
      </c>
      <c r="AV49" s="762">
        <v>0</v>
      </c>
      <c r="AW49" s="762">
        <v>0</v>
      </c>
      <c r="AX49" s="762">
        <v>0</v>
      </c>
      <c r="AY49" s="762">
        <v>0</v>
      </c>
      <c r="AZ49" s="762">
        <v>0</v>
      </c>
      <c r="BA49" s="762">
        <v>0</v>
      </c>
      <c r="BB49" s="762">
        <v>0</v>
      </c>
      <c r="BC49" s="762">
        <v>0</v>
      </c>
      <c r="BD49" s="762">
        <v>0</v>
      </c>
      <c r="BE49" s="762">
        <v>0</v>
      </c>
      <c r="BF49" s="762">
        <v>0</v>
      </c>
      <c r="BG49" s="762">
        <v>0</v>
      </c>
      <c r="BH49" s="762">
        <v>0</v>
      </c>
      <c r="BI49" s="762">
        <v>0</v>
      </c>
      <c r="BJ49" s="790">
        <v>0</v>
      </c>
      <c r="BK49" s="790">
        <v>0.99</v>
      </c>
      <c r="BL49" s="790">
        <v>0</v>
      </c>
      <c r="BM49" s="790">
        <v>0.01</v>
      </c>
      <c r="BN49" s="790">
        <v>1</v>
      </c>
      <c r="BO49" s="762">
        <v>0</v>
      </c>
      <c r="BP49" s="762">
        <v>-938188</v>
      </c>
      <c r="BQ49" s="762">
        <v>0</v>
      </c>
      <c r="BR49" s="762">
        <v>-9477</v>
      </c>
      <c r="BS49" s="762">
        <v>-947665</v>
      </c>
      <c r="BT49" s="790">
        <v>0.5</v>
      </c>
      <c r="BU49" s="790">
        <v>0.49</v>
      </c>
      <c r="BV49" s="790">
        <v>0</v>
      </c>
      <c r="BW49" s="790">
        <v>0.01</v>
      </c>
      <c r="BX49" s="790">
        <v>1</v>
      </c>
      <c r="BY49" s="762">
        <v>1573397</v>
      </c>
      <c r="BZ49" s="762">
        <v>1541930</v>
      </c>
      <c r="CA49" s="762">
        <v>0</v>
      </c>
      <c r="CB49" s="762">
        <v>31468</v>
      </c>
      <c r="CC49" s="762">
        <v>3146795</v>
      </c>
      <c r="CD49" s="762">
        <v>1573397</v>
      </c>
      <c r="CE49" s="762">
        <v>603742</v>
      </c>
      <c r="CF49" s="762">
        <v>0</v>
      </c>
      <c r="CG49" s="762">
        <v>21991</v>
      </c>
      <c r="CH49" s="762">
        <v>2199130</v>
      </c>
      <c r="CI49" s="762">
        <v>14864938</v>
      </c>
      <c r="CJ49" s="762">
        <v>40744049</v>
      </c>
      <c r="CK49" s="762">
        <v>0</v>
      </c>
      <c r="CL49" s="762">
        <v>553653</v>
      </c>
      <c r="CM49" s="762">
        <v>56162640</v>
      </c>
      <c r="CN49" s="762">
        <v>1296649</v>
      </c>
      <c r="CO49" s="762">
        <v>0</v>
      </c>
      <c r="CP49" s="762">
        <v>17325</v>
      </c>
      <c r="CQ49" s="762">
        <v>1313974</v>
      </c>
      <c r="CR49" s="762">
        <v>5509055</v>
      </c>
      <c r="CS49" s="762">
        <v>0</v>
      </c>
      <c r="CT49" s="762">
        <v>74447</v>
      </c>
      <c r="CU49" s="762">
        <v>5583502</v>
      </c>
      <c r="CV49" s="762">
        <v>234867</v>
      </c>
      <c r="CW49" s="762">
        <v>0</v>
      </c>
      <c r="CX49" s="762">
        <v>3174</v>
      </c>
      <c r="CY49" s="762">
        <v>238041</v>
      </c>
      <c r="CZ49" s="762">
        <v>0</v>
      </c>
      <c r="DA49" s="762">
        <v>0</v>
      </c>
      <c r="DB49" s="762">
        <v>0</v>
      </c>
      <c r="DC49" s="762">
        <v>0</v>
      </c>
      <c r="DD49" s="762">
        <v>5215</v>
      </c>
      <c r="DE49" s="762">
        <v>0</v>
      </c>
      <c r="DF49" s="762">
        <v>70</v>
      </c>
      <c r="DG49" s="762">
        <v>5285</v>
      </c>
      <c r="DH49" s="762">
        <v>1147</v>
      </c>
      <c r="DI49" s="762">
        <v>0</v>
      </c>
      <c r="DJ49" s="762">
        <v>15</v>
      </c>
      <c r="DK49" s="762">
        <v>1162</v>
      </c>
      <c r="DL49" s="762">
        <v>33270</v>
      </c>
      <c r="DM49" s="762">
        <v>0</v>
      </c>
      <c r="DN49" s="762">
        <v>450</v>
      </c>
      <c r="DO49" s="762">
        <v>33720</v>
      </c>
      <c r="DP49" s="762">
        <v>48450</v>
      </c>
      <c r="DQ49" s="762">
        <v>0</v>
      </c>
      <c r="DR49" s="762">
        <v>655</v>
      </c>
      <c r="DS49" s="762">
        <v>49105</v>
      </c>
      <c r="DT49" s="762">
        <v>0</v>
      </c>
      <c r="DU49" s="762">
        <v>0</v>
      </c>
      <c r="DV49" s="762">
        <v>0</v>
      </c>
      <c r="DW49" s="762">
        <v>0</v>
      </c>
      <c r="DX49" s="762">
        <v>0</v>
      </c>
      <c r="DY49" s="762">
        <v>0</v>
      </c>
      <c r="DZ49" s="762">
        <v>0</v>
      </c>
      <c r="EA49" s="762">
        <v>0</v>
      </c>
      <c r="EB49" s="762">
        <v>1406269</v>
      </c>
      <c r="EC49" s="762">
        <v>0</v>
      </c>
      <c r="ED49" s="762">
        <v>19004</v>
      </c>
      <c r="EE49" s="762">
        <v>1425273</v>
      </c>
      <c r="EF49" s="762">
        <v>8534922</v>
      </c>
      <c r="EG49" s="762">
        <v>0</v>
      </c>
      <c r="EH49" s="762">
        <v>115140</v>
      </c>
      <c r="EI49" s="799">
        <v>8650062</v>
      </c>
      <c r="EJ49" s="763" t="s">
        <v>759</v>
      </c>
      <c r="EK49" s="607" t="s">
        <v>621</v>
      </c>
      <c r="EL49" s="805" t="s">
        <v>627</v>
      </c>
      <c r="EM49" t="s">
        <v>1615</v>
      </c>
    </row>
    <row r="50" spans="1:143" ht="12.75" x14ac:dyDescent="0.2">
      <c r="A50" s="764">
        <v>43</v>
      </c>
      <c r="B50" s="765" t="s">
        <v>762</v>
      </c>
      <c r="C50" s="766" t="s">
        <v>1217</v>
      </c>
      <c r="D50" s="767" t="s">
        <v>1221</v>
      </c>
      <c r="E50" s="768" t="s">
        <v>761</v>
      </c>
      <c r="F50" s="761">
        <v>110341758</v>
      </c>
      <c r="G50" s="762">
        <v>0</v>
      </c>
      <c r="H50" s="762">
        <v>31767</v>
      </c>
      <c r="I50" s="762">
        <v>236985</v>
      </c>
      <c r="J50" s="762">
        <v>0</v>
      </c>
      <c r="K50" s="762">
        <v>236985</v>
      </c>
      <c r="L50" s="762">
        <v>0</v>
      </c>
      <c r="M50" s="762">
        <v>0</v>
      </c>
      <c r="N50" s="762">
        <v>0</v>
      </c>
      <c r="O50" s="762">
        <v>0</v>
      </c>
      <c r="P50" s="762">
        <v>0</v>
      </c>
      <c r="Q50" s="762">
        <v>0</v>
      </c>
      <c r="R50" s="762">
        <v>110073006</v>
      </c>
      <c r="S50" s="790">
        <v>0.5</v>
      </c>
      <c r="T50" s="790">
        <v>0.4</v>
      </c>
      <c r="U50" s="790">
        <v>0.09</v>
      </c>
      <c r="V50" s="790">
        <v>0.01</v>
      </c>
      <c r="W50" s="790">
        <v>1</v>
      </c>
      <c r="X50" s="762">
        <v>55036503</v>
      </c>
      <c r="Y50" s="762">
        <v>44029202</v>
      </c>
      <c r="Z50" s="762">
        <v>9906571</v>
      </c>
      <c r="AA50" s="762">
        <v>1100730</v>
      </c>
      <c r="AB50" s="762">
        <v>110073006</v>
      </c>
      <c r="AC50" s="762">
        <v>0</v>
      </c>
      <c r="AD50" s="762">
        <v>0</v>
      </c>
      <c r="AE50" s="762">
        <v>0</v>
      </c>
      <c r="AF50" s="762">
        <v>0</v>
      </c>
      <c r="AG50" s="762">
        <v>0</v>
      </c>
      <c r="AH50" s="762">
        <v>55036503</v>
      </c>
      <c r="AI50" s="762">
        <v>44029202</v>
      </c>
      <c r="AJ50" s="762">
        <v>9906571</v>
      </c>
      <c r="AK50" s="762">
        <v>1100730</v>
      </c>
      <c r="AL50" s="762">
        <v>110073006</v>
      </c>
      <c r="AM50" s="762">
        <v>236985</v>
      </c>
      <c r="AN50" s="762">
        <v>236985</v>
      </c>
      <c r="AO50" s="762">
        <v>0</v>
      </c>
      <c r="AP50" s="762">
        <v>0</v>
      </c>
      <c r="AQ50" s="762">
        <v>0</v>
      </c>
      <c r="AR50" s="762">
        <v>0</v>
      </c>
      <c r="AS50" s="762">
        <v>0</v>
      </c>
      <c r="AT50" s="762">
        <v>0</v>
      </c>
      <c r="AU50" s="762">
        <v>0</v>
      </c>
      <c r="AV50" s="762">
        <v>0</v>
      </c>
      <c r="AW50" s="762">
        <v>0</v>
      </c>
      <c r="AX50" s="762">
        <v>0</v>
      </c>
      <c r="AY50" s="762">
        <v>0</v>
      </c>
      <c r="AZ50" s="762">
        <v>0</v>
      </c>
      <c r="BA50" s="762">
        <v>0</v>
      </c>
      <c r="BB50" s="762">
        <v>0</v>
      </c>
      <c r="BC50" s="762">
        <v>0</v>
      </c>
      <c r="BD50" s="762">
        <v>0</v>
      </c>
      <c r="BE50" s="762">
        <v>0</v>
      </c>
      <c r="BF50" s="762">
        <v>0</v>
      </c>
      <c r="BG50" s="762">
        <v>0</v>
      </c>
      <c r="BH50" s="762">
        <v>0</v>
      </c>
      <c r="BI50" s="762">
        <v>0</v>
      </c>
      <c r="BJ50" s="790">
        <v>0.5</v>
      </c>
      <c r="BK50" s="790">
        <v>0.4</v>
      </c>
      <c r="BL50" s="790">
        <v>0.09</v>
      </c>
      <c r="BM50" s="790">
        <v>0.01</v>
      </c>
      <c r="BN50" s="790">
        <v>1</v>
      </c>
      <c r="BO50" s="762">
        <v>-1359194</v>
      </c>
      <c r="BP50" s="762">
        <v>-1087356</v>
      </c>
      <c r="BQ50" s="762">
        <v>-244655</v>
      </c>
      <c r="BR50" s="762">
        <v>-27184</v>
      </c>
      <c r="BS50" s="762">
        <v>-2718389</v>
      </c>
      <c r="BT50" s="790">
        <v>0.5</v>
      </c>
      <c r="BU50" s="790">
        <v>0.4</v>
      </c>
      <c r="BV50" s="790">
        <v>0.09</v>
      </c>
      <c r="BW50" s="790">
        <v>0.01</v>
      </c>
      <c r="BX50" s="790">
        <v>1</v>
      </c>
      <c r="BY50" s="762">
        <v>894191</v>
      </c>
      <c r="BZ50" s="762">
        <v>715353</v>
      </c>
      <c r="CA50" s="762">
        <v>160954</v>
      </c>
      <c r="CB50" s="762">
        <v>17884</v>
      </c>
      <c r="CC50" s="762">
        <v>1788382</v>
      </c>
      <c r="CD50" s="762">
        <v>-465003</v>
      </c>
      <c r="CE50" s="762">
        <v>-372003</v>
      </c>
      <c r="CF50" s="762">
        <v>-83701</v>
      </c>
      <c r="CG50" s="762">
        <v>-9300</v>
      </c>
      <c r="CH50" s="762">
        <v>-930007</v>
      </c>
      <c r="CI50" s="762">
        <v>54571500</v>
      </c>
      <c r="CJ50" s="762">
        <v>43894184</v>
      </c>
      <c r="CK50" s="762">
        <v>9822870</v>
      </c>
      <c r="CL50" s="762">
        <v>1091430</v>
      </c>
      <c r="CM50" s="762">
        <v>109379984</v>
      </c>
      <c r="CN50" s="762">
        <v>1434760</v>
      </c>
      <c r="CO50" s="762">
        <v>322821</v>
      </c>
      <c r="CP50" s="762">
        <v>35869</v>
      </c>
      <c r="CQ50" s="762">
        <v>1793450</v>
      </c>
      <c r="CR50" s="762">
        <v>883550</v>
      </c>
      <c r="CS50" s="762">
        <v>198799</v>
      </c>
      <c r="CT50" s="762">
        <v>22089</v>
      </c>
      <c r="CU50" s="762">
        <v>1104438</v>
      </c>
      <c r="CV50" s="762">
        <v>133076</v>
      </c>
      <c r="CW50" s="762">
        <v>29942</v>
      </c>
      <c r="CX50" s="762">
        <v>3327</v>
      </c>
      <c r="CY50" s="762">
        <v>166345</v>
      </c>
      <c r="CZ50" s="762">
        <v>6195</v>
      </c>
      <c r="DA50" s="762">
        <v>1394</v>
      </c>
      <c r="DB50" s="762">
        <v>155</v>
      </c>
      <c r="DC50" s="762">
        <v>7744</v>
      </c>
      <c r="DD50" s="762">
        <v>0</v>
      </c>
      <c r="DE50" s="762">
        <v>0</v>
      </c>
      <c r="DF50" s="762">
        <v>0</v>
      </c>
      <c r="DG50" s="762">
        <v>0</v>
      </c>
      <c r="DH50" s="762">
        <v>0</v>
      </c>
      <c r="DI50" s="762">
        <v>0</v>
      </c>
      <c r="DJ50" s="762">
        <v>0</v>
      </c>
      <c r="DK50" s="762">
        <v>0</v>
      </c>
      <c r="DL50" s="762">
        <v>4131</v>
      </c>
      <c r="DM50" s="762">
        <v>929</v>
      </c>
      <c r="DN50" s="762">
        <v>103</v>
      </c>
      <c r="DO50" s="762">
        <v>5163</v>
      </c>
      <c r="DP50" s="762">
        <v>36347</v>
      </c>
      <c r="DQ50" s="762">
        <v>8178</v>
      </c>
      <c r="DR50" s="762">
        <v>909</v>
      </c>
      <c r="DS50" s="762">
        <v>45434</v>
      </c>
      <c r="DT50" s="762">
        <v>0</v>
      </c>
      <c r="DU50" s="762">
        <v>0</v>
      </c>
      <c r="DV50" s="762">
        <v>0</v>
      </c>
      <c r="DW50" s="762">
        <v>0</v>
      </c>
      <c r="DX50" s="762">
        <v>0</v>
      </c>
      <c r="DY50" s="762">
        <v>0</v>
      </c>
      <c r="DZ50" s="762">
        <v>0</v>
      </c>
      <c r="EA50" s="762">
        <v>0</v>
      </c>
      <c r="EB50" s="762">
        <v>802197</v>
      </c>
      <c r="EC50" s="762">
        <v>180495</v>
      </c>
      <c r="ED50" s="762">
        <v>20055</v>
      </c>
      <c r="EE50" s="762">
        <v>1002747</v>
      </c>
      <c r="EF50" s="762">
        <v>3300256</v>
      </c>
      <c r="EG50" s="762">
        <v>742558</v>
      </c>
      <c r="EH50" s="762">
        <v>82507</v>
      </c>
      <c r="EI50" s="799">
        <v>4125321</v>
      </c>
      <c r="EJ50" s="763" t="s">
        <v>761</v>
      </c>
      <c r="EK50" s="607" t="s">
        <v>547</v>
      </c>
      <c r="EL50" s="805" t="s">
        <v>546</v>
      </c>
      <c r="EM50" t="s">
        <v>1616</v>
      </c>
    </row>
    <row r="51" spans="1:143" ht="12.75" x14ac:dyDescent="0.2">
      <c r="A51" s="764">
        <v>44</v>
      </c>
      <c r="B51" s="765" t="s">
        <v>764</v>
      </c>
      <c r="C51" s="766" t="s">
        <v>1228</v>
      </c>
      <c r="D51" s="767" t="s">
        <v>1223</v>
      </c>
      <c r="E51" s="768" t="s">
        <v>763</v>
      </c>
      <c r="F51" s="761">
        <v>650386886.11799991</v>
      </c>
      <c r="G51" s="762">
        <v>6921078</v>
      </c>
      <c r="H51" s="762">
        <v>0</v>
      </c>
      <c r="I51" s="762">
        <v>1307964</v>
      </c>
      <c r="J51" s="762">
        <v>0</v>
      </c>
      <c r="K51" s="762">
        <v>1307964</v>
      </c>
      <c r="L51" s="762">
        <v>0</v>
      </c>
      <c r="M51" s="762">
        <v>0</v>
      </c>
      <c r="N51" s="762">
        <v>0</v>
      </c>
      <c r="O51" s="762">
        <v>0</v>
      </c>
      <c r="P51" s="762">
        <v>0</v>
      </c>
      <c r="Q51" s="762">
        <v>0</v>
      </c>
      <c r="R51" s="762">
        <v>656000000</v>
      </c>
      <c r="S51" s="790">
        <v>0.25</v>
      </c>
      <c r="T51" s="790">
        <v>0.48</v>
      </c>
      <c r="U51" s="790">
        <v>0.27</v>
      </c>
      <c r="V51" s="790">
        <v>0</v>
      </c>
      <c r="W51" s="790">
        <v>1</v>
      </c>
      <c r="X51" s="762">
        <v>164000000</v>
      </c>
      <c r="Y51" s="762">
        <v>314880000</v>
      </c>
      <c r="Z51" s="762">
        <v>177120000</v>
      </c>
      <c r="AA51" s="762">
        <v>0</v>
      </c>
      <c r="AB51" s="762">
        <v>656000000</v>
      </c>
      <c r="AC51" s="762">
        <v>0</v>
      </c>
      <c r="AD51" s="762">
        <v>0</v>
      </c>
      <c r="AE51" s="762">
        <v>0</v>
      </c>
      <c r="AF51" s="762">
        <v>0</v>
      </c>
      <c r="AG51" s="762">
        <v>0</v>
      </c>
      <c r="AH51" s="762">
        <v>164000000</v>
      </c>
      <c r="AI51" s="762">
        <v>314880000</v>
      </c>
      <c r="AJ51" s="762">
        <v>177120000</v>
      </c>
      <c r="AK51" s="762">
        <v>0</v>
      </c>
      <c r="AL51" s="762">
        <v>656000000</v>
      </c>
      <c r="AM51" s="762">
        <v>1307964</v>
      </c>
      <c r="AN51" s="762">
        <v>1307964</v>
      </c>
      <c r="AO51" s="762">
        <v>0</v>
      </c>
      <c r="AP51" s="762">
        <v>0</v>
      </c>
      <c r="AQ51" s="762">
        <v>0</v>
      </c>
      <c r="AR51" s="762">
        <v>0</v>
      </c>
      <c r="AS51" s="762">
        <v>0</v>
      </c>
      <c r="AT51" s="762">
        <v>0</v>
      </c>
      <c r="AU51" s="762">
        <v>0</v>
      </c>
      <c r="AV51" s="762">
        <v>0</v>
      </c>
      <c r="AW51" s="762">
        <v>0</v>
      </c>
      <c r="AX51" s="762">
        <v>0</v>
      </c>
      <c r="AY51" s="762">
        <v>0</v>
      </c>
      <c r="AZ51" s="762">
        <v>0</v>
      </c>
      <c r="BA51" s="762">
        <v>0</v>
      </c>
      <c r="BB51" s="762">
        <v>0</v>
      </c>
      <c r="BC51" s="762">
        <v>0</v>
      </c>
      <c r="BD51" s="762">
        <v>0</v>
      </c>
      <c r="BE51" s="762">
        <v>0</v>
      </c>
      <c r="BF51" s="762">
        <v>0</v>
      </c>
      <c r="BG51" s="762">
        <v>0</v>
      </c>
      <c r="BH51" s="762">
        <v>0</v>
      </c>
      <c r="BI51" s="762">
        <v>0</v>
      </c>
      <c r="BJ51" s="790">
        <v>0</v>
      </c>
      <c r="BK51" s="790">
        <v>0.64</v>
      </c>
      <c r="BL51" s="790">
        <v>0.36</v>
      </c>
      <c r="BM51" s="790">
        <v>0</v>
      </c>
      <c r="BN51" s="790">
        <v>1</v>
      </c>
      <c r="BO51" s="762">
        <v>0</v>
      </c>
      <c r="BP51" s="762">
        <v>-3056522</v>
      </c>
      <c r="BQ51" s="762">
        <v>-1719293</v>
      </c>
      <c r="BR51" s="762">
        <v>0</v>
      </c>
      <c r="BS51" s="762">
        <v>-4775815</v>
      </c>
      <c r="BT51" s="790">
        <v>0.33</v>
      </c>
      <c r="BU51" s="790">
        <v>0.3</v>
      </c>
      <c r="BV51" s="790">
        <v>0.37</v>
      </c>
      <c r="BW51" s="790">
        <v>0</v>
      </c>
      <c r="BX51" s="790">
        <v>1</v>
      </c>
      <c r="BY51" s="762">
        <v>-2460813</v>
      </c>
      <c r="BZ51" s="762">
        <v>-2237103</v>
      </c>
      <c r="CA51" s="762">
        <v>-2759094</v>
      </c>
      <c r="CB51" s="762">
        <v>0</v>
      </c>
      <c r="CC51" s="762">
        <v>-7457010</v>
      </c>
      <c r="CD51" s="762">
        <v>-2460813</v>
      </c>
      <c r="CE51" s="762">
        <v>-5293625</v>
      </c>
      <c r="CF51" s="762">
        <v>-4478387</v>
      </c>
      <c r="CG51" s="762">
        <v>0</v>
      </c>
      <c r="CH51" s="762">
        <v>-12232825</v>
      </c>
      <c r="CI51" s="762">
        <v>161539187</v>
      </c>
      <c r="CJ51" s="762">
        <v>310894339</v>
      </c>
      <c r="CK51" s="762">
        <v>172641613</v>
      </c>
      <c r="CL51" s="762">
        <v>0</v>
      </c>
      <c r="CM51" s="762">
        <v>645075139</v>
      </c>
      <c r="CN51" s="762">
        <v>10260855</v>
      </c>
      <c r="CO51" s="762">
        <v>5771731</v>
      </c>
      <c r="CP51" s="762">
        <v>0</v>
      </c>
      <c r="CQ51" s="762">
        <v>16032586</v>
      </c>
      <c r="CR51" s="762">
        <v>2147162</v>
      </c>
      <c r="CS51" s="762">
        <v>1207778</v>
      </c>
      <c r="CT51" s="762">
        <v>0</v>
      </c>
      <c r="CU51" s="762">
        <v>3354940</v>
      </c>
      <c r="CV51" s="762">
        <v>609243</v>
      </c>
      <c r="CW51" s="762">
        <v>342699</v>
      </c>
      <c r="CX51" s="762">
        <v>0</v>
      </c>
      <c r="CY51" s="762">
        <v>951942</v>
      </c>
      <c r="CZ51" s="762">
        <v>0</v>
      </c>
      <c r="DA51" s="762">
        <v>0</v>
      </c>
      <c r="DB51" s="762">
        <v>0</v>
      </c>
      <c r="DC51" s="762">
        <v>0</v>
      </c>
      <c r="DD51" s="762">
        <v>0</v>
      </c>
      <c r="DE51" s="762">
        <v>0</v>
      </c>
      <c r="DF51" s="762">
        <v>0</v>
      </c>
      <c r="DG51" s="762">
        <v>0</v>
      </c>
      <c r="DH51" s="762">
        <v>744</v>
      </c>
      <c r="DI51" s="762">
        <v>418</v>
      </c>
      <c r="DJ51" s="762">
        <v>0</v>
      </c>
      <c r="DK51" s="762">
        <v>1162</v>
      </c>
      <c r="DL51" s="762">
        <v>86401</v>
      </c>
      <c r="DM51" s="762">
        <v>48600</v>
      </c>
      <c r="DN51" s="762">
        <v>0</v>
      </c>
      <c r="DO51" s="762">
        <v>135001</v>
      </c>
      <c r="DP51" s="762">
        <v>558092</v>
      </c>
      <c r="DQ51" s="762">
        <v>313927</v>
      </c>
      <c r="DR51" s="762">
        <v>0</v>
      </c>
      <c r="DS51" s="762">
        <v>872019</v>
      </c>
      <c r="DT51" s="762">
        <v>0</v>
      </c>
      <c r="DU51" s="762">
        <v>0</v>
      </c>
      <c r="DV51" s="762">
        <v>0</v>
      </c>
      <c r="DW51" s="762">
        <v>0</v>
      </c>
      <c r="DX51" s="762">
        <v>0</v>
      </c>
      <c r="DY51" s="762">
        <v>0</v>
      </c>
      <c r="DZ51" s="762">
        <v>0</v>
      </c>
      <c r="EA51" s="762">
        <v>0</v>
      </c>
      <c r="EB51" s="762">
        <v>3965132</v>
      </c>
      <c r="EC51" s="762">
        <v>2230387</v>
      </c>
      <c r="ED51" s="762">
        <v>0</v>
      </c>
      <c r="EE51" s="762">
        <v>6195519</v>
      </c>
      <c r="EF51" s="762">
        <v>17627629</v>
      </c>
      <c r="EG51" s="762">
        <v>9915540</v>
      </c>
      <c r="EH51" s="762">
        <v>0</v>
      </c>
      <c r="EI51" s="799">
        <v>27543169</v>
      </c>
      <c r="EJ51" s="763" t="s">
        <v>763</v>
      </c>
      <c r="EK51" s="607" t="s">
        <v>628</v>
      </c>
      <c r="EL51" s="272" t="s">
        <v>528</v>
      </c>
      <c r="EM51" t="s">
        <v>1617</v>
      </c>
    </row>
    <row r="52" spans="1:143" ht="12.75" x14ac:dyDescent="0.2">
      <c r="A52" s="764">
        <v>45</v>
      </c>
      <c r="B52" s="765" t="s">
        <v>766</v>
      </c>
      <c r="C52" s="766" t="s">
        <v>1217</v>
      </c>
      <c r="D52" s="767" t="s">
        <v>1227</v>
      </c>
      <c r="E52" s="768" t="s">
        <v>765</v>
      </c>
      <c r="F52" s="761">
        <v>32720368</v>
      </c>
      <c r="G52" s="762">
        <v>0</v>
      </c>
      <c r="H52" s="762">
        <v>193365</v>
      </c>
      <c r="I52" s="762">
        <v>135576</v>
      </c>
      <c r="J52" s="762">
        <v>0</v>
      </c>
      <c r="K52" s="762">
        <v>135576</v>
      </c>
      <c r="L52" s="762">
        <v>0</v>
      </c>
      <c r="M52" s="762">
        <v>0</v>
      </c>
      <c r="N52" s="762">
        <v>0</v>
      </c>
      <c r="O52" s="762">
        <v>0</v>
      </c>
      <c r="P52" s="762">
        <v>0</v>
      </c>
      <c r="Q52" s="762">
        <v>0</v>
      </c>
      <c r="R52" s="762">
        <v>32391427</v>
      </c>
      <c r="S52" s="790">
        <v>0.25</v>
      </c>
      <c r="T52" s="790">
        <v>0.4</v>
      </c>
      <c r="U52" s="790">
        <v>0.33999999999999997</v>
      </c>
      <c r="V52" s="790">
        <v>0.01</v>
      </c>
      <c r="W52" s="790">
        <v>1</v>
      </c>
      <c r="X52" s="762">
        <v>8097857</v>
      </c>
      <c r="Y52" s="762">
        <v>12956571</v>
      </c>
      <c r="Z52" s="762">
        <v>11013085</v>
      </c>
      <c r="AA52" s="762">
        <v>323914</v>
      </c>
      <c r="AB52" s="762">
        <v>32391427</v>
      </c>
      <c r="AC52" s="762">
        <v>0</v>
      </c>
      <c r="AD52" s="762">
        <v>0</v>
      </c>
      <c r="AE52" s="762">
        <v>0</v>
      </c>
      <c r="AF52" s="762">
        <v>0</v>
      </c>
      <c r="AG52" s="762">
        <v>0</v>
      </c>
      <c r="AH52" s="762">
        <v>8097857</v>
      </c>
      <c r="AI52" s="762">
        <v>12956571</v>
      </c>
      <c r="AJ52" s="762">
        <v>11013085</v>
      </c>
      <c r="AK52" s="762">
        <v>323914</v>
      </c>
      <c r="AL52" s="762">
        <v>32391427</v>
      </c>
      <c r="AM52" s="762">
        <v>135576</v>
      </c>
      <c r="AN52" s="762">
        <v>135576</v>
      </c>
      <c r="AO52" s="762">
        <v>0</v>
      </c>
      <c r="AP52" s="762">
        <v>0</v>
      </c>
      <c r="AQ52" s="762">
        <v>0</v>
      </c>
      <c r="AR52" s="762">
        <v>0</v>
      </c>
      <c r="AS52" s="762">
        <v>0</v>
      </c>
      <c r="AT52" s="762">
        <v>0</v>
      </c>
      <c r="AU52" s="762">
        <v>0</v>
      </c>
      <c r="AV52" s="762">
        <v>0</v>
      </c>
      <c r="AW52" s="762">
        <v>0</v>
      </c>
      <c r="AX52" s="762">
        <v>0</v>
      </c>
      <c r="AY52" s="762">
        <v>0</v>
      </c>
      <c r="AZ52" s="762">
        <v>0</v>
      </c>
      <c r="BA52" s="762">
        <v>0</v>
      </c>
      <c r="BB52" s="762">
        <v>0</v>
      </c>
      <c r="BC52" s="762">
        <v>0</v>
      </c>
      <c r="BD52" s="762">
        <v>0</v>
      </c>
      <c r="BE52" s="762">
        <v>0</v>
      </c>
      <c r="BF52" s="762">
        <v>0</v>
      </c>
      <c r="BG52" s="762">
        <v>0</v>
      </c>
      <c r="BH52" s="762">
        <v>0</v>
      </c>
      <c r="BI52" s="762">
        <v>0</v>
      </c>
      <c r="BJ52" s="790">
        <v>0.5</v>
      </c>
      <c r="BK52" s="790">
        <v>0.4</v>
      </c>
      <c r="BL52" s="790">
        <v>0.09</v>
      </c>
      <c r="BM52" s="790">
        <v>0.01</v>
      </c>
      <c r="BN52" s="790">
        <v>1</v>
      </c>
      <c r="BO52" s="762">
        <v>-294174</v>
      </c>
      <c r="BP52" s="762">
        <v>-235340</v>
      </c>
      <c r="BQ52" s="762">
        <v>-52952</v>
      </c>
      <c r="BR52" s="762">
        <v>-5884</v>
      </c>
      <c r="BS52" s="762">
        <v>-588350</v>
      </c>
      <c r="BT52" s="790">
        <v>0.5</v>
      </c>
      <c r="BU52" s="790">
        <v>0.4</v>
      </c>
      <c r="BV52" s="790">
        <v>0.09</v>
      </c>
      <c r="BW52" s="790">
        <v>0.01</v>
      </c>
      <c r="BX52" s="790">
        <v>1</v>
      </c>
      <c r="BY52" s="762">
        <v>476116</v>
      </c>
      <c r="BZ52" s="762">
        <v>380892</v>
      </c>
      <c r="CA52" s="762">
        <v>85701</v>
      </c>
      <c r="CB52" s="762">
        <v>9522</v>
      </c>
      <c r="CC52" s="762">
        <v>952231</v>
      </c>
      <c r="CD52" s="762">
        <v>181941</v>
      </c>
      <c r="CE52" s="762">
        <v>145552</v>
      </c>
      <c r="CF52" s="762">
        <v>32749</v>
      </c>
      <c r="CG52" s="762">
        <v>3639</v>
      </c>
      <c r="CH52" s="762">
        <v>363881</v>
      </c>
      <c r="CI52" s="762">
        <v>8279798</v>
      </c>
      <c r="CJ52" s="762">
        <v>13237699</v>
      </c>
      <c r="CK52" s="762">
        <v>11045834</v>
      </c>
      <c r="CL52" s="762">
        <v>327553</v>
      </c>
      <c r="CM52" s="762">
        <v>32890884</v>
      </c>
      <c r="CN52" s="762">
        <v>422210</v>
      </c>
      <c r="CO52" s="762">
        <v>358879</v>
      </c>
      <c r="CP52" s="762">
        <v>10555</v>
      </c>
      <c r="CQ52" s="762">
        <v>791644</v>
      </c>
      <c r="CR52" s="762">
        <v>1295911</v>
      </c>
      <c r="CS52" s="762">
        <v>1101524</v>
      </c>
      <c r="CT52" s="762">
        <v>32398</v>
      </c>
      <c r="CU52" s="762">
        <v>2429833</v>
      </c>
      <c r="CV52" s="762">
        <v>70864</v>
      </c>
      <c r="CW52" s="762">
        <v>60235</v>
      </c>
      <c r="CX52" s="762">
        <v>1772</v>
      </c>
      <c r="CY52" s="762">
        <v>132871</v>
      </c>
      <c r="CZ52" s="762">
        <v>0</v>
      </c>
      <c r="DA52" s="762">
        <v>0</v>
      </c>
      <c r="DB52" s="762">
        <v>0</v>
      </c>
      <c r="DC52" s="762">
        <v>0</v>
      </c>
      <c r="DD52" s="762">
        <v>0</v>
      </c>
      <c r="DE52" s="762">
        <v>0</v>
      </c>
      <c r="DF52" s="762">
        <v>0</v>
      </c>
      <c r="DG52" s="762">
        <v>0</v>
      </c>
      <c r="DH52" s="762">
        <v>620</v>
      </c>
      <c r="DI52" s="762">
        <v>527</v>
      </c>
      <c r="DJ52" s="762">
        <v>15</v>
      </c>
      <c r="DK52" s="762">
        <v>1162</v>
      </c>
      <c r="DL52" s="762">
        <v>2306</v>
      </c>
      <c r="DM52" s="762">
        <v>1961</v>
      </c>
      <c r="DN52" s="762">
        <v>58</v>
      </c>
      <c r="DO52" s="762">
        <v>4325</v>
      </c>
      <c r="DP52" s="762">
        <v>10950</v>
      </c>
      <c r="DQ52" s="762">
        <v>9307</v>
      </c>
      <c r="DR52" s="762">
        <v>274</v>
      </c>
      <c r="DS52" s="762">
        <v>20531</v>
      </c>
      <c r="DT52" s="762">
        <v>0</v>
      </c>
      <c r="DU52" s="762">
        <v>0</v>
      </c>
      <c r="DV52" s="762">
        <v>0</v>
      </c>
      <c r="DW52" s="762">
        <v>0</v>
      </c>
      <c r="DX52" s="762">
        <v>0</v>
      </c>
      <c r="DY52" s="762">
        <v>0</v>
      </c>
      <c r="DZ52" s="762">
        <v>0</v>
      </c>
      <c r="EA52" s="762">
        <v>0</v>
      </c>
      <c r="EB52" s="762">
        <v>324255</v>
      </c>
      <c r="EC52" s="762">
        <v>275616</v>
      </c>
      <c r="ED52" s="762">
        <v>8106</v>
      </c>
      <c r="EE52" s="762">
        <v>607977</v>
      </c>
      <c r="EF52" s="762">
        <v>2127116</v>
      </c>
      <c r="EG52" s="762">
        <v>1808049</v>
      </c>
      <c r="EH52" s="762">
        <v>53178</v>
      </c>
      <c r="EI52" s="799">
        <v>3988343</v>
      </c>
      <c r="EJ52" s="763" t="s">
        <v>765</v>
      </c>
      <c r="EK52" s="607" t="s">
        <v>614</v>
      </c>
      <c r="EL52" s="805" t="s">
        <v>613</v>
      </c>
      <c r="EM52" t="s">
        <v>1618</v>
      </c>
    </row>
    <row r="53" spans="1:143" ht="12.75" x14ac:dyDescent="0.2">
      <c r="A53" s="764">
        <v>46</v>
      </c>
      <c r="B53" s="765" t="s">
        <v>768</v>
      </c>
      <c r="C53" s="766" t="s">
        <v>1217</v>
      </c>
      <c r="D53" s="767" t="s">
        <v>1218</v>
      </c>
      <c r="E53" s="768" t="s">
        <v>767</v>
      </c>
      <c r="F53" s="761">
        <v>50911972.799999997</v>
      </c>
      <c r="G53" s="762">
        <v>0</v>
      </c>
      <c r="H53" s="762">
        <v>1324955.1600000001</v>
      </c>
      <c r="I53" s="762">
        <v>233880</v>
      </c>
      <c r="J53" s="762">
        <v>0</v>
      </c>
      <c r="K53" s="762">
        <v>233880</v>
      </c>
      <c r="L53" s="762">
        <v>0</v>
      </c>
      <c r="M53" s="762">
        <v>0</v>
      </c>
      <c r="N53" s="762">
        <v>316433</v>
      </c>
      <c r="O53" s="762">
        <v>316433</v>
      </c>
      <c r="P53" s="762">
        <v>0</v>
      </c>
      <c r="Q53" s="762">
        <v>0</v>
      </c>
      <c r="R53" s="762">
        <v>49036705</v>
      </c>
      <c r="S53" s="790">
        <v>0.5</v>
      </c>
      <c r="T53" s="790">
        <v>0.4</v>
      </c>
      <c r="U53" s="790">
        <v>0.09</v>
      </c>
      <c r="V53" s="790">
        <v>0.01</v>
      </c>
      <c r="W53" s="790">
        <v>1</v>
      </c>
      <c r="X53" s="762">
        <v>24518353</v>
      </c>
      <c r="Y53" s="762">
        <v>19614682</v>
      </c>
      <c r="Z53" s="762">
        <v>4413303</v>
      </c>
      <c r="AA53" s="762">
        <v>490367</v>
      </c>
      <c r="AB53" s="762">
        <v>49036705</v>
      </c>
      <c r="AC53" s="762">
        <v>0</v>
      </c>
      <c r="AD53" s="762">
        <v>0</v>
      </c>
      <c r="AE53" s="762">
        <v>0</v>
      </c>
      <c r="AF53" s="762">
        <v>0</v>
      </c>
      <c r="AG53" s="762">
        <v>0</v>
      </c>
      <c r="AH53" s="762">
        <v>24518353</v>
      </c>
      <c r="AI53" s="762">
        <v>19614682</v>
      </c>
      <c r="AJ53" s="762">
        <v>4413303</v>
      </c>
      <c r="AK53" s="762">
        <v>490367</v>
      </c>
      <c r="AL53" s="762">
        <v>49036705</v>
      </c>
      <c r="AM53" s="762">
        <v>233880</v>
      </c>
      <c r="AN53" s="762">
        <v>233880</v>
      </c>
      <c r="AO53" s="762">
        <v>0</v>
      </c>
      <c r="AP53" s="762">
        <v>0</v>
      </c>
      <c r="AQ53" s="762">
        <v>316433</v>
      </c>
      <c r="AR53" s="762">
        <v>0</v>
      </c>
      <c r="AS53" s="762">
        <v>316433</v>
      </c>
      <c r="AT53" s="762">
        <v>0</v>
      </c>
      <c r="AU53" s="762">
        <v>0</v>
      </c>
      <c r="AV53" s="762">
        <v>0</v>
      </c>
      <c r="AW53" s="762">
        <v>0</v>
      </c>
      <c r="AX53" s="762">
        <v>0</v>
      </c>
      <c r="AY53" s="762">
        <v>0</v>
      </c>
      <c r="AZ53" s="762">
        <v>0</v>
      </c>
      <c r="BA53" s="762">
        <v>0</v>
      </c>
      <c r="BB53" s="762">
        <v>0</v>
      </c>
      <c r="BC53" s="762">
        <v>0</v>
      </c>
      <c r="BD53" s="762">
        <v>0</v>
      </c>
      <c r="BE53" s="762">
        <v>0</v>
      </c>
      <c r="BF53" s="762">
        <v>0</v>
      </c>
      <c r="BG53" s="762">
        <v>0</v>
      </c>
      <c r="BH53" s="762">
        <v>0</v>
      </c>
      <c r="BI53" s="762">
        <v>0</v>
      </c>
      <c r="BJ53" s="790">
        <v>0</v>
      </c>
      <c r="BK53" s="790">
        <v>0.4</v>
      </c>
      <c r="BL53" s="790">
        <v>0.59</v>
      </c>
      <c r="BM53" s="790">
        <v>0.01</v>
      </c>
      <c r="BN53" s="790">
        <v>1</v>
      </c>
      <c r="BO53" s="762">
        <v>0</v>
      </c>
      <c r="BP53" s="762">
        <v>741360</v>
      </c>
      <c r="BQ53" s="762">
        <v>1093506</v>
      </c>
      <c r="BR53" s="762">
        <v>18534</v>
      </c>
      <c r="BS53" s="762">
        <v>1853400</v>
      </c>
      <c r="BT53" s="790">
        <v>0.5</v>
      </c>
      <c r="BU53" s="790">
        <v>0.4</v>
      </c>
      <c r="BV53" s="790">
        <v>0.09</v>
      </c>
      <c r="BW53" s="790">
        <v>0.01</v>
      </c>
      <c r="BX53" s="790">
        <v>1</v>
      </c>
      <c r="BY53" s="762">
        <v>791571</v>
      </c>
      <c r="BZ53" s="762">
        <v>147696</v>
      </c>
      <c r="CA53" s="762">
        <v>142485</v>
      </c>
      <c r="CB53" s="762">
        <v>15833</v>
      </c>
      <c r="CC53" s="762">
        <v>1097585</v>
      </c>
      <c r="CD53" s="762">
        <v>791571</v>
      </c>
      <c r="CE53" s="762">
        <v>889056</v>
      </c>
      <c r="CF53" s="762">
        <v>1235991</v>
      </c>
      <c r="CG53" s="762">
        <v>34367</v>
      </c>
      <c r="CH53" s="762">
        <v>2950985</v>
      </c>
      <c r="CI53" s="762">
        <v>25309924</v>
      </c>
      <c r="CJ53" s="762">
        <v>21054051</v>
      </c>
      <c r="CK53" s="762">
        <v>5649294</v>
      </c>
      <c r="CL53" s="762">
        <v>524734</v>
      </c>
      <c r="CM53" s="762">
        <v>52538003</v>
      </c>
      <c r="CN53" s="762">
        <v>649486</v>
      </c>
      <c r="CO53" s="762">
        <v>143814</v>
      </c>
      <c r="CP53" s="762">
        <v>15979</v>
      </c>
      <c r="CQ53" s="762">
        <v>809279</v>
      </c>
      <c r="CR53" s="762">
        <v>1598489</v>
      </c>
      <c r="CS53" s="762">
        <v>359660</v>
      </c>
      <c r="CT53" s="762">
        <v>39962</v>
      </c>
      <c r="CU53" s="762">
        <v>1998111</v>
      </c>
      <c r="CV53" s="762">
        <v>105680</v>
      </c>
      <c r="CW53" s="762">
        <v>23778</v>
      </c>
      <c r="CX53" s="762">
        <v>2642</v>
      </c>
      <c r="CY53" s="762">
        <v>132100</v>
      </c>
      <c r="CZ53" s="762">
        <v>1344</v>
      </c>
      <c r="DA53" s="762">
        <v>302</v>
      </c>
      <c r="DB53" s="762">
        <v>34</v>
      </c>
      <c r="DC53" s="762">
        <v>1680</v>
      </c>
      <c r="DD53" s="762">
        <v>5847</v>
      </c>
      <c r="DE53" s="762">
        <v>1316</v>
      </c>
      <c r="DF53" s="762">
        <v>146</v>
      </c>
      <c r="DG53" s="762">
        <v>7309</v>
      </c>
      <c r="DH53" s="762">
        <v>0</v>
      </c>
      <c r="DI53" s="762">
        <v>0</v>
      </c>
      <c r="DJ53" s="762">
        <v>0</v>
      </c>
      <c r="DK53" s="762">
        <v>0</v>
      </c>
      <c r="DL53" s="762">
        <v>34761</v>
      </c>
      <c r="DM53" s="762">
        <v>7821</v>
      </c>
      <c r="DN53" s="762">
        <v>869</v>
      </c>
      <c r="DO53" s="762">
        <v>43451</v>
      </c>
      <c r="DP53" s="762">
        <v>35088</v>
      </c>
      <c r="DQ53" s="762">
        <v>7895</v>
      </c>
      <c r="DR53" s="762">
        <v>877</v>
      </c>
      <c r="DS53" s="762">
        <v>43860</v>
      </c>
      <c r="DT53" s="762">
        <v>0</v>
      </c>
      <c r="DU53" s="762">
        <v>0</v>
      </c>
      <c r="DV53" s="762">
        <v>0</v>
      </c>
      <c r="DW53" s="762">
        <v>0</v>
      </c>
      <c r="DX53" s="762">
        <v>0</v>
      </c>
      <c r="DY53" s="762">
        <v>0</v>
      </c>
      <c r="DZ53" s="762">
        <v>0</v>
      </c>
      <c r="EA53" s="762">
        <v>0</v>
      </c>
      <c r="EB53" s="762">
        <v>678406</v>
      </c>
      <c r="EC53" s="762">
        <v>152641</v>
      </c>
      <c r="ED53" s="762">
        <v>16960</v>
      </c>
      <c r="EE53" s="762">
        <v>848007</v>
      </c>
      <c r="EF53" s="762">
        <v>3109101</v>
      </c>
      <c r="EG53" s="762">
        <v>697227</v>
      </c>
      <c r="EH53" s="762">
        <v>77469</v>
      </c>
      <c r="EI53" s="799">
        <v>3883797</v>
      </c>
      <c r="EJ53" s="763" t="s">
        <v>767</v>
      </c>
      <c r="EK53" s="607" t="s">
        <v>591</v>
      </c>
      <c r="EL53" s="805" t="s">
        <v>590</v>
      </c>
      <c r="EM53" t="s">
        <v>1619</v>
      </c>
    </row>
    <row r="54" spans="1:143" ht="12.75" x14ac:dyDescent="0.2">
      <c r="A54" s="764">
        <v>47</v>
      </c>
      <c r="B54" s="765" t="s">
        <v>770</v>
      </c>
      <c r="C54" s="766" t="s">
        <v>1217</v>
      </c>
      <c r="D54" s="767" t="s">
        <v>1219</v>
      </c>
      <c r="E54" s="768" t="s">
        <v>769</v>
      </c>
      <c r="F54" s="761">
        <v>42663979</v>
      </c>
      <c r="G54" s="762">
        <v>0</v>
      </c>
      <c r="H54" s="762">
        <v>965808</v>
      </c>
      <c r="I54" s="762">
        <v>178465</v>
      </c>
      <c r="J54" s="762">
        <v>0</v>
      </c>
      <c r="K54" s="762">
        <v>178465</v>
      </c>
      <c r="L54" s="762">
        <v>0</v>
      </c>
      <c r="M54" s="762">
        <v>0</v>
      </c>
      <c r="N54" s="762">
        <v>355377</v>
      </c>
      <c r="O54" s="762">
        <v>355377</v>
      </c>
      <c r="P54" s="762">
        <v>0</v>
      </c>
      <c r="Q54" s="762">
        <v>0</v>
      </c>
      <c r="R54" s="762">
        <v>41164329</v>
      </c>
      <c r="S54" s="790">
        <v>0.5</v>
      </c>
      <c r="T54" s="790">
        <v>0.4</v>
      </c>
      <c r="U54" s="790">
        <v>0.1</v>
      </c>
      <c r="V54" s="790">
        <v>0</v>
      </c>
      <c r="W54" s="790">
        <v>1</v>
      </c>
      <c r="X54" s="762">
        <v>20582164</v>
      </c>
      <c r="Y54" s="762">
        <v>16465732</v>
      </c>
      <c r="Z54" s="762">
        <v>4116433</v>
      </c>
      <c r="AA54" s="762">
        <v>0</v>
      </c>
      <c r="AB54" s="762">
        <v>41164329</v>
      </c>
      <c r="AC54" s="762">
        <v>163714</v>
      </c>
      <c r="AD54" s="762">
        <v>0</v>
      </c>
      <c r="AE54" s="762">
        <v>0</v>
      </c>
      <c r="AF54" s="762">
        <v>0</v>
      </c>
      <c r="AG54" s="762">
        <v>163714</v>
      </c>
      <c r="AH54" s="762">
        <v>20418450</v>
      </c>
      <c r="AI54" s="762">
        <v>16465732</v>
      </c>
      <c r="AJ54" s="762">
        <v>4116433</v>
      </c>
      <c r="AK54" s="762">
        <v>0</v>
      </c>
      <c r="AL54" s="762">
        <v>41000615</v>
      </c>
      <c r="AM54" s="762">
        <v>178465</v>
      </c>
      <c r="AN54" s="762">
        <v>178465</v>
      </c>
      <c r="AO54" s="762">
        <v>0</v>
      </c>
      <c r="AP54" s="762">
        <v>0</v>
      </c>
      <c r="AQ54" s="762">
        <v>355377</v>
      </c>
      <c r="AR54" s="762">
        <v>0</v>
      </c>
      <c r="AS54" s="762">
        <v>355377</v>
      </c>
      <c r="AT54" s="762">
        <v>0</v>
      </c>
      <c r="AU54" s="762">
        <v>0</v>
      </c>
      <c r="AV54" s="762">
        <v>0</v>
      </c>
      <c r="AW54" s="762">
        <v>0</v>
      </c>
      <c r="AX54" s="762">
        <v>163714</v>
      </c>
      <c r="AY54" s="762">
        <v>0</v>
      </c>
      <c r="AZ54" s="762">
        <v>0</v>
      </c>
      <c r="BA54" s="762">
        <v>163714</v>
      </c>
      <c r="BB54" s="762">
        <v>0</v>
      </c>
      <c r="BC54" s="762">
        <v>0</v>
      </c>
      <c r="BD54" s="762">
        <v>0</v>
      </c>
      <c r="BE54" s="762">
        <v>0</v>
      </c>
      <c r="BF54" s="762">
        <v>0</v>
      </c>
      <c r="BG54" s="762">
        <v>0</v>
      </c>
      <c r="BH54" s="762">
        <v>0</v>
      </c>
      <c r="BI54" s="762">
        <v>0</v>
      </c>
      <c r="BJ54" s="790">
        <v>0.5</v>
      </c>
      <c r="BK54" s="790">
        <v>0.4</v>
      </c>
      <c r="BL54" s="790">
        <v>0.1</v>
      </c>
      <c r="BM54" s="790">
        <v>0</v>
      </c>
      <c r="BN54" s="790">
        <v>1</v>
      </c>
      <c r="BO54" s="762">
        <v>-193382</v>
      </c>
      <c r="BP54" s="762">
        <v>-154705</v>
      </c>
      <c r="BQ54" s="762">
        <v>-38676</v>
      </c>
      <c r="BR54" s="762">
        <v>0</v>
      </c>
      <c r="BS54" s="762">
        <v>-386763</v>
      </c>
      <c r="BT54" s="790">
        <v>0.5</v>
      </c>
      <c r="BU54" s="790">
        <v>0.4</v>
      </c>
      <c r="BV54" s="790">
        <v>0.1</v>
      </c>
      <c r="BW54" s="790">
        <v>0</v>
      </c>
      <c r="BX54" s="790">
        <v>1</v>
      </c>
      <c r="BY54" s="762">
        <v>418529</v>
      </c>
      <c r="BZ54" s="762">
        <v>334823</v>
      </c>
      <c r="CA54" s="762">
        <v>83706</v>
      </c>
      <c r="CB54" s="762">
        <v>0</v>
      </c>
      <c r="CC54" s="762">
        <v>837058</v>
      </c>
      <c r="CD54" s="762">
        <v>225147</v>
      </c>
      <c r="CE54" s="762">
        <v>180118</v>
      </c>
      <c r="CF54" s="762">
        <v>45030</v>
      </c>
      <c r="CG54" s="762">
        <v>0</v>
      </c>
      <c r="CH54" s="762">
        <v>450295</v>
      </c>
      <c r="CI54" s="762">
        <v>20643597</v>
      </c>
      <c r="CJ54" s="762">
        <v>17343406</v>
      </c>
      <c r="CK54" s="762">
        <v>4161463</v>
      </c>
      <c r="CL54" s="762">
        <v>0</v>
      </c>
      <c r="CM54" s="762">
        <v>42148466</v>
      </c>
      <c r="CN54" s="762">
        <v>553477</v>
      </c>
      <c r="CO54" s="762">
        <v>134140</v>
      </c>
      <c r="CP54" s="762">
        <v>0</v>
      </c>
      <c r="CQ54" s="762">
        <v>687617</v>
      </c>
      <c r="CR54" s="762">
        <v>1248792</v>
      </c>
      <c r="CS54" s="762">
        <v>297024</v>
      </c>
      <c r="CT54" s="762">
        <v>0</v>
      </c>
      <c r="CU54" s="762">
        <v>1545816</v>
      </c>
      <c r="CV54" s="762">
        <v>92423</v>
      </c>
      <c r="CW54" s="762">
        <v>21838</v>
      </c>
      <c r="CX54" s="762">
        <v>0</v>
      </c>
      <c r="CY54" s="762">
        <v>114261</v>
      </c>
      <c r="CZ54" s="762">
        <v>10505</v>
      </c>
      <c r="DA54" s="762">
        <v>2626</v>
      </c>
      <c r="DB54" s="762">
        <v>0</v>
      </c>
      <c r="DC54" s="762">
        <v>13131</v>
      </c>
      <c r="DD54" s="762">
        <v>10229</v>
      </c>
      <c r="DE54" s="762">
        <v>2557</v>
      </c>
      <c r="DF54" s="762">
        <v>0</v>
      </c>
      <c r="DG54" s="762">
        <v>12786</v>
      </c>
      <c r="DH54" s="762">
        <v>619</v>
      </c>
      <c r="DI54" s="762">
        <v>155</v>
      </c>
      <c r="DJ54" s="762">
        <v>0</v>
      </c>
      <c r="DK54" s="762">
        <v>774</v>
      </c>
      <c r="DL54" s="762">
        <v>5614</v>
      </c>
      <c r="DM54" s="762">
        <v>1404</v>
      </c>
      <c r="DN54" s="762">
        <v>0</v>
      </c>
      <c r="DO54" s="762">
        <v>7018</v>
      </c>
      <c r="DP54" s="762">
        <v>16396</v>
      </c>
      <c r="DQ54" s="762">
        <v>4099</v>
      </c>
      <c r="DR54" s="762">
        <v>0</v>
      </c>
      <c r="DS54" s="762">
        <v>20495</v>
      </c>
      <c r="DT54" s="762">
        <v>0</v>
      </c>
      <c r="DU54" s="762">
        <v>0</v>
      </c>
      <c r="DV54" s="762">
        <v>0</v>
      </c>
      <c r="DW54" s="762">
        <v>0</v>
      </c>
      <c r="DX54" s="762">
        <v>0</v>
      </c>
      <c r="DY54" s="762">
        <v>0</v>
      </c>
      <c r="DZ54" s="762">
        <v>0</v>
      </c>
      <c r="EA54" s="762">
        <v>0</v>
      </c>
      <c r="EB54" s="762">
        <v>526974</v>
      </c>
      <c r="EC54" s="762">
        <v>131743</v>
      </c>
      <c r="ED54" s="762">
        <v>0</v>
      </c>
      <c r="EE54" s="762">
        <v>658717</v>
      </c>
      <c r="EF54" s="762">
        <v>2465029</v>
      </c>
      <c r="EG54" s="762">
        <v>595586</v>
      </c>
      <c r="EH54" s="762">
        <v>0</v>
      </c>
      <c r="EI54" s="799">
        <v>3060615</v>
      </c>
      <c r="EJ54" s="763" t="s">
        <v>769</v>
      </c>
      <c r="EK54" s="607" t="s">
        <v>557</v>
      </c>
      <c r="EL54" s="805" t="s">
        <v>556</v>
      </c>
      <c r="EM54" t="s">
        <v>1620</v>
      </c>
    </row>
    <row r="55" spans="1:143" ht="12.75" x14ac:dyDescent="0.2">
      <c r="A55" s="764">
        <v>48</v>
      </c>
      <c r="B55" s="765" t="s">
        <v>772</v>
      </c>
      <c r="C55" s="766" t="s">
        <v>1217</v>
      </c>
      <c r="D55" s="767" t="s">
        <v>1221</v>
      </c>
      <c r="E55" s="768" t="s">
        <v>771</v>
      </c>
      <c r="F55" s="761">
        <v>13828431</v>
      </c>
      <c r="G55" s="762">
        <v>44648</v>
      </c>
      <c r="H55" s="762">
        <v>0</v>
      </c>
      <c r="I55" s="762">
        <v>76312</v>
      </c>
      <c r="J55" s="762">
        <v>0</v>
      </c>
      <c r="K55" s="762">
        <v>76312</v>
      </c>
      <c r="L55" s="762">
        <v>0</v>
      </c>
      <c r="M55" s="762">
        <v>0</v>
      </c>
      <c r="N55" s="762">
        <v>0</v>
      </c>
      <c r="O55" s="762">
        <v>0</v>
      </c>
      <c r="P55" s="762">
        <v>0</v>
      </c>
      <c r="Q55" s="762">
        <v>0</v>
      </c>
      <c r="R55" s="762">
        <v>13796767</v>
      </c>
      <c r="S55" s="790">
        <v>0.5</v>
      </c>
      <c r="T55" s="790">
        <v>0.4</v>
      </c>
      <c r="U55" s="790">
        <v>0.09</v>
      </c>
      <c r="V55" s="790">
        <v>0.01</v>
      </c>
      <c r="W55" s="790">
        <v>1</v>
      </c>
      <c r="X55" s="762">
        <v>6898383</v>
      </c>
      <c r="Y55" s="762">
        <v>5518707</v>
      </c>
      <c r="Z55" s="762">
        <v>1241709</v>
      </c>
      <c r="AA55" s="762">
        <v>137968</v>
      </c>
      <c r="AB55" s="762">
        <v>13796767</v>
      </c>
      <c r="AC55" s="762">
        <v>0</v>
      </c>
      <c r="AD55" s="762">
        <v>0</v>
      </c>
      <c r="AE55" s="762">
        <v>0</v>
      </c>
      <c r="AF55" s="762">
        <v>0</v>
      </c>
      <c r="AG55" s="762">
        <v>0</v>
      </c>
      <c r="AH55" s="762">
        <v>6898383</v>
      </c>
      <c r="AI55" s="762">
        <v>5518707</v>
      </c>
      <c r="AJ55" s="762">
        <v>1241709</v>
      </c>
      <c r="AK55" s="762">
        <v>137968</v>
      </c>
      <c r="AL55" s="762">
        <v>13796767</v>
      </c>
      <c r="AM55" s="762">
        <v>76312</v>
      </c>
      <c r="AN55" s="762">
        <v>76312</v>
      </c>
      <c r="AO55" s="762">
        <v>0</v>
      </c>
      <c r="AP55" s="762">
        <v>0</v>
      </c>
      <c r="AQ55" s="762">
        <v>0</v>
      </c>
      <c r="AR55" s="762">
        <v>0</v>
      </c>
      <c r="AS55" s="762">
        <v>0</v>
      </c>
      <c r="AT55" s="762">
        <v>0</v>
      </c>
      <c r="AU55" s="762">
        <v>0</v>
      </c>
      <c r="AV55" s="762">
        <v>0</v>
      </c>
      <c r="AW55" s="762">
        <v>0</v>
      </c>
      <c r="AX55" s="762">
        <v>0</v>
      </c>
      <c r="AY55" s="762">
        <v>0</v>
      </c>
      <c r="AZ55" s="762">
        <v>0</v>
      </c>
      <c r="BA55" s="762">
        <v>0</v>
      </c>
      <c r="BB55" s="762">
        <v>0</v>
      </c>
      <c r="BC55" s="762">
        <v>0</v>
      </c>
      <c r="BD55" s="762">
        <v>0</v>
      </c>
      <c r="BE55" s="762">
        <v>0</v>
      </c>
      <c r="BF55" s="762">
        <v>0</v>
      </c>
      <c r="BG55" s="762">
        <v>0</v>
      </c>
      <c r="BH55" s="762">
        <v>0</v>
      </c>
      <c r="BI55" s="762">
        <v>0</v>
      </c>
      <c r="BJ55" s="790">
        <v>0.5</v>
      </c>
      <c r="BK55" s="790">
        <v>0.4</v>
      </c>
      <c r="BL55" s="790">
        <v>0.09</v>
      </c>
      <c r="BM55" s="790">
        <v>0.01</v>
      </c>
      <c r="BN55" s="790">
        <v>1</v>
      </c>
      <c r="BO55" s="762">
        <v>-190908</v>
      </c>
      <c r="BP55" s="762">
        <v>-152727</v>
      </c>
      <c r="BQ55" s="762">
        <v>-34364</v>
      </c>
      <c r="BR55" s="762">
        <v>-3818</v>
      </c>
      <c r="BS55" s="762">
        <v>-381817</v>
      </c>
      <c r="BT55" s="790">
        <v>0.5</v>
      </c>
      <c r="BU55" s="790">
        <v>0.4</v>
      </c>
      <c r="BV55" s="790">
        <v>0.09</v>
      </c>
      <c r="BW55" s="790">
        <v>0.01</v>
      </c>
      <c r="BX55" s="790">
        <v>1</v>
      </c>
      <c r="BY55" s="762">
        <v>-23059</v>
      </c>
      <c r="BZ55" s="762">
        <v>-18448</v>
      </c>
      <c r="CA55" s="762">
        <v>-4151</v>
      </c>
      <c r="CB55" s="762">
        <v>-461</v>
      </c>
      <c r="CC55" s="762">
        <v>-46119</v>
      </c>
      <c r="CD55" s="762">
        <v>-213969</v>
      </c>
      <c r="CE55" s="762">
        <v>-171174</v>
      </c>
      <c r="CF55" s="762">
        <v>-38514</v>
      </c>
      <c r="CG55" s="762">
        <v>-4279</v>
      </c>
      <c r="CH55" s="762">
        <v>-427936</v>
      </c>
      <c r="CI55" s="762">
        <v>6684414</v>
      </c>
      <c r="CJ55" s="762">
        <v>5423845</v>
      </c>
      <c r="CK55" s="762">
        <v>1203195</v>
      </c>
      <c r="CL55" s="762">
        <v>133689</v>
      </c>
      <c r="CM55" s="762">
        <v>13445143</v>
      </c>
      <c r="CN55" s="762">
        <v>179836</v>
      </c>
      <c r="CO55" s="762">
        <v>40463</v>
      </c>
      <c r="CP55" s="762">
        <v>4496</v>
      </c>
      <c r="CQ55" s="762">
        <v>224795</v>
      </c>
      <c r="CR55" s="762">
        <v>919975</v>
      </c>
      <c r="CS55" s="762">
        <v>206995</v>
      </c>
      <c r="CT55" s="762">
        <v>22999</v>
      </c>
      <c r="CU55" s="762">
        <v>1149969</v>
      </c>
      <c r="CV55" s="762">
        <v>34657</v>
      </c>
      <c r="CW55" s="762">
        <v>7798</v>
      </c>
      <c r="CX55" s="762">
        <v>866</v>
      </c>
      <c r="CY55" s="762">
        <v>43321</v>
      </c>
      <c r="CZ55" s="762">
        <v>1339</v>
      </c>
      <c r="DA55" s="762">
        <v>301</v>
      </c>
      <c r="DB55" s="762">
        <v>33</v>
      </c>
      <c r="DC55" s="762">
        <v>1673</v>
      </c>
      <c r="DD55" s="762">
        <v>0</v>
      </c>
      <c r="DE55" s="762">
        <v>0</v>
      </c>
      <c r="DF55" s="762">
        <v>0</v>
      </c>
      <c r="DG55" s="762">
        <v>0</v>
      </c>
      <c r="DH55" s="762">
        <v>0</v>
      </c>
      <c r="DI55" s="762">
        <v>0</v>
      </c>
      <c r="DJ55" s="762">
        <v>0</v>
      </c>
      <c r="DK55" s="762">
        <v>0</v>
      </c>
      <c r="DL55" s="762">
        <v>4123</v>
      </c>
      <c r="DM55" s="762">
        <v>927</v>
      </c>
      <c r="DN55" s="762">
        <v>103</v>
      </c>
      <c r="DO55" s="762">
        <v>5153</v>
      </c>
      <c r="DP55" s="762">
        <v>3549</v>
      </c>
      <c r="DQ55" s="762">
        <v>799</v>
      </c>
      <c r="DR55" s="762">
        <v>89</v>
      </c>
      <c r="DS55" s="762">
        <v>4437</v>
      </c>
      <c r="DT55" s="762">
        <v>0</v>
      </c>
      <c r="DU55" s="762">
        <v>0</v>
      </c>
      <c r="DV55" s="762">
        <v>0</v>
      </c>
      <c r="DW55" s="762">
        <v>0</v>
      </c>
      <c r="DX55" s="762">
        <v>0</v>
      </c>
      <c r="DY55" s="762">
        <v>0</v>
      </c>
      <c r="DZ55" s="762">
        <v>0</v>
      </c>
      <c r="EA55" s="762">
        <v>0</v>
      </c>
      <c r="EB55" s="762">
        <v>116585</v>
      </c>
      <c r="EC55" s="762">
        <v>26232</v>
      </c>
      <c r="ED55" s="762">
        <v>2915</v>
      </c>
      <c r="EE55" s="762">
        <v>145732</v>
      </c>
      <c r="EF55" s="762">
        <v>1260064</v>
      </c>
      <c r="EG55" s="762">
        <v>283515</v>
      </c>
      <c r="EH55" s="762">
        <v>31501</v>
      </c>
      <c r="EI55" s="799">
        <v>1575080</v>
      </c>
      <c r="EJ55" s="763" t="s">
        <v>771</v>
      </c>
      <c r="EK55" s="607" t="s">
        <v>575</v>
      </c>
      <c r="EL55" s="805" t="s">
        <v>573</v>
      </c>
      <c r="EM55" t="s">
        <v>1621</v>
      </c>
    </row>
    <row r="56" spans="1:143" ht="12.75" x14ac:dyDescent="0.2">
      <c r="A56" s="764">
        <v>49</v>
      </c>
      <c r="B56" s="765" t="s">
        <v>774</v>
      </c>
      <c r="C56" s="766" t="s">
        <v>529</v>
      </c>
      <c r="D56" s="767" t="s">
        <v>1221</v>
      </c>
      <c r="E56" s="768" t="s">
        <v>773</v>
      </c>
      <c r="F56" s="761">
        <v>94591290</v>
      </c>
      <c r="G56" s="762">
        <v>0</v>
      </c>
      <c r="H56" s="762">
        <v>222589</v>
      </c>
      <c r="I56" s="762">
        <v>299463</v>
      </c>
      <c r="J56" s="762">
        <v>0</v>
      </c>
      <c r="K56" s="762">
        <v>299463</v>
      </c>
      <c r="L56" s="762">
        <v>0</v>
      </c>
      <c r="M56" s="762">
        <v>0</v>
      </c>
      <c r="N56" s="762">
        <v>408398</v>
      </c>
      <c r="O56" s="762">
        <v>408398</v>
      </c>
      <c r="P56" s="762">
        <v>0</v>
      </c>
      <c r="Q56" s="762">
        <v>0</v>
      </c>
      <c r="R56" s="762">
        <v>93660840</v>
      </c>
      <c r="S56" s="790">
        <v>0.5</v>
      </c>
      <c r="T56" s="790">
        <v>0.49</v>
      </c>
      <c r="U56" s="790">
        <v>0</v>
      </c>
      <c r="V56" s="790">
        <v>0.01</v>
      </c>
      <c r="W56" s="790">
        <v>1</v>
      </c>
      <c r="X56" s="762">
        <v>46830420</v>
      </c>
      <c r="Y56" s="762">
        <v>45893812</v>
      </c>
      <c r="Z56" s="762">
        <v>0</v>
      </c>
      <c r="AA56" s="762">
        <v>936608</v>
      </c>
      <c r="AB56" s="762">
        <v>93660840</v>
      </c>
      <c r="AC56" s="762">
        <v>0</v>
      </c>
      <c r="AD56" s="762">
        <v>0</v>
      </c>
      <c r="AE56" s="762">
        <v>0</v>
      </c>
      <c r="AF56" s="762">
        <v>0</v>
      </c>
      <c r="AG56" s="762">
        <v>0</v>
      </c>
      <c r="AH56" s="762">
        <v>46830420</v>
      </c>
      <c r="AI56" s="762">
        <v>45893812</v>
      </c>
      <c r="AJ56" s="762">
        <v>0</v>
      </c>
      <c r="AK56" s="762">
        <v>936608</v>
      </c>
      <c r="AL56" s="762">
        <v>93660840</v>
      </c>
      <c r="AM56" s="762">
        <v>299463</v>
      </c>
      <c r="AN56" s="762">
        <v>299463</v>
      </c>
      <c r="AO56" s="762">
        <v>0</v>
      </c>
      <c r="AP56" s="762">
        <v>0</v>
      </c>
      <c r="AQ56" s="762">
        <v>408398</v>
      </c>
      <c r="AR56" s="762">
        <v>0</v>
      </c>
      <c r="AS56" s="762">
        <v>408398</v>
      </c>
      <c r="AT56" s="762">
        <v>0</v>
      </c>
      <c r="AU56" s="762">
        <v>0</v>
      </c>
      <c r="AV56" s="762">
        <v>0</v>
      </c>
      <c r="AW56" s="762">
        <v>0</v>
      </c>
      <c r="AX56" s="762">
        <v>0</v>
      </c>
      <c r="AY56" s="762">
        <v>0</v>
      </c>
      <c r="AZ56" s="762">
        <v>0</v>
      </c>
      <c r="BA56" s="762">
        <v>0</v>
      </c>
      <c r="BB56" s="762">
        <v>0</v>
      </c>
      <c r="BC56" s="762">
        <v>0</v>
      </c>
      <c r="BD56" s="762">
        <v>0</v>
      </c>
      <c r="BE56" s="762">
        <v>0</v>
      </c>
      <c r="BF56" s="762">
        <v>0</v>
      </c>
      <c r="BG56" s="762">
        <v>0</v>
      </c>
      <c r="BH56" s="762">
        <v>0</v>
      </c>
      <c r="BI56" s="762">
        <v>0</v>
      </c>
      <c r="BJ56" s="790">
        <v>0.5</v>
      </c>
      <c r="BK56" s="790">
        <v>0.49</v>
      </c>
      <c r="BL56" s="790">
        <v>0</v>
      </c>
      <c r="BM56" s="790">
        <v>0.01</v>
      </c>
      <c r="BN56" s="790">
        <v>1</v>
      </c>
      <c r="BO56" s="762">
        <v>-846500</v>
      </c>
      <c r="BP56" s="762">
        <v>-829570</v>
      </c>
      <c r="BQ56" s="762">
        <v>0</v>
      </c>
      <c r="BR56" s="762">
        <v>-16930</v>
      </c>
      <c r="BS56" s="762">
        <v>-1693000</v>
      </c>
      <c r="BT56" s="790">
        <v>0.5</v>
      </c>
      <c r="BU56" s="790">
        <v>0.49</v>
      </c>
      <c r="BV56" s="790">
        <v>0</v>
      </c>
      <c r="BW56" s="790">
        <v>0.01</v>
      </c>
      <c r="BX56" s="790">
        <v>1</v>
      </c>
      <c r="BY56" s="762">
        <v>256211</v>
      </c>
      <c r="BZ56" s="762">
        <v>251086</v>
      </c>
      <c r="CA56" s="762">
        <v>0</v>
      </c>
      <c r="CB56" s="762">
        <v>5124</v>
      </c>
      <c r="CC56" s="762">
        <v>512421</v>
      </c>
      <c r="CD56" s="762">
        <v>-590289</v>
      </c>
      <c r="CE56" s="762">
        <v>-578484</v>
      </c>
      <c r="CF56" s="762">
        <v>0</v>
      </c>
      <c r="CG56" s="762">
        <v>-11806</v>
      </c>
      <c r="CH56" s="762">
        <v>-1180579</v>
      </c>
      <c r="CI56" s="762">
        <v>46240131</v>
      </c>
      <c r="CJ56" s="762">
        <v>46023189</v>
      </c>
      <c r="CK56" s="762">
        <v>0</v>
      </c>
      <c r="CL56" s="762">
        <v>924802</v>
      </c>
      <c r="CM56" s="762">
        <v>93188122</v>
      </c>
      <c r="CN56" s="762">
        <v>1508830</v>
      </c>
      <c r="CO56" s="762">
        <v>0</v>
      </c>
      <c r="CP56" s="762">
        <v>30521</v>
      </c>
      <c r="CQ56" s="762">
        <v>1539351</v>
      </c>
      <c r="CR56" s="762">
        <v>3056039</v>
      </c>
      <c r="CS56" s="762">
        <v>0</v>
      </c>
      <c r="CT56" s="762">
        <v>62368</v>
      </c>
      <c r="CU56" s="762">
        <v>3118407</v>
      </c>
      <c r="CV56" s="762">
        <v>203752</v>
      </c>
      <c r="CW56" s="762">
        <v>0</v>
      </c>
      <c r="CX56" s="762">
        <v>4045</v>
      </c>
      <c r="CY56" s="762">
        <v>207797</v>
      </c>
      <c r="CZ56" s="762">
        <v>0</v>
      </c>
      <c r="DA56" s="762">
        <v>0</v>
      </c>
      <c r="DB56" s="762">
        <v>0</v>
      </c>
      <c r="DC56" s="762">
        <v>0</v>
      </c>
      <c r="DD56" s="762">
        <v>12885</v>
      </c>
      <c r="DE56" s="762">
        <v>0</v>
      </c>
      <c r="DF56" s="762">
        <v>263</v>
      </c>
      <c r="DG56" s="762">
        <v>13148</v>
      </c>
      <c r="DH56" s="762">
        <v>0</v>
      </c>
      <c r="DI56" s="762">
        <v>0</v>
      </c>
      <c r="DJ56" s="762">
        <v>0</v>
      </c>
      <c r="DK56" s="762">
        <v>0</v>
      </c>
      <c r="DL56" s="762">
        <v>7423</v>
      </c>
      <c r="DM56" s="762">
        <v>0</v>
      </c>
      <c r="DN56" s="762">
        <v>151</v>
      </c>
      <c r="DO56" s="762">
        <v>7574</v>
      </c>
      <c r="DP56" s="762">
        <v>36935</v>
      </c>
      <c r="DQ56" s="762">
        <v>0</v>
      </c>
      <c r="DR56" s="762">
        <v>754</v>
      </c>
      <c r="DS56" s="762">
        <v>37689</v>
      </c>
      <c r="DT56" s="762">
        <v>0</v>
      </c>
      <c r="DU56" s="762">
        <v>0</v>
      </c>
      <c r="DV56" s="762">
        <v>0</v>
      </c>
      <c r="DW56" s="762">
        <v>0</v>
      </c>
      <c r="DX56" s="762">
        <v>0</v>
      </c>
      <c r="DY56" s="762">
        <v>0</v>
      </c>
      <c r="DZ56" s="762">
        <v>0</v>
      </c>
      <c r="EA56" s="762">
        <v>0</v>
      </c>
      <c r="EB56" s="762">
        <v>687273</v>
      </c>
      <c r="EC56" s="762">
        <v>0</v>
      </c>
      <c r="ED56" s="762">
        <v>14026</v>
      </c>
      <c r="EE56" s="762">
        <v>701299</v>
      </c>
      <c r="EF56" s="762">
        <v>5513137</v>
      </c>
      <c r="EG56" s="762">
        <v>0</v>
      </c>
      <c r="EH56" s="762">
        <v>112128</v>
      </c>
      <c r="EI56" s="799">
        <v>5625265</v>
      </c>
      <c r="EJ56" s="763" t="s">
        <v>773</v>
      </c>
      <c r="EK56" s="607" t="s">
        <v>529</v>
      </c>
      <c r="EL56" s="805" t="s">
        <v>535</v>
      </c>
      <c r="EM56" t="s">
        <v>1622</v>
      </c>
    </row>
    <row r="57" spans="1:143" ht="12.75" x14ac:dyDescent="0.2">
      <c r="A57" s="764">
        <v>50</v>
      </c>
      <c r="B57" s="765" t="s">
        <v>776</v>
      </c>
      <c r="C57" s="766" t="s">
        <v>1217</v>
      </c>
      <c r="D57" s="767" t="s">
        <v>1220</v>
      </c>
      <c r="E57" s="768" t="s">
        <v>775</v>
      </c>
      <c r="F57" s="761">
        <v>45610556</v>
      </c>
      <c r="G57" s="762">
        <v>770269</v>
      </c>
      <c r="H57" s="762">
        <v>0</v>
      </c>
      <c r="I57" s="762">
        <v>189436</v>
      </c>
      <c r="J57" s="762">
        <v>0</v>
      </c>
      <c r="K57" s="762">
        <v>189436</v>
      </c>
      <c r="L57" s="762">
        <v>0</v>
      </c>
      <c r="M57" s="762">
        <v>634526</v>
      </c>
      <c r="N57" s="762">
        <v>199790</v>
      </c>
      <c r="O57" s="762">
        <v>187104</v>
      </c>
      <c r="P57" s="762">
        <v>12686</v>
      </c>
      <c r="Q57" s="762">
        <v>0</v>
      </c>
      <c r="R57" s="762">
        <v>45357073</v>
      </c>
      <c r="S57" s="790">
        <v>0.25</v>
      </c>
      <c r="T57" s="790">
        <v>0.375</v>
      </c>
      <c r="U57" s="790">
        <v>0.36499999999999999</v>
      </c>
      <c r="V57" s="790">
        <v>0.01</v>
      </c>
      <c r="W57" s="790">
        <v>1</v>
      </c>
      <c r="X57" s="762">
        <v>11339268</v>
      </c>
      <c r="Y57" s="762">
        <v>17008902</v>
      </c>
      <c r="Z57" s="762">
        <v>16555332</v>
      </c>
      <c r="AA57" s="762">
        <v>453571</v>
      </c>
      <c r="AB57" s="762">
        <v>45357073</v>
      </c>
      <c r="AC57" s="762">
        <v>0</v>
      </c>
      <c r="AD57" s="762">
        <v>0</v>
      </c>
      <c r="AE57" s="762">
        <v>0</v>
      </c>
      <c r="AF57" s="762">
        <v>0</v>
      </c>
      <c r="AG57" s="762">
        <v>0</v>
      </c>
      <c r="AH57" s="762">
        <v>11339268</v>
      </c>
      <c r="AI57" s="762">
        <v>17008902</v>
      </c>
      <c r="AJ57" s="762">
        <v>16555332</v>
      </c>
      <c r="AK57" s="762">
        <v>453571</v>
      </c>
      <c r="AL57" s="762">
        <v>45357073</v>
      </c>
      <c r="AM57" s="762">
        <v>189436</v>
      </c>
      <c r="AN57" s="762">
        <v>189436</v>
      </c>
      <c r="AO57" s="762">
        <v>634526</v>
      </c>
      <c r="AP57" s="762">
        <v>634526</v>
      </c>
      <c r="AQ57" s="762">
        <v>187104</v>
      </c>
      <c r="AR57" s="762">
        <v>12686</v>
      </c>
      <c r="AS57" s="762">
        <v>199790</v>
      </c>
      <c r="AT57" s="762">
        <v>0</v>
      </c>
      <c r="AU57" s="762">
        <v>0</v>
      </c>
      <c r="AV57" s="762">
        <v>0</v>
      </c>
      <c r="AW57" s="762">
        <v>0</v>
      </c>
      <c r="AX57" s="762">
        <v>0</v>
      </c>
      <c r="AY57" s="762">
        <v>0</v>
      </c>
      <c r="AZ57" s="762">
        <v>0</v>
      </c>
      <c r="BA57" s="762">
        <v>0</v>
      </c>
      <c r="BB57" s="762">
        <v>0</v>
      </c>
      <c r="BC57" s="762">
        <v>0</v>
      </c>
      <c r="BD57" s="762">
        <v>0</v>
      </c>
      <c r="BE57" s="762">
        <v>0</v>
      </c>
      <c r="BF57" s="762">
        <v>0</v>
      </c>
      <c r="BG57" s="762">
        <v>0</v>
      </c>
      <c r="BH57" s="762">
        <v>0</v>
      </c>
      <c r="BI57" s="762">
        <v>0</v>
      </c>
      <c r="BJ57" s="790">
        <v>0.5</v>
      </c>
      <c r="BK57" s="790">
        <v>0.4</v>
      </c>
      <c r="BL57" s="790">
        <v>0.09</v>
      </c>
      <c r="BM57" s="790">
        <v>0.01</v>
      </c>
      <c r="BN57" s="790">
        <v>1</v>
      </c>
      <c r="BO57" s="762">
        <v>-390939</v>
      </c>
      <c r="BP57" s="762">
        <v>-312752</v>
      </c>
      <c r="BQ57" s="762">
        <v>-70369</v>
      </c>
      <c r="BR57" s="762">
        <v>-7819</v>
      </c>
      <c r="BS57" s="762">
        <v>-781879</v>
      </c>
      <c r="BT57" s="790">
        <v>0.5</v>
      </c>
      <c r="BU57" s="790">
        <v>0.4</v>
      </c>
      <c r="BV57" s="790">
        <v>0.09</v>
      </c>
      <c r="BW57" s="790">
        <v>0.01</v>
      </c>
      <c r="BX57" s="790">
        <v>1</v>
      </c>
      <c r="BY57" s="762">
        <v>-430028</v>
      </c>
      <c r="BZ57" s="762">
        <v>-344022</v>
      </c>
      <c r="CA57" s="762">
        <v>-77405</v>
      </c>
      <c r="CB57" s="762">
        <v>-8601</v>
      </c>
      <c r="CC57" s="762">
        <v>-860056</v>
      </c>
      <c r="CD57" s="762">
        <v>-820968</v>
      </c>
      <c r="CE57" s="762">
        <v>-656774</v>
      </c>
      <c r="CF57" s="762">
        <v>-147774</v>
      </c>
      <c r="CG57" s="762">
        <v>-16419</v>
      </c>
      <c r="CH57" s="762">
        <v>-1641935</v>
      </c>
      <c r="CI57" s="762">
        <v>10518300</v>
      </c>
      <c r="CJ57" s="762">
        <v>17363194</v>
      </c>
      <c r="CK57" s="762">
        <v>16420244</v>
      </c>
      <c r="CL57" s="762">
        <v>437152</v>
      </c>
      <c r="CM57" s="762">
        <v>44738890</v>
      </c>
      <c r="CN57" s="762">
        <v>581036</v>
      </c>
      <c r="CO57" s="762">
        <v>539895</v>
      </c>
      <c r="CP57" s="762">
        <v>14780</v>
      </c>
      <c r="CQ57" s="762">
        <v>1135711</v>
      </c>
      <c r="CR57" s="762">
        <v>1536619</v>
      </c>
      <c r="CS57" s="762">
        <v>1495641</v>
      </c>
      <c r="CT57" s="762">
        <v>40976</v>
      </c>
      <c r="CU57" s="762">
        <v>3073236</v>
      </c>
      <c r="CV57" s="762">
        <v>101409</v>
      </c>
      <c r="CW57" s="762">
        <v>98705</v>
      </c>
      <c r="CX57" s="762">
        <v>2704</v>
      </c>
      <c r="CY57" s="762">
        <v>202818</v>
      </c>
      <c r="CZ57" s="762">
        <v>4680</v>
      </c>
      <c r="DA57" s="762">
        <v>4555</v>
      </c>
      <c r="DB57" s="762">
        <v>125</v>
      </c>
      <c r="DC57" s="762">
        <v>9360</v>
      </c>
      <c r="DD57" s="762">
        <v>771</v>
      </c>
      <c r="DE57" s="762">
        <v>750</v>
      </c>
      <c r="DF57" s="762">
        <v>21</v>
      </c>
      <c r="DG57" s="762">
        <v>1542</v>
      </c>
      <c r="DH57" s="762">
        <v>582</v>
      </c>
      <c r="DI57" s="762">
        <v>565</v>
      </c>
      <c r="DJ57" s="762">
        <v>15</v>
      </c>
      <c r="DK57" s="762">
        <v>1162</v>
      </c>
      <c r="DL57" s="762">
        <v>19064</v>
      </c>
      <c r="DM57" s="762">
        <v>18555</v>
      </c>
      <c r="DN57" s="762">
        <v>508</v>
      </c>
      <c r="DO57" s="762">
        <v>38127</v>
      </c>
      <c r="DP57" s="762">
        <v>36447</v>
      </c>
      <c r="DQ57" s="762">
        <v>35475</v>
      </c>
      <c r="DR57" s="762">
        <v>972</v>
      </c>
      <c r="DS57" s="762">
        <v>72894</v>
      </c>
      <c r="DT57" s="762">
        <v>0</v>
      </c>
      <c r="DU57" s="762">
        <v>0</v>
      </c>
      <c r="DV57" s="762">
        <v>0</v>
      </c>
      <c r="DW57" s="762">
        <v>0</v>
      </c>
      <c r="DX57" s="762">
        <v>0</v>
      </c>
      <c r="DY57" s="762">
        <v>0</v>
      </c>
      <c r="DZ57" s="762">
        <v>0</v>
      </c>
      <c r="EA57" s="762">
        <v>0</v>
      </c>
      <c r="EB57" s="762">
        <v>382369</v>
      </c>
      <c r="EC57" s="762">
        <v>372173</v>
      </c>
      <c r="ED57" s="762">
        <v>10197</v>
      </c>
      <c r="EE57" s="762">
        <v>764739</v>
      </c>
      <c r="EF57" s="762">
        <v>2662977</v>
      </c>
      <c r="EG57" s="762">
        <v>2566314</v>
      </c>
      <c r="EH57" s="762">
        <v>70298</v>
      </c>
      <c r="EI57" s="799">
        <v>5299589</v>
      </c>
      <c r="EJ57" s="763" t="s">
        <v>775</v>
      </c>
      <c r="EK57" s="607" t="s">
        <v>599</v>
      </c>
      <c r="EL57" s="805" t="s">
        <v>597</v>
      </c>
      <c r="EM57" t="s">
        <v>1623</v>
      </c>
    </row>
    <row r="58" spans="1:143" ht="12.75" x14ac:dyDescent="0.2">
      <c r="A58" s="764">
        <v>51</v>
      </c>
      <c r="B58" s="765" t="s">
        <v>778</v>
      </c>
      <c r="C58" s="766" t="s">
        <v>1217</v>
      </c>
      <c r="D58" s="767" t="s">
        <v>1221</v>
      </c>
      <c r="E58" s="768" t="s">
        <v>777</v>
      </c>
      <c r="F58" s="761">
        <v>79623382</v>
      </c>
      <c r="G58" s="762">
        <v>0</v>
      </c>
      <c r="H58" s="762">
        <v>867664</v>
      </c>
      <c r="I58" s="762">
        <v>217456</v>
      </c>
      <c r="J58" s="762">
        <v>0</v>
      </c>
      <c r="K58" s="762">
        <v>217456</v>
      </c>
      <c r="L58" s="762">
        <v>0</v>
      </c>
      <c r="M58" s="762">
        <v>0</v>
      </c>
      <c r="N58" s="762">
        <v>0</v>
      </c>
      <c r="O58" s="762">
        <v>0</v>
      </c>
      <c r="P58" s="762">
        <v>0</v>
      </c>
      <c r="Q58" s="762">
        <v>0</v>
      </c>
      <c r="R58" s="762">
        <v>78538262</v>
      </c>
      <c r="S58" s="790">
        <v>0.5</v>
      </c>
      <c r="T58" s="790">
        <v>0.4</v>
      </c>
      <c r="U58" s="790">
        <v>0.09</v>
      </c>
      <c r="V58" s="790">
        <v>0.01</v>
      </c>
      <c r="W58" s="790">
        <v>1</v>
      </c>
      <c r="X58" s="762">
        <v>39269130</v>
      </c>
      <c r="Y58" s="762">
        <v>31415305</v>
      </c>
      <c r="Z58" s="762">
        <v>7068444</v>
      </c>
      <c r="AA58" s="762">
        <v>785383</v>
      </c>
      <c r="AB58" s="762">
        <v>78538262</v>
      </c>
      <c r="AC58" s="762">
        <v>0</v>
      </c>
      <c r="AD58" s="762">
        <v>0</v>
      </c>
      <c r="AE58" s="762">
        <v>0</v>
      </c>
      <c r="AF58" s="762">
        <v>0</v>
      </c>
      <c r="AG58" s="762">
        <v>0</v>
      </c>
      <c r="AH58" s="762">
        <v>39269130</v>
      </c>
      <c r="AI58" s="762">
        <v>31415305</v>
      </c>
      <c r="AJ58" s="762">
        <v>7068444</v>
      </c>
      <c r="AK58" s="762">
        <v>785383</v>
      </c>
      <c r="AL58" s="762">
        <v>78538262</v>
      </c>
      <c r="AM58" s="762">
        <v>217456</v>
      </c>
      <c r="AN58" s="762">
        <v>217456</v>
      </c>
      <c r="AO58" s="762">
        <v>0</v>
      </c>
      <c r="AP58" s="762">
        <v>0</v>
      </c>
      <c r="AQ58" s="762">
        <v>0</v>
      </c>
      <c r="AR58" s="762">
        <v>0</v>
      </c>
      <c r="AS58" s="762">
        <v>0</v>
      </c>
      <c r="AT58" s="762">
        <v>0</v>
      </c>
      <c r="AU58" s="762">
        <v>0</v>
      </c>
      <c r="AV58" s="762">
        <v>0</v>
      </c>
      <c r="AW58" s="762">
        <v>0</v>
      </c>
      <c r="AX58" s="762">
        <v>0</v>
      </c>
      <c r="AY58" s="762">
        <v>0</v>
      </c>
      <c r="AZ58" s="762">
        <v>0</v>
      </c>
      <c r="BA58" s="762">
        <v>0</v>
      </c>
      <c r="BB58" s="762">
        <v>0</v>
      </c>
      <c r="BC58" s="762">
        <v>0</v>
      </c>
      <c r="BD58" s="762">
        <v>0</v>
      </c>
      <c r="BE58" s="762">
        <v>0</v>
      </c>
      <c r="BF58" s="762">
        <v>0</v>
      </c>
      <c r="BG58" s="762">
        <v>0</v>
      </c>
      <c r="BH58" s="762">
        <v>0</v>
      </c>
      <c r="BI58" s="762">
        <v>0</v>
      </c>
      <c r="BJ58" s="790">
        <v>0.5</v>
      </c>
      <c r="BK58" s="790">
        <v>0.4</v>
      </c>
      <c r="BL58" s="790">
        <v>0.09</v>
      </c>
      <c r="BM58" s="790">
        <v>0.01</v>
      </c>
      <c r="BN58" s="790">
        <v>1</v>
      </c>
      <c r="BO58" s="762">
        <v>235281</v>
      </c>
      <c r="BP58" s="762">
        <v>188225</v>
      </c>
      <c r="BQ58" s="762">
        <v>42351</v>
      </c>
      <c r="BR58" s="762">
        <v>4706</v>
      </c>
      <c r="BS58" s="762">
        <v>470563</v>
      </c>
      <c r="BT58" s="790">
        <v>0.5</v>
      </c>
      <c r="BU58" s="790">
        <v>0.4</v>
      </c>
      <c r="BV58" s="790">
        <v>0.09</v>
      </c>
      <c r="BW58" s="790">
        <v>0.01</v>
      </c>
      <c r="BX58" s="790">
        <v>1</v>
      </c>
      <c r="BY58" s="762">
        <v>773225</v>
      </c>
      <c r="BZ58" s="762">
        <v>618580</v>
      </c>
      <c r="CA58" s="762">
        <v>139180</v>
      </c>
      <c r="CB58" s="762">
        <v>15464</v>
      </c>
      <c r="CC58" s="762">
        <v>1546449</v>
      </c>
      <c r="CD58" s="762">
        <v>1008506</v>
      </c>
      <c r="CE58" s="762">
        <v>806805</v>
      </c>
      <c r="CF58" s="762">
        <v>181531</v>
      </c>
      <c r="CG58" s="762">
        <v>20170</v>
      </c>
      <c r="CH58" s="762">
        <v>2017012</v>
      </c>
      <c r="CI58" s="762">
        <v>40277636</v>
      </c>
      <c r="CJ58" s="762">
        <v>32439566</v>
      </c>
      <c r="CK58" s="762">
        <v>7249975</v>
      </c>
      <c r="CL58" s="762">
        <v>805553</v>
      </c>
      <c r="CM58" s="762">
        <v>80772730</v>
      </c>
      <c r="CN58" s="762">
        <v>1023717</v>
      </c>
      <c r="CO58" s="762">
        <v>230336</v>
      </c>
      <c r="CP58" s="762">
        <v>25593</v>
      </c>
      <c r="CQ58" s="762">
        <v>1279646</v>
      </c>
      <c r="CR58" s="762">
        <v>1592270</v>
      </c>
      <c r="CS58" s="762">
        <v>358261</v>
      </c>
      <c r="CT58" s="762">
        <v>39807</v>
      </c>
      <c r="CU58" s="762">
        <v>1990338</v>
      </c>
      <c r="CV58" s="762">
        <v>130008</v>
      </c>
      <c r="CW58" s="762">
        <v>29252</v>
      </c>
      <c r="CX58" s="762">
        <v>3250</v>
      </c>
      <c r="CY58" s="762">
        <v>162510</v>
      </c>
      <c r="CZ58" s="762">
        <v>0</v>
      </c>
      <c r="DA58" s="762">
        <v>0</v>
      </c>
      <c r="DB58" s="762">
        <v>0</v>
      </c>
      <c r="DC58" s="762">
        <v>0</v>
      </c>
      <c r="DD58" s="762">
        <v>2087</v>
      </c>
      <c r="DE58" s="762">
        <v>470</v>
      </c>
      <c r="DF58" s="762">
        <v>52</v>
      </c>
      <c r="DG58" s="762">
        <v>2609</v>
      </c>
      <c r="DH58" s="762">
        <v>620</v>
      </c>
      <c r="DI58" s="762">
        <v>139</v>
      </c>
      <c r="DJ58" s="762">
        <v>15</v>
      </c>
      <c r="DK58" s="762">
        <v>774</v>
      </c>
      <c r="DL58" s="762">
        <v>12476</v>
      </c>
      <c r="DM58" s="762">
        <v>2807</v>
      </c>
      <c r="DN58" s="762">
        <v>312</v>
      </c>
      <c r="DO58" s="762">
        <v>15595</v>
      </c>
      <c r="DP58" s="762">
        <v>22446</v>
      </c>
      <c r="DQ58" s="762">
        <v>5050</v>
      </c>
      <c r="DR58" s="762">
        <v>561</v>
      </c>
      <c r="DS58" s="762">
        <v>28057</v>
      </c>
      <c r="DT58" s="762">
        <v>0</v>
      </c>
      <c r="DU58" s="762">
        <v>0</v>
      </c>
      <c r="DV58" s="762">
        <v>0</v>
      </c>
      <c r="DW58" s="762">
        <v>0</v>
      </c>
      <c r="DX58" s="762">
        <v>0</v>
      </c>
      <c r="DY58" s="762">
        <v>0</v>
      </c>
      <c r="DZ58" s="762">
        <v>0</v>
      </c>
      <c r="EA58" s="762">
        <v>0</v>
      </c>
      <c r="EB58" s="762">
        <v>661227</v>
      </c>
      <c r="EC58" s="762">
        <v>148776</v>
      </c>
      <c r="ED58" s="762">
        <v>16531</v>
      </c>
      <c r="EE58" s="762">
        <v>826534</v>
      </c>
      <c r="EF58" s="762">
        <v>3444851</v>
      </c>
      <c r="EG58" s="762">
        <v>775091</v>
      </c>
      <c r="EH58" s="762">
        <v>86121</v>
      </c>
      <c r="EI58" s="799">
        <v>4306063</v>
      </c>
      <c r="EJ58" s="763" t="s">
        <v>777</v>
      </c>
      <c r="EK58" s="607" t="s">
        <v>575</v>
      </c>
      <c r="EL58" s="805" t="s">
        <v>573</v>
      </c>
      <c r="EM58" t="s">
        <v>1624</v>
      </c>
    </row>
    <row r="59" spans="1:143" ht="12.75" x14ac:dyDescent="0.2">
      <c r="A59" s="764">
        <v>52</v>
      </c>
      <c r="B59" s="765" t="s">
        <v>780</v>
      </c>
      <c r="C59" s="766" t="s">
        <v>1217</v>
      </c>
      <c r="D59" s="767" t="s">
        <v>1226</v>
      </c>
      <c r="E59" s="768" t="s">
        <v>779</v>
      </c>
      <c r="F59" s="761">
        <v>55682116</v>
      </c>
      <c r="G59" s="762">
        <v>0</v>
      </c>
      <c r="H59" s="762">
        <v>530376</v>
      </c>
      <c r="I59" s="762">
        <v>167257</v>
      </c>
      <c r="J59" s="762">
        <v>0</v>
      </c>
      <c r="K59" s="762">
        <v>167257</v>
      </c>
      <c r="L59" s="762">
        <v>0</v>
      </c>
      <c r="M59" s="762">
        <v>0</v>
      </c>
      <c r="N59" s="762">
        <v>0</v>
      </c>
      <c r="O59" s="762">
        <v>0</v>
      </c>
      <c r="P59" s="762">
        <v>0</v>
      </c>
      <c r="Q59" s="762">
        <v>0</v>
      </c>
      <c r="R59" s="762">
        <v>54984483</v>
      </c>
      <c r="S59" s="790">
        <v>0.5</v>
      </c>
      <c r="T59" s="790">
        <v>0.4</v>
      </c>
      <c r="U59" s="790">
        <v>0.1</v>
      </c>
      <c r="V59" s="790">
        <v>0</v>
      </c>
      <c r="W59" s="790">
        <v>1</v>
      </c>
      <c r="X59" s="762">
        <v>27492242</v>
      </c>
      <c r="Y59" s="762">
        <v>21993793</v>
      </c>
      <c r="Z59" s="762">
        <v>5498448</v>
      </c>
      <c r="AA59" s="762">
        <v>0</v>
      </c>
      <c r="AB59" s="762">
        <v>54984483</v>
      </c>
      <c r="AC59" s="762">
        <v>0</v>
      </c>
      <c r="AD59" s="762">
        <v>0</v>
      </c>
      <c r="AE59" s="762">
        <v>0</v>
      </c>
      <c r="AF59" s="762">
        <v>0</v>
      </c>
      <c r="AG59" s="762">
        <v>0</v>
      </c>
      <c r="AH59" s="762">
        <v>27492242</v>
      </c>
      <c r="AI59" s="762">
        <v>21993793</v>
      </c>
      <c r="AJ59" s="762">
        <v>5498448</v>
      </c>
      <c r="AK59" s="762">
        <v>0</v>
      </c>
      <c r="AL59" s="762">
        <v>54984483</v>
      </c>
      <c r="AM59" s="762">
        <v>167257</v>
      </c>
      <c r="AN59" s="762">
        <v>167257</v>
      </c>
      <c r="AO59" s="762">
        <v>0</v>
      </c>
      <c r="AP59" s="762">
        <v>0</v>
      </c>
      <c r="AQ59" s="762">
        <v>0</v>
      </c>
      <c r="AR59" s="762">
        <v>0</v>
      </c>
      <c r="AS59" s="762">
        <v>0</v>
      </c>
      <c r="AT59" s="762">
        <v>0</v>
      </c>
      <c r="AU59" s="762">
        <v>0</v>
      </c>
      <c r="AV59" s="762">
        <v>0</v>
      </c>
      <c r="AW59" s="762">
        <v>0</v>
      </c>
      <c r="AX59" s="762">
        <v>0</v>
      </c>
      <c r="AY59" s="762">
        <v>0</v>
      </c>
      <c r="AZ59" s="762">
        <v>0</v>
      </c>
      <c r="BA59" s="762">
        <v>0</v>
      </c>
      <c r="BB59" s="762">
        <v>0</v>
      </c>
      <c r="BC59" s="762">
        <v>0</v>
      </c>
      <c r="BD59" s="762">
        <v>0</v>
      </c>
      <c r="BE59" s="762">
        <v>0</v>
      </c>
      <c r="BF59" s="762">
        <v>0</v>
      </c>
      <c r="BG59" s="762">
        <v>0</v>
      </c>
      <c r="BH59" s="762">
        <v>0</v>
      </c>
      <c r="BI59" s="762">
        <v>0</v>
      </c>
      <c r="BJ59" s="790">
        <v>0</v>
      </c>
      <c r="BK59" s="790">
        <v>0.5</v>
      </c>
      <c r="BL59" s="790">
        <v>0.5</v>
      </c>
      <c r="BM59" s="790">
        <v>0</v>
      </c>
      <c r="BN59" s="790">
        <v>1</v>
      </c>
      <c r="BO59" s="762">
        <v>0</v>
      </c>
      <c r="BP59" s="762">
        <v>-178287</v>
      </c>
      <c r="BQ59" s="762">
        <v>-178287</v>
      </c>
      <c r="BR59" s="762">
        <v>0</v>
      </c>
      <c r="BS59" s="762">
        <v>-356574</v>
      </c>
      <c r="BT59" s="790">
        <v>0.5</v>
      </c>
      <c r="BU59" s="790">
        <v>0.4</v>
      </c>
      <c r="BV59" s="790">
        <v>0.1</v>
      </c>
      <c r="BW59" s="790">
        <v>0</v>
      </c>
      <c r="BX59" s="790">
        <v>1</v>
      </c>
      <c r="BY59" s="762">
        <v>91396</v>
      </c>
      <c r="BZ59" s="762">
        <v>73116</v>
      </c>
      <c r="CA59" s="762">
        <v>18279</v>
      </c>
      <c r="CB59" s="762">
        <v>0</v>
      </c>
      <c r="CC59" s="762">
        <v>182791</v>
      </c>
      <c r="CD59" s="762">
        <v>91396</v>
      </c>
      <c r="CE59" s="762">
        <v>-105171</v>
      </c>
      <c r="CF59" s="762">
        <v>-160008</v>
      </c>
      <c r="CG59" s="762">
        <v>0</v>
      </c>
      <c r="CH59" s="762">
        <v>-173783</v>
      </c>
      <c r="CI59" s="762">
        <v>27583638</v>
      </c>
      <c r="CJ59" s="762">
        <v>22055879</v>
      </c>
      <c r="CK59" s="762">
        <v>5338440</v>
      </c>
      <c r="CL59" s="762">
        <v>0</v>
      </c>
      <c r="CM59" s="762">
        <v>54977957</v>
      </c>
      <c r="CN59" s="762">
        <v>716702</v>
      </c>
      <c r="CO59" s="762">
        <v>179175</v>
      </c>
      <c r="CP59" s="762">
        <v>0</v>
      </c>
      <c r="CQ59" s="762">
        <v>895877</v>
      </c>
      <c r="CR59" s="762">
        <v>1088558</v>
      </c>
      <c r="CS59" s="762">
        <v>272139</v>
      </c>
      <c r="CT59" s="762">
        <v>0</v>
      </c>
      <c r="CU59" s="762">
        <v>1360697</v>
      </c>
      <c r="CV59" s="762">
        <v>96833</v>
      </c>
      <c r="CW59" s="762">
        <v>24208</v>
      </c>
      <c r="CX59" s="762">
        <v>0</v>
      </c>
      <c r="CY59" s="762">
        <v>121041</v>
      </c>
      <c r="CZ59" s="762">
        <v>206</v>
      </c>
      <c r="DA59" s="762">
        <v>52</v>
      </c>
      <c r="DB59" s="762">
        <v>0</v>
      </c>
      <c r="DC59" s="762">
        <v>258</v>
      </c>
      <c r="DD59" s="762">
        <v>0</v>
      </c>
      <c r="DE59" s="762">
        <v>0</v>
      </c>
      <c r="DF59" s="762">
        <v>0</v>
      </c>
      <c r="DG59" s="762">
        <v>0</v>
      </c>
      <c r="DH59" s="762">
        <v>0</v>
      </c>
      <c r="DI59" s="762">
        <v>0</v>
      </c>
      <c r="DJ59" s="762">
        <v>0</v>
      </c>
      <c r="DK59" s="762">
        <v>0</v>
      </c>
      <c r="DL59" s="762">
        <v>6055</v>
      </c>
      <c r="DM59" s="762">
        <v>1514</v>
      </c>
      <c r="DN59" s="762">
        <v>0</v>
      </c>
      <c r="DO59" s="762">
        <v>7569</v>
      </c>
      <c r="DP59" s="762">
        <v>22304</v>
      </c>
      <c r="DQ59" s="762">
        <v>5576</v>
      </c>
      <c r="DR59" s="762">
        <v>0</v>
      </c>
      <c r="DS59" s="762">
        <v>27880</v>
      </c>
      <c r="DT59" s="762">
        <v>0</v>
      </c>
      <c r="DU59" s="762">
        <v>0</v>
      </c>
      <c r="DV59" s="762">
        <v>0</v>
      </c>
      <c r="DW59" s="762">
        <v>0</v>
      </c>
      <c r="DX59" s="762">
        <v>0</v>
      </c>
      <c r="DY59" s="762">
        <v>0</v>
      </c>
      <c r="DZ59" s="762">
        <v>0</v>
      </c>
      <c r="EA59" s="762">
        <v>0</v>
      </c>
      <c r="EB59" s="762">
        <v>326298</v>
      </c>
      <c r="EC59" s="762">
        <v>81574</v>
      </c>
      <c r="ED59" s="762">
        <v>0</v>
      </c>
      <c r="EE59" s="762">
        <v>407872</v>
      </c>
      <c r="EF59" s="762">
        <v>2256956</v>
      </c>
      <c r="EG59" s="762">
        <v>564238</v>
      </c>
      <c r="EH59" s="762">
        <v>0</v>
      </c>
      <c r="EI59" s="799">
        <v>2821194</v>
      </c>
      <c r="EJ59" s="763" t="s">
        <v>779</v>
      </c>
      <c r="EK59" s="607" t="s">
        <v>576</v>
      </c>
      <c r="EL59" s="805" t="s">
        <v>556</v>
      </c>
      <c r="EM59" t="s">
        <v>1625</v>
      </c>
    </row>
    <row r="60" spans="1:143" ht="12.75" x14ac:dyDescent="0.2">
      <c r="A60" s="764">
        <v>53</v>
      </c>
      <c r="B60" s="765" t="s">
        <v>782</v>
      </c>
      <c r="C60" s="766" t="s">
        <v>1217</v>
      </c>
      <c r="D60" s="767" t="s">
        <v>1218</v>
      </c>
      <c r="E60" s="768" t="s">
        <v>781</v>
      </c>
      <c r="F60" s="761">
        <v>94428193</v>
      </c>
      <c r="G60" s="762">
        <v>738903</v>
      </c>
      <c r="H60" s="762">
        <v>0</v>
      </c>
      <c r="I60" s="762">
        <v>231469</v>
      </c>
      <c r="J60" s="762">
        <v>0</v>
      </c>
      <c r="K60" s="762">
        <v>231469</v>
      </c>
      <c r="L60" s="762">
        <v>0</v>
      </c>
      <c r="M60" s="762">
        <v>0</v>
      </c>
      <c r="N60" s="762">
        <v>484796</v>
      </c>
      <c r="O60" s="762">
        <v>241616</v>
      </c>
      <c r="P60" s="762">
        <v>243180</v>
      </c>
      <c r="Q60" s="762">
        <v>0</v>
      </c>
      <c r="R60" s="762">
        <v>94450831</v>
      </c>
      <c r="S60" s="790">
        <v>0.5</v>
      </c>
      <c r="T60" s="790">
        <v>0.4</v>
      </c>
      <c r="U60" s="790">
        <v>0.1</v>
      </c>
      <c r="V60" s="790">
        <v>0</v>
      </c>
      <c r="W60" s="790">
        <v>1</v>
      </c>
      <c r="X60" s="762">
        <v>47225416</v>
      </c>
      <c r="Y60" s="762">
        <v>37780332</v>
      </c>
      <c r="Z60" s="762">
        <v>9445083</v>
      </c>
      <c r="AA60" s="762">
        <v>0</v>
      </c>
      <c r="AB60" s="762">
        <v>94450831</v>
      </c>
      <c r="AC60" s="762">
        <v>0</v>
      </c>
      <c r="AD60" s="762">
        <v>0</v>
      </c>
      <c r="AE60" s="762">
        <v>0</v>
      </c>
      <c r="AF60" s="762">
        <v>0</v>
      </c>
      <c r="AG60" s="762">
        <v>0</v>
      </c>
      <c r="AH60" s="762">
        <v>47225416</v>
      </c>
      <c r="AI60" s="762">
        <v>37780332</v>
      </c>
      <c r="AJ60" s="762">
        <v>9445083</v>
      </c>
      <c r="AK60" s="762">
        <v>0</v>
      </c>
      <c r="AL60" s="762">
        <v>94450831</v>
      </c>
      <c r="AM60" s="762">
        <v>231469</v>
      </c>
      <c r="AN60" s="762">
        <v>231469</v>
      </c>
      <c r="AO60" s="762">
        <v>0</v>
      </c>
      <c r="AP60" s="762">
        <v>0</v>
      </c>
      <c r="AQ60" s="762">
        <v>241616</v>
      </c>
      <c r="AR60" s="762">
        <v>243180</v>
      </c>
      <c r="AS60" s="762">
        <v>484796</v>
      </c>
      <c r="AT60" s="762">
        <v>0</v>
      </c>
      <c r="AU60" s="762">
        <v>0</v>
      </c>
      <c r="AV60" s="762">
        <v>0</v>
      </c>
      <c r="AW60" s="762">
        <v>0</v>
      </c>
      <c r="AX60" s="762">
        <v>0</v>
      </c>
      <c r="AY60" s="762">
        <v>0</v>
      </c>
      <c r="AZ60" s="762">
        <v>0</v>
      </c>
      <c r="BA60" s="762">
        <v>0</v>
      </c>
      <c r="BB60" s="762">
        <v>0</v>
      </c>
      <c r="BC60" s="762">
        <v>0</v>
      </c>
      <c r="BD60" s="762">
        <v>0</v>
      </c>
      <c r="BE60" s="762">
        <v>0</v>
      </c>
      <c r="BF60" s="762">
        <v>0</v>
      </c>
      <c r="BG60" s="762">
        <v>0</v>
      </c>
      <c r="BH60" s="762">
        <v>0</v>
      </c>
      <c r="BI60" s="762">
        <v>0</v>
      </c>
      <c r="BJ60" s="790">
        <v>0.5</v>
      </c>
      <c r="BK60" s="790">
        <v>0.4</v>
      </c>
      <c r="BL60" s="790">
        <v>0.1</v>
      </c>
      <c r="BM60" s="790">
        <v>0</v>
      </c>
      <c r="BN60" s="790">
        <v>1</v>
      </c>
      <c r="BO60" s="762">
        <v>216619</v>
      </c>
      <c r="BP60" s="762">
        <v>173296</v>
      </c>
      <c r="BQ60" s="762">
        <v>43324</v>
      </c>
      <c r="BR60" s="762">
        <v>0</v>
      </c>
      <c r="BS60" s="762">
        <v>433239</v>
      </c>
      <c r="BT60" s="790">
        <v>0.5</v>
      </c>
      <c r="BU60" s="790">
        <v>0.4</v>
      </c>
      <c r="BV60" s="790">
        <v>0.1</v>
      </c>
      <c r="BW60" s="790">
        <v>0</v>
      </c>
      <c r="BX60" s="790">
        <v>1</v>
      </c>
      <c r="BY60" s="762">
        <v>720958</v>
      </c>
      <c r="BZ60" s="762">
        <v>576767</v>
      </c>
      <c r="CA60" s="762">
        <v>144192</v>
      </c>
      <c r="CB60" s="762">
        <v>0</v>
      </c>
      <c r="CC60" s="762">
        <v>1441917</v>
      </c>
      <c r="CD60" s="762">
        <v>937578</v>
      </c>
      <c r="CE60" s="762">
        <v>750062</v>
      </c>
      <c r="CF60" s="762">
        <v>187516</v>
      </c>
      <c r="CG60" s="762">
        <v>0</v>
      </c>
      <c r="CH60" s="762">
        <v>1875156</v>
      </c>
      <c r="CI60" s="762">
        <v>48162994</v>
      </c>
      <c r="CJ60" s="762">
        <v>39003479</v>
      </c>
      <c r="CK60" s="762">
        <v>9875779</v>
      </c>
      <c r="CL60" s="762">
        <v>0</v>
      </c>
      <c r="CM60" s="762">
        <v>97042252</v>
      </c>
      <c r="CN60" s="762">
        <v>1239004</v>
      </c>
      <c r="CO60" s="762">
        <v>315707</v>
      </c>
      <c r="CP60" s="762">
        <v>0</v>
      </c>
      <c r="CQ60" s="762">
        <v>1554711</v>
      </c>
      <c r="CR60" s="762">
        <v>1227588</v>
      </c>
      <c r="CS60" s="762">
        <v>306897</v>
      </c>
      <c r="CT60" s="762">
        <v>0</v>
      </c>
      <c r="CU60" s="762">
        <v>1534485</v>
      </c>
      <c r="CV60" s="762">
        <v>140202</v>
      </c>
      <c r="CW60" s="762">
        <v>35051</v>
      </c>
      <c r="CX60" s="762">
        <v>0</v>
      </c>
      <c r="CY60" s="762">
        <v>175253</v>
      </c>
      <c r="CZ60" s="762">
        <v>0</v>
      </c>
      <c r="DA60" s="762">
        <v>0</v>
      </c>
      <c r="DB60" s="762">
        <v>0</v>
      </c>
      <c r="DC60" s="762">
        <v>0</v>
      </c>
      <c r="DD60" s="762">
        <v>24349</v>
      </c>
      <c r="DE60" s="762">
        <v>6087</v>
      </c>
      <c r="DF60" s="762">
        <v>0</v>
      </c>
      <c r="DG60" s="762">
        <v>30436</v>
      </c>
      <c r="DH60" s="762">
        <v>352</v>
      </c>
      <c r="DI60" s="762">
        <v>88</v>
      </c>
      <c r="DJ60" s="762">
        <v>0</v>
      </c>
      <c r="DK60" s="762">
        <v>440</v>
      </c>
      <c r="DL60" s="762">
        <v>19267</v>
      </c>
      <c r="DM60" s="762">
        <v>4817</v>
      </c>
      <c r="DN60" s="762">
        <v>0</v>
      </c>
      <c r="DO60" s="762">
        <v>24084</v>
      </c>
      <c r="DP60" s="762">
        <v>60837</v>
      </c>
      <c r="DQ60" s="762">
        <v>15209</v>
      </c>
      <c r="DR60" s="762">
        <v>0</v>
      </c>
      <c r="DS60" s="762">
        <v>76046</v>
      </c>
      <c r="DT60" s="762">
        <v>0</v>
      </c>
      <c r="DU60" s="762">
        <v>0</v>
      </c>
      <c r="DV60" s="762">
        <v>0</v>
      </c>
      <c r="DW60" s="762">
        <v>0</v>
      </c>
      <c r="DX60" s="762">
        <v>0</v>
      </c>
      <c r="DY60" s="762">
        <v>0</v>
      </c>
      <c r="DZ60" s="762">
        <v>0</v>
      </c>
      <c r="EA60" s="762">
        <v>0</v>
      </c>
      <c r="EB60" s="762">
        <v>628963</v>
      </c>
      <c r="EC60" s="762">
        <v>157241</v>
      </c>
      <c r="ED60" s="762">
        <v>0</v>
      </c>
      <c r="EE60" s="762">
        <v>786204</v>
      </c>
      <c r="EF60" s="762">
        <v>3340562</v>
      </c>
      <c r="EG60" s="762">
        <v>841097</v>
      </c>
      <c r="EH60" s="762">
        <v>0</v>
      </c>
      <c r="EI60" s="799">
        <v>4181659</v>
      </c>
      <c r="EJ60" s="763" t="s">
        <v>781</v>
      </c>
      <c r="EK60" s="607" t="s">
        <v>609</v>
      </c>
      <c r="EL60" s="805" t="s">
        <v>556</v>
      </c>
      <c r="EM60" t="s">
        <v>1626</v>
      </c>
    </row>
    <row r="61" spans="1:143" ht="12.75" x14ac:dyDescent="0.2">
      <c r="A61" s="764">
        <v>54</v>
      </c>
      <c r="B61" s="765" t="s">
        <v>784</v>
      </c>
      <c r="C61" s="766" t="s">
        <v>529</v>
      </c>
      <c r="D61" s="767" t="s">
        <v>1219</v>
      </c>
      <c r="E61" s="768" t="s">
        <v>783</v>
      </c>
      <c r="F61" s="761">
        <v>140950263</v>
      </c>
      <c r="G61" s="762">
        <v>0</v>
      </c>
      <c r="H61" s="762">
        <v>444134</v>
      </c>
      <c r="I61" s="762">
        <v>571288</v>
      </c>
      <c r="J61" s="762">
        <v>0</v>
      </c>
      <c r="K61" s="762">
        <v>571288</v>
      </c>
      <c r="L61" s="762">
        <v>0</v>
      </c>
      <c r="M61" s="762">
        <v>440074</v>
      </c>
      <c r="N61" s="762">
        <v>87517</v>
      </c>
      <c r="O61" s="762">
        <v>87517</v>
      </c>
      <c r="P61" s="762">
        <v>0</v>
      </c>
      <c r="Q61" s="762">
        <v>0</v>
      </c>
      <c r="R61" s="762">
        <v>139407250</v>
      </c>
      <c r="S61" s="790">
        <v>0.5</v>
      </c>
      <c r="T61" s="790">
        <v>0.49</v>
      </c>
      <c r="U61" s="790">
        <v>0</v>
      </c>
      <c r="V61" s="790">
        <v>0.01</v>
      </c>
      <c r="W61" s="790">
        <v>1</v>
      </c>
      <c r="X61" s="762">
        <v>69703624</v>
      </c>
      <c r="Y61" s="762">
        <v>68309553</v>
      </c>
      <c r="Z61" s="762">
        <v>0</v>
      </c>
      <c r="AA61" s="762">
        <v>1394073</v>
      </c>
      <c r="AB61" s="762">
        <v>139407250</v>
      </c>
      <c r="AC61" s="762">
        <v>437400</v>
      </c>
      <c r="AD61" s="762">
        <v>0</v>
      </c>
      <c r="AE61" s="762">
        <v>0</v>
      </c>
      <c r="AF61" s="762">
        <v>0</v>
      </c>
      <c r="AG61" s="762">
        <v>437400</v>
      </c>
      <c r="AH61" s="762">
        <v>69266224</v>
      </c>
      <c r="AI61" s="762">
        <v>68309553</v>
      </c>
      <c r="AJ61" s="762">
        <v>0</v>
      </c>
      <c r="AK61" s="762">
        <v>1394073</v>
      </c>
      <c r="AL61" s="762">
        <v>138969850</v>
      </c>
      <c r="AM61" s="762">
        <v>571288</v>
      </c>
      <c r="AN61" s="762">
        <v>571288</v>
      </c>
      <c r="AO61" s="762">
        <v>440074</v>
      </c>
      <c r="AP61" s="762">
        <v>440074</v>
      </c>
      <c r="AQ61" s="762">
        <v>87517</v>
      </c>
      <c r="AR61" s="762">
        <v>0</v>
      </c>
      <c r="AS61" s="762">
        <v>87517</v>
      </c>
      <c r="AT61" s="762">
        <v>0</v>
      </c>
      <c r="AU61" s="762">
        <v>0</v>
      </c>
      <c r="AV61" s="762">
        <v>0</v>
      </c>
      <c r="AW61" s="762">
        <v>0</v>
      </c>
      <c r="AX61" s="762">
        <v>437400</v>
      </c>
      <c r="AY61" s="762">
        <v>0</v>
      </c>
      <c r="AZ61" s="762">
        <v>0</v>
      </c>
      <c r="BA61" s="762">
        <v>437400</v>
      </c>
      <c r="BB61" s="762">
        <v>0</v>
      </c>
      <c r="BC61" s="762">
        <v>0</v>
      </c>
      <c r="BD61" s="762">
        <v>0</v>
      </c>
      <c r="BE61" s="762">
        <v>0</v>
      </c>
      <c r="BF61" s="762">
        <v>0</v>
      </c>
      <c r="BG61" s="762">
        <v>0</v>
      </c>
      <c r="BH61" s="762">
        <v>0</v>
      </c>
      <c r="BI61" s="762">
        <v>0</v>
      </c>
      <c r="BJ61" s="790">
        <v>0.5</v>
      </c>
      <c r="BK61" s="790">
        <v>0.49</v>
      </c>
      <c r="BL61" s="790">
        <v>0</v>
      </c>
      <c r="BM61" s="790">
        <v>0.01</v>
      </c>
      <c r="BN61" s="790">
        <v>1</v>
      </c>
      <c r="BO61" s="762">
        <v>-1437481</v>
      </c>
      <c r="BP61" s="762">
        <v>-1408732</v>
      </c>
      <c r="BQ61" s="762">
        <v>0</v>
      </c>
      <c r="BR61" s="762">
        <v>-28750</v>
      </c>
      <c r="BS61" s="762">
        <v>-2874963</v>
      </c>
      <c r="BT61" s="790">
        <v>0.5</v>
      </c>
      <c r="BU61" s="790">
        <v>0.49</v>
      </c>
      <c r="BV61" s="790">
        <v>0</v>
      </c>
      <c r="BW61" s="790">
        <v>0.01</v>
      </c>
      <c r="BX61" s="790">
        <v>1</v>
      </c>
      <c r="BY61" s="762">
        <v>492065</v>
      </c>
      <c r="BZ61" s="762">
        <v>482224</v>
      </c>
      <c r="CA61" s="762">
        <v>0</v>
      </c>
      <c r="CB61" s="762">
        <v>9841</v>
      </c>
      <c r="CC61" s="762">
        <v>984130</v>
      </c>
      <c r="CD61" s="762">
        <v>-945417</v>
      </c>
      <c r="CE61" s="762">
        <v>-926508</v>
      </c>
      <c r="CF61" s="762">
        <v>0</v>
      </c>
      <c r="CG61" s="762">
        <v>-18908</v>
      </c>
      <c r="CH61" s="762">
        <v>-1890833</v>
      </c>
      <c r="CI61" s="762">
        <v>68320807</v>
      </c>
      <c r="CJ61" s="762">
        <v>68919324</v>
      </c>
      <c r="CK61" s="762">
        <v>0</v>
      </c>
      <c r="CL61" s="762">
        <v>1375165</v>
      </c>
      <c r="CM61" s="762">
        <v>138615296</v>
      </c>
      <c r="CN61" s="762">
        <v>2257419</v>
      </c>
      <c r="CO61" s="762">
        <v>0</v>
      </c>
      <c r="CP61" s="762">
        <v>45428</v>
      </c>
      <c r="CQ61" s="762">
        <v>2302847</v>
      </c>
      <c r="CR61" s="762">
        <v>5118748</v>
      </c>
      <c r="CS61" s="762">
        <v>0</v>
      </c>
      <c r="CT61" s="762">
        <v>104117</v>
      </c>
      <c r="CU61" s="762">
        <v>5222865</v>
      </c>
      <c r="CV61" s="762">
        <v>360271</v>
      </c>
      <c r="CW61" s="762">
        <v>0</v>
      </c>
      <c r="CX61" s="762">
        <v>7304</v>
      </c>
      <c r="CY61" s="762">
        <v>367575</v>
      </c>
      <c r="CZ61" s="762">
        <v>43096</v>
      </c>
      <c r="DA61" s="762">
        <v>0</v>
      </c>
      <c r="DB61" s="762">
        <v>880</v>
      </c>
      <c r="DC61" s="762">
        <v>43976</v>
      </c>
      <c r="DD61" s="762">
        <v>6773</v>
      </c>
      <c r="DE61" s="762">
        <v>0</v>
      </c>
      <c r="DF61" s="762">
        <v>138</v>
      </c>
      <c r="DG61" s="762">
        <v>6911</v>
      </c>
      <c r="DH61" s="762">
        <v>759</v>
      </c>
      <c r="DI61" s="762">
        <v>0</v>
      </c>
      <c r="DJ61" s="762">
        <v>15</v>
      </c>
      <c r="DK61" s="762">
        <v>774</v>
      </c>
      <c r="DL61" s="762">
        <v>30012</v>
      </c>
      <c r="DM61" s="762">
        <v>0</v>
      </c>
      <c r="DN61" s="762">
        <v>613</v>
      </c>
      <c r="DO61" s="762">
        <v>30625</v>
      </c>
      <c r="DP61" s="762">
        <v>76557</v>
      </c>
      <c r="DQ61" s="762">
        <v>0</v>
      </c>
      <c r="DR61" s="762">
        <v>1562</v>
      </c>
      <c r="DS61" s="762">
        <v>78119</v>
      </c>
      <c r="DT61" s="762">
        <v>0</v>
      </c>
      <c r="DU61" s="762">
        <v>0</v>
      </c>
      <c r="DV61" s="762">
        <v>0</v>
      </c>
      <c r="DW61" s="762">
        <v>0</v>
      </c>
      <c r="DX61" s="762">
        <v>0</v>
      </c>
      <c r="DY61" s="762">
        <v>0</v>
      </c>
      <c r="DZ61" s="762">
        <v>0</v>
      </c>
      <c r="EA61" s="762">
        <v>0</v>
      </c>
      <c r="EB61" s="762">
        <v>1310878</v>
      </c>
      <c r="EC61" s="762">
        <v>0</v>
      </c>
      <c r="ED61" s="762">
        <v>26753</v>
      </c>
      <c r="EE61" s="762">
        <v>1337631</v>
      </c>
      <c r="EF61" s="762">
        <v>9204513</v>
      </c>
      <c r="EG61" s="762">
        <v>0</v>
      </c>
      <c r="EH61" s="762">
        <v>186810</v>
      </c>
      <c r="EI61" s="799">
        <v>9391323</v>
      </c>
      <c r="EJ61" s="763" t="s">
        <v>783</v>
      </c>
      <c r="EK61" s="607" t="s">
        <v>529</v>
      </c>
      <c r="EL61" s="805" t="s">
        <v>549</v>
      </c>
      <c r="EM61" t="s">
        <v>1627</v>
      </c>
    </row>
    <row r="62" spans="1:143" ht="12.75" x14ac:dyDescent="0.2">
      <c r="A62" s="764">
        <v>55</v>
      </c>
      <c r="B62" s="765" t="s">
        <v>785</v>
      </c>
      <c r="C62" s="766" t="s">
        <v>529</v>
      </c>
      <c r="D62" s="767" t="s">
        <v>1219</v>
      </c>
      <c r="E62" s="768" t="s">
        <v>551</v>
      </c>
      <c r="F62" s="761">
        <v>148766320</v>
      </c>
      <c r="G62" s="762">
        <v>0</v>
      </c>
      <c r="H62" s="762">
        <v>5700000</v>
      </c>
      <c r="I62" s="762">
        <v>470534</v>
      </c>
      <c r="J62" s="762">
        <v>0</v>
      </c>
      <c r="K62" s="762">
        <v>470534</v>
      </c>
      <c r="L62" s="762">
        <v>0</v>
      </c>
      <c r="M62" s="762">
        <v>56478</v>
      </c>
      <c r="N62" s="762">
        <v>484000</v>
      </c>
      <c r="O62" s="762">
        <v>484000</v>
      </c>
      <c r="P62" s="762">
        <v>0</v>
      </c>
      <c r="Q62" s="762">
        <v>0</v>
      </c>
      <c r="R62" s="762">
        <v>142055308</v>
      </c>
      <c r="S62" s="790">
        <v>0.5</v>
      </c>
      <c r="T62" s="790">
        <v>0.49</v>
      </c>
      <c r="U62" s="790">
        <v>0</v>
      </c>
      <c r="V62" s="790">
        <v>0.01</v>
      </c>
      <c r="W62" s="790">
        <v>1</v>
      </c>
      <c r="X62" s="762">
        <v>71027654</v>
      </c>
      <c r="Y62" s="762">
        <v>69607101</v>
      </c>
      <c r="Z62" s="762">
        <v>0</v>
      </c>
      <c r="AA62" s="762">
        <v>1420553</v>
      </c>
      <c r="AB62" s="762">
        <v>142055308</v>
      </c>
      <c r="AC62" s="762">
        <v>219826</v>
      </c>
      <c r="AD62" s="762">
        <v>0</v>
      </c>
      <c r="AE62" s="762">
        <v>0</v>
      </c>
      <c r="AF62" s="762">
        <v>0</v>
      </c>
      <c r="AG62" s="762">
        <v>219826</v>
      </c>
      <c r="AH62" s="762">
        <v>70807828</v>
      </c>
      <c r="AI62" s="762">
        <v>69607101</v>
      </c>
      <c r="AJ62" s="762">
        <v>0</v>
      </c>
      <c r="AK62" s="762">
        <v>1420553</v>
      </c>
      <c r="AL62" s="762">
        <v>141835482</v>
      </c>
      <c r="AM62" s="762">
        <v>470534</v>
      </c>
      <c r="AN62" s="762">
        <v>470534</v>
      </c>
      <c r="AO62" s="762">
        <v>56478</v>
      </c>
      <c r="AP62" s="762">
        <v>56478</v>
      </c>
      <c r="AQ62" s="762">
        <v>484000</v>
      </c>
      <c r="AR62" s="762">
        <v>0</v>
      </c>
      <c r="AS62" s="762">
        <v>484000</v>
      </c>
      <c r="AT62" s="762">
        <v>0</v>
      </c>
      <c r="AU62" s="762">
        <v>0</v>
      </c>
      <c r="AV62" s="762">
        <v>0</v>
      </c>
      <c r="AW62" s="762">
        <v>0</v>
      </c>
      <c r="AX62" s="762">
        <v>219826</v>
      </c>
      <c r="AY62" s="762">
        <v>0</v>
      </c>
      <c r="AZ62" s="762">
        <v>0</v>
      </c>
      <c r="BA62" s="762">
        <v>219826</v>
      </c>
      <c r="BB62" s="762">
        <v>0</v>
      </c>
      <c r="BC62" s="762">
        <v>0</v>
      </c>
      <c r="BD62" s="762">
        <v>0</v>
      </c>
      <c r="BE62" s="762">
        <v>0</v>
      </c>
      <c r="BF62" s="762">
        <v>0</v>
      </c>
      <c r="BG62" s="762">
        <v>0</v>
      </c>
      <c r="BH62" s="762">
        <v>0</v>
      </c>
      <c r="BI62" s="762">
        <v>0</v>
      </c>
      <c r="BJ62" s="790">
        <v>0.5</v>
      </c>
      <c r="BK62" s="790">
        <v>0.49</v>
      </c>
      <c r="BL62" s="790">
        <v>0</v>
      </c>
      <c r="BM62" s="790">
        <v>0.01</v>
      </c>
      <c r="BN62" s="790">
        <v>1</v>
      </c>
      <c r="BO62" s="762">
        <v>-1463889</v>
      </c>
      <c r="BP62" s="762">
        <v>-1434611</v>
      </c>
      <c r="BQ62" s="762">
        <v>0</v>
      </c>
      <c r="BR62" s="762">
        <v>-29278</v>
      </c>
      <c r="BS62" s="762">
        <v>-2927778</v>
      </c>
      <c r="BT62" s="790">
        <v>0.5</v>
      </c>
      <c r="BU62" s="790">
        <v>0.49</v>
      </c>
      <c r="BV62" s="790">
        <v>0</v>
      </c>
      <c r="BW62" s="790">
        <v>0.01</v>
      </c>
      <c r="BX62" s="790">
        <v>1</v>
      </c>
      <c r="BY62" s="762">
        <v>798897</v>
      </c>
      <c r="BZ62" s="762">
        <v>782919</v>
      </c>
      <c r="CA62" s="762">
        <v>0</v>
      </c>
      <c r="CB62" s="762">
        <v>15978</v>
      </c>
      <c r="CC62" s="762">
        <v>1597794</v>
      </c>
      <c r="CD62" s="762">
        <v>-664992</v>
      </c>
      <c r="CE62" s="762">
        <v>-651692</v>
      </c>
      <c r="CF62" s="762">
        <v>0</v>
      </c>
      <c r="CG62" s="762">
        <v>-13300</v>
      </c>
      <c r="CH62" s="762">
        <v>-1329984</v>
      </c>
      <c r="CI62" s="762">
        <v>70142836</v>
      </c>
      <c r="CJ62" s="762">
        <v>70186247</v>
      </c>
      <c r="CK62" s="762">
        <v>0</v>
      </c>
      <c r="CL62" s="762">
        <v>1407253</v>
      </c>
      <c r="CM62" s="762">
        <v>141736336</v>
      </c>
      <c r="CN62" s="762">
        <v>2293032</v>
      </c>
      <c r="CO62" s="762">
        <v>0</v>
      </c>
      <c r="CP62" s="762">
        <v>46291</v>
      </c>
      <c r="CQ62" s="762">
        <v>2339323</v>
      </c>
      <c r="CR62" s="762">
        <v>3886947</v>
      </c>
      <c r="CS62" s="762">
        <v>0</v>
      </c>
      <c r="CT62" s="762">
        <v>79325</v>
      </c>
      <c r="CU62" s="762">
        <v>3966272</v>
      </c>
      <c r="CV62" s="762">
        <v>284727</v>
      </c>
      <c r="CW62" s="762">
        <v>0</v>
      </c>
      <c r="CX62" s="762">
        <v>5797</v>
      </c>
      <c r="CY62" s="762">
        <v>290524</v>
      </c>
      <c r="CZ62" s="762">
        <v>17203</v>
      </c>
      <c r="DA62" s="762">
        <v>0</v>
      </c>
      <c r="DB62" s="762">
        <v>351</v>
      </c>
      <c r="DC62" s="762">
        <v>17554</v>
      </c>
      <c r="DD62" s="762">
        <v>0</v>
      </c>
      <c r="DE62" s="762">
        <v>0</v>
      </c>
      <c r="DF62" s="762">
        <v>0</v>
      </c>
      <c r="DG62" s="762">
        <v>0</v>
      </c>
      <c r="DH62" s="762">
        <v>1012</v>
      </c>
      <c r="DI62" s="762">
        <v>0</v>
      </c>
      <c r="DJ62" s="762">
        <v>21</v>
      </c>
      <c r="DK62" s="762">
        <v>1033</v>
      </c>
      <c r="DL62" s="762">
        <v>25299</v>
      </c>
      <c r="DM62" s="762">
        <v>0</v>
      </c>
      <c r="DN62" s="762">
        <v>516</v>
      </c>
      <c r="DO62" s="762">
        <v>25815</v>
      </c>
      <c r="DP62" s="762">
        <v>91074</v>
      </c>
      <c r="DQ62" s="762">
        <v>0</v>
      </c>
      <c r="DR62" s="762">
        <v>1859</v>
      </c>
      <c r="DS62" s="762">
        <v>92933</v>
      </c>
      <c r="DT62" s="762">
        <v>0</v>
      </c>
      <c r="DU62" s="762">
        <v>0</v>
      </c>
      <c r="DV62" s="762">
        <v>0</v>
      </c>
      <c r="DW62" s="762">
        <v>0</v>
      </c>
      <c r="DX62" s="762">
        <v>0</v>
      </c>
      <c r="DY62" s="762">
        <v>0</v>
      </c>
      <c r="DZ62" s="762">
        <v>0</v>
      </c>
      <c r="EA62" s="762">
        <v>0</v>
      </c>
      <c r="EB62" s="762">
        <v>1315516</v>
      </c>
      <c r="EC62" s="762">
        <v>0</v>
      </c>
      <c r="ED62" s="762">
        <v>26847</v>
      </c>
      <c r="EE62" s="762">
        <v>1342363</v>
      </c>
      <c r="EF62" s="762">
        <v>7914810</v>
      </c>
      <c r="EG62" s="762">
        <v>0</v>
      </c>
      <c r="EH62" s="762">
        <v>161007</v>
      </c>
      <c r="EI62" s="799">
        <v>8075817</v>
      </c>
      <c r="EJ62" s="763" t="s">
        <v>551</v>
      </c>
      <c r="EK62" s="607" t="s">
        <v>529</v>
      </c>
      <c r="EL62" s="805" t="s">
        <v>549</v>
      </c>
      <c r="EM62" t="s">
        <v>1628</v>
      </c>
    </row>
    <row r="63" spans="1:143" ht="12.75" x14ac:dyDescent="0.2">
      <c r="A63" s="764">
        <v>56</v>
      </c>
      <c r="B63" s="765" t="s">
        <v>787</v>
      </c>
      <c r="C63" s="766" t="s">
        <v>1217</v>
      </c>
      <c r="D63" s="767" t="s">
        <v>1220</v>
      </c>
      <c r="E63" s="768" t="s">
        <v>786</v>
      </c>
      <c r="F63" s="761">
        <v>38705294</v>
      </c>
      <c r="G63" s="762">
        <v>0</v>
      </c>
      <c r="H63" s="762">
        <v>124955</v>
      </c>
      <c r="I63" s="762">
        <v>163692</v>
      </c>
      <c r="J63" s="762">
        <v>0</v>
      </c>
      <c r="K63" s="762">
        <v>163692</v>
      </c>
      <c r="L63" s="762">
        <v>0</v>
      </c>
      <c r="M63" s="762">
        <v>1890253</v>
      </c>
      <c r="N63" s="762">
        <v>49532</v>
      </c>
      <c r="O63" s="762">
        <v>49532</v>
      </c>
      <c r="P63" s="762">
        <v>0</v>
      </c>
      <c r="Q63" s="762">
        <v>0</v>
      </c>
      <c r="R63" s="762">
        <v>36476862</v>
      </c>
      <c r="S63" s="790">
        <v>0.5</v>
      </c>
      <c r="T63" s="790">
        <v>0.4</v>
      </c>
      <c r="U63" s="790">
        <v>0.09</v>
      </c>
      <c r="V63" s="790">
        <v>0.01</v>
      </c>
      <c r="W63" s="790">
        <v>1</v>
      </c>
      <c r="X63" s="762">
        <v>18238430</v>
      </c>
      <c r="Y63" s="762">
        <v>14590745</v>
      </c>
      <c r="Z63" s="762">
        <v>3282918</v>
      </c>
      <c r="AA63" s="762">
        <v>364769</v>
      </c>
      <c r="AB63" s="762">
        <v>36476862</v>
      </c>
      <c r="AC63" s="762">
        <v>0</v>
      </c>
      <c r="AD63" s="762">
        <v>0</v>
      </c>
      <c r="AE63" s="762">
        <v>0</v>
      </c>
      <c r="AF63" s="762">
        <v>0</v>
      </c>
      <c r="AG63" s="762">
        <v>0</v>
      </c>
      <c r="AH63" s="762">
        <v>18238430</v>
      </c>
      <c r="AI63" s="762">
        <v>14590745</v>
      </c>
      <c r="AJ63" s="762">
        <v>3282918</v>
      </c>
      <c r="AK63" s="762">
        <v>364769</v>
      </c>
      <c r="AL63" s="762">
        <v>36476862</v>
      </c>
      <c r="AM63" s="762">
        <v>163692</v>
      </c>
      <c r="AN63" s="762">
        <v>163692</v>
      </c>
      <c r="AO63" s="762">
        <v>1890253</v>
      </c>
      <c r="AP63" s="762">
        <v>1890253</v>
      </c>
      <c r="AQ63" s="762">
        <v>49532</v>
      </c>
      <c r="AR63" s="762">
        <v>0</v>
      </c>
      <c r="AS63" s="762">
        <v>49532</v>
      </c>
      <c r="AT63" s="762">
        <v>0</v>
      </c>
      <c r="AU63" s="762">
        <v>0</v>
      </c>
      <c r="AV63" s="762">
        <v>0</v>
      </c>
      <c r="AW63" s="762">
        <v>0</v>
      </c>
      <c r="AX63" s="762">
        <v>0</v>
      </c>
      <c r="AY63" s="762">
        <v>0</v>
      </c>
      <c r="AZ63" s="762">
        <v>0</v>
      </c>
      <c r="BA63" s="762">
        <v>0</v>
      </c>
      <c r="BB63" s="762">
        <v>0</v>
      </c>
      <c r="BC63" s="762">
        <v>0</v>
      </c>
      <c r="BD63" s="762">
        <v>0</v>
      </c>
      <c r="BE63" s="762">
        <v>0</v>
      </c>
      <c r="BF63" s="762">
        <v>0</v>
      </c>
      <c r="BG63" s="762">
        <v>0</v>
      </c>
      <c r="BH63" s="762">
        <v>0</v>
      </c>
      <c r="BI63" s="762">
        <v>0</v>
      </c>
      <c r="BJ63" s="790">
        <v>0</v>
      </c>
      <c r="BK63" s="790">
        <v>0.5</v>
      </c>
      <c r="BL63" s="790">
        <v>0.49</v>
      </c>
      <c r="BM63" s="790">
        <v>0.01</v>
      </c>
      <c r="BN63" s="790">
        <v>1</v>
      </c>
      <c r="BO63" s="762">
        <v>0</v>
      </c>
      <c r="BP63" s="762">
        <v>296433</v>
      </c>
      <c r="BQ63" s="762">
        <v>290504</v>
      </c>
      <c r="BR63" s="762">
        <v>5929</v>
      </c>
      <c r="BS63" s="762">
        <v>592866</v>
      </c>
      <c r="BT63" s="790">
        <v>0.5</v>
      </c>
      <c r="BU63" s="790">
        <v>0.4</v>
      </c>
      <c r="BV63" s="790">
        <v>0.09</v>
      </c>
      <c r="BW63" s="790">
        <v>0.01</v>
      </c>
      <c r="BX63" s="790">
        <v>1</v>
      </c>
      <c r="BY63" s="762">
        <v>-1590094</v>
      </c>
      <c r="BZ63" s="762">
        <v>-1272075</v>
      </c>
      <c r="CA63" s="762">
        <v>-286217</v>
      </c>
      <c r="CB63" s="762">
        <v>-31802</v>
      </c>
      <c r="CC63" s="762">
        <v>-3180188</v>
      </c>
      <c r="CD63" s="762">
        <v>-1590094</v>
      </c>
      <c r="CE63" s="762">
        <v>-975642</v>
      </c>
      <c r="CF63" s="762">
        <v>4287</v>
      </c>
      <c r="CG63" s="762">
        <v>-25873</v>
      </c>
      <c r="CH63" s="762">
        <v>-2587322</v>
      </c>
      <c r="CI63" s="762">
        <v>16648336</v>
      </c>
      <c r="CJ63" s="762">
        <v>15718580</v>
      </c>
      <c r="CK63" s="762">
        <v>3287205</v>
      </c>
      <c r="CL63" s="762">
        <v>338896</v>
      </c>
      <c r="CM63" s="762">
        <v>35993017</v>
      </c>
      <c r="CN63" s="762">
        <v>538673</v>
      </c>
      <c r="CO63" s="762">
        <v>106979</v>
      </c>
      <c r="CP63" s="762">
        <v>11887</v>
      </c>
      <c r="CQ63" s="762">
        <v>657539</v>
      </c>
      <c r="CR63" s="762">
        <v>1318269</v>
      </c>
      <c r="CS63" s="762">
        <v>296610</v>
      </c>
      <c r="CT63" s="762">
        <v>32957</v>
      </c>
      <c r="CU63" s="762">
        <v>1647836</v>
      </c>
      <c r="CV63" s="762">
        <v>92044</v>
      </c>
      <c r="CW63" s="762">
        <v>20710</v>
      </c>
      <c r="CX63" s="762">
        <v>2301</v>
      </c>
      <c r="CY63" s="762">
        <v>115055</v>
      </c>
      <c r="CZ63" s="762">
        <v>2211</v>
      </c>
      <c r="DA63" s="762">
        <v>497</v>
      </c>
      <c r="DB63" s="762">
        <v>55</v>
      </c>
      <c r="DC63" s="762">
        <v>2763</v>
      </c>
      <c r="DD63" s="762">
        <v>1642</v>
      </c>
      <c r="DE63" s="762">
        <v>369</v>
      </c>
      <c r="DF63" s="762">
        <v>41</v>
      </c>
      <c r="DG63" s="762">
        <v>2052</v>
      </c>
      <c r="DH63" s="762">
        <v>620</v>
      </c>
      <c r="DI63" s="762">
        <v>139</v>
      </c>
      <c r="DJ63" s="762">
        <v>15</v>
      </c>
      <c r="DK63" s="762">
        <v>774</v>
      </c>
      <c r="DL63" s="762">
        <v>9553</v>
      </c>
      <c r="DM63" s="762">
        <v>2149</v>
      </c>
      <c r="DN63" s="762">
        <v>239</v>
      </c>
      <c r="DO63" s="762">
        <v>11941</v>
      </c>
      <c r="DP63" s="762">
        <v>25853</v>
      </c>
      <c r="DQ63" s="762">
        <v>5817</v>
      </c>
      <c r="DR63" s="762">
        <v>646</v>
      </c>
      <c r="DS63" s="762">
        <v>32316</v>
      </c>
      <c r="DT63" s="762">
        <v>0</v>
      </c>
      <c r="DU63" s="762">
        <v>0</v>
      </c>
      <c r="DV63" s="762">
        <v>0</v>
      </c>
      <c r="DW63" s="762">
        <v>0</v>
      </c>
      <c r="DX63" s="762">
        <v>0</v>
      </c>
      <c r="DY63" s="762">
        <v>0</v>
      </c>
      <c r="DZ63" s="762">
        <v>0</v>
      </c>
      <c r="EA63" s="762">
        <v>0</v>
      </c>
      <c r="EB63" s="762">
        <v>693467</v>
      </c>
      <c r="EC63" s="762">
        <v>156030</v>
      </c>
      <c r="ED63" s="762">
        <v>17337</v>
      </c>
      <c r="EE63" s="762">
        <v>866834</v>
      </c>
      <c r="EF63" s="762">
        <v>2682332</v>
      </c>
      <c r="EG63" s="762">
        <v>589300</v>
      </c>
      <c r="EH63" s="762">
        <v>65478</v>
      </c>
      <c r="EI63" s="799">
        <v>3337110</v>
      </c>
      <c r="EJ63" s="763" t="s">
        <v>786</v>
      </c>
      <c r="EK63" s="607" t="s">
        <v>560</v>
      </c>
      <c r="EL63" s="805" t="s">
        <v>559</v>
      </c>
      <c r="EM63" t="s">
        <v>1629</v>
      </c>
    </row>
    <row r="64" spans="1:143" ht="12.75" x14ac:dyDescent="0.2">
      <c r="A64" s="764">
        <v>57</v>
      </c>
      <c r="B64" s="765" t="s">
        <v>789</v>
      </c>
      <c r="C64" s="766" t="s">
        <v>1217</v>
      </c>
      <c r="D64" s="767" t="s">
        <v>1218</v>
      </c>
      <c r="E64" s="768" t="s">
        <v>788</v>
      </c>
      <c r="F64" s="761">
        <v>47478108</v>
      </c>
      <c r="G64" s="762">
        <v>672979</v>
      </c>
      <c r="H64" s="762">
        <v>0</v>
      </c>
      <c r="I64" s="762">
        <v>199143</v>
      </c>
      <c r="J64" s="762">
        <v>0</v>
      </c>
      <c r="K64" s="762">
        <v>199143</v>
      </c>
      <c r="L64" s="762">
        <v>0</v>
      </c>
      <c r="M64" s="762">
        <v>0</v>
      </c>
      <c r="N64" s="762">
        <v>118534</v>
      </c>
      <c r="O64" s="762">
        <v>106199</v>
      </c>
      <c r="P64" s="762">
        <v>12335</v>
      </c>
      <c r="Q64" s="762">
        <v>0</v>
      </c>
      <c r="R64" s="762">
        <v>47833410</v>
      </c>
      <c r="S64" s="790">
        <v>0.24999999999999994</v>
      </c>
      <c r="T64" s="790">
        <v>0.2</v>
      </c>
      <c r="U64" s="790">
        <v>0.55000000000000004</v>
      </c>
      <c r="V64" s="790">
        <v>0</v>
      </c>
      <c r="W64" s="790">
        <v>1</v>
      </c>
      <c r="X64" s="762">
        <v>11958352</v>
      </c>
      <c r="Y64" s="762">
        <v>9566682</v>
      </c>
      <c r="Z64" s="762">
        <v>26308376</v>
      </c>
      <c r="AA64" s="762">
        <v>0</v>
      </c>
      <c r="AB64" s="762">
        <v>47833410</v>
      </c>
      <c r="AC64" s="762">
        <v>0</v>
      </c>
      <c r="AD64" s="762">
        <v>0</v>
      </c>
      <c r="AE64" s="762">
        <v>0</v>
      </c>
      <c r="AF64" s="762">
        <v>0</v>
      </c>
      <c r="AG64" s="762">
        <v>0</v>
      </c>
      <c r="AH64" s="762">
        <v>11958352</v>
      </c>
      <c r="AI64" s="762">
        <v>9566682</v>
      </c>
      <c r="AJ64" s="762">
        <v>26308376</v>
      </c>
      <c r="AK64" s="762">
        <v>0</v>
      </c>
      <c r="AL64" s="762">
        <v>47833410</v>
      </c>
      <c r="AM64" s="762">
        <v>199143</v>
      </c>
      <c r="AN64" s="762">
        <v>199143</v>
      </c>
      <c r="AO64" s="762">
        <v>0</v>
      </c>
      <c r="AP64" s="762">
        <v>0</v>
      </c>
      <c r="AQ64" s="762">
        <v>106199</v>
      </c>
      <c r="AR64" s="762">
        <v>12335</v>
      </c>
      <c r="AS64" s="762">
        <v>118534</v>
      </c>
      <c r="AT64" s="762">
        <v>0</v>
      </c>
      <c r="AU64" s="762">
        <v>0</v>
      </c>
      <c r="AV64" s="762">
        <v>0</v>
      </c>
      <c r="AW64" s="762">
        <v>0</v>
      </c>
      <c r="AX64" s="762">
        <v>0</v>
      </c>
      <c r="AY64" s="762">
        <v>0</v>
      </c>
      <c r="AZ64" s="762">
        <v>0</v>
      </c>
      <c r="BA64" s="762">
        <v>0</v>
      </c>
      <c r="BB64" s="762">
        <v>0</v>
      </c>
      <c r="BC64" s="762">
        <v>0</v>
      </c>
      <c r="BD64" s="762">
        <v>0</v>
      </c>
      <c r="BE64" s="762">
        <v>0</v>
      </c>
      <c r="BF64" s="762">
        <v>0</v>
      </c>
      <c r="BG64" s="762">
        <v>0</v>
      </c>
      <c r="BH64" s="762">
        <v>0</v>
      </c>
      <c r="BI64" s="762">
        <v>0</v>
      </c>
      <c r="BJ64" s="790">
        <v>0.5</v>
      </c>
      <c r="BK64" s="790">
        <v>0.4</v>
      </c>
      <c r="BL64" s="790">
        <v>0.1</v>
      </c>
      <c r="BM64" s="790">
        <v>0</v>
      </c>
      <c r="BN64" s="790">
        <v>1</v>
      </c>
      <c r="BO64" s="762">
        <v>-230302</v>
      </c>
      <c r="BP64" s="762">
        <v>-184241</v>
      </c>
      <c r="BQ64" s="762">
        <v>-46060</v>
      </c>
      <c r="BR64" s="762">
        <v>0</v>
      </c>
      <c r="BS64" s="762">
        <v>-460603</v>
      </c>
      <c r="BT64" s="790">
        <v>0.5</v>
      </c>
      <c r="BU64" s="790">
        <v>0.4</v>
      </c>
      <c r="BV64" s="790">
        <v>0.1</v>
      </c>
      <c r="BW64" s="790">
        <v>0</v>
      </c>
      <c r="BX64" s="790">
        <v>1</v>
      </c>
      <c r="BY64" s="762">
        <v>260117</v>
      </c>
      <c r="BZ64" s="762">
        <v>208094</v>
      </c>
      <c r="CA64" s="762">
        <v>52024</v>
      </c>
      <c r="CB64" s="762">
        <v>0</v>
      </c>
      <c r="CC64" s="762">
        <v>520235</v>
      </c>
      <c r="CD64" s="762">
        <v>29816</v>
      </c>
      <c r="CE64" s="762">
        <v>23853</v>
      </c>
      <c r="CF64" s="762">
        <v>5963</v>
      </c>
      <c r="CG64" s="762">
        <v>0</v>
      </c>
      <c r="CH64" s="762">
        <v>59632</v>
      </c>
      <c r="CI64" s="762">
        <v>11988168</v>
      </c>
      <c r="CJ64" s="762">
        <v>9895877</v>
      </c>
      <c r="CK64" s="762">
        <v>26326674</v>
      </c>
      <c r="CL64" s="762">
        <v>0</v>
      </c>
      <c r="CM64" s="762">
        <v>48210719</v>
      </c>
      <c r="CN64" s="762">
        <v>315206</v>
      </c>
      <c r="CO64" s="762">
        <v>857701</v>
      </c>
      <c r="CP64" s="762">
        <v>0</v>
      </c>
      <c r="CQ64" s="762">
        <v>1172907</v>
      </c>
      <c r="CR64" s="762">
        <v>779178</v>
      </c>
      <c r="CS64" s="762">
        <v>2142738</v>
      </c>
      <c r="CT64" s="762">
        <v>0</v>
      </c>
      <c r="CU64" s="762">
        <v>2921916</v>
      </c>
      <c r="CV64" s="762">
        <v>52623</v>
      </c>
      <c r="CW64" s="762">
        <v>144714</v>
      </c>
      <c r="CX64" s="762">
        <v>0</v>
      </c>
      <c r="CY64" s="762">
        <v>197337</v>
      </c>
      <c r="CZ64" s="762">
        <v>1962</v>
      </c>
      <c r="DA64" s="762">
        <v>5395</v>
      </c>
      <c r="DB64" s="762">
        <v>0</v>
      </c>
      <c r="DC64" s="762">
        <v>7357</v>
      </c>
      <c r="DD64" s="762">
        <v>4062</v>
      </c>
      <c r="DE64" s="762">
        <v>11170</v>
      </c>
      <c r="DF64" s="762">
        <v>0</v>
      </c>
      <c r="DG64" s="762">
        <v>15232</v>
      </c>
      <c r="DH64" s="762">
        <v>619</v>
      </c>
      <c r="DI64" s="762">
        <v>1704</v>
      </c>
      <c r="DJ64" s="762">
        <v>0</v>
      </c>
      <c r="DK64" s="762">
        <v>2323</v>
      </c>
      <c r="DL64" s="762">
        <v>11798</v>
      </c>
      <c r="DM64" s="762">
        <v>32443</v>
      </c>
      <c r="DN64" s="762">
        <v>0</v>
      </c>
      <c r="DO64" s="762">
        <v>44241</v>
      </c>
      <c r="DP64" s="762">
        <v>18896</v>
      </c>
      <c r="DQ64" s="762">
        <v>51965</v>
      </c>
      <c r="DR64" s="762">
        <v>0</v>
      </c>
      <c r="DS64" s="762">
        <v>70861</v>
      </c>
      <c r="DT64" s="762">
        <v>0</v>
      </c>
      <c r="DU64" s="762">
        <v>0</v>
      </c>
      <c r="DV64" s="762">
        <v>0</v>
      </c>
      <c r="DW64" s="762">
        <v>0</v>
      </c>
      <c r="DX64" s="762">
        <v>0</v>
      </c>
      <c r="DY64" s="762">
        <v>0</v>
      </c>
      <c r="DZ64" s="762">
        <v>0</v>
      </c>
      <c r="EA64" s="762">
        <v>0</v>
      </c>
      <c r="EB64" s="762">
        <v>337863</v>
      </c>
      <c r="EC64" s="762">
        <v>929121</v>
      </c>
      <c r="ED64" s="762">
        <v>0</v>
      </c>
      <c r="EE64" s="762">
        <v>1266984</v>
      </c>
      <c r="EF64" s="762">
        <v>1522207</v>
      </c>
      <c r="EG64" s="762">
        <v>4176951</v>
      </c>
      <c r="EH64" s="762">
        <v>0</v>
      </c>
      <c r="EI64" s="799">
        <v>5699158</v>
      </c>
      <c r="EJ64" s="763" t="s">
        <v>788</v>
      </c>
      <c r="EK64" s="607" t="s">
        <v>618</v>
      </c>
      <c r="EL64" s="805" t="s">
        <v>556</v>
      </c>
      <c r="EM64" t="s">
        <v>1630</v>
      </c>
    </row>
    <row r="65" spans="1:143" ht="12.75" x14ac:dyDescent="0.2">
      <c r="A65" s="764">
        <v>58</v>
      </c>
      <c r="B65" s="765" t="s">
        <v>791</v>
      </c>
      <c r="C65" s="766" t="s">
        <v>1217</v>
      </c>
      <c r="D65" s="767" t="s">
        <v>1218</v>
      </c>
      <c r="E65" s="768" t="s">
        <v>790</v>
      </c>
      <c r="F65" s="761">
        <v>20900445.830000002</v>
      </c>
      <c r="G65" s="762">
        <v>356385.05000000005</v>
      </c>
      <c r="H65" s="762">
        <v>0</v>
      </c>
      <c r="I65" s="762">
        <v>108531</v>
      </c>
      <c r="J65" s="762">
        <v>0</v>
      </c>
      <c r="K65" s="762">
        <v>108531</v>
      </c>
      <c r="L65" s="762">
        <v>0</v>
      </c>
      <c r="M65" s="762">
        <v>0</v>
      </c>
      <c r="N65" s="762">
        <v>0</v>
      </c>
      <c r="O65" s="762">
        <v>0</v>
      </c>
      <c r="P65" s="762">
        <v>0</v>
      </c>
      <c r="Q65" s="762">
        <v>0</v>
      </c>
      <c r="R65" s="762">
        <v>21148300</v>
      </c>
      <c r="S65" s="790">
        <v>0.25000000000000006</v>
      </c>
      <c r="T65" s="790">
        <v>0.42499999999999999</v>
      </c>
      <c r="U65" s="790">
        <v>0.315</v>
      </c>
      <c r="V65" s="790">
        <v>0.01</v>
      </c>
      <c r="W65" s="790">
        <v>1</v>
      </c>
      <c r="X65" s="762">
        <v>5287074</v>
      </c>
      <c r="Y65" s="762">
        <v>8988028</v>
      </c>
      <c r="Z65" s="762">
        <v>6661715</v>
      </c>
      <c r="AA65" s="762">
        <v>211483</v>
      </c>
      <c r="AB65" s="762">
        <v>21148300</v>
      </c>
      <c r="AC65" s="762">
        <v>0</v>
      </c>
      <c r="AD65" s="762">
        <v>0</v>
      </c>
      <c r="AE65" s="762">
        <v>0</v>
      </c>
      <c r="AF65" s="762">
        <v>0</v>
      </c>
      <c r="AG65" s="762">
        <v>0</v>
      </c>
      <c r="AH65" s="762">
        <v>5287074</v>
      </c>
      <c r="AI65" s="762">
        <v>8988028</v>
      </c>
      <c r="AJ65" s="762">
        <v>6661715</v>
      </c>
      <c r="AK65" s="762">
        <v>211483</v>
      </c>
      <c r="AL65" s="762">
        <v>21148300</v>
      </c>
      <c r="AM65" s="762">
        <v>108531</v>
      </c>
      <c r="AN65" s="762">
        <v>108531</v>
      </c>
      <c r="AO65" s="762">
        <v>0</v>
      </c>
      <c r="AP65" s="762">
        <v>0</v>
      </c>
      <c r="AQ65" s="762">
        <v>0</v>
      </c>
      <c r="AR65" s="762">
        <v>0</v>
      </c>
      <c r="AS65" s="762">
        <v>0</v>
      </c>
      <c r="AT65" s="762">
        <v>0</v>
      </c>
      <c r="AU65" s="762">
        <v>0</v>
      </c>
      <c r="AV65" s="762">
        <v>0</v>
      </c>
      <c r="AW65" s="762">
        <v>0</v>
      </c>
      <c r="AX65" s="762">
        <v>0</v>
      </c>
      <c r="AY65" s="762">
        <v>0</v>
      </c>
      <c r="AZ65" s="762">
        <v>0</v>
      </c>
      <c r="BA65" s="762">
        <v>0</v>
      </c>
      <c r="BB65" s="762">
        <v>0</v>
      </c>
      <c r="BC65" s="762">
        <v>0</v>
      </c>
      <c r="BD65" s="762">
        <v>0</v>
      </c>
      <c r="BE65" s="762">
        <v>0</v>
      </c>
      <c r="BF65" s="762">
        <v>0</v>
      </c>
      <c r="BG65" s="762">
        <v>0</v>
      </c>
      <c r="BH65" s="762">
        <v>0</v>
      </c>
      <c r="BI65" s="762">
        <v>0</v>
      </c>
      <c r="BJ65" s="790">
        <v>0.5</v>
      </c>
      <c r="BK65" s="790">
        <v>0.4</v>
      </c>
      <c r="BL65" s="790">
        <v>0.09</v>
      </c>
      <c r="BM65" s="790">
        <v>0.01</v>
      </c>
      <c r="BN65" s="790">
        <v>1</v>
      </c>
      <c r="BO65" s="762">
        <v>349838</v>
      </c>
      <c r="BP65" s="762">
        <v>279871</v>
      </c>
      <c r="BQ65" s="762">
        <v>62971</v>
      </c>
      <c r="BR65" s="762">
        <v>6997</v>
      </c>
      <c r="BS65" s="762">
        <v>699677</v>
      </c>
      <c r="BT65" s="790">
        <v>0.5</v>
      </c>
      <c r="BU65" s="790">
        <v>0.4</v>
      </c>
      <c r="BV65" s="790">
        <v>0.09</v>
      </c>
      <c r="BW65" s="790">
        <v>0.01</v>
      </c>
      <c r="BX65" s="790">
        <v>1</v>
      </c>
      <c r="BY65" s="762">
        <v>-940752</v>
      </c>
      <c r="BZ65" s="762">
        <v>-752601</v>
      </c>
      <c r="CA65" s="762">
        <v>-169335</v>
      </c>
      <c r="CB65" s="762">
        <v>-18815</v>
      </c>
      <c r="CC65" s="762">
        <v>-1881503</v>
      </c>
      <c r="CD65" s="762">
        <v>-590914</v>
      </c>
      <c r="CE65" s="762">
        <v>-472730</v>
      </c>
      <c r="CF65" s="762">
        <v>-106364</v>
      </c>
      <c r="CG65" s="762">
        <v>-11818</v>
      </c>
      <c r="CH65" s="762">
        <v>-1181826</v>
      </c>
      <c r="CI65" s="762">
        <v>4696160</v>
      </c>
      <c r="CJ65" s="762">
        <v>8623829</v>
      </c>
      <c r="CK65" s="762">
        <v>6555351</v>
      </c>
      <c r="CL65" s="762">
        <v>199665</v>
      </c>
      <c r="CM65" s="762">
        <v>20075005</v>
      </c>
      <c r="CN65" s="762">
        <v>292889</v>
      </c>
      <c r="CO65" s="762">
        <v>217082</v>
      </c>
      <c r="CP65" s="762">
        <v>6892</v>
      </c>
      <c r="CQ65" s="762">
        <v>516863</v>
      </c>
      <c r="CR65" s="762">
        <v>915364</v>
      </c>
      <c r="CS65" s="762">
        <v>678447</v>
      </c>
      <c r="CT65" s="762">
        <v>21538</v>
      </c>
      <c r="CU65" s="762">
        <v>1615349</v>
      </c>
      <c r="CV65" s="762">
        <v>79941</v>
      </c>
      <c r="CW65" s="762">
        <v>59250</v>
      </c>
      <c r="CX65" s="762">
        <v>1881</v>
      </c>
      <c r="CY65" s="762">
        <v>141072</v>
      </c>
      <c r="CZ65" s="762">
        <v>0</v>
      </c>
      <c r="DA65" s="762">
        <v>0</v>
      </c>
      <c r="DB65" s="762">
        <v>0</v>
      </c>
      <c r="DC65" s="762">
        <v>0</v>
      </c>
      <c r="DD65" s="762">
        <v>0</v>
      </c>
      <c r="DE65" s="762">
        <v>0</v>
      </c>
      <c r="DF65" s="762">
        <v>0</v>
      </c>
      <c r="DG65" s="762">
        <v>0</v>
      </c>
      <c r="DH65" s="762">
        <v>0</v>
      </c>
      <c r="DI65" s="762">
        <v>0</v>
      </c>
      <c r="DJ65" s="762">
        <v>0</v>
      </c>
      <c r="DK65" s="762">
        <v>0</v>
      </c>
      <c r="DL65" s="762">
        <v>8369</v>
      </c>
      <c r="DM65" s="762">
        <v>6202</v>
      </c>
      <c r="DN65" s="762">
        <v>197</v>
      </c>
      <c r="DO65" s="762">
        <v>14768</v>
      </c>
      <c r="DP65" s="762">
        <v>17198</v>
      </c>
      <c r="DQ65" s="762">
        <v>12746</v>
      </c>
      <c r="DR65" s="762">
        <v>405</v>
      </c>
      <c r="DS65" s="762">
        <v>30349</v>
      </c>
      <c r="DT65" s="762">
        <v>0</v>
      </c>
      <c r="DU65" s="762">
        <v>0</v>
      </c>
      <c r="DV65" s="762">
        <v>0</v>
      </c>
      <c r="DW65" s="762">
        <v>0</v>
      </c>
      <c r="DX65" s="762">
        <v>0</v>
      </c>
      <c r="DY65" s="762">
        <v>0</v>
      </c>
      <c r="DZ65" s="762">
        <v>0</v>
      </c>
      <c r="EA65" s="762">
        <v>0</v>
      </c>
      <c r="EB65" s="762">
        <v>370923</v>
      </c>
      <c r="EC65" s="762">
        <v>274920</v>
      </c>
      <c r="ED65" s="762">
        <v>8728</v>
      </c>
      <c r="EE65" s="762">
        <v>654571</v>
      </c>
      <c r="EF65" s="762">
        <v>1684684</v>
      </c>
      <c r="EG65" s="762">
        <v>1248647</v>
      </c>
      <c r="EH65" s="762">
        <v>39641</v>
      </c>
      <c r="EI65" s="799">
        <v>2972972</v>
      </c>
      <c r="EJ65" s="763" t="s">
        <v>790</v>
      </c>
      <c r="EK65" s="607" t="s">
        <v>544</v>
      </c>
      <c r="EL65" s="805" t="s">
        <v>543</v>
      </c>
      <c r="EM65" t="s">
        <v>1631</v>
      </c>
    </row>
    <row r="66" spans="1:143" ht="12.75" x14ac:dyDescent="0.2">
      <c r="A66" s="764">
        <v>59</v>
      </c>
      <c r="B66" s="765" t="s">
        <v>793</v>
      </c>
      <c r="C66" s="766" t="s">
        <v>1217</v>
      </c>
      <c r="D66" s="767" t="s">
        <v>1219</v>
      </c>
      <c r="E66" s="768" t="s">
        <v>792</v>
      </c>
      <c r="F66" s="761">
        <v>24829874</v>
      </c>
      <c r="G66" s="762">
        <v>0</v>
      </c>
      <c r="H66" s="762">
        <v>274293</v>
      </c>
      <c r="I66" s="762">
        <v>131191</v>
      </c>
      <c r="J66" s="762">
        <v>0</v>
      </c>
      <c r="K66" s="762">
        <v>131191</v>
      </c>
      <c r="L66" s="762">
        <v>0</v>
      </c>
      <c r="M66" s="762">
        <v>0</v>
      </c>
      <c r="N66" s="762">
        <v>0</v>
      </c>
      <c r="O66" s="762">
        <v>0</v>
      </c>
      <c r="P66" s="762">
        <v>0</v>
      </c>
      <c r="Q66" s="762">
        <v>0</v>
      </c>
      <c r="R66" s="762">
        <v>24424390</v>
      </c>
      <c r="S66" s="790">
        <v>0.25</v>
      </c>
      <c r="T66" s="790">
        <v>0.56000000000000005</v>
      </c>
      <c r="U66" s="790">
        <v>0.17499999999999999</v>
      </c>
      <c r="V66" s="790">
        <v>1.4999999999999999E-2</v>
      </c>
      <c r="W66" s="790">
        <v>1</v>
      </c>
      <c r="X66" s="762">
        <v>6106098</v>
      </c>
      <c r="Y66" s="762">
        <v>13677658</v>
      </c>
      <c r="Z66" s="762">
        <v>4274268</v>
      </c>
      <c r="AA66" s="762">
        <v>366366</v>
      </c>
      <c r="AB66" s="762">
        <v>24424390</v>
      </c>
      <c r="AC66" s="762">
        <v>0</v>
      </c>
      <c r="AD66" s="762">
        <v>0</v>
      </c>
      <c r="AE66" s="762">
        <v>0</v>
      </c>
      <c r="AF66" s="762">
        <v>0</v>
      </c>
      <c r="AG66" s="762">
        <v>0</v>
      </c>
      <c r="AH66" s="762">
        <v>6106098</v>
      </c>
      <c r="AI66" s="762">
        <v>13677658</v>
      </c>
      <c r="AJ66" s="762">
        <v>4274268</v>
      </c>
      <c r="AK66" s="762">
        <v>366366</v>
      </c>
      <c r="AL66" s="762">
        <v>24424390</v>
      </c>
      <c r="AM66" s="762">
        <v>131191</v>
      </c>
      <c r="AN66" s="762">
        <v>131191</v>
      </c>
      <c r="AO66" s="762">
        <v>0</v>
      </c>
      <c r="AP66" s="762">
        <v>0</v>
      </c>
      <c r="AQ66" s="762">
        <v>0</v>
      </c>
      <c r="AR66" s="762">
        <v>0</v>
      </c>
      <c r="AS66" s="762">
        <v>0</v>
      </c>
      <c r="AT66" s="762">
        <v>0</v>
      </c>
      <c r="AU66" s="762">
        <v>0</v>
      </c>
      <c r="AV66" s="762">
        <v>0</v>
      </c>
      <c r="AW66" s="762">
        <v>0</v>
      </c>
      <c r="AX66" s="762">
        <v>0</v>
      </c>
      <c r="AY66" s="762">
        <v>0</v>
      </c>
      <c r="AZ66" s="762">
        <v>0</v>
      </c>
      <c r="BA66" s="762">
        <v>0</v>
      </c>
      <c r="BB66" s="762">
        <v>0</v>
      </c>
      <c r="BC66" s="762">
        <v>0</v>
      </c>
      <c r="BD66" s="762">
        <v>0</v>
      </c>
      <c r="BE66" s="762">
        <v>0</v>
      </c>
      <c r="BF66" s="762">
        <v>0</v>
      </c>
      <c r="BG66" s="762">
        <v>0</v>
      </c>
      <c r="BH66" s="762">
        <v>0</v>
      </c>
      <c r="BI66" s="762">
        <v>0</v>
      </c>
      <c r="BJ66" s="790">
        <v>0.5</v>
      </c>
      <c r="BK66" s="790">
        <v>0.4</v>
      </c>
      <c r="BL66" s="790">
        <v>0.09</v>
      </c>
      <c r="BM66" s="790">
        <v>0.01</v>
      </c>
      <c r="BN66" s="790">
        <v>1</v>
      </c>
      <c r="BO66" s="762">
        <v>-292444</v>
      </c>
      <c r="BP66" s="762">
        <v>-233956</v>
      </c>
      <c r="BQ66" s="762">
        <v>-52640</v>
      </c>
      <c r="BR66" s="762">
        <v>-5849</v>
      </c>
      <c r="BS66" s="762">
        <v>-584889</v>
      </c>
      <c r="BT66" s="790">
        <v>0.5</v>
      </c>
      <c r="BU66" s="790">
        <v>0.4</v>
      </c>
      <c r="BV66" s="790">
        <v>0.09</v>
      </c>
      <c r="BW66" s="790">
        <v>0.01</v>
      </c>
      <c r="BX66" s="790">
        <v>1</v>
      </c>
      <c r="BY66" s="762">
        <v>-1</v>
      </c>
      <c r="BZ66" s="762">
        <v>-1</v>
      </c>
      <c r="CA66" s="762">
        <v>0</v>
      </c>
      <c r="CB66" s="762">
        <v>0</v>
      </c>
      <c r="CC66" s="762">
        <v>-2</v>
      </c>
      <c r="CD66" s="762">
        <v>-292446</v>
      </c>
      <c r="CE66" s="762">
        <v>-233956</v>
      </c>
      <c r="CF66" s="762">
        <v>-52640</v>
      </c>
      <c r="CG66" s="762">
        <v>-5849</v>
      </c>
      <c r="CH66" s="762">
        <v>-584891</v>
      </c>
      <c r="CI66" s="762">
        <v>5813652</v>
      </c>
      <c r="CJ66" s="762">
        <v>13574893</v>
      </c>
      <c r="CK66" s="762">
        <v>4221628</v>
      </c>
      <c r="CL66" s="762">
        <v>360517</v>
      </c>
      <c r="CM66" s="762">
        <v>23970690</v>
      </c>
      <c r="CN66" s="762">
        <v>445708</v>
      </c>
      <c r="CO66" s="762">
        <v>139284</v>
      </c>
      <c r="CP66" s="762">
        <v>11939</v>
      </c>
      <c r="CQ66" s="762">
        <v>596931</v>
      </c>
      <c r="CR66" s="762">
        <v>1383674</v>
      </c>
      <c r="CS66" s="762">
        <v>432398</v>
      </c>
      <c r="CT66" s="762">
        <v>37063</v>
      </c>
      <c r="CU66" s="762">
        <v>1853135</v>
      </c>
      <c r="CV66" s="762">
        <v>80133</v>
      </c>
      <c r="CW66" s="762">
        <v>25041</v>
      </c>
      <c r="CX66" s="762">
        <v>2146</v>
      </c>
      <c r="CY66" s="762">
        <v>107320</v>
      </c>
      <c r="CZ66" s="762">
        <v>0</v>
      </c>
      <c r="DA66" s="762">
        <v>0</v>
      </c>
      <c r="DB66" s="762">
        <v>0</v>
      </c>
      <c r="DC66" s="762">
        <v>0</v>
      </c>
      <c r="DD66" s="762">
        <v>3242</v>
      </c>
      <c r="DE66" s="762">
        <v>1013</v>
      </c>
      <c r="DF66" s="762">
        <v>87</v>
      </c>
      <c r="DG66" s="762">
        <v>4342</v>
      </c>
      <c r="DH66" s="762">
        <v>0</v>
      </c>
      <c r="DI66" s="762">
        <v>0</v>
      </c>
      <c r="DJ66" s="762">
        <v>0</v>
      </c>
      <c r="DK66" s="762">
        <v>0</v>
      </c>
      <c r="DL66" s="762">
        <v>13611</v>
      </c>
      <c r="DM66" s="762">
        <v>4254</v>
      </c>
      <c r="DN66" s="762">
        <v>365</v>
      </c>
      <c r="DO66" s="762">
        <v>18230</v>
      </c>
      <c r="DP66" s="762">
        <v>13692</v>
      </c>
      <c r="DQ66" s="762">
        <v>4279</v>
      </c>
      <c r="DR66" s="762">
        <v>367</v>
      </c>
      <c r="DS66" s="762">
        <v>18338</v>
      </c>
      <c r="DT66" s="762">
        <v>0</v>
      </c>
      <c r="DU66" s="762">
        <v>0</v>
      </c>
      <c r="DV66" s="762">
        <v>0</v>
      </c>
      <c r="DW66" s="762">
        <v>0</v>
      </c>
      <c r="DX66" s="762">
        <v>0</v>
      </c>
      <c r="DY66" s="762">
        <v>0</v>
      </c>
      <c r="DZ66" s="762">
        <v>0</v>
      </c>
      <c r="EA66" s="762">
        <v>0</v>
      </c>
      <c r="EB66" s="762">
        <v>435374</v>
      </c>
      <c r="EC66" s="762">
        <v>136055</v>
      </c>
      <c r="ED66" s="762">
        <v>11662</v>
      </c>
      <c r="EE66" s="762">
        <v>583091</v>
      </c>
      <c r="EF66" s="762">
        <v>2375434</v>
      </c>
      <c r="EG66" s="762">
        <v>742324</v>
      </c>
      <c r="EH66" s="762">
        <v>63629</v>
      </c>
      <c r="EI66" s="799">
        <v>3181387</v>
      </c>
      <c r="EJ66" s="763" t="s">
        <v>792</v>
      </c>
      <c r="EK66" s="607" t="s">
        <v>595</v>
      </c>
      <c r="EL66" s="805" t="s">
        <v>593</v>
      </c>
      <c r="EM66" t="s">
        <v>1632</v>
      </c>
    </row>
    <row r="67" spans="1:143" ht="12.75" x14ac:dyDescent="0.2">
      <c r="A67" s="764">
        <v>60</v>
      </c>
      <c r="B67" s="765" t="s">
        <v>0</v>
      </c>
      <c r="C67" s="766" t="s">
        <v>1228</v>
      </c>
      <c r="D67" s="767" t="s">
        <v>1223</v>
      </c>
      <c r="E67" s="768" t="s">
        <v>794</v>
      </c>
      <c r="F67" s="761">
        <v>1159682168</v>
      </c>
      <c r="G67" s="762">
        <v>4326284</v>
      </c>
      <c r="H67" s="762">
        <v>0</v>
      </c>
      <c r="I67" s="762">
        <v>1988445</v>
      </c>
      <c r="J67" s="762">
        <v>0</v>
      </c>
      <c r="K67" s="762">
        <v>1988445</v>
      </c>
      <c r="L67" s="762">
        <v>11871000</v>
      </c>
      <c r="M67" s="762">
        <v>0</v>
      </c>
      <c r="N67" s="762">
        <v>0</v>
      </c>
      <c r="O67" s="762">
        <v>0</v>
      </c>
      <c r="P67" s="762">
        <v>0</v>
      </c>
      <c r="Q67" s="762">
        <v>0</v>
      </c>
      <c r="R67" s="762">
        <v>1150149007</v>
      </c>
      <c r="S67" s="790">
        <v>0.25</v>
      </c>
      <c r="T67" s="790">
        <v>0.48</v>
      </c>
      <c r="U67" s="790">
        <v>0.27</v>
      </c>
      <c r="V67" s="790">
        <v>0</v>
      </c>
      <c r="W67" s="790">
        <v>1</v>
      </c>
      <c r="X67" s="762">
        <v>287537252</v>
      </c>
      <c r="Y67" s="762">
        <v>552071523</v>
      </c>
      <c r="Z67" s="762">
        <v>310540232</v>
      </c>
      <c r="AA67" s="762">
        <v>0</v>
      </c>
      <c r="AB67" s="762">
        <v>1150149007</v>
      </c>
      <c r="AC67" s="762">
        <v>0</v>
      </c>
      <c r="AD67" s="762">
        <v>0</v>
      </c>
      <c r="AE67" s="762">
        <v>0</v>
      </c>
      <c r="AF67" s="762">
        <v>0</v>
      </c>
      <c r="AG67" s="762">
        <v>0</v>
      </c>
      <c r="AH67" s="762">
        <v>287537252</v>
      </c>
      <c r="AI67" s="762">
        <v>552071523</v>
      </c>
      <c r="AJ67" s="762">
        <v>310540232</v>
      </c>
      <c r="AK67" s="762">
        <v>0</v>
      </c>
      <c r="AL67" s="762">
        <v>1150149007</v>
      </c>
      <c r="AM67" s="762">
        <v>1988445</v>
      </c>
      <c r="AN67" s="762">
        <v>1988445</v>
      </c>
      <c r="AO67" s="762">
        <v>0</v>
      </c>
      <c r="AP67" s="762">
        <v>0</v>
      </c>
      <c r="AQ67" s="762">
        <v>0</v>
      </c>
      <c r="AR67" s="762">
        <v>0</v>
      </c>
      <c r="AS67" s="762">
        <v>0</v>
      </c>
      <c r="AT67" s="762">
        <v>0</v>
      </c>
      <c r="AU67" s="762">
        <v>0</v>
      </c>
      <c r="AV67" s="762">
        <v>0</v>
      </c>
      <c r="AW67" s="762">
        <v>0</v>
      </c>
      <c r="AX67" s="762">
        <v>0</v>
      </c>
      <c r="AY67" s="762">
        <v>0</v>
      </c>
      <c r="AZ67" s="762">
        <v>0</v>
      </c>
      <c r="BA67" s="762">
        <v>0</v>
      </c>
      <c r="BB67" s="762">
        <v>11871000</v>
      </c>
      <c r="BC67" s="762">
        <v>11871000</v>
      </c>
      <c r="BD67" s="762">
        <v>0</v>
      </c>
      <c r="BE67" s="762">
        <v>0</v>
      </c>
      <c r="BF67" s="762">
        <v>0</v>
      </c>
      <c r="BG67" s="762">
        <v>0</v>
      </c>
      <c r="BH67" s="762">
        <v>0</v>
      </c>
      <c r="BI67" s="762">
        <v>0</v>
      </c>
      <c r="BJ67" s="790">
        <v>0</v>
      </c>
      <c r="BK67" s="790">
        <v>0.64</v>
      </c>
      <c r="BL67" s="790">
        <v>0.36</v>
      </c>
      <c r="BM67" s="790">
        <v>0</v>
      </c>
      <c r="BN67" s="790">
        <v>1</v>
      </c>
      <c r="BO67" s="762">
        <v>0</v>
      </c>
      <c r="BP67" s="762">
        <v>27329658</v>
      </c>
      <c r="BQ67" s="762">
        <v>15372932</v>
      </c>
      <c r="BR67" s="762">
        <v>0</v>
      </c>
      <c r="BS67" s="762">
        <v>42702590</v>
      </c>
      <c r="BT67" s="790">
        <v>0.33</v>
      </c>
      <c r="BU67" s="790">
        <v>0.3</v>
      </c>
      <c r="BV67" s="790">
        <v>0.37</v>
      </c>
      <c r="BW67" s="790">
        <v>0</v>
      </c>
      <c r="BX67" s="790">
        <v>1</v>
      </c>
      <c r="BY67" s="762">
        <v>-658120</v>
      </c>
      <c r="BZ67" s="762">
        <v>-598290</v>
      </c>
      <c r="CA67" s="762">
        <v>-737891</v>
      </c>
      <c r="CB67" s="762">
        <v>0</v>
      </c>
      <c r="CC67" s="762">
        <v>-1994301</v>
      </c>
      <c r="CD67" s="762">
        <v>-658120</v>
      </c>
      <c r="CE67" s="762">
        <v>26731368</v>
      </c>
      <c r="CF67" s="762">
        <v>14635041</v>
      </c>
      <c r="CG67" s="762">
        <v>0</v>
      </c>
      <c r="CH67" s="762">
        <v>40708289</v>
      </c>
      <c r="CI67" s="762">
        <v>286879132</v>
      </c>
      <c r="CJ67" s="762">
        <v>592662336</v>
      </c>
      <c r="CK67" s="762">
        <v>325175273</v>
      </c>
      <c r="CL67" s="762">
        <v>0</v>
      </c>
      <c r="CM67" s="762">
        <v>1204716741</v>
      </c>
      <c r="CN67" s="762">
        <v>18376946</v>
      </c>
      <c r="CO67" s="762">
        <v>10119437</v>
      </c>
      <c r="CP67" s="762">
        <v>0</v>
      </c>
      <c r="CQ67" s="762">
        <v>28496383</v>
      </c>
      <c r="CR67" s="762">
        <v>335560</v>
      </c>
      <c r="CS67" s="762">
        <v>188752</v>
      </c>
      <c r="CT67" s="762">
        <v>0</v>
      </c>
      <c r="CU67" s="762">
        <v>524312</v>
      </c>
      <c r="CV67" s="762">
        <v>410987</v>
      </c>
      <c r="CW67" s="762">
        <v>231180</v>
      </c>
      <c r="CX67" s="762">
        <v>0</v>
      </c>
      <c r="CY67" s="762">
        <v>642167</v>
      </c>
      <c r="CZ67" s="762">
        <v>0</v>
      </c>
      <c r="DA67" s="762">
        <v>0</v>
      </c>
      <c r="DB67" s="762">
        <v>0</v>
      </c>
      <c r="DC67" s="762">
        <v>0</v>
      </c>
      <c r="DD67" s="762">
        <v>0</v>
      </c>
      <c r="DE67" s="762">
        <v>0</v>
      </c>
      <c r="DF67" s="762">
        <v>0</v>
      </c>
      <c r="DG67" s="762">
        <v>0</v>
      </c>
      <c r="DH67" s="762">
        <v>0</v>
      </c>
      <c r="DI67" s="762">
        <v>0</v>
      </c>
      <c r="DJ67" s="762">
        <v>0</v>
      </c>
      <c r="DK67" s="762">
        <v>0</v>
      </c>
      <c r="DL67" s="762">
        <v>12155</v>
      </c>
      <c r="DM67" s="762">
        <v>6837</v>
      </c>
      <c r="DN67" s="762">
        <v>0</v>
      </c>
      <c r="DO67" s="762">
        <v>18992</v>
      </c>
      <c r="DP67" s="762">
        <v>549170</v>
      </c>
      <c r="DQ67" s="762">
        <v>308909</v>
      </c>
      <c r="DR67" s="762">
        <v>0</v>
      </c>
      <c r="DS67" s="762">
        <v>858079</v>
      </c>
      <c r="DT67" s="762">
        <v>0</v>
      </c>
      <c r="DU67" s="762">
        <v>0</v>
      </c>
      <c r="DV67" s="762">
        <v>0</v>
      </c>
      <c r="DW67" s="762">
        <v>0</v>
      </c>
      <c r="DX67" s="762">
        <v>0</v>
      </c>
      <c r="DY67" s="762">
        <v>0</v>
      </c>
      <c r="DZ67" s="762">
        <v>0</v>
      </c>
      <c r="EA67" s="762">
        <v>0</v>
      </c>
      <c r="EB67" s="762">
        <v>1219179</v>
      </c>
      <c r="EC67" s="762">
        <v>685788</v>
      </c>
      <c r="ED67" s="762">
        <v>0</v>
      </c>
      <c r="EE67" s="762">
        <v>1904967</v>
      </c>
      <c r="EF67" s="762">
        <v>20903997</v>
      </c>
      <c r="EG67" s="762">
        <v>11540903</v>
      </c>
      <c r="EH67" s="762">
        <v>0</v>
      </c>
      <c r="EI67" s="799">
        <v>32444900</v>
      </c>
      <c r="EJ67" s="763" t="s">
        <v>794</v>
      </c>
      <c r="EK67" s="607" t="s">
        <v>40</v>
      </c>
      <c r="EL67" s="272" t="s">
        <v>528</v>
      </c>
      <c r="EM67" t="s">
        <v>1633</v>
      </c>
    </row>
    <row r="68" spans="1:143" ht="12.75" x14ac:dyDescent="0.2">
      <c r="A68" s="764">
        <v>61</v>
      </c>
      <c r="B68" s="765" t="s">
        <v>2</v>
      </c>
      <c r="C68" s="766" t="s">
        <v>1217</v>
      </c>
      <c r="D68" s="767" t="s">
        <v>1221</v>
      </c>
      <c r="E68" s="768" t="s">
        <v>1</v>
      </c>
      <c r="F68" s="761">
        <v>62600826</v>
      </c>
      <c r="G68" s="762">
        <v>0</v>
      </c>
      <c r="H68" s="762">
        <v>285676</v>
      </c>
      <c r="I68" s="762">
        <v>238244</v>
      </c>
      <c r="J68" s="762">
        <v>5000</v>
      </c>
      <c r="K68" s="762">
        <v>243244</v>
      </c>
      <c r="L68" s="762">
        <v>0</v>
      </c>
      <c r="M68" s="762">
        <v>0</v>
      </c>
      <c r="N68" s="762">
        <v>0</v>
      </c>
      <c r="O68" s="762">
        <v>0</v>
      </c>
      <c r="P68" s="762">
        <v>0</v>
      </c>
      <c r="Q68" s="762">
        <v>0</v>
      </c>
      <c r="R68" s="762">
        <v>62071906</v>
      </c>
      <c r="S68" s="790">
        <v>0.5</v>
      </c>
      <c r="T68" s="790">
        <v>0.4</v>
      </c>
      <c r="U68" s="790">
        <v>0.09</v>
      </c>
      <c r="V68" s="790">
        <v>0.01</v>
      </c>
      <c r="W68" s="790">
        <v>1</v>
      </c>
      <c r="X68" s="762">
        <v>31035953</v>
      </c>
      <c r="Y68" s="762">
        <v>24828762</v>
      </c>
      <c r="Z68" s="762">
        <v>5586472</v>
      </c>
      <c r="AA68" s="762">
        <v>620719</v>
      </c>
      <c r="AB68" s="762">
        <v>62071906</v>
      </c>
      <c r="AC68" s="762">
        <v>0</v>
      </c>
      <c r="AD68" s="762">
        <v>0</v>
      </c>
      <c r="AE68" s="762">
        <v>0</v>
      </c>
      <c r="AF68" s="762">
        <v>0</v>
      </c>
      <c r="AG68" s="762">
        <v>0</v>
      </c>
      <c r="AH68" s="762">
        <v>31035953</v>
      </c>
      <c r="AI68" s="762">
        <v>24828762</v>
      </c>
      <c r="AJ68" s="762">
        <v>5586472</v>
      </c>
      <c r="AK68" s="762">
        <v>620719</v>
      </c>
      <c r="AL68" s="762">
        <v>62071906</v>
      </c>
      <c r="AM68" s="762">
        <v>243244</v>
      </c>
      <c r="AN68" s="762">
        <v>243244</v>
      </c>
      <c r="AO68" s="762">
        <v>0</v>
      </c>
      <c r="AP68" s="762">
        <v>0</v>
      </c>
      <c r="AQ68" s="762">
        <v>0</v>
      </c>
      <c r="AR68" s="762">
        <v>0</v>
      </c>
      <c r="AS68" s="762">
        <v>0</v>
      </c>
      <c r="AT68" s="762">
        <v>0</v>
      </c>
      <c r="AU68" s="762">
        <v>0</v>
      </c>
      <c r="AV68" s="762">
        <v>0</v>
      </c>
      <c r="AW68" s="762">
        <v>0</v>
      </c>
      <c r="AX68" s="762">
        <v>0</v>
      </c>
      <c r="AY68" s="762">
        <v>0</v>
      </c>
      <c r="AZ68" s="762">
        <v>0</v>
      </c>
      <c r="BA68" s="762">
        <v>0</v>
      </c>
      <c r="BB68" s="762">
        <v>0</v>
      </c>
      <c r="BC68" s="762">
        <v>0</v>
      </c>
      <c r="BD68" s="762">
        <v>0</v>
      </c>
      <c r="BE68" s="762">
        <v>0</v>
      </c>
      <c r="BF68" s="762">
        <v>0</v>
      </c>
      <c r="BG68" s="762">
        <v>0</v>
      </c>
      <c r="BH68" s="762">
        <v>0</v>
      </c>
      <c r="BI68" s="762">
        <v>0</v>
      </c>
      <c r="BJ68" s="790">
        <v>0.5</v>
      </c>
      <c r="BK68" s="790">
        <v>0.4</v>
      </c>
      <c r="BL68" s="790">
        <v>0.09</v>
      </c>
      <c r="BM68" s="790">
        <v>0.01</v>
      </c>
      <c r="BN68" s="790">
        <v>1</v>
      </c>
      <c r="BO68" s="762">
        <v>335796</v>
      </c>
      <c r="BP68" s="762">
        <v>268636</v>
      </c>
      <c r="BQ68" s="762">
        <v>60443</v>
      </c>
      <c r="BR68" s="762">
        <v>6716</v>
      </c>
      <c r="BS68" s="762">
        <v>671591</v>
      </c>
      <c r="BT68" s="790">
        <v>0.5</v>
      </c>
      <c r="BU68" s="790">
        <v>0.4</v>
      </c>
      <c r="BV68" s="790">
        <v>0.09</v>
      </c>
      <c r="BW68" s="790">
        <v>0.01</v>
      </c>
      <c r="BX68" s="790">
        <v>1</v>
      </c>
      <c r="BY68" s="762">
        <v>384852</v>
      </c>
      <c r="BZ68" s="762">
        <v>307881</v>
      </c>
      <c r="CA68" s="762">
        <v>69273</v>
      </c>
      <c r="CB68" s="762">
        <v>7697</v>
      </c>
      <c r="CC68" s="762">
        <v>769703</v>
      </c>
      <c r="CD68" s="762">
        <v>720647</v>
      </c>
      <c r="CE68" s="762">
        <v>576518</v>
      </c>
      <c r="CF68" s="762">
        <v>129716</v>
      </c>
      <c r="CG68" s="762">
        <v>14413</v>
      </c>
      <c r="CH68" s="762">
        <v>1441294</v>
      </c>
      <c r="CI68" s="762">
        <v>31756600</v>
      </c>
      <c r="CJ68" s="762">
        <v>25648524</v>
      </c>
      <c r="CK68" s="762">
        <v>5716188</v>
      </c>
      <c r="CL68" s="762">
        <v>635132</v>
      </c>
      <c r="CM68" s="762">
        <v>63756444</v>
      </c>
      <c r="CN68" s="762">
        <v>809084</v>
      </c>
      <c r="CO68" s="762">
        <v>182044</v>
      </c>
      <c r="CP68" s="762">
        <v>20227</v>
      </c>
      <c r="CQ68" s="762">
        <v>1011355</v>
      </c>
      <c r="CR68" s="762">
        <v>1750694</v>
      </c>
      <c r="CS68" s="762">
        <v>393906</v>
      </c>
      <c r="CT68" s="762">
        <v>43767</v>
      </c>
      <c r="CU68" s="762">
        <v>2188367</v>
      </c>
      <c r="CV68" s="762">
        <v>130567</v>
      </c>
      <c r="CW68" s="762">
        <v>29378</v>
      </c>
      <c r="CX68" s="762">
        <v>3264</v>
      </c>
      <c r="CY68" s="762">
        <v>163209</v>
      </c>
      <c r="CZ68" s="762">
        <v>0</v>
      </c>
      <c r="DA68" s="762">
        <v>0</v>
      </c>
      <c r="DB68" s="762">
        <v>0</v>
      </c>
      <c r="DC68" s="762">
        <v>0</v>
      </c>
      <c r="DD68" s="762">
        <v>2361</v>
      </c>
      <c r="DE68" s="762">
        <v>531</v>
      </c>
      <c r="DF68" s="762">
        <v>59</v>
      </c>
      <c r="DG68" s="762">
        <v>2951</v>
      </c>
      <c r="DH68" s="762">
        <v>620</v>
      </c>
      <c r="DI68" s="762">
        <v>139</v>
      </c>
      <c r="DJ68" s="762">
        <v>15</v>
      </c>
      <c r="DK68" s="762">
        <v>774</v>
      </c>
      <c r="DL68" s="762">
        <v>10411</v>
      </c>
      <c r="DM68" s="762">
        <v>2343</v>
      </c>
      <c r="DN68" s="762">
        <v>260</v>
      </c>
      <c r="DO68" s="762">
        <v>13014</v>
      </c>
      <c r="DP68" s="762">
        <v>24587</v>
      </c>
      <c r="DQ68" s="762">
        <v>5532</v>
      </c>
      <c r="DR68" s="762">
        <v>615</v>
      </c>
      <c r="DS68" s="762">
        <v>30734</v>
      </c>
      <c r="DT68" s="762">
        <v>0</v>
      </c>
      <c r="DU68" s="762">
        <v>0</v>
      </c>
      <c r="DV68" s="762">
        <v>0</v>
      </c>
      <c r="DW68" s="762">
        <v>0</v>
      </c>
      <c r="DX68" s="762">
        <v>0</v>
      </c>
      <c r="DY68" s="762">
        <v>0</v>
      </c>
      <c r="DZ68" s="762">
        <v>0</v>
      </c>
      <c r="EA68" s="762">
        <v>0</v>
      </c>
      <c r="EB68" s="762">
        <v>578249</v>
      </c>
      <c r="EC68" s="762">
        <v>130106</v>
      </c>
      <c r="ED68" s="762">
        <v>14456</v>
      </c>
      <c r="EE68" s="762">
        <v>722811</v>
      </c>
      <c r="EF68" s="762">
        <v>3306573</v>
      </c>
      <c r="EG68" s="762">
        <v>743979</v>
      </c>
      <c r="EH68" s="762">
        <v>82663</v>
      </c>
      <c r="EI68" s="799">
        <v>4133215</v>
      </c>
      <c r="EJ68" s="763" t="s">
        <v>1</v>
      </c>
      <c r="EK68" s="607" t="s">
        <v>575</v>
      </c>
      <c r="EL68" s="805" t="s">
        <v>573</v>
      </c>
      <c r="EM68" t="s">
        <v>1634</v>
      </c>
    </row>
    <row r="69" spans="1:143" ht="12.75" x14ac:dyDescent="0.2">
      <c r="A69" s="764">
        <v>62</v>
      </c>
      <c r="B69" s="765" t="s">
        <v>4</v>
      </c>
      <c r="C69" s="766" t="s">
        <v>1217</v>
      </c>
      <c r="D69" s="767" t="s">
        <v>1219</v>
      </c>
      <c r="E69" s="768" t="s">
        <v>3</v>
      </c>
      <c r="F69" s="761">
        <v>39896853</v>
      </c>
      <c r="G69" s="762">
        <v>0</v>
      </c>
      <c r="H69" s="762">
        <v>4263364</v>
      </c>
      <c r="I69" s="762">
        <v>102408</v>
      </c>
      <c r="J69" s="762">
        <v>0</v>
      </c>
      <c r="K69" s="762">
        <v>102408</v>
      </c>
      <c r="L69" s="762">
        <v>0</v>
      </c>
      <c r="M69" s="762">
        <v>0</v>
      </c>
      <c r="N69" s="762">
        <v>50962</v>
      </c>
      <c r="O69" s="762">
        <v>50962</v>
      </c>
      <c r="P69" s="762">
        <v>0</v>
      </c>
      <c r="Q69" s="762">
        <v>0</v>
      </c>
      <c r="R69" s="762">
        <v>35480119</v>
      </c>
      <c r="S69" s="790">
        <v>0.5</v>
      </c>
      <c r="T69" s="790">
        <v>0.4</v>
      </c>
      <c r="U69" s="790">
        <v>0.1</v>
      </c>
      <c r="V69" s="790">
        <v>0</v>
      </c>
      <c r="W69" s="790">
        <v>1</v>
      </c>
      <c r="X69" s="762">
        <v>17740059</v>
      </c>
      <c r="Y69" s="762">
        <v>14192048</v>
      </c>
      <c r="Z69" s="762">
        <v>3548012</v>
      </c>
      <c r="AA69" s="762">
        <v>0</v>
      </c>
      <c r="AB69" s="762">
        <v>35480119</v>
      </c>
      <c r="AC69" s="762">
        <v>0</v>
      </c>
      <c r="AD69" s="762">
        <v>0</v>
      </c>
      <c r="AE69" s="762">
        <v>0</v>
      </c>
      <c r="AF69" s="762">
        <v>0</v>
      </c>
      <c r="AG69" s="762">
        <v>0</v>
      </c>
      <c r="AH69" s="762">
        <v>17740059</v>
      </c>
      <c r="AI69" s="762">
        <v>14192048</v>
      </c>
      <c r="AJ69" s="762">
        <v>3548012</v>
      </c>
      <c r="AK69" s="762">
        <v>0</v>
      </c>
      <c r="AL69" s="762">
        <v>35480119</v>
      </c>
      <c r="AM69" s="762">
        <v>102408</v>
      </c>
      <c r="AN69" s="762">
        <v>102408</v>
      </c>
      <c r="AO69" s="762">
        <v>0</v>
      </c>
      <c r="AP69" s="762">
        <v>0</v>
      </c>
      <c r="AQ69" s="762">
        <v>50962</v>
      </c>
      <c r="AR69" s="762">
        <v>0</v>
      </c>
      <c r="AS69" s="762">
        <v>50962</v>
      </c>
      <c r="AT69" s="762">
        <v>0</v>
      </c>
      <c r="AU69" s="762">
        <v>0</v>
      </c>
      <c r="AV69" s="762">
        <v>0</v>
      </c>
      <c r="AW69" s="762">
        <v>0</v>
      </c>
      <c r="AX69" s="762">
        <v>0</v>
      </c>
      <c r="AY69" s="762">
        <v>0</v>
      </c>
      <c r="AZ69" s="762">
        <v>0</v>
      </c>
      <c r="BA69" s="762">
        <v>0</v>
      </c>
      <c r="BB69" s="762">
        <v>0</v>
      </c>
      <c r="BC69" s="762">
        <v>0</v>
      </c>
      <c r="BD69" s="762">
        <v>0</v>
      </c>
      <c r="BE69" s="762">
        <v>0</v>
      </c>
      <c r="BF69" s="762">
        <v>0</v>
      </c>
      <c r="BG69" s="762">
        <v>0</v>
      </c>
      <c r="BH69" s="762">
        <v>0</v>
      </c>
      <c r="BI69" s="762">
        <v>0</v>
      </c>
      <c r="BJ69" s="790">
        <v>0.5</v>
      </c>
      <c r="BK69" s="790">
        <v>0.4</v>
      </c>
      <c r="BL69" s="790">
        <v>0.1</v>
      </c>
      <c r="BM69" s="790">
        <v>0</v>
      </c>
      <c r="BN69" s="790">
        <v>1</v>
      </c>
      <c r="BO69" s="762">
        <v>2032934</v>
      </c>
      <c r="BP69" s="762">
        <v>1626347</v>
      </c>
      <c r="BQ69" s="762">
        <v>406587</v>
      </c>
      <c r="BR69" s="762">
        <v>0</v>
      </c>
      <c r="BS69" s="762">
        <v>4065868</v>
      </c>
      <c r="BT69" s="790">
        <v>0.5</v>
      </c>
      <c r="BU69" s="790">
        <v>0.4</v>
      </c>
      <c r="BV69" s="790">
        <v>0.1</v>
      </c>
      <c r="BW69" s="790">
        <v>0</v>
      </c>
      <c r="BX69" s="790">
        <v>1</v>
      </c>
      <c r="BY69" s="762">
        <v>-2251164</v>
      </c>
      <c r="BZ69" s="762">
        <v>-1800931</v>
      </c>
      <c r="CA69" s="762">
        <v>-450233</v>
      </c>
      <c r="CB69" s="762">
        <v>0</v>
      </c>
      <c r="CC69" s="762">
        <v>-4502328</v>
      </c>
      <c r="CD69" s="762">
        <v>-218230</v>
      </c>
      <c r="CE69" s="762">
        <v>-174584</v>
      </c>
      <c r="CF69" s="762">
        <v>-43646</v>
      </c>
      <c r="CG69" s="762">
        <v>0</v>
      </c>
      <c r="CH69" s="762">
        <v>-436460</v>
      </c>
      <c r="CI69" s="762">
        <v>17521829</v>
      </c>
      <c r="CJ69" s="762">
        <v>14170834</v>
      </c>
      <c r="CK69" s="762">
        <v>3504366</v>
      </c>
      <c r="CL69" s="762">
        <v>0</v>
      </c>
      <c r="CM69" s="762">
        <v>35197029</v>
      </c>
      <c r="CN69" s="762">
        <v>464131</v>
      </c>
      <c r="CO69" s="762">
        <v>115617</v>
      </c>
      <c r="CP69" s="762">
        <v>0</v>
      </c>
      <c r="CQ69" s="762">
        <v>579748</v>
      </c>
      <c r="CR69" s="762">
        <v>623780</v>
      </c>
      <c r="CS69" s="762">
        <v>155945</v>
      </c>
      <c r="CT69" s="762">
        <v>0</v>
      </c>
      <c r="CU69" s="762">
        <v>779725</v>
      </c>
      <c r="CV69" s="762">
        <v>37122</v>
      </c>
      <c r="CW69" s="762">
        <v>9280</v>
      </c>
      <c r="CX69" s="762">
        <v>0</v>
      </c>
      <c r="CY69" s="762">
        <v>46402</v>
      </c>
      <c r="CZ69" s="762">
        <v>0</v>
      </c>
      <c r="DA69" s="762">
        <v>0</v>
      </c>
      <c r="DB69" s="762">
        <v>0</v>
      </c>
      <c r="DC69" s="762">
        <v>0</v>
      </c>
      <c r="DD69" s="762">
        <v>7774</v>
      </c>
      <c r="DE69" s="762">
        <v>1944</v>
      </c>
      <c r="DF69" s="762">
        <v>0</v>
      </c>
      <c r="DG69" s="762">
        <v>9718</v>
      </c>
      <c r="DH69" s="762">
        <v>0</v>
      </c>
      <c r="DI69" s="762">
        <v>0</v>
      </c>
      <c r="DJ69" s="762">
        <v>0</v>
      </c>
      <c r="DK69" s="762">
        <v>0</v>
      </c>
      <c r="DL69" s="762">
        <v>6838</v>
      </c>
      <c r="DM69" s="762">
        <v>1710</v>
      </c>
      <c r="DN69" s="762">
        <v>0</v>
      </c>
      <c r="DO69" s="762">
        <v>8548</v>
      </c>
      <c r="DP69" s="762">
        <v>16524</v>
      </c>
      <c r="DQ69" s="762">
        <v>4131</v>
      </c>
      <c r="DR69" s="762">
        <v>0</v>
      </c>
      <c r="DS69" s="762">
        <v>20655</v>
      </c>
      <c r="DT69" s="762">
        <v>0</v>
      </c>
      <c r="DU69" s="762">
        <v>0</v>
      </c>
      <c r="DV69" s="762">
        <v>0</v>
      </c>
      <c r="DW69" s="762">
        <v>0</v>
      </c>
      <c r="DX69" s="762">
        <v>0</v>
      </c>
      <c r="DY69" s="762">
        <v>0</v>
      </c>
      <c r="DZ69" s="762">
        <v>0</v>
      </c>
      <c r="EA69" s="762">
        <v>0</v>
      </c>
      <c r="EB69" s="762">
        <v>211064</v>
      </c>
      <c r="EC69" s="762">
        <v>52766</v>
      </c>
      <c r="ED69" s="762">
        <v>0</v>
      </c>
      <c r="EE69" s="762">
        <v>263830</v>
      </c>
      <c r="EF69" s="762">
        <v>1367233</v>
      </c>
      <c r="EG69" s="762">
        <v>341393</v>
      </c>
      <c r="EH69" s="762">
        <v>0</v>
      </c>
      <c r="EI69" s="799">
        <v>1708626</v>
      </c>
      <c r="EJ69" s="763" t="s">
        <v>3</v>
      </c>
      <c r="EK69" s="607" t="s">
        <v>557</v>
      </c>
      <c r="EL69" s="805" t="s">
        <v>556</v>
      </c>
      <c r="EM69" t="s">
        <v>1635</v>
      </c>
    </row>
    <row r="70" spans="1:143" ht="12.75" x14ac:dyDescent="0.2">
      <c r="A70" s="764">
        <v>63</v>
      </c>
      <c r="B70" s="765" t="s">
        <v>6</v>
      </c>
      <c r="C70" s="766" t="s">
        <v>1217</v>
      </c>
      <c r="D70" s="767" t="s">
        <v>1220</v>
      </c>
      <c r="E70" s="768" t="s">
        <v>5</v>
      </c>
      <c r="F70" s="761">
        <v>36885491</v>
      </c>
      <c r="G70" s="762">
        <v>0</v>
      </c>
      <c r="H70" s="762">
        <v>646113</v>
      </c>
      <c r="I70" s="762">
        <v>88490</v>
      </c>
      <c r="J70" s="762">
        <v>0</v>
      </c>
      <c r="K70" s="762">
        <v>88490</v>
      </c>
      <c r="L70" s="762">
        <v>0</v>
      </c>
      <c r="M70" s="762">
        <v>0</v>
      </c>
      <c r="N70" s="762">
        <v>0</v>
      </c>
      <c r="O70" s="762">
        <v>0</v>
      </c>
      <c r="P70" s="762">
        <v>0</v>
      </c>
      <c r="Q70" s="762">
        <v>0</v>
      </c>
      <c r="R70" s="762">
        <v>36150888</v>
      </c>
      <c r="S70" s="790">
        <v>0.25</v>
      </c>
      <c r="T70" s="790">
        <v>0.4</v>
      </c>
      <c r="U70" s="790">
        <v>0.33999999999999997</v>
      </c>
      <c r="V70" s="790">
        <v>0.01</v>
      </c>
      <c r="W70" s="790">
        <v>1</v>
      </c>
      <c r="X70" s="762">
        <v>9037722</v>
      </c>
      <c r="Y70" s="762">
        <v>14460355</v>
      </c>
      <c r="Z70" s="762">
        <v>12291302</v>
      </c>
      <c r="AA70" s="762">
        <v>361509</v>
      </c>
      <c r="AB70" s="762">
        <v>36150888</v>
      </c>
      <c r="AC70" s="762">
        <v>0</v>
      </c>
      <c r="AD70" s="762">
        <v>0</v>
      </c>
      <c r="AE70" s="762">
        <v>0</v>
      </c>
      <c r="AF70" s="762">
        <v>0</v>
      </c>
      <c r="AG70" s="762">
        <v>0</v>
      </c>
      <c r="AH70" s="762">
        <v>9037722</v>
      </c>
      <c r="AI70" s="762">
        <v>14460355</v>
      </c>
      <c r="AJ70" s="762">
        <v>12291302</v>
      </c>
      <c r="AK70" s="762">
        <v>361509</v>
      </c>
      <c r="AL70" s="762">
        <v>36150888</v>
      </c>
      <c r="AM70" s="762">
        <v>88490</v>
      </c>
      <c r="AN70" s="762">
        <v>88490</v>
      </c>
      <c r="AO70" s="762">
        <v>0</v>
      </c>
      <c r="AP70" s="762">
        <v>0</v>
      </c>
      <c r="AQ70" s="762">
        <v>0</v>
      </c>
      <c r="AR70" s="762">
        <v>0</v>
      </c>
      <c r="AS70" s="762">
        <v>0</v>
      </c>
      <c r="AT70" s="762">
        <v>0</v>
      </c>
      <c r="AU70" s="762">
        <v>0</v>
      </c>
      <c r="AV70" s="762">
        <v>0</v>
      </c>
      <c r="AW70" s="762">
        <v>0</v>
      </c>
      <c r="AX70" s="762">
        <v>0</v>
      </c>
      <c r="AY70" s="762">
        <v>0</v>
      </c>
      <c r="AZ70" s="762">
        <v>0</v>
      </c>
      <c r="BA70" s="762">
        <v>0</v>
      </c>
      <c r="BB70" s="762">
        <v>0</v>
      </c>
      <c r="BC70" s="762">
        <v>0</v>
      </c>
      <c r="BD70" s="762">
        <v>0</v>
      </c>
      <c r="BE70" s="762">
        <v>0</v>
      </c>
      <c r="BF70" s="762">
        <v>0</v>
      </c>
      <c r="BG70" s="762">
        <v>0</v>
      </c>
      <c r="BH70" s="762">
        <v>0</v>
      </c>
      <c r="BI70" s="762">
        <v>0</v>
      </c>
      <c r="BJ70" s="790">
        <v>0.5</v>
      </c>
      <c r="BK70" s="790">
        <v>0.4</v>
      </c>
      <c r="BL70" s="790">
        <v>0.1</v>
      </c>
      <c r="BM70" s="790">
        <v>0</v>
      </c>
      <c r="BN70" s="790">
        <v>1</v>
      </c>
      <c r="BO70" s="762">
        <v>934802</v>
      </c>
      <c r="BP70" s="762">
        <v>747841</v>
      </c>
      <c r="BQ70" s="762">
        <v>186960</v>
      </c>
      <c r="BR70" s="762">
        <v>0</v>
      </c>
      <c r="BS70" s="762">
        <v>1869603</v>
      </c>
      <c r="BT70" s="790">
        <v>0.5</v>
      </c>
      <c r="BU70" s="790">
        <v>0.4</v>
      </c>
      <c r="BV70" s="790">
        <v>0.1</v>
      </c>
      <c r="BW70" s="790">
        <v>0</v>
      </c>
      <c r="BX70" s="790">
        <v>1</v>
      </c>
      <c r="BY70" s="762">
        <v>411978</v>
      </c>
      <c r="BZ70" s="762">
        <v>329582</v>
      </c>
      <c r="CA70" s="762">
        <v>82396</v>
      </c>
      <c r="CB70" s="762">
        <v>0</v>
      </c>
      <c r="CC70" s="762">
        <v>823956</v>
      </c>
      <c r="CD70" s="762">
        <v>1346779</v>
      </c>
      <c r="CE70" s="762">
        <v>1077424</v>
      </c>
      <c r="CF70" s="762">
        <v>269356</v>
      </c>
      <c r="CG70" s="762">
        <v>0</v>
      </c>
      <c r="CH70" s="762">
        <v>2693559</v>
      </c>
      <c r="CI70" s="762">
        <v>10384501</v>
      </c>
      <c r="CJ70" s="762">
        <v>15626269</v>
      </c>
      <c r="CK70" s="762">
        <v>12560658</v>
      </c>
      <c r="CL70" s="762">
        <v>361509</v>
      </c>
      <c r="CM70" s="762">
        <v>38932937</v>
      </c>
      <c r="CN70" s="762">
        <v>471213</v>
      </c>
      <c r="CO70" s="762">
        <v>400531</v>
      </c>
      <c r="CP70" s="762">
        <v>11780</v>
      </c>
      <c r="CQ70" s="762">
        <v>883524</v>
      </c>
      <c r="CR70" s="762">
        <v>540392</v>
      </c>
      <c r="CS70" s="762">
        <v>459333</v>
      </c>
      <c r="CT70" s="762">
        <v>13510</v>
      </c>
      <c r="CU70" s="762">
        <v>1013235</v>
      </c>
      <c r="CV70" s="762">
        <v>0</v>
      </c>
      <c r="CW70" s="762">
        <v>0</v>
      </c>
      <c r="CX70" s="762">
        <v>0</v>
      </c>
      <c r="CY70" s="762">
        <v>0</v>
      </c>
      <c r="CZ70" s="762">
        <v>0</v>
      </c>
      <c r="DA70" s="762">
        <v>0</v>
      </c>
      <c r="DB70" s="762">
        <v>0</v>
      </c>
      <c r="DC70" s="762">
        <v>0</v>
      </c>
      <c r="DD70" s="762">
        <v>0</v>
      </c>
      <c r="DE70" s="762">
        <v>0</v>
      </c>
      <c r="DF70" s="762">
        <v>0</v>
      </c>
      <c r="DG70" s="762">
        <v>0</v>
      </c>
      <c r="DH70" s="762">
        <v>0</v>
      </c>
      <c r="DI70" s="762">
        <v>0</v>
      </c>
      <c r="DJ70" s="762">
        <v>0</v>
      </c>
      <c r="DK70" s="762">
        <v>0</v>
      </c>
      <c r="DL70" s="762">
        <v>0</v>
      </c>
      <c r="DM70" s="762">
        <v>0</v>
      </c>
      <c r="DN70" s="762">
        <v>0</v>
      </c>
      <c r="DO70" s="762">
        <v>0</v>
      </c>
      <c r="DP70" s="762">
        <v>4130</v>
      </c>
      <c r="DQ70" s="762">
        <v>3511</v>
      </c>
      <c r="DR70" s="762">
        <v>103</v>
      </c>
      <c r="DS70" s="762">
        <v>7744</v>
      </c>
      <c r="DT70" s="762">
        <v>0</v>
      </c>
      <c r="DU70" s="762">
        <v>0</v>
      </c>
      <c r="DV70" s="762">
        <v>0</v>
      </c>
      <c r="DW70" s="762">
        <v>0</v>
      </c>
      <c r="DX70" s="762">
        <v>0</v>
      </c>
      <c r="DY70" s="762">
        <v>0</v>
      </c>
      <c r="DZ70" s="762">
        <v>0</v>
      </c>
      <c r="EA70" s="762">
        <v>0</v>
      </c>
      <c r="EB70" s="762">
        <v>136301</v>
      </c>
      <c r="EC70" s="762">
        <v>115856</v>
      </c>
      <c r="ED70" s="762">
        <v>3408</v>
      </c>
      <c r="EE70" s="762">
        <v>255565</v>
      </c>
      <c r="EF70" s="762">
        <v>1152036</v>
      </c>
      <c r="EG70" s="762">
        <v>979231</v>
      </c>
      <c r="EH70" s="762">
        <v>28801</v>
      </c>
      <c r="EI70" s="799">
        <v>2160068</v>
      </c>
      <c r="EJ70" s="763" t="s">
        <v>5</v>
      </c>
      <c r="EK70" s="607" t="s">
        <v>605</v>
      </c>
      <c r="EL70" s="805" t="s">
        <v>556</v>
      </c>
      <c r="EM70" t="s">
        <v>1636</v>
      </c>
    </row>
    <row r="71" spans="1:143" ht="12.75" x14ac:dyDescent="0.2">
      <c r="A71" s="764">
        <v>64</v>
      </c>
      <c r="B71" s="765" t="s">
        <v>8</v>
      </c>
      <c r="C71" s="766" t="s">
        <v>529</v>
      </c>
      <c r="D71" s="767" t="s">
        <v>1226</v>
      </c>
      <c r="E71" s="768" t="s">
        <v>7</v>
      </c>
      <c r="F71" s="761">
        <v>151872861</v>
      </c>
      <c r="G71" s="762">
        <v>244018</v>
      </c>
      <c r="H71" s="762">
        <v>0</v>
      </c>
      <c r="I71" s="762">
        <v>1145208</v>
      </c>
      <c r="J71" s="762">
        <v>0</v>
      </c>
      <c r="K71" s="762">
        <v>1145208</v>
      </c>
      <c r="L71" s="762">
        <v>0</v>
      </c>
      <c r="M71" s="762">
        <v>111455</v>
      </c>
      <c r="N71" s="762">
        <v>1900000</v>
      </c>
      <c r="O71" s="762">
        <v>1900000</v>
      </c>
      <c r="P71" s="762">
        <v>0</v>
      </c>
      <c r="Q71" s="762">
        <v>0</v>
      </c>
      <c r="R71" s="762">
        <v>148960216</v>
      </c>
      <c r="S71" s="790">
        <v>0</v>
      </c>
      <c r="T71" s="790">
        <v>1</v>
      </c>
      <c r="U71" s="790">
        <v>0</v>
      </c>
      <c r="V71" s="790">
        <v>0</v>
      </c>
      <c r="W71" s="790">
        <v>1</v>
      </c>
      <c r="X71" s="762">
        <v>0</v>
      </c>
      <c r="Y71" s="762">
        <v>148960216</v>
      </c>
      <c r="Z71" s="762">
        <v>0</v>
      </c>
      <c r="AA71" s="762">
        <v>0</v>
      </c>
      <c r="AB71" s="762">
        <v>148960216</v>
      </c>
      <c r="AC71" s="762">
        <v>0</v>
      </c>
      <c r="AD71" s="762">
        <v>0</v>
      </c>
      <c r="AE71" s="762">
        <v>0</v>
      </c>
      <c r="AF71" s="762">
        <v>0</v>
      </c>
      <c r="AG71" s="762">
        <v>0</v>
      </c>
      <c r="AH71" s="762">
        <v>0</v>
      </c>
      <c r="AI71" s="762">
        <v>148960216</v>
      </c>
      <c r="AJ71" s="762">
        <v>0</v>
      </c>
      <c r="AK71" s="762">
        <v>0</v>
      </c>
      <c r="AL71" s="762">
        <v>148960216</v>
      </c>
      <c r="AM71" s="762">
        <v>1145208</v>
      </c>
      <c r="AN71" s="762">
        <v>1145208</v>
      </c>
      <c r="AO71" s="762">
        <v>111455</v>
      </c>
      <c r="AP71" s="762">
        <v>111455</v>
      </c>
      <c r="AQ71" s="762">
        <v>1900000</v>
      </c>
      <c r="AR71" s="762">
        <v>0</v>
      </c>
      <c r="AS71" s="762">
        <v>1900000</v>
      </c>
      <c r="AT71" s="762">
        <v>0</v>
      </c>
      <c r="AU71" s="762">
        <v>0</v>
      </c>
      <c r="AV71" s="762">
        <v>0</v>
      </c>
      <c r="AW71" s="762">
        <v>0</v>
      </c>
      <c r="AX71" s="762">
        <v>0</v>
      </c>
      <c r="AY71" s="762">
        <v>0</v>
      </c>
      <c r="AZ71" s="762">
        <v>0</v>
      </c>
      <c r="BA71" s="762">
        <v>0</v>
      </c>
      <c r="BB71" s="762">
        <v>0</v>
      </c>
      <c r="BC71" s="762">
        <v>0</v>
      </c>
      <c r="BD71" s="762">
        <v>0</v>
      </c>
      <c r="BE71" s="762">
        <v>0</v>
      </c>
      <c r="BF71" s="762">
        <v>0</v>
      </c>
      <c r="BG71" s="762">
        <v>0</v>
      </c>
      <c r="BH71" s="762">
        <v>0</v>
      </c>
      <c r="BI71" s="762">
        <v>0</v>
      </c>
      <c r="BJ71" s="790">
        <v>0</v>
      </c>
      <c r="BK71" s="790">
        <v>1</v>
      </c>
      <c r="BL71" s="790">
        <v>0</v>
      </c>
      <c r="BM71" s="790">
        <v>0</v>
      </c>
      <c r="BN71" s="790">
        <v>1</v>
      </c>
      <c r="BO71" s="762">
        <v>0</v>
      </c>
      <c r="BP71" s="762">
        <v>5151755</v>
      </c>
      <c r="BQ71" s="762">
        <v>0</v>
      </c>
      <c r="BR71" s="762">
        <v>0</v>
      </c>
      <c r="BS71" s="762">
        <v>5151755</v>
      </c>
      <c r="BT71" s="790">
        <v>0</v>
      </c>
      <c r="BU71" s="790">
        <v>1</v>
      </c>
      <c r="BV71" s="790">
        <v>0</v>
      </c>
      <c r="BW71" s="790">
        <v>0</v>
      </c>
      <c r="BX71" s="790">
        <v>1</v>
      </c>
      <c r="BY71" s="762">
        <v>0</v>
      </c>
      <c r="BZ71" s="762">
        <v>225329</v>
      </c>
      <c r="CA71" s="762">
        <v>0</v>
      </c>
      <c r="CB71" s="762">
        <v>0</v>
      </c>
      <c r="CC71" s="762">
        <v>225329</v>
      </c>
      <c r="CD71" s="762">
        <v>0</v>
      </c>
      <c r="CE71" s="762">
        <v>5377084</v>
      </c>
      <c r="CF71" s="762">
        <v>0</v>
      </c>
      <c r="CG71" s="762">
        <v>0</v>
      </c>
      <c r="CH71" s="762">
        <v>5377084</v>
      </c>
      <c r="CI71" s="762">
        <v>0</v>
      </c>
      <c r="CJ71" s="762">
        <v>157493963</v>
      </c>
      <c r="CK71" s="762">
        <v>0</v>
      </c>
      <c r="CL71" s="762">
        <v>0</v>
      </c>
      <c r="CM71" s="762">
        <v>157493963</v>
      </c>
      <c r="CN71" s="762">
        <v>4919647</v>
      </c>
      <c r="CO71" s="762">
        <v>0</v>
      </c>
      <c r="CP71" s="762">
        <v>0</v>
      </c>
      <c r="CQ71" s="762">
        <v>4919647</v>
      </c>
      <c r="CR71" s="762">
        <v>26476750</v>
      </c>
      <c r="CS71" s="762">
        <v>0</v>
      </c>
      <c r="CT71" s="762">
        <v>0</v>
      </c>
      <c r="CU71" s="762">
        <v>26476750</v>
      </c>
      <c r="CV71" s="762">
        <v>1127682</v>
      </c>
      <c r="CW71" s="762">
        <v>0</v>
      </c>
      <c r="CX71" s="762">
        <v>0</v>
      </c>
      <c r="CY71" s="762">
        <v>1127682</v>
      </c>
      <c r="CZ71" s="762">
        <v>11281</v>
      </c>
      <c r="DA71" s="762">
        <v>0</v>
      </c>
      <c r="DB71" s="762">
        <v>0</v>
      </c>
      <c r="DC71" s="762">
        <v>11281</v>
      </c>
      <c r="DD71" s="762">
        <v>180182</v>
      </c>
      <c r="DE71" s="762">
        <v>0</v>
      </c>
      <c r="DF71" s="762">
        <v>0</v>
      </c>
      <c r="DG71" s="762">
        <v>180182</v>
      </c>
      <c r="DH71" s="762">
        <v>9293</v>
      </c>
      <c r="DI71" s="762">
        <v>0</v>
      </c>
      <c r="DJ71" s="762">
        <v>0</v>
      </c>
      <c r="DK71" s="762">
        <v>9293</v>
      </c>
      <c r="DL71" s="762">
        <v>332454</v>
      </c>
      <c r="DM71" s="762">
        <v>0</v>
      </c>
      <c r="DN71" s="762">
        <v>0</v>
      </c>
      <c r="DO71" s="762">
        <v>332454</v>
      </c>
      <c r="DP71" s="762">
        <v>327719</v>
      </c>
      <c r="DQ71" s="762">
        <v>0</v>
      </c>
      <c r="DR71" s="762">
        <v>0</v>
      </c>
      <c r="DS71" s="762">
        <v>327719</v>
      </c>
      <c r="DT71" s="762">
        <v>266978</v>
      </c>
      <c r="DU71" s="762">
        <v>0</v>
      </c>
      <c r="DV71" s="762">
        <v>0</v>
      </c>
      <c r="DW71" s="762">
        <v>266978</v>
      </c>
      <c r="DX71" s="762">
        <v>0</v>
      </c>
      <c r="DY71" s="762">
        <v>0</v>
      </c>
      <c r="DZ71" s="762">
        <v>0</v>
      </c>
      <c r="EA71" s="762">
        <v>0</v>
      </c>
      <c r="EB71" s="762">
        <v>5494513</v>
      </c>
      <c r="EC71" s="762">
        <v>0</v>
      </c>
      <c r="ED71" s="762">
        <v>0</v>
      </c>
      <c r="EE71" s="762">
        <v>5494513</v>
      </c>
      <c r="EF71" s="762">
        <v>39146499</v>
      </c>
      <c r="EG71" s="762">
        <v>0</v>
      </c>
      <c r="EH71" s="762">
        <v>0</v>
      </c>
      <c r="EI71" s="799">
        <v>39146499</v>
      </c>
      <c r="EJ71" s="763" t="s">
        <v>7</v>
      </c>
      <c r="EK71" s="607" t="s">
        <v>529</v>
      </c>
      <c r="EL71" s="805" t="s">
        <v>556</v>
      </c>
      <c r="EM71" t="s">
        <v>1637</v>
      </c>
    </row>
    <row r="72" spans="1:143" ht="12.75" x14ac:dyDescent="0.2">
      <c r="A72" s="764">
        <v>65</v>
      </c>
      <c r="B72" s="765" t="s">
        <v>10</v>
      </c>
      <c r="C72" s="766" t="s">
        <v>1217</v>
      </c>
      <c r="D72" s="767" t="s">
        <v>1226</v>
      </c>
      <c r="E72" s="768" t="s">
        <v>9</v>
      </c>
      <c r="F72" s="761">
        <v>32429627</v>
      </c>
      <c r="G72" s="762">
        <v>575573</v>
      </c>
      <c r="H72" s="762">
        <v>0</v>
      </c>
      <c r="I72" s="762">
        <v>180554</v>
      </c>
      <c r="J72" s="762">
        <v>0</v>
      </c>
      <c r="K72" s="762">
        <v>180554</v>
      </c>
      <c r="L72" s="762">
        <v>0</v>
      </c>
      <c r="M72" s="762">
        <v>0</v>
      </c>
      <c r="N72" s="762">
        <v>71325</v>
      </c>
      <c r="O72" s="762">
        <v>71325</v>
      </c>
      <c r="P72" s="762">
        <v>0</v>
      </c>
      <c r="Q72" s="762">
        <v>0</v>
      </c>
      <c r="R72" s="762">
        <v>32753321</v>
      </c>
      <c r="S72" s="790">
        <v>0.5</v>
      </c>
      <c r="T72" s="790">
        <v>0.4</v>
      </c>
      <c r="U72" s="790">
        <v>0.1</v>
      </c>
      <c r="V72" s="790">
        <v>0</v>
      </c>
      <c r="W72" s="790">
        <v>1</v>
      </c>
      <c r="X72" s="762">
        <v>16376661</v>
      </c>
      <c r="Y72" s="762">
        <v>13101328</v>
      </c>
      <c r="Z72" s="762">
        <v>3275332</v>
      </c>
      <c r="AA72" s="762">
        <v>0</v>
      </c>
      <c r="AB72" s="762">
        <v>32753321</v>
      </c>
      <c r="AC72" s="762">
        <v>0</v>
      </c>
      <c r="AD72" s="762">
        <v>0</v>
      </c>
      <c r="AE72" s="762">
        <v>0</v>
      </c>
      <c r="AF72" s="762">
        <v>0</v>
      </c>
      <c r="AG72" s="762">
        <v>0</v>
      </c>
      <c r="AH72" s="762">
        <v>16376661</v>
      </c>
      <c r="AI72" s="762">
        <v>13101328</v>
      </c>
      <c r="AJ72" s="762">
        <v>3275332</v>
      </c>
      <c r="AK72" s="762">
        <v>0</v>
      </c>
      <c r="AL72" s="762">
        <v>32753321</v>
      </c>
      <c r="AM72" s="762">
        <v>180554</v>
      </c>
      <c r="AN72" s="762">
        <v>180554</v>
      </c>
      <c r="AO72" s="762">
        <v>0</v>
      </c>
      <c r="AP72" s="762">
        <v>0</v>
      </c>
      <c r="AQ72" s="762">
        <v>71325</v>
      </c>
      <c r="AR72" s="762">
        <v>0</v>
      </c>
      <c r="AS72" s="762">
        <v>71325</v>
      </c>
      <c r="AT72" s="762">
        <v>0</v>
      </c>
      <c r="AU72" s="762">
        <v>0</v>
      </c>
      <c r="AV72" s="762">
        <v>0</v>
      </c>
      <c r="AW72" s="762">
        <v>0</v>
      </c>
      <c r="AX72" s="762">
        <v>0</v>
      </c>
      <c r="AY72" s="762">
        <v>0</v>
      </c>
      <c r="AZ72" s="762">
        <v>0</v>
      </c>
      <c r="BA72" s="762">
        <v>0</v>
      </c>
      <c r="BB72" s="762">
        <v>0</v>
      </c>
      <c r="BC72" s="762">
        <v>0</v>
      </c>
      <c r="BD72" s="762">
        <v>0</v>
      </c>
      <c r="BE72" s="762">
        <v>0</v>
      </c>
      <c r="BF72" s="762">
        <v>0</v>
      </c>
      <c r="BG72" s="762">
        <v>0</v>
      </c>
      <c r="BH72" s="762">
        <v>0</v>
      </c>
      <c r="BI72" s="762">
        <v>0</v>
      </c>
      <c r="BJ72" s="790">
        <v>0</v>
      </c>
      <c r="BK72" s="790">
        <v>0.5</v>
      </c>
      <c r="BL72" s="790">
        <v>0.5</v>
      </c>
      <c r="BM72" s="790">
        <v>0</v>
      </c>
      <c r="BN72" s="790">
        <v>1</v>
      </c>
      <c r="BO72" s="762">
        <v>-1</v>
      </c>
      <c r="BP72" s="762">
        <v>509794</v>
      </c>
      <c r="BQ72" s="762">
        <v>509794</v>
      </c>
      <c r="BR72" s="762">
        <v>0</v>
      </c>
      <c r="BS72" s="762">
        <v>1019587</v>
      </c>
      <c r="BT72" s="790">
        <v>0.5</v>
      </c>
      <c r="BU72" s="790">
        <v>0.4</v>
      </c>
      <c r="BV72" s="790">
        <v>0.1</v>
      </c>
      <c r="BW72" s="790">
        <v>0</v>
      </c>
      <c r="BX72" s="790">
        <v>1</v>
      </c>
      <c r="BY72" s="762">
        <v>-799122</v>
      </c>
      <c r="BZ72" s="762">
        <v>-639298</v>
      </c>
      <c r="CA72" s="762">
        <v>-159824</v>
      </c>
      <c r="CB72" s="762">
        <v>0</v>
      </c>
      <c r="CC72" s="762">
        <v>-1598244</v>
      </c>
      <c r="CD72" s="762">
        <v>-799123</v>
      </c>
      <c r="CE72" s="762">
        <v>-129504</v>
      </c>
      <c r="CF72" s="762">
        <v>349970</v>
      </c>
      <c r="CG72" s="762">
        <v>0</v>
      </c>
      <c r="CH72" s="762">
        <v>-578657</v>
      </c>
      <c r="CI72" s="762">
        <v>15577538</v>
      </c>
      <c r="CJ72" s="762">
        <v>13223703</v>
      </c>
      <c r="CK72" s="762">
        <v>3625302</v>
      </c>
      <c r="CL72" s="762">
        <v>0</v>
      </c>
      <c r="CM72" s="762">
        <v>32426543</v>
      </c>
      <c r="CN72" s="762">
        <v>429251</v>
      </c>
      <c r="CO72" s="762">
        <v>106732</v>
      </c>
      <c r="CP72" s="762">
        <v>0</v>
      </c>
      <c r="CQ72" s="762">
        <v>535983</v>
      </c>
      <c r="CR72" s="762">
        <v>1579849</v>
      </c>
      <c r="CS72" s="762">
        <v>394962</v>
      </c>
      <c r="CT72" s="762">
        <v>0</v>
      </c>
      <c r="CU72" s="762">
        <v>1974811</v>
      </c>
      <c r="CV72" s="762">
        <v>94665</v>
      </c>
      <c r="CW72" s="762">
        <v>23666</v>
      </c>
      <c r="CX72" s="762">
        <v>0</v>
      </c>
      <c r="CY72" s="762">
        <v>118331</v>
      </c>
      <c r="CZ72" s="762">
        <v>4130</v>
      </c>
      <c r="DA72" s="762">
        <v>1033</v>
      </c>
      <c r="DB72" s="762">
        <v>0</v>
      </c>
      <c r="DC72" s="762">
        <v>5163</v>
      </c>
      <c r="DD72" s="762">
        <v>11722</v>
      </c>
      <c r="DE72" s="762">
        <v>2931</v>
      </c>
      <c r="DF72" s="762">
        <v>0</v>
      </c>
      <c r="DG72" s="762">
        <v>14653</v>
      </c>
      <c r="DH72" s="762">
        <v>619</v>
      </c>
      <c r="DI72" s="762">
        <v>155</v>
      </c>
      <c r="DJ72" s="762">
        <v>0</v>
      </c>
      <c r="DK72" s="762">
        <v>774</v>
      </c>
      <c r="DL72" s="762">
        <v>7889</v>
      </c>
      <c r="DM72" s="762">
        <v>1972</v>
      </c>
      <c r="DN72" s="762">
        <v>0</v>
      </c>
      <c r="DO72" s="762">
        <v>9861</v>
      </c>
      <c r="DP72" s="762">
        <v>30516</v>
      </c>
      <c r="DQ72" s="762">
        <v>7629</v>
      </c>
      <c r="DR72" s="762">
        <v>0</v>
      </c>
      <c r="DS72" s="762">
        <v>38145</v>
      </c>
      <c r="DT72" s="762">
        <v>0</v>
      </c>
      <c r="DU72" s="762">
        <v>0</v>
      </c>
      <c r="DV72" s="762">
        <v>0</v>
      </c>
      <c r="DW72" s="762">
        <v>0</v>
      </c>
      <c r="DX72" s="762">
        <v>0</v>
      </c>
      <c r="DY72" s="762">
        <v>0</v>
      </c>
      <c r="DZ72" s="762">
        <v>0</v>
      </c>
      <c r="EA72" s="762">
        <v>0</v>
      </c>
      <c r="EB72" s="762">
        <v>347563</v>
      </c>
      <c r="EC72" s="762">
        <v>86891</v>
      </c>
      <c r="ED72" s="762">
        <v>0</v>
      </c>
      <c r="EE72" s="762">
        <v>434454</v>
      </c>
      <c r="EF72" s="762">
        <v>2506204</v>
      </c>
      <c r="EG72" s="762">
        <v>625971</v>
      </c>
      <c r="EH72" s="762">
        <v>0</v>
      </c>
      <c r="EI72" s="799">
        <v>3132175</v>
      </c>
      <c r="EJ72" s="763" t="s">
        <v>9</v>
      </c>
      <c r="EK72" s="607" t="s">
        <v>576</v>
      </c>
      <c r="EL72" s="805" t="s">
        <v>556</v>
      </c>
      <c r="EM72" t="s">
        <v>1638</v>
      </c>
    </row>
    <row r="73" spans="1:143" ht="12.75" x14ac:dyDescent="0.2">
      <c r="A73" s="764">
        <v>66</v>
      </c>
      <c r="B73" s="765" t="s">
        <v>12</v>
      </c>
      <c r="C73" s="766" t="s">
        <v>1224</v>
      </c>
      <c r="D73" s="767" t="s">
        <v>1227</v>
      </c>
      <c r="E73" s="768" t="s">
        <v>11</v>
      </c>
      <c r="F73" s="761">
        <v>119242824</v>
      </c>
      <c r="G73" s="762">
        <v>0</v>
      </c>
      <c r="H73" s="762">
        <v>1819559</v>
      </c>
      <c r="I73" s="762">
        <v>377276</v>
      </c>
      <c r="J73" s="762">
        <v>0</v>
      </c>
      <c r="K73" s="762">
        <v>377276</v>
      </c>
      <c r="L73" s="762">
        <v>0</v>
      </c>
      <c r="M73" s="762">
        <v>0</v>
      </c>
      <c r="N73" s="762">
        <v>0</v>
      </c>
      <c r="O73" s="762">
        <v>0</v>
      </c>
      <c r="P73" s="762">
        <v>0</v>
      </c>
      <c r="Q73" s="762">
        <v>0</v>
      </c>
      <c r="R73" s="762">
        <v>117045989</v>
      </c>
      <c r="S73" s="790">
        <v>0</v>
      </c>
      <c r="T73" s="790">
        <v>0.99</v>
      </c>
      <c r="U73" s="790">
        <v>0</v>
      </c>
      <c r="V73" s="790">
        <v>0.01</v>
      </c>
      <c r="W73" s="790">
        <v>1</v>
      </c>
      <c r="X73" s="762">
        <v>0</v>
      </c>
      <c r="Y73" s="762">
        <v>115875529</v>
      </c>
      <c r="Z73" s="762">
        <v>0</v>
      </c>
      <c r="AA73" s="762">
        <v>1170460</v>
      </c>
      <c r="AB73" s="762">
        <v>117045989</v>
      </c>
      <c r="AC73" s="762">
        <v>0</v>
      </c>
      <c r="AD73" s="762">
        <v>0</v>
      </c>
      <c r="AE73" s="762">
        <v>0</v>
      </c>
      <c r="AF73" s="762">
        <v>0</v>
      </c>
      <c r="AG73" s="762">
        <v>0</v>
      </c>
      <c r="AH73" s="762">
        <v>0</v>
      </c>
      <c r="AI73" s="762">
        <v>115875529</v>
      </c>
      <c r="AJ73" s="762">
        <v>0</v>
      </c>
      <c r="AK73" s="762">
        <v>1170460</v>
      </c>
      <c r="AL73" s="762">
        <v>117045989</v>
      </c>
      <c r="AM73" s="762">
        <v>377276</v>
      </c>
      <c r="AN73" s="762">
        <v>377276</v>
      </c>
      <c r="AO73" s="762">
        <v>0</v>
      </c>
      <c r="AP73" s="762">
        <v>0</v>
      </c>
      <c r="AQ73" s="762">
        <v>0</v>
      </c>
      <c r="AR73" s="762">
        <v>0</v>
      </c>
      <c r="AS73" s="762">
        <v>0</v>
      </c>
      <c r="AT73" s="762">
        <v>0</v>
      </c>
      <c r="AU73" s="762">
        <v>0</v>
      </c>
      <c r="AV73" s="762">
        <v>0</v>
      </c>
      <c r="AW73" s="762">
        <v>0</v>
      </c>
      <c r="AX73" s="762">
        <v>0</v>
      </c>
      <c r="AY73" s="762">
        <v>0</v>
      </c>
      <c r="AZ73" s="762">
        <v>0</v>
      </c>
      <c r="BA73" s="762">
        <v>0</v>
      </c>
      <c r="BB73" s="762">
        <v>0</v>
      </c>
      <c r="BC73" s="762">
        <v>0</v>
      </c>
      <c r="BD73" s="762">
        <v>0</v>
      </c>
      <c r="BE73" s="762">
        <v>0</v>
      </c>
      <c r="BF73" s="762">
        <v>0</v>
      </c>
      <c r="BG73" s="762">
        <v>0</v>
      </c>
      <c r="BH73" s="762">
        <v>0</v>
      </c>
      <c r="BI73" s="762">
        <v>0</v>
      </c>
      <c r="BJ73" s="790">
        <v>0</v>
      </c>
      <c r="BK73" s="790">
        <v>0.99</v>
      </c>
      <c r="BL73" s="790">
        <v>0</v>
      </c>
      <c r="BM73" s="790">
        <v>0.01</v>
      </c>
      <c r="BN73" s="790">
        <v>1</v>
      </c>
      <c r="BO73" s="762">
        <v>0</v>
      </c>
      <c r="BP73" s="762">
        <v>-2066232</v>
      </c>
      <c r="BQ73" s="762">
        <v>0</v>
      </c>
      <c r="BR73" s="762">
        <v>-20871</v>
      </c>
      <c r="BS73" s="762">
        <v>-2087103</v>
      </c>
      <c r="BT73" s="790">
        <v>0</v>
      </c>
      <c r="BU73" s="790">
        <v>0.99</v>
      </c>
      <c r="BV73" s="790">
        <v>0</v>
      </c>
      <c r="BW73" s="790">
        <v>0.01</v>
      </c>
      <c r="BX73" s="790">
        <v>1</v>
      </c>
      <c r="BY73" s="762">
        <v>0</v>
      </c>
      <c r="BZ73" s="762">
        <v>16181</v>
      </c>
      <c r="CA73" s="762">
        <v>0</v>
      </c>
      <c r="CB73" s="762">
        <v>163</v>
      </c>
      <c r="CC73" s="762">
        <v>16344</v>
      </c>
      <c r="CD73" s="762">
        <v>0</v>
      </c>
      <c r="CE73" s="762">
        <v>-2050051</v>
      </c>
      <c r="CF73" s="762">
        <v>0</v>
      </c>
      <c r="CG73" s="762">
        <v>-20708</v>
      </c>
      <c r="CH73" s="762">
        <v>-2070759</v>
      </c>
      <c r="CI73" s="762">
        <v>0</v>
      </c>
      <c r="CJ73" s="762">
        <v>114202754</v>
      </c>
      <c r="CK73" s="762">
        <v>0</v>
      </c>
      <c r="CL73" s="762">
        <v>1149752</v>
      </c>
      <c r="CM73" s="762">
        <v>115352506</v>
      </c>
      <c r="CN73" s="762">
        <v>3775985</v>
      </c>
      <c r="CO73" s="762">
        <v>0</v>
      </c>
      <c r="CP73" s="762">
        <v>38141</v>
      </c>
      <c r="CQ73" s="762">
        <v>3814126</v>
      </c>
      <c r="CR73" s="762">
        <v>6211051</v>
      </c>
      <c r="CS73" s="762">
        <v>0</v>
      </c>
      <c r="CT73" s="762">
        <v>62738</v>
      </c>
      <c r="CU73" s="762">
        <v>6273789</v>
      </c>
      <c r="CV73" s="762">
        <v>438565</v>
      </c>
      <c r="CW73" s="762">
        <v>0</v>
      </c>
      <c r="CX73" s="762">
        <v>4430</v>
      </c>
      <c r="CY73" s="762">
        <v>442995</v>
      </c>
      <c r="CZ73" s="762">
        <v>0</v>
      </c>
      <c r="DA73" s="762">
        <v>0</v>
      </c>
      <c r="DB73" s="762">
        <v>0</v>
      </c>
      <c r="DC73" s="762">
        <v>0</v>
      </c>
      <c r="DD73" s="762">
        <v>0</v>
      </c>
      <c r="DE73" s="762">
        <v>0</v>
      </c>
      <c r="DF73" s="762">
        <v>0</v>
      </c>
      <c r="DG73" s="762">
        <v>0</v>
      </c>
      <c r="DH73" s="762">
        <v>1534</v>
      </c>
      <c r="DI73" s="762">
        <v>0</v>
      </c>
      <c r="DJ73" s="762">
        <v>15</v>
      </c>
      <c r="DK73" s="762">
        <v>1549</v>
      </c>
      <c r="DL73" s="762">
        <v>61335</v>
      </c>
      <c r="DM73" s="762">
        <v>0</v>
      </c>
      <c r="DN73" s="762">
        <v>620</v>
      </c>
      <c r="DO73" s="762">
        <v>61955</v>
      </c>
      <c r="DP73" s="762">
        <v>85870</v>
      </c>
      <c r="DQ73" s="762">
        <v>0</v>
      </c>
      <c r="DR73" s="762">
        <v>867</v>
      </c>
      <c r="DS73" s="762">
        <v>86737</v>
      </c>
      <c r="DT73" s="762">
        <v>0</v>
      </c>
      <c r="DU73" s="762">
        <v>0</v>
      </c>
      <c r="DV73" s="762">
        <v>0</v>
      </c>
      <c r="DW73" s="762">
        <v>0</v>
      </c>
      <c r="DX73" s="762">
        <v>0</v>
      </c>
      <c r="DY73" s="762">
        <v>0</v>
      </c>
      <c r="DZ73" s="762">
        <v>0</v>
      </c>
      <c r="EA73" s="762">
        <v>0</v>
      </c>
      <c r="EB73" s="762">
        <v>2346088</v>
      </c>
      <c r="EC73" s="762">
        <v>0</v>
      </c>
      <c r="ED73" s="762">
        <v>23698</v>
      </c>
      <c r="EE73" s="762">
        <v>2369786</v>
      </c>
      <c r="EF73" s="762">
        <v>12920428</v>
      </c>
      <c r="EG73" s="762">
        <v>0</v>
      </c>
      <c r="EH73" s="762">
        <v>130509</v>
      </c>
      <c r="EI73" s="799">
        <v>13050937</v>
      </c>
      <c r="EJ73" s="763" t="s">
        <v>11</v>
      </c>
      <c r="EK73" s="607" t="s">
        <v>621</v>
      </c>
      <c r="EL73" s="805" t="s">
        <v>626</v>
      </c>
      <c r="EM73" t="s">
        <v>1639</v>
      </c>
    </row>
    <row r="74" spans="1:143" ht="12.75" x14ac:dyDescent="0.2">
      <c r="A74" s="764">
        <v>67</v>
      </c>
      <c r="B74" s="765" t="s">
        <v>14</v>
      </c>
      <c r="C74" s="766" t="s">
        <v>1217</v>
      </c>
      <c r="D74" s="767" t="s">
        <v>1225</v>
      </c>
      <c r="E74" s="768" t="s">
        <v>13</v>
      </c>
      <c r="F74" s="761">
        <v>17793816</v>
      </c>
      <c r="G74" s="762">
        <v>318490</v>
      </c>
      <c r="H74" s="762">
        <v>0</v>
      </c>
      <c r="I74" s="762">
        <v>117745</v>
      </c>
      <c r="J74" s="762">
        <v>0</v>
      </c>
      <c r="K74" s="762">
        <v>117745</v>
      </c>
      <c r="L74" s="762">
        <v>0</v>
      </c>
      <c r="M74" s="762">
        <v>0</v>
      </c>
      <c r="N74" s="762">
        <v>0</v>
      </c>
      <c r="O74" s="762">
        <v>0</v>
      </c>
      <c r="P74" s="762">
        <v>0</v>
      </c>
      <c r="Q74" s="762">
        <v>0</v>
      </c>
      <c r="R74" s="762">
        <v>17994561</v>
      </c>
      <c r="S74" s="790">
        <v>0.25</v>
      </c>
      <c r="T74" s="790">
        <v>0.52500000000000002</v>
      </c>
      <c r="U74" s="790">
        <v>0.215</v>
      </c>
      <c r="V74" s="790">
        <v>0.01</v>
      </c>
      <c r="W74" s="790">
        <v>1</v>
      </c>
      <c r="X74" s="762">
        <v>4498639</v>
      </c>
      <c r="Y74" s="762">
        <v>9447145</v>
      </c>
      <c r="Z74" s="762">
        <v>3868831</v>
      </c>
      <c r="AA74" s="762">
        <v>179946</v>
      </c>
      <c r="AB74" s="762">
        <v>17994561</v>
      </c>
      <c r="AC74" s="762">
        <v>0</v>
      </c>
      <c r="AD74" s="762">
        <v>0</v>
      </c>
      <c r="AE74" s="762">
        <v>0</v>
      </c>
      <c r="AF74" s="762">
        <v>0</v>
      </c>
      <c r="AG74" s="762">
        <v>0</v>
      </c>
      <c r="AH74" s="762">
        <v>4498639</v>
      </c>
      <c r="AI74" s="762">
        <v>9447145</v>
      </c>
      <c r="AJ74" s="762">
        <v>3868831</v>
      </c>
      <c r="AK74" s="762">
        <v>179946</v>
      </c>
      <c r="AL74" s="762">
        <v>17994561</v>
      </c>
      <c r="AM74" s="762">
        <v>117745</v>
      </c>
      <c r="AN74" s="762">
        <v>117745</v>
      </c>
      <c r="AO74" s="762">
        <v>0</v>
      </c>
      <c r="AP74" s="762">
        <v>0</v>
      </c>
      <c r="AQ74" s="762">
        <v>0</v>
      </c>
      <c r="AR74" s="762">
        <v>0</v>
      </c>
      <c r="AS74" s="762">
        <v>0</v>
      </c>
      <c r="AT74" s="762">
        <v>0</v>
      </c>
      <c r="AU74" s="762">
        <v>0</v>
      </c>
      <c r="AV74" s="762">
        <v>0</v>
      </c>
      <c r="AW74" s="762">
        <v>0</v>
      </c>
      <c r="AX74" s="762">
        <v>0</v>
      </c>
      <c r="AY74" s="762">
        <v>0</v>
      </c>
      <c r="AZ74" s="762">
        <v>0</v>
      </c>
      <c r="BA74" s="762">
        <v>0</v>
      </c>
      <c r="BB74" s="762">
        <v>0</v>
      </c>
      <c r="BC74" s="762">
        <v>0</v>
      </c>
      <c r="BD74" s="762">
        <v>0</v>
      </c>
      <c r="BE74" s="762">
        <v>0</v>
      </c>
      <c r="BF74" s="762">
        <v>0</v>
      </c>
      <c r="BG74" s="762">
        <v>0</v>
      </c>
      <c r="BH74" s="762">
        <v>0</v>
      </c>
      <c r="BI74" s="762">
        <v>0</v>
      </c>
      <c r="BJ74" s="790">
        <v>0.5</v>
      </c>
      <c r="BK74" s="790">
        <v>0.4</v>
      </c>
      <c r="BL74" s="790">
        <v>0.09</v>
      </c>
      <c r="BM74" s="790">
        <v>0.01</v>
      </c>
      <c r="BN74" s="790">
        <v>1</v>
      </c>
      <c r="BO74" s="762">
        <v>-1603</v>
      </c>
      <c r="BP74" s="762">
        <v>-1283</v>
      </c>
      <c r="BQ74" s="762">
        <v>-289</v>
      </c>
      <c r="BR74" s="762">
        <v>-32</v>
      </c>
      <c r="BS74" s="762">
        <v>-3207</v>
      </c>
      <c r="BT74" s="790">
        <v>0.5</v>
      </c>
      <c r="BU74" s="790">
        <v>0.4</v>
      </c>
      <c r="BV74" s="790">
        <v>0.09</v>
      </c>
      <c r="BW74" s="790">
        <v>0.01</v>
      </c>
      <c r="BX74" s="790">
        <v>1</v>
      </c>
      <c r="BY74" s="762">
        <v>-126964</v>
      </c>
      <c r="BZ74" s="762">
        <v>-101572</v>
      </c>
      <c r="CA74" s="762">
        <v>-22854</v>
      </c>
      <c r="CB74" s="762">
        <v>-2539</v>
      </c>
      <c r="CC74" s="762">
        <v>-253929</v>
      </c>
      <c r="CD74" s="762">
        <v>-128569</v>
      </c>
      <c r="CE74" s="762">
        <v>-102854</v>
      </c>
      <c r="CF74" s="762">
        <v>-23142</v>
      </c>
      <c r="CG74" s="762">
        <v>-2571</v>
      </c>
      <c r="CH74" s="762">
        <v>-257136</v>
      </c>
      <c r="CI74" s="762">
        <v>4370070</v>
      </c>
      <c r="CJ74" s="762">
        <v>9462036</v>
      </c>
      <c r="CK74" s="762">
        <v>3845689</v>
      </c>
      <c r="CL74" s="762">
        <v>177375</v>
      </c>
      <c r="CM74" s="762">
        <v>17855170</v>
      </c>
      <c r="CN74" s="762">
        <v>307850</v>
      </c>
      <c r="CO74" s="762">
        <v>126072</v>
      </c>
      <c r="CP74" s="762">
        <v>5864</v>
      </c>
      <c r="CQ74" s="762">
        <v>439786</v>
      </c>
      <c r="CR74" s="762">
        <v>1329587</v>
      </c>
      <c r="CS74" s="762">
        <v>544498</v>
      </c>
      <c r="CT74" s="762">
        <v>25325</v>
      </c>
      <c r="CU74" s="762">
        <v>1899410</v>
      </c>
      <c r="CV74" s="762">
        <v>76656</v>
      </c>
      <c r="CW74" s="762">
        <v>31392</v>
      </c>
      <c r="CX74" s="762">
        <v>1460</v>
      </c>
      <c r="CY74" s="762">
        <v>109508</v>
      </c>
      <c r="CZ74" s="762">
        <v>8055</v>
      </c>
      <c r="DA74" s="762">
        <v>3299</v>
      </c>
      <c r="DB74" s="762">
        <v>153</v>
      </c>
      <c r="DC74" s="762">
        <v>11507</v>
      </c>
      <c r="DD74" s="762">
        <v>0</v>
      </c>
      <c r="DE74" s="762">
        <v>0</v>
      </c>
      <c r="DF74" s="762">
        <v>0</v>
      </c>
      <c r="DG74" s="762">
        <v>0</v>
      </c>
      <c r="DH74" s="762">
        <v>0</v>
      </c>
      <c r="DI74" s="762">
        <v>0</v>
      </c>
      <c r="DJ74" s="762">
        <v>0</v>
      </c>
      <c r="DK74" s="762">
        <v>0</v>
      </c>
      <c r="DL74" s="762">
        <v>0</v>
      </c>
      <c r="DM74" s="762">
        <v>0</v>
      </c>
      <c r="DN74" s="762">
        <v>0</v>
      </c>
      <c r="DO74" s="762">
        <v>0</v>
      </c>
      <c r="DP74" s="762">
        <v>17890</v>
      </c>
      <c r="DQ74" s="762">
        <v>7326</v>
      </c>
      <c r="DR74" s="762">
        <v>341</v>
      </c>
      <c r="DS74" s="762">
        <v>25557</v>
      </c>
      <c r="DT74" s="762">
        <v>0</v>
      </c>
      <c r="DU74" s="762">
        <v>0</v>
      </c>
      <c r="DV74" s="762">
        <v>0</v>
      </c>
      <c r="DW74" s="762">
        <v>0</v>
      </c>
      <c r="DX74" s="762">
        <v>0</v>
      </c>
      <c r="DY74" s="762">
        <v>0</v>
      </c>
      <c r="DZ74" s="762">
        <v>0</v>
      </c>
      <c r="EA74" s="762">
        <v>0</v>
      </c>
      <c r="EB74" s="762">
        <v>445233</v>
      </c>
      <c r="EC74" s="762">
        <v>182334</v>
      </c>
      <c r="ED74" s="762">
        <v>8481</v>
      </c>
      <c r="EE74" s="762">
        <v>636048</v>
      </c>
      <c r="EF74" s="762">
        <v>2185271</v>
      </c>
      <c r="EG74" s="762">
        <v>894921</v>
      </c>
      <c r="EH74" s="762">
        <v>41624</v>
      </c>
      <c r="EI74" s="799">
        <v>3121816</v>
      </c>
      <c r="EJ74" s="763" t="s">
        <v>13</v>
      </c>
      <c r="EK74" s="607" t="s">
        <v>604</v>
      </c>
      <c r="EL74" s="805" t="s">
        <v>603</v>
      </c>
      <c r="EM74" t="s">
        <v>1640</v>
      </c>
    </row>
    <row r="75" spans="1:143" ht="12.75" x14ac:dyDescent="0.2">
      <c r="A75" s="764">
        <v>68</v>
      </c>
      <c r="B75" s="765" t="s">
        <v>16</v>
      </c>
      <c r="C75" s="766" t="s">
        <v>1217</v>
      </c>
      <c r="D75" s="767" t="s">
        <v>1218</v>
      </c>
      <c r="E75" s="768" t="s">
        <v>15</v>
      </c>
      <c r="F75" s="761">
        <v>125080666</v>
      </c>
      <c r="G75" s="762">
        <v>0</v>
      </c>
      <c r="H75" s="762">
        <v>995223</v>
      </c>
      <c r="I75" s="762">
        <v>212145</v>
      </c>
      <c r="J75" s="762">
        <v>0</v>
      </c>
      <c r="K75" s="762">
        <v>212145</v>
      </c>
      <c r="L75" s="762">
        <v>0</v>
      </c>
      <c r="M75" s="762">
        <v>0</v>
      </c>
      <c r="N75" s="762">
        <v>5040</v>
      </c>
      <c r="O75" s="762">
        <v>5040</v>
      </c>
      <c r="P75" s="762">
        <v>0</v>
      </c>
      <c r="Q75" s="762">
        <v>0</v>
      </c>
      <c r="R75" s="762">
        <v>123868258</v>
      </c>
      <c r="S75" s="790">
        <v>0.24999999999999994</v>
      </c>
      <c r="T75" s="790">
        <v>0.2</v>
      </c>
      <c r="U75" s="790">
        <v>0.55000000000000004</v>
      </c>
      <c r="V75" s="790">
        <v>0</v>
      </c>
      <c r="W75" s="790">
        <v>1</v>
      </c>
      <c r="X75" s="762">
        <v>30967064</v>
      </c>
      <c r="Y75" s="762">
        <v>24773652</v>
      </c>
      <c r="Z75" s="762">
        <v>68127542</v>
      </c>
      <c r="AA75" s="762">
        <v>0</v>
      </c>
      <c r="AB75" s="762">
        <v>123868258</v>
      </c>
      <c r="AC75" s="762">
        <v>0</v>
      </c>
      <c r="AD75" s="762">
        <v>0</v>
      </c>
      <c r="AE75" s="762">
        <v>0</v>
      </c>
      <c r="AF75" s="762">
        <v>0</v>
      </c>
      <c r="AG75" s="762">
        <v>0</v>
      </c>
      <c r="AH75" s="762">
        <v>30967064</v>
      </c>
      <c r="AI75" s="762">
        <v>24773652</v>
      </c>
      <c r="AJ75" s="762">
        <v>68127542</v>
      </c>
      <c r="AK75" s="762">
        <v>0</v>
      </c>
      <c r="AL75" s="762">
        <v>123868258</v>
      </c>
      <c r="AM75" s="762">
        <v>212145</v>
      </c>
      <c r="AN75" s="762">
        <v>212145</v>
      </c>
      <c r="AO75" s="762">
        <v>0</v>
      </c>
      <c r="AP75" s="762">
        <v>0</v>
      </c>
      <c r="AQ75" s="762">
        <v>5040</v>
      </c>
      <c r="AR75" s="762">
        <v>0</v>
      </c>
      <c r="AS75" s="762">
        <v>5040</v>
      </c>
      <c r="AT75" s="762">
        <v>0</v>
      </c>
      <c r="AU75" s="762">
        <v>0</v>
      </c>
      <c r="AV75" s="762">
        <v>0</v>
      </c>
      <c r="AW75" s="762">
        <v>0</v>
      </c>
      <c r="AX75" s="762">
        <v>0</v>
      </c>
      <c r="AY75" s="762">
        <v>0</v>
      </c>
      <c r="AZ75" s="762">
        <v>0</v>
      </c>
      <c r="BA75" s="762">
        <v>0</v>
      </c>
      <c r="BB75" s="762">
        <v>0</v>
      </c>
      <c r="BC75" s="762">
        <v>0</v>
      </c>
      <c r="BD75" s="762">
        <v>0</v>
      </c>
      <c r="BE75" s="762">
        <v>0</v>
      </c>
      <c r="BF75" s="762">
        <v>0</v>
      </c>
      <c r="BG75" s="762">
        <v>0</v>
      </c>
      <c r="BH75" s="762">
        <v>0</v>
      </c>
      <c r="BI75" s="762">
        <v>0</v>
      </c>
      <c r="BJ75" s="790">
        <v>0.5</v>
      </c>
      <c r="BK75" s="790">
        <v>0.4</v>
      </c>
      <c r="BL75" s="790">
        <v>0.1</v>
      </c>
      <c r="BM75" s="790">
        <v>0</v>
      </c>
      <c r="BN75" s="790">
        <v>1</v>
      </c>
      <c r="BO75" s="762">
        <v>-127205</v>
      </c>
      <c r="BP75" s="762">
        <v>-101764</v>
      </c>
      <c r="BQ75" s="762">
        <v>-25441</v>
      </c>
      <c r="BR75" s="762">
        <v>0</v>
      </c>
      <c r="BS75" s="762">
        <v>-254410</v>
      </c>
      <c r="BT75" s="790">
        <v>0.5</v>
      </c>
      <c r="BU75" s="790">
        <v>0.4</v>
      </c>
      <c r="BV75" s="790">
        <v>0.1</v>
      </c>
      <c r="BW75" s="790">
        <v>0</v>
      </c>
      <c r="BX75" s="790">
        <v>1</v>
      </c>
      <c r="BY75" s="762">
        <v>229631</v>
      </c>
      <c r="BZ75" s="762">
        <v>183705</v>
      </c>
      <c r="CA75" s="762">
        <v>45926</v>
      </c>
      <c r="CB75" s="762">
        <v>0</v>
      </c>
      <c r="CC75" s="762">
        <v>459262</v>
      </c>
      <c r="CD75" s="762">
        <v>102426</v>
      </c>
      <c r="CE75" s="762">
        <v>81941</v>
      </c>
      <c r="CF75" s="762">
        <v>20485</v>
      </c>
      <c r="CG75" s="762">
        <v>0</v>
      </c>
      <c r="CH75" s="762">
        <v>204852</v>
      </c>
      <c r="CI75" s="762">
        <v>31069490</v>
      </c>
      <c r="CJ75" s="762">
        <v>25072778</v>
      </c>
      <c r="CK75" s="762">
        <v>68148027</v>
      </c>
      <c r="CL75" s="762">
        <v>0</v>
      </c>
      <c r="CM75" s="762">
        <v>124290295</v>
      </c>
      <c r="CN75" s="762">
        <v>807452</v>
      </c>
      <c r="CO75" s="762">
        <v>2220042</v>
      </c>
      <c r="CP75" s="762">
        <v>0</v>
      </c>
      <c r="CQ75" s="762">
        <v>3027494</v>
      </c>
      <c r="CR75" s="762">
        <v>256668</v>
      </c>
      <c r="CS75" s="762">
        <v>705837</v>
      </c>
      <c r="CT75" s="762">
        <v>0</v>
      </c>
      <c r="CU75" s="762">
        <v>962505</v>
      </c>
      <c r="CV75" s="762">
        <v>46657</v>
      </c>
      <c r="CW75" s="762">
        <v>128306</v>
      </c>
      <c r="CX75" s="762">
        <v>0</v>
      </c>
      <c r="CY75" s="762">
        <v>174963</v>
      </c>
      <c r="CZ75" s="762">
        <v>2272</v>
      </c>
      <c r="DA75" s="762">
        <v>6247</v>
      </c>
      <c r="DB75" s="762">
        <v>0</v>
      </c>
      <c r="DC75" s="762">
        <v>8519</v>
      </c>
      <c r="DD75" s="762">
        <v>0</v>
      </c>
      <c r="DE75" s="762">
        <v>0</v>
      </c>
      <c r="DF75" s="762">
        <v>0</v>
      </c>
      <c r="DG75" s="762">
        <v>0</v>
      </c>
      <c r="DH75" s="762">
        <v>0</v>
      </c>
      <c r="DI75" s="762">
        <v>0</v>
      </c>
      <c r="DJ75" s="762">
        <v>0</v>
      </c>
      <c r="DK75" s="762">
        <v>0</v>
      </c>
      <c r="DL75" s="762">
        <v>3654</v>
      </c>
      <c r="DM75" s="762">
        <v>10048</v>
      </c>
      <c r="DN75" s="762">
        <v>0</v>
      </c>
      <c r="DO75" s="762">
        <v>13702</v>
      </c>
      <c r="DP75" s="762">
        <v>7344</v>
      </c>
      <c r="DQ75" s="762">
        <v>20195</v>
      </c>
      <c r="DR75" s="762">
        <v>0</v>
      </c>
      <c r="DS75" s="762">
        <v>27539</v>
      </c>
      <c r="DT75" s="762">
        <v>0</v>
      </c>
      <c r="DU75" s="762">
        <v>0</v>
      </c>
      <c r="DV75" s="762">
        <v>0</v>
      </c>
      <c r="DW75" s="762">
        <v>0</v>
      </c>
      <c r="DX75" s="762">
        <v>0</v>
      </c>
      <c r="DY75" s="762">
        <v>0</v>
      </c>
      <c r="DZ75" s="762">
        <v>0</v>
      </c>
      <c r="EA75" s="762">
        <v>0</v>
      </c>
      <c r="EB75" s="762">
        <v>180410</v>
      </c>
      <c r="EC75" s="762">
        <v>496129</v>
      </c>
      <c r="ED75" s="762">
        <v>0</v>
      </c>
      <c r="EE75" s="762">
        <v>676539</v>
      </c>
      <c r="EF75" s="762">
        <v>1304457</v>
      </c>
      <c r="EG75" s="762">
        <v>3586804</v>
      </c>
      <c r="EH75" s="762">
        <v>0</v>
      </c>
      <c r="EI75" s="799">
        <v>4891261</v>
      </c>
      <c r="EJ75" s="763" t="s">
        <v>15</v>
      </c>
      <c r="EK75" s="607" t="s">
        <v>618</v>
      </c>
      <c r="EL75" s="805" t="s">
        <v>556</v>
      </c>
      <c r="EM75" t="s">
        <v>1641</v>
      </c>
    </row>
    <row r="76" spans="1:143" ht="12.75" x14ac:dyDescent="0.2">
      <c r="A76" s="764">
        <v>69</v>
      </c>
      <c r="B76" s="765" t="s">
        <v>18</v>
      </c>
      <c r="C76" s="766" t="s">
        <v>1222</v>
      </c>
      <c r="D76" s="767" t="s">
        <v>1223</v>
      </c>
      <c r="E76" s="768" t="s">
        <v>17</v>
      </c>
      <c r="F76" s="761">
        <v>123058804</v>
      </c>
      <c r="G76" s="762">
        <v>3032219</v>
      </c>
      <c r="H76" s="762">
        <v>0</v>
      </c>
      <c r="I76" s="762">
        <v>416869</v>
      </c>
      <c r="J76" s="762">
        <v>0</v>
      </c>
      <c r="K76" s="762">
        <v>416869</v>
      </c>
      <c r="L76" s="762">
        <v>0</v>
      </c>
      <c r="M76" s="762">
        <v>1170217</v>
      </c>
      <c r="N76" s="762">
        <v>0</v>
      </c>
      <c r="O76" s="762">
        <v>0</v>
      </c>
      <c r="P76" s="762">
        <v>0</v>
      </c>
      <c r="Q76" s="762">
        <v>0</v>
      </c>
      <c r="R76" s="762">
        <v>124503937</v>
      </c>
      <c r="S76" s="790">
        <v>0.25</v>
      </c>
      <c r="T76" s="790">
        <v>0.48</v>
      </c>
      <c r="U76" s="790">
        <v>0.27</v>
      </c>
      <c r="V76" s="790">
        <v>0</v>
      </c>
      <c r="W76" s="790">
        <v>1</v>
      </c>
      <c r="X76" s="762">
        <v>31125984</v>
      </c>
      <c r="Y76" s="762">
        <v>59761890</v>
      </c>
      <c r="Z76" s="762">
        <v>33616063</v>
      </c>
      <c r="AA76" s="762">
        <v>0</v>
      </c>
      <c r="AB76" s="762">
        <v>124503937</v>
      </c>
      <c r="AC76" s="762">
        <v>0</v>
      </c>
      <c r="AD76" s="762">
        <v>0</v>
      </c>
      <c r="AE76" s="762">
        <v>0</v>
      </c>
      <c r="AF76" s="762">
        <v>0</v>
      </c>
      <c r="AG76" s="762">
        <v>0</v>
      </c>
      <c r="AH76" s="762">
        <v>31125984</v>
      </c>
      <c r="AI76" s="762">
        <v>59761890</v>
      </c>
      <c r="AJ76" s="762">
        <v>33616063</v>
      </c>
      <c r="AK76" s="762">
        <v>0</v>
      </c>
      <c r="AL76" s="762">
        <v>124503937</v>
      </c>
      <c r="AM76" s="762">
        <v>416869</v>
      </c>
      <c r="AN76" s="762">
        <v>416869</v>
      </c>
      <c r="AO76" s="762">
        <v>1170217</v>
      </c>
      <c r="AP76" s="762">
        <v>1170217</v>
      </c>
      <c r="AQ76" s="762">
        <v>0</v>
      </c>
      <c r="AR76" s="762">
        <v>0</v>
      </c>
      <c r="AS76" s="762">
        <v>0</v>
      </c>
      <c r="AT76" s="762">
        <v>0</v>
      </c>
      <c r="AU76" s="762">
        <v>0</v>
      </c>
      <c r="AV76" s="762">
        <v>0</v>
      </c>
      <c r="AW76" s="762">
        <v>0</v>
      </c>
      <c r="AX76" s="762">
        <v>0</v>
      </c>
      <c r="AY76" s="762">
        <v>0</v>
      </c>
      <c r="AZ76" s="762">
        <v>0</v>
      </c>
      <c r="BA76" s="762">
        <v>0</v>
      </c>
      <c r="BB76" s="762">
        <v>0</v>
      </c>
      <c r="BC76" s="762">
        <v>0</v>
      </c>
      <c r="BD76" s="762">
        <v>0</v>
      </c>
      <c r="BE76" s="762">
        <v>0</v>
      </c>
      <c r="BF76" s="762">
        <v>0</v>
      </c>
      <c r="BG76" s="762">
        <v>0</v>
      </c>
      <c r="BH76" s="762">
        <v>0</v>
      </c>
      <c r="BI76" s="762">
        <v>0</v>
      </c>
      <c r="BJ76" s="790">
        <v>0</v>
      </c>
      <c r="BK76" s="790">
        <v>0.64</v>
      </c>
      <c r="BL76" s="790">
        <v>0.36</v>
      </c>
      <c r="BM76" s="790">
        <v>0</v>
      </c>
      <c r="BN76" s="790">
        <v>1</v>
      </c>
      <c r="BO76" s="762">
        <v>0</v>
      </c>
      <c r="BP76" s="762">
        <v>4704130</v>
      </c>
      <c r="BQ76" s="762">
        <v>2646073</v>
      </c>
      <c r="BR76" s="762">
        <v>0</v>
      </c>
      <c r="BS76" s="762">
        <v>7350203</v>
      </c>
      <c r="BT76" s="790">
        <v>0.33</v>
      </c>
      <c r="BU76" s="790">
        <v>0.3</v>
      </c>
      <c r="BV76" s="790">
        <v>0.37</v>
      </c>
      <c r="BW76" s="790">
        <v>0</v>
      </c>
      <c r="BX76" s="790">
        <v>1</v>
      </c>
      <c r="BY76" s="762">
        <v>-2403730</v>
      </c>
      <c r="BZ76" s="762">
        <v>-2185208</v>
      </c>
      <c r="CA76" s="762">
        <v>-2695090</v>
      </c>
      <c r="CB76" s="762">
        <v>0</v>
      </c>
      <c r="CC76" s="762">
        <v>-7284028</v>
      </c>
      <c r="CD76" s="762">
        <v>-2403730</v>
      </c>
      <c r="CE76" s="762">
        <v>2518922</v>
      </c>
      <c r="CF76" s="762">
        <v>-49017</v>
      </c>
      <c r="CG76" s="762">
        <v>0</v>
      </c>
      <c r="CH76" s="762">
        <v>66175</v>
      </c>
      <c r="CI76" s="762">
        <v>28722254</v>
      </c>
      <c r="CJ76" s="762">
        <v>63867898</v>
      </c>
      <c r="CK76" s="762">
        <v>33567046</v>
      </c>
      <c r="CL76" s="762">
        <v>0</v>
      </c>
      <c r="CM76" s="762">
        <v>126157198</v>
      </c>
      <c r="CN76" s="762">
        <v>1985568</v>
      </c>
      <c r="CO76" s="762">
        <v>1095432</v>
      </c>
      <c r="CP76" s="762">
        <v>0</v>
      </c>
      <c r="CQ76" s="762">
        <v>3081000</v>
      </c>
      <c r="CR76" s="762">
        <v>3367281</v>
      </c>
      <c r="CS76" s="762">
        <v>1770804</v>
      </c>
      <c r="CT76" s="762">
        <v>0</v>
      </c>
      <c r="CU76" s="762">
        <v>5138085</v>
      </c>
      <c r="CV76" s="762">
        <v>184375</v>
      </c>
      <c r="CW76" s="762">
        <v>84364</v>
      </c>
      <c r="CX76" s="762">
        <v>0</v>
      </c>
      <c r="CY76" s="762">
        <v>268739</v>
      </c>
      <c r="CZ76" s="762">
        <v>0</v>
      </c>
      <c r="DA76" s="762">
        <v>0</v>
      </c>
      <c r="DB76" s="762">
        <v>0</v>
      </c>
      <c r="DC76" s="762">
        <v>0</v>
      </c>
      <c r="DD76" s="762">
        <v>0</v>
      </c>
      <c r="DE76" s="762">
        <v>0</v>
      </c>
      <c r="DF76" s="762">
        <v>0</v>
      </c>
      <c r="DG76" s="762">
        <v>0</v>
      </c>
      <c r="DH76" s="762">
        <v>0</v>
      </c>
      <c r="DI76" s="762">
        <v>0</v>
      </c>
      <c r="DJ76" s="762">
        <v>0</v>
      </c>
      <c r="DK76" s="762">
        <v>0</v>
      </c>
      <c r="DL76" s="762">
        <v>143772</v>
      </c>
      <c r="DM76" s="762">
        <v>80277</v>
      </c>
      <c r="DN76" s="762">
        <v>0</v>
      </c>
      <c r="DO76" s="762">
        <v>224049</v>
      </c>
      <c r="DP76" s="762">
        <v>210198</v>
      </c>
      <c r="DQ76" s="762">
        <v>82874</v>
      </c>
      <c r="DR76" s="762">
        <v>0</v>
      </c>
      <c r="DS76" s="762">
        <v>293072</v>
      </c>
      <c r="DT76" s="762">
        <v>0</v>
      </c>
      <c r="DU76" s="762">
        <v>0</v>
      </c>
      <c r="DV76" s="762">
        <v>0</v>
      </c>
      <c r="DW76" s="762">
        <v>0</v>
      </c>
      <c r="DX76" s="762">
        <v>0</v>
      </c>
      <c r="DY76" s="762">
        <v>0</v>
      </c>
      <c r="DZ76" s="762">
        <v>0</v>
      </c>
      <c r="EA76" s="762">
        <v>0</v>
      </c>
      <c r="EB76" s="762">
        <v>2011079</v>
      </c>
      <c r="EC76" s="762">
        <v>909444</v>
      </c>
      <c r="ED76" s="762">
        <v>0</v>
      </c>
      <c r="EE76" s="762">
        <v>2920523</v>
      </c>
      <c r="EF76" s="762">
        <v>7902273</v>
      </c>
      <c r="EG76" s="762">
        <v>4023195</v>
      </c>
      <c r="EH76" s="762">
        <v>0</v>
      </c>
      <c r="EI76" s="799">
        <v>11925468</v>
      </c>
      <c r="EJ76" s="763" t="s">
        <v>17</v>
      </c>
      <c r="EK76" s="607" t="s">
        <v>628</v>
      </c>
      <c r="EL76" s="272" t="s">
        <v>528</v>
      </c>
      <c r="EM76" t="s">
        <v>1642</v>
      </c>
    </row>
    <row r="77" spans="1:143" ht="12.75" x14ac:dyDescent="0.2">
      <c r="A77" s="764">
        <v>70</v>
      </c>
      <c r="B77" s="765" t="s">
        <v>20</v>
      </c>
      <c r="C77" s="766" t="s">
        <v>1217</v>
      </c>
      <c r="D77" s="767" t="s">
        <v>1221</v>
      </c>
      <c r="E77" s="768" t="s">
        <v>19</v>
      </c>
      <c r="F77" s="761">
        <v>65826616</v>
      </c>
      <c r="G77" s="762">
        <v>85242</v>
      </c>
      <c r="H77" s="762">
        <v>0</v>
      </c>
      <c r="I77" s="762">
        <v>205335</v>
      </c>
      <c r="J77" s="762">
        <v>0</v>
      </c>
      <c r="K77" s="762">
        <v>205335</v>
      </c>
      <c r="L77" s="762">
        <v>0</v>
      </c>
      <c r="M77" s="762">
        <v>742045</v>
      </c>
      <c r="N77" s="762">
        <v>371307</v>
      </c>
      <c r="O77" s="762">
        <v>371307</v>
      </c>
      <c r="P77" s="762">
        <v>0</v>
      </c>
      <c r="Q77" s="762">
        <v>0</v>
      </c>
      <c r="R77" s="762">
        <v>64593171</v>
      </c>
      <c r="S77" s="790">
        <v>0.25</v>
      </c>
      <c r="T77" s="790">
        <v>0.35</v>
      </c>
      <c r="U77" s="790">
        <v>0.4</v>
      </c>
      <c r="V77" s="790">
        <v>0</v>
      </c>
      <c r="W77" s="790">
        <v>1</v>
      </c>
      <c r="X77" s="762">
        <v>16148293</v>
      </c>
      <c r="Y77" s="762">
        <v>22607610</v>
      </c>
      <c r="Z77" s="762">
        <v>25837268</v>
      </c>
      <c r="AA77" s="762">
        <v>0</v>
      </c>
      <c r="AB77" s="762">
        <v>64593171</v>
      </c>
      <c r="AC77" s="762">
        <v>0</v>
      </c>
      <c r="AD77" s="762">
        <v>0</v>
      </c>
      <c r="AE77" s="762">
        <v>0</v>
      </c>
      <c r="AF77" s="762">
        <v>0</v>
      </c>
      <c r="AG77" s="762">
        <v>0</v>
      </c>
      <c r="AH77" s="762">
        <v>16148293</v>
      </c>
      <c r="AI77" s="762">
        <v>22607610</v>
      </c>
      <c r="AJ77" s="762">
        <v>25837268</v>
      </c>
      <c r="AK77" s="762">
        <v>0</v>
      </c>
      <c r="AL77" s="762">
        <v>64593171</v>
      </c>
      <c r="AM77" s="762">
        <v>205335</v>
      </c>
      <c r="AN77" s="762">
        <v>205335</v>
      </c>
      <c r="AO77" s="762">
        <v>742045</v>
      </c>
      <c r="AP77" s="762">
        <v>742045</v>
      </c>
      <c r="AQ77" s="762">
        <v>371307</v>
      </c>
      <c r="AR77" s="762">
        <v>0</v>
      </c>
      <c r="AS77" s="762">
        <v>371307</v>
      </c>
      <c r="AT77" s="762">
        <v>0</v>
      </c>
      <c r="AU77" s="762">
        <v>0</v>
      </c>
      <c r="AV77" s="762">
        <v>0</v>
      </c>
      <c r="AW77" s="762">
        <v>0</v>
      </c>
      <c r="AX77" s="762">
        <v>0</v>
      </c>
      <c r="AY77" s="762">
        <v>0</v>
      </c>
      <c r="AZ77" s="762">
        <v>0</v>
      </c>
      <c r="BA77" s="762">
        <v>0</v>
      </c>
      <c r="BB77" s="762">
        <v>0</v>
      </c>
      <c r="BC77" s="762">
        <v>0</v>
      </c>
      <c r="BD77" s="762">
        <v>0</v>
      </c>
      <c r="BE77" s="762">
        <v>0</v>
      </c>
      <c r="BF77" s="762">
        <v>0</v>
      </c>
      <c r="BG77" s="762">
        <v>0</v>
      </c>
      <c r="BH77" s="762">
        <v>0</v>
      </c>
      <c r="BI77" s="762">
        <v>0</v>
      </c>
      <c r="BJ77" s="790">
        <v>0.5</v>
      </c>
      <c r="BK77" s="790">
        <v>0.4</v>
      </c>
      <c r="BL77" s="790">
        <v>0.1</v>
      </c>
      <c r="BM77" s="790">
        <v>0</v>
      </c>
      <c r="BN77" s="790">
        <v>1</v>
      </c>
      <c r="BO77" s="762">
        <v>1130341</v>
      </c>
      <c r="BP77" s="762">
        <v>904273</v>
      </c>
      <c r="BQ77" s="762">
        <v>226068</v>
      </c>
      <c r="BR77" s="762">
        <v>0</v>
      </c>
      <c r="BS77" s="762">
        <v>2260682</v>
      </c>
      <c r="BT77" s="790">
        <v>0.5</v>
      </c>
      <c r="BU77" s="790">
        <v>0.4</v>
      </c>
      <c r="BV77" s="790">
        <v>0.1</v>
      </c>
      <c r="BW77" s="790">
        <v>0</v>
      </c>
      <c r="BX77" s="790">
        <v>1</v>
      </c>
      <c r="BY77" s="762">
        <v>-1973679</v>
      </c>
      <c r="BZ77" s="762">
        <v>-1578943</v>
      </c>
      <c r="CA77" s="762">
        <v>-394736</v>
      </c>
      <c r="CB77" s="762">
        <v>0</v>
      </c>
      <c r="CC77" s="762">
        <v>-3947358</v>
      </c>
      <c r="CD77" s="762">
        <v>-843338</v>
      </c>
      <c r="CE77" s="762">
        <v>-674670</v>
      </c>
      <c r="CF77" s="762">
        <v>-168668</v>
      </c>
      <c r="CG77" s="762">
        <v>0</v>
      </c>
      <c r="CH77" s="762">
        <v>-1686676</v>
      </c>
      <c r="CI77" s="762">
        <v>15304955</v>
      </c>
      <c r="CJ77" s="762">
        <v>23251627</v>
      </c>
      <c r="CK77" s="762">
        <v>25668600</v>
      </c>
      <c r="CL77" s="762">
        <v>0</v>
      </c>
      <c r="CM77" s="762">
        <v>64225182</v>
      </c>
      <c r="CN77" s="762">
        <v>772985</v>
      </c>
      <c r="CO77" s="762">
        <v>841948</v>
      </c>
      <c r="CP77" s="762">
        <v>0</v>
      </c>
      <c r="CQ77" s="762">
        <v>1614933</v>
      </c>
      <c r="CR77" s="762">
        <v>1028257</v>
      </c>
      <c r="CS77" s="762">
        <v>1175150</v>
      </c>
      <c r="CT77" s="762">
        <v>0</v>
      </c>
      <c r="CU77" s="762">
        <v>2203407</v>
      </c>
      <c r="CV77" s="762">
        <v>107557</v>
      </c>
      <c r="CW77" s="762">
        <v>122922</v>
      </c>
      <c r="CX77" s="762">
        <v>0</v>
      </c>
      <c r="CY77" s="762">
        <v>230479</v>
      </c>
      <c r="CZ77" s="762">
        <v>0</v>
      </c>
      <c r="DA77" s="762">
        <v>0</v>
      </c>
      <c r="DB77" s="762">
        <v>0</v>
      </c>
      <c r="DC77" s="762">
        <v>0</v>
      </c>
      <c r="DD77" s="762">
        <v>1576</v>
      </c>
      <c r="DE77" s="762">
        <v>1801</v>
      </c>
      <c r="DF77" s="762">
        <v>0</v>
      </c>
      <c r="DG77" s="762">
        <v>3377</v>
      </c>
      <c r="DH77" s="762">
        <v>0</v>
      </c>
      <c r="DI77" s="762">
        <v>0</v>
      </c>
      <c r="DJ77" s="762">
        <v>0</v>
      </c>
      <c r="DK77" s="762">
        <v>0</v>
      </c>
      <c r="DL77" s="762">
        <v>6619</v>
      </c>
      <c r="DM77" s="762">
        <v>7566</v>
      </c>
      <c r="DN77" s="762">
        <v>0</v>
      </c>
      <c r="DO77" s="762">
        <v>14185</v>
      </c>
      <c r="DP77" s="762">
        <v>27611</v>
      </c>
      <c r="DQ77" s="762">
        <v>31556</v>
      </c>
      <c r="DR77" s="762">
        <v>0</v>
      </c>
      <c r="DS77" s="762">
        <v>59167</v>
      </c>
      <c r="DT77" s="762">
        <v>0</v>
      </c>
      <c r="DU77" s="762">
        <v>0</v>
      </c>
      <c r="DV77" s="762">
        <v>0</v>
      </c>
      <c r="DW77" s="762">
        <v>0</v>
      </c>
      <c r="DX77" s="762">
        <v>0</v>
      </c>
      <c r="DY77" s="762">
        <v>0</v>
      </c>
      <c r="DZ77" s="762">
        <v>0</v>
      </c>
      <c r="EA77" s="762">
        <v>0</v>
      </c>
      <c r="EB77" s="762">
        <v>703293</v>
      </c>
      <c r="EC77" s="762">
        <v>803763</v>
      </c>
      <c r="ED77" s="762">
        <v>0</v>
      </c>
      <c r="EE77" s="762">
        <v>1507056</v>
      </c>
      <c r="EF77" s="762">
        <v>2647898</v>
      </c>
      <c r="EG77" s="762">
        <v>2984706</v>
      </c>
      <c r="EH77" s="762">
        <v>0</v>
      </c>
      <c r="EI77" s="799">
        <v>5632604</v>
      </c>
      <c r="EJ77" s="763" t="s">
        <v>19</v>
      </c>
      <c r="EK77" s="607" t="s">
        <v>584</v>
      </c>
      <c r="EL77" s="805" t="s">
        <v>556</v>
      </c>
      <c r="EM77" t="s">
        <v>1643</v>
      </c>
    </row>
    <row r="78" spans="1:143" ht="12.75" x14ac:dyDescent="0.2">
      <c r="A78" s="764">
        <v>71</v>
      </c>
      <c r="B78" s="765" t="s">
        <v>22</v>
      </c>
      <c r="C78" s="766" t="s">
        <v>529</v>
      </c>
      <c r="D78" s="767" t="s">
        <v>1229</v>
      </c>
      <c r="E78" s="768" t="s">
        <v>568</v>
      </c>
      <c r="F78" s="761">
        <v>34671437</v>
      </c>
      <c r="G78" s="762">
        <v>0</v>
      </c>
      <c r="H78" s="762">
        <v>1203980</v>
      </c>
      <c r="I78" s="762">
        <v>144509</v>
      </c>
      <c r="J78" s="762">
        <v>0</v>
      </c>
      <c r="K78" s="762">
        <v>144509</v>
      </c>
      <c r="L78" s="762">
        <v>0</v>
      </c>
      <c r="M78" s="762">
        <v>208022</v>
      </c>
      <c r="N78" s="762">
        <v>0</v>
      </c>
      <c r="O78" s="762">
        <v>0</v>
      </c>
      <c r="P78" s="762">
        <v>0</v>
      </c>
      <c r="Q78" s="762">
        <v>0</v>
      </c>
      <c r="R78" s="762">
        <v>33114926</v>
      </c>
      <c r="S78" s="790">
        <v>0.5</v>
      </c>
      <c r="T78" s="790">
        <v>0.49</v>
      </c>
      <c r="U78" s="790">
        <v>0</v>
      </c>
      <c r="V78" s="790">
        <v>0.01</v>
      </c>
      <c r="W78" s="790">
        <v>1</v>
      </c>
      <c r="X78" s="762">
        <v>16557463</v>
      </c>
      <c r="Y78" s="762">
        <v>16226314</v>
      </c>
      <c r="Z78" s="762">
        <v>0</v>
      </c>
      <c r="AA78" s="762">
        <v>331149</v>
      </c>
      <c r="AB78" s="762">
        <v>33114926</v>
      </c>
      <c r="AC78" s="762">
        <v>671268</v>
      </c>
      <c r="AD78" s="762">
        <v>0</v>
      </c>
      <c r="AE78" s="762">
        <v>0</v>
      </c>
      <c r="AF78" s="762">
        <v>0</v>
      </c>
      <c r="AG78" s="762">
        <v>671268</v>
      </c>
      <c r="AH78" s="762">
        <v>15886195</v>
      </c>
      <c r="AI78" s="762">
        <v>16226314</v>
      </c>
      <c r="AJ78" s="762">
        <v>0</v>
      </c>
      <c r="AK78" s="762">
        <v>331149</v>
      </c>
      <c r="AL78" s="762">
        <v>32443658</v>
      </c>
      <c r="AM78" s="762">
        <v>144509</v>
      </c>
      <c r="AN78" s="762">
        <v>144509</v>
      </c>
      <c r="AO78" s="762">
        <v>208022</v>
      </c>
      <c r="AP78" s="762">
        <v>208022</v>
      </c>
      <c r="AQ78" s="762">
        <v>0</v>
      </c>
      <c r="AR78" s="762">
        <v>0</v>
      </c>
      <c r="AS78" s="762">
        <v>0</v>
      </c>
      <c r="AT78" s="762">
        <v>0</v>
      </c>
      <c r="AU78" s="762">
        <v>0</v>
      </c>
      <c r="AV78" s="762">
        <v>0</v>
      </c>
      <c r="AW78" s="762">
        <v>0</v>
      </c>
      <c r="AX78" s="762">
        <v>24845</v>
      </c>
      <c r="AY78" s="762">
        <v>0</v>
      </c>
      <c r="AZ78" s="762">
        <v>0</v>
      </c>
      <c r="BA78" s="762">
        <v>24845</v>
      </c>
      <c r="BB78" s="762">
        <v>0</v>
      </c>
      <c r="BC78" s="762">
        <v>0</v>
      </c>
      <c r="BD78" s="762">
        <v>633495</v>
      </c>
      <c r="BE78" s="762">
        <v>0</v>
      </c>
      <c r="BF78" s="762">
        <v>12928</v>
      </c>
      <c r="BG78" s="762">
        <v>646423</v>
      </c>
      <c r="BH78" s="762">
        <v>0</v>
      </c>
      <c r="BI78" s="762">
        <v>0</v>
      </c>
      <c r="BJ78" s="790">
        <v>0.5</v>
      </c>
      <c r="BK78" s="790">
        <v>0.49</v>
      </c>
      <c r="BL78" s="790">
        <v>0</v>
      </c>
      <c r="BM78" s="790">
        <v>0.01</v>
      </c>
      <c r="BN78" s="790">
        <v>1</v>
      </c>
      <c r="BO78" s="762">
        <v>-244933</v>
      </c>
      <c r="BP78" s="762">
        <v>-240034</v>
      </c>
      <c r="BQ78" s="762">
        <v>0</v>
      </c>
      <c r="BR78" s="762">
        <v>-4899</v>
      </c>
      <c r="BS78" s="762">
        <v>-489866</v>
      </c>
      <c r="BT78" s="790">
        <v>0.5</v>
      </c>
      <c r="BU78" s="790">
        <v>0.49</v>
      </c>
      <c r="BV78" s="790">
        <v>0</v>
      </c>
      <c r="BW78" s="790">
        <v>0.01</v>
      </c>
      <c r="BX78" s="790">
        <v>1</v>
      </c>
      <c r="BY78" s="762">
        <v>391146</v>
      </c>
      <c r="BZ78" s="762">
        <v>383324</v>
      </c>
      <c r="CA78" s="762">
        <v>0</v>
      </c>
      <c r="CB78" s="762">
        <v>7823</v>
      </c>
      <c r="CC78" s="762">
        <v>782293</v>
      </c>
      <c r="CD78" s="762">
        <v>146214</v>
      </c>
      <c r="CE78" s="762">
        <v>143289</v>
      </c>
      <c r="CF78" s="762">
        <v>0</v>
      </c>
      <c r="CG78" s="762">
        <v>2924</v>
      </c>
      <c r="CH78" s="762">
        <v>292427</v>
      </c>
      <c r="CI78" s="762">
        <v>16032409</v>
      </c>
      <c r="CJ78" s="762">
        <v>17380474</v>
      </c>
      <c r="CK78" s="762">
        <v>0</v>
      </c>
      <c r="CL78" s="762">
        <v>347001</v>
      </c>
      <c r="CM78" s="762">
        <v>33759884</v>
      </c>
      <c r="CN78" s="762">
        <v>556991</v>
      </c>
      <c r="CO78" s="762">
        <v>0</v>
      </c>
      <c r="CP78" s="762">
        <v>11212</v>
      </c>
      <c r="CQ78" s="762">
        <v>568203</v>
      </c>
      <c r="CR78" s="762">
        <v>1412883</v>
      </c>
      <c r="CS78" s="762">
        <v>0</v>
      </c>
      <c r="CT78" s="762">
        <v>27724</v>
      </c>
      <c r="CU78" s="762">
        <v>1440607</v>
      </c>
      <c r="CV78" s="762">
        <v>69492</v>
      </c>
      <c r="CW78" s="762">
        <v>0</v>
      </c>
      <c r="CX78" s="762">
        <v>1411</v>
      </c>
      <c r="CY78" s="762">
        <v>70903</v>
      </c>
      <c r="CZ78" s="762">
        <v>11032</v>
      </c>
      <c r="DA78" s="762">
        <v>0</v>
      </c>
      <c r="DB78" s="762">
        <v>225</v>
      </c>
      <c r="DC78" s="762">
        <v>11257</v>
      </c>
      <c r="DD78" s="762">
        <v>0</v>
      </c>
      <c r="DE78" s="762">
        <v>0</v>
      </c>
      <c r="DF78" s="762">
        <v>0</v>
      </c>
      <c r="DG78" s="762">
        <v>0</v>
      </c>
      <c r="DH78" s="762">
        <v>0</v>
      </c>
      <c r="DI78" s="762">
        <v>0</v>
      </c>
      <c r="DJ78" s="762">
        <v>0</v>
      </c>
      <c r="DK78" s="762">
        <v>0</v>
      </c>
      <c r="DL78" s="762">
        <v>10061</v>
      </c>
      <c r="DM78" s="762">
        <v>0</v>
      </c>
      <c r="DN78" s="762">
        <v>205</v>
      </c>
      <c r="DO78" s="762">
        <v>10266</v>
      </c>
      <c r="DP78" s="762">
        <v>13506</v>
      </c>
      <c r="DQ78" s="762">
        <v>0</v>
      </c>
      <c r="DR78" s="762">
        <v>276</v>
      </c>
      <c r="DS78" s="762">
        <v>13782</v>
      </c>
      <c r="DT78" s="762">
        <v>0</v>
      </c>
      <c r="DU78" s="762">
        <v>0</v>
      </c>
      <c r="DV78" s="762">
        <v>0</v>
      </c>
      <c r="DW78" s="762">
        <v>0</v>
      </c>
      <c r="DX78" s="762">
        <v>0</v>
      </c>
      <c r="DY78" s="762">
        <v>0</v>
      </c>
      <c r="DZ78" s="762">
        <v>0</v>
      </c>
      <c r="EA78" s="762">
        <v>0</v>
      </c>
      <c r="EB78" s="762">
        <v>374390</v>
      </c>
      <c r="EC78" s="762">
        <v>0</v>
      </c>
      <c r="ED78" s="762">
        <v>7641</v>
      </c>
      <c r="EE78" s="762">
        <v>382031</v>
      </c>
      <c r="EF78" s="762">
        <v>2448355</v>
      </c>
      <c r="EG78" s="762">
        <v>0</v>
      </c>
      <c r="EH78" s="762">
        <v>48694</v>
      </c>
      <c r="EI78" s="799">
        <v>2497049</v>
      </c>
      <c r="EJ78" s="763" t="s">
        <v>568</v>
      </c>
      <c r="EK78" s="607" t="s">
        <v>529</v>
      </c>
      <c r="EL78" s="805" t="s">
        <v>569</v>
      </c>
      <c r="EM78" t="s">
        <v>1644</v>
      </c>
    </row>
    <row r="79" spans="1:143" ht="12.75" x14ac:dyDescent="0.2">
      <c r="A79" s="764">
        <v>72</v>
      </c>
      <c r="B79" s="765" t="s">
        <v>24</v>
      </c>
      <c r="C79" s="766" t="s">
        <v>1217</v>
      </c>
      <c r="D79" s="767" t="s">
        <v>1218</v>
      </c>
      <c r="E79" s="768" t="s">
        <v>23</v>
      </c>
      <c r="F79" s="761">
        <v>88032160</v>
      </c>
      <c r="G79" s="762">
        <v>0</v>
      </c>
      <c r="H79" s="762">
        <v>2746456</v>
      </c>
      <c r="I79" s="762">
        <v>172101</v>
      </c>
      <c r="J79" s="762">
        <v>0</v>
      </c>
      <c r="K79" s="762">
        <v>172101</v>
      </c>
      <c r="L79" s="762">
        <v>0</v>
      </c>
      <c r="M79" s="762">
        <v>0</v>
      </c>
      <c r="N79" s="762">
        <v>0</v>
      </c>
      <c r="O79" s="762">
        <v>0</v>
      </c>
      <c r="P79" s="762">
        <v>0</v>
      </c>
      <c r="Q79" s="762">
        <v>0</v>
      </c>
      <c r="R79" s="762">
        <v>85113603</v>
      </c>
      <c r="S79" s="790">
        <v>0.5</v>
      </c>
      <c r="T79" s="790">
        <v>0.4</v>
      </c>
      <c r="U79" s="790">
        <v>0.09</v>
      </c>
      <c r="V79" s="790">
        <v>0.01</v>
      </c>
      <c r="W79" s="790">
        <v>1</v>
      </c>
      <c r="X79" s="762">
        <v>42556802</v>
      </c>
      <c r="Y79" s="762">
        <v>34045441</v>
      </c>
      <c r="Z79" s="762">
        <v>7660224</v>
      </c>
      <c r="AA79" s="762">
        <v>851136</v>
      </c>
      <c r="AB79" s="762">
        <v>85113603</v>
      </c>
      <c r="AC79" s="762">
        <v>0</v>
      </c>
      <c r="AD79" s="762">
        <v>0</v>
      </c>
      <c r="AE79" s="762">
        <v>0</v>
      </c>
      <c r="AF79" s="762">
        <v>0</v>
      </c>
      <c r="AG79" s="762">
        <v>0</v>
      </c>
      <c r="AH79" s="762">
        <v>42556802</v>
      </c>
      <c r="AI79" s="762">
        <v>34045441</v>
      </c>
      <c r="AJ79" s="762">
        <v>7660224</v>
      </c>
      <c r="AK79" s="762">
        <v>851136</v>
      </c>
      <c r="AL79" s="762">
        <v>85113603</v>
      </c>
      <c r="AM79" s="762">
        <v>172101</v>
      </c>
      <c r="AN79" s="762">
        <v>172101</v>
      </c>
      <c r="AO79" s="762">
        <v>0</v>
      </c>
      <c r="AP79" s="762">
        <v>0</v>
      </c>
      <c r="AQ79" s="762">
        <v>0</v>
      </c>
      <c r="AR79" s="762">
        <v>0</v>
      </c>
      <c r="AS79" s="762">
        <v>0</v>
      </c>
      <c r="AT79" s="762">
        <v>0</v>
      </c>
      <c r="AU79" s="762">
        <v>0</v>
      </c>
      <c r="AV79" s="762">
        <v>0</v>
      </c>
      <c r="AW79" s="762">
        <v>0</v>
      </c>
      <c r="AX79" s="762">
        <v>0</v>
      </c>
      <c r="AY79" s="762">
        <v>0</v>
      </c>
      <c r="AZ79" s="762">
        <v>0</v>
      </c>
      <c r="BA79" s="762">
        <v>0</v>
      </c>
      <c r="BB79" s="762">
        <v>0</v>
      </c>
      <c r="BC79" s="762">
        <v>0</v>
      </c>
      <c r="BD79" s="762">
        <v>0</v>
      </c>
      <c r="BE79" s="762">
        <v>0</v>
      </c>
      <c r="BF79" s="762">
        <v>0</v>
      </c>
      <c r="BG79" s="762">
        <v>0</v>
      </c>
      <c r="BH79" s="762">
        <v>0</v>
      </c>
      <c r="BI79" s="762">
        <v>0</v>
      </c>
      <c r="BJ79" s="790">
        <v>0</v>
      </c>
      <c r="BK79" s="790">
        <v>0.4</v>
      </c>
      <c r="BL79" s="790">
        <v>0.59</v>
      </c>
      <c r="BM79" s="790">
        <v>0.01</v>
      </c>
      <c r="BN79" s="790">
        <v>1</v>
      </c>
      <c r="BO79" s="762">
        <v>1</v>
      </c>
      <c r="BP79" s="762">
        <v>129659</v>
      </c>
      <c r="BQ79" s="762">
        <v>191247</v>
      </c>
      <c r="BR79" s="762">
        <v>3241</v>
      </c>
      <c r="BS79" s="762">
        <v>324148</v>
      </c>
      <c r="BT79" s="790">
        <v>0.5</v>
      </c>
      <c r="BU79" s="790">
        <v>0.4</v>
      </c>
      <c r="BV79" s="790">
        <v>0.09</v>
      </c>
      <c r="BW79" s="790">
        <v>0.01</v>
      </c>
      <c r="BX79" s="790">
        <v>1</v>
      </c>
      <c r="BY79" s="762">
        <v>50715</v>
      </c>
      <c r="BZ79" s="762">
        <v>40572</v>
      </c>
      <c r="CA79" s="762">
        <v>9129</v>
      </c>
      <c r="CB79" s="762">
        <v>1014</v>
      </c>
      <c r="CC79" s="762">
        <v>101430</v>
      </c>
      <c r="CD79" s="762">
        <v>50716</v>
      </c>
      <c r="CE79" s="762">
        <v>170231</v>
      </c>
      <c r="CF79" s="762">
        <v>200376</v>
      </c>
      <c r="CG79" s="762">
        <v>4255</v>
      </c>
      <c r="CH79" s="762">
        <v>425578</v>
      </c>
      <c r="CI79" s="762">
        <v>42607518</v>
      </c>
      <c r="CJ79" s="762">
        <v>34387773</v>
      </c>
      <c r="CK79" s="762">
        <v>7860600</v>
      </c>
      <c r="CL79" s="762">
        <v>855391</v>
      </c>
      <c r="CM79" s="762">
        <v>85711282</v>
      </c>
      <c r="CN79" s="762">
        <v>1109424</v>
      </c>
      <c r="CO79" s="762">
        <v>249620</v>
      </c>
      <c r="CP79" s="762">
        <v>27736</v>
      </c>
      <c r="CQ79" s="762">
        <v>1386780</v>
      </c>
      <c r="CR79" s="762">
        <v>653433</v>
      </c>
      <c r="CS79" s="762">
        <v>147023</v>
      </c>
      <c r="CT79" s="762">
        <v>16336</v>
      </c>
      <c r="CU79" s="762">
        <v>816792</v>
      </c>
      <c r="CV79" s="762">
        <v>72791</v>
      </c>
      <c r="CW79" s="762">
        <v>16378</v>
      </c>
      <c r="CX79" s="762">
        <v>1820</v>
      </c>
      <c r="CY79" s="762">
        <v>90989</v>
      </c>
      <c r="CZ79" s="762">
        <v>0</v>
      </c>
      <c r="DA79" s="762">
        <v>0</v>
      </c>
      <c r="DB79" s="762">
        <v>0</v>
      </c>
      <c r="DC79" s="762">
        <v>0</v>
      </c>
      <c r="DD79" s="762">
        <v>0</v>
      </c>
      <c r="DE79" s="762">
        <v>0</v>
      </c>
      <c r="DF79" s="762">
        <v>0</v>
      </c>
      <c r="DG79" s="762">
        <v>0</v>
      </c>
      <c r="DH79" s="762">
        <v>0</v>
      </c>
      <c r="DI79" s="762">
        <v>0</v>
      </c>
      <c r="DJ79" s="762">
        <v>0</v>
      </c>
      <c r="DK79" s="762">
        <v>0</v>
      </c>
      <c r="DL79" s="762">
        <v>1296</v>
      </c>
      <c r="DM79" s="762">
        <v>292</v>
      </c>
      <c r="DN79" s="762">
        <v>32</v>
      </c>
      <c r="DO79" s="762">
        <v>1620</v>
      </c>
      <c r="DP79" s="762">
        <v>14923</v>
      </c>
      <c r="DQ79" s="762">
        <v>3357</v>
      </c>
      <c r="DR79" s="762">
        <v>373</v>
      </c>
      <c r="DS79" s="762">
        <v>18653</v>
      </c>
      <c r="DT79" s="762">
        <v>0</v>
      </c>
      <c r="DU79" s="762">
        <v>0</v>
      </c>
      <c r="DV79" s="762">
        <v>0</v>
      </c>
      <c r="DW79" s="762">
        <v>0</v>
      </c>
      <c r="DX79" s="762">
        <v>0</v>
      </c>
      <c r="DY79" s="762">
        <v>0</v>
      </c>
      <c r="DZ79" s="762">
        <v>0</v>
      </c>
      <c r="EA79" s="762">
        <v>0</v>
      </c>
      <c r="EB79" s="762">
        <v>268467</v>
      </c>
      <c r="EC79" s="762">
        <v>60405</v>
      </c>
      <c r="ED79" s="762">
        <v>6712</v>
      </c>
      <c r="EE79" s="762">
        <v>335584</v>
      </c>
      <c r="EF79" s="762">
        <v>2120334</v>
      </c>
      <c r="EG79" s="762">
        <v>477075</v>
      </c>
      <c r="EH79" s="762">
        <v>53009</v>
      </c>
      <c r="EI79" s="799">
        <v>2650418</v>
      </c>
      <c r="EJ79" s="763" t="s">
        <v>23</v>
      </c>
      <c r="EK79" s="607" t="s">
        <v>591</v>
      </c>
      <c r="EL79" s="805" t="s">
        <v>590</v>
      </c>
      <c r="EM79" t="s">
        <v>1645</v>
      </c>
    </row>
    <row r="80" spans="1:143" ht="12.75" x14ac:dyDescent="0.2">
      <c r="A80" s="764">
        <v>73</v>
      </c>
      <c r="B80" s="765" t="s">
        <v>26</v>
      </c>
      <c r="C80" s="766" t="s">
        <v>1217</v>
      </c>
      <c r="D80" s="767" t="s">
        <v>1220</v>
      </c>
      <c r="E80" s="768" t="s">
        <v>25</v>
      </c>
      <c r="F80" s="761">
        <v>47905313</v>
      </c>
      <c r="G80" s="762">
        <v>0</v>
      </c>
      <c r="H80" s="762">
        <v>136669</v>
      </c>
      <c r="I80" s="762">
        <v>118649</v>
      </c>
      <c r="J80" s="762">
        <v>0</v>
      </c>
      <c r="K80" s="762">
        <v>118649</v>
      </c>
      <c r="L80" s="762">
        <v>0</v>
      </c>
      <c r="M80" s="762">
        <v>0</v>
      </c>
      <c r="N80" s="762">
        <v>821861</v>
      </c>
      <c r="O80" s="762">
        <v>821861</v>
      </c>
      <c r="P80" s="762">
        <v>0</v>
      </c>
      <c r="Q80" s="762">
        <v>0</v>
      </c>
      <c r="R80" s="762">
        <v>46828134</v>
      </c>
      <c r="S80" s="790">
        <v>0.25</v>
      </c>
      <c r="T80" s="790">
        <v>0.4</v>
      </c>
      <c r="U80" s="790">
        <v>0.33999999999999997</v>
      </c>
      <c r="V80" s="790">
        <v>0.01</v>
      </c>
      <c r="W80" s="790">
        <v>1</v>
      </c>
      <c r="X80" s="762">
        <v>11707033</v>
      </c>
      <c r="Y80" s="762">
        <v>18731254</v>
      </c>
      <c r="Z80" s="762">
        <v>15921566</v>
      </c>
      <c r="AA80" s="762">
        <v>468281</v>
      </c>
      <c r="AB80" s="762">
        <v>46828134</v>
      </c>
      <c r="AC80" s="762">
        <v>0</v>
      </c>
      <c r="AD80" s="762">
        <v>0</v>
      </c>
      <c r="AE80" s="762">
        <v>0</v>
      </c>
      <c r="AF80" s="762">
        <v>0</v>
      </c>
      <c r="AG80" s="762">
        <v>0</v>
      </c>
      <c r="AH80" s="762">
        <v>11707033</v>
      </c>
      <c r="AI80" s="762">
        <v>18731254</v>
      </c>
      <c r="AJ80" s="762">
        <v>15921566</v>
      </c>
      <c r="AK80" s="762">
        <v>468281</v>
      </c>
      <c r="AL80" s="762">
        <v>46828134</v>
      </c>
      <c r="AM80" s="762">
        <v>118649</v>
      </c>
      <c r="AN80" s="762">
        <v>118649</v>
      </c>
      <c r="AO80" s="762">
        <v>0</v>
      </c>
      <c r="AP80" s="762">
        <v>0</v>
      </c>
      <c r="AQ80" s="762">
        <v>821861</v>
      </c>
      <c r="AR80" s="762">
        <v>0</v>
      </c>
      <c r="AS80" s="762">
        <v>821861</v>
      </c>
      <c r="AT80" s="762">
        <v>0</v>
      </c>
      <c r="AU80" s="762">
        <v>0</v>
      </c>
      <c r="AV80" s="762">
        <v>0</v>
      </c>
      <c r="AW80" s="762">
        <v>0</v>
      </c>
      <c r="AX80" s="762">
        <v>0</v>
      </c>
      <c r="AY80" s="762">
        <v>0</v>
      </c>
      <c r="AZ80" s="762">
        <v>0</v>
      </c>
      <c r="BA80" s="762">
        <v>0</v>
      </c>
      <c r="BB80" s="762">
        <v>0</v>
      </c>
      <c r="BC80" s="762">
        <v>0</v>
      </c>
      <c r="BD80" s="762">
        <v>0</v>
      </c>
      <c r="BE80" s="762">
        <v>0</v>
      </c>
      <c r="BF80" s="762">
        <v>0</v>
      </c>
      <c r="BG80" s="762">
        <v>0</v>
      </c>
      <c r="BH80" s="762">
        <v>0</v>
      </c>
      <c r="BI80" s="762">
        <v>0</v>
      </c>
      <c r="BJ80" s="790">
        <v>0.5</v>
      </c>
      <c r="BK80" s="790">
        <v>0.4</v>
      </c>
      <c r="BL80" s="790">
        <v>0.1</v>
      </c>
      <c r="BM80" s="790">
        <v>0</v>
      </c>
      <c r="BN80" s="790">
        <v>1</v>
      </c>
      <c r="BO80" s="762">
        <v>-234469</v>
      </c>
      <c r="BP80" s="762">
        <v>-187575</v>
      </c>
      <c r="BQ80" s="762">
        <v>-46894</v>
      </c>
      <c r="BR80" s="762">
        <v>0</v>
      </c>
      <c r="BS80" s="762">
        <v>-468938</v>
      </c>
      <c r="BT80" s="790">
        <v>0.5</v>
      </c>
      <c r="BU80" s="790">
        <v>0.4</v>
      </c>
      <c r="BV80" s="790">
        <v>0.1</v>
      </c>
      <c r="BW80" s="790">
        <v>0</v>
      </c>
      <c r="BX80" s="790">
        <v>1</v>
      </c>
      <c r="BY80" s="762">
        <v>-256202</v>
      </c>
      <c r="BZ80" s="762">
        <v>-204961</v>
      </c>
      <c r="CA80" s="762">
        <v>-51240</v>
      </c>
      <c r="CB80" s="762">
        <v>0</v>
      </c>
      <c r="CC80" s="762">
        <v>-512403</v>
      </c>
      <c r="CD80" s="762">
        <v>-490671</v>
      </c>
      <c r="CE80" s="762">
        <v>-392536</v>
      </c>
      <c r="CF80" s="762">
        <v>-98134</v>
      </c>
      <c r="CG80" s="762">
        <v>0</v>
      </c>
      <c r="CH80" s="762">
        <v>-981341</v>
      </c>
      <c r="CI80" s="762">
        <v>11216362</v>
      </c>
      <c r="CJ80" s="762">
        <v>19279228</v>
      </c>
      <c r="CK80" s="762">
        <v>15823432</v>
      </c>
      <c r="CL80" s="762">
        <v>468281</v>
      </c>
      <c r="CM80" s="762">
        <v>46787303</v>
      </c>
      <c r="CN80" s="762">
        <v>637169</v>
      </c>
      <c r="CO80" s="762">
        <v>518829</v>
      </c>
      <c r="CP80" s="762">
        <v>15260</v>
      </c>
      <c r="CQ80" s="762">
        <v>1171258</v>
      </c>
      <c r="CR80" s="762">
        <v>744261</v>
      </c>
      <c r="CS80" s="762">
        <v>632622</v>
      </c>
      <c r="CT80" s="762">
        <v>18607</v>
      </c>
      <c r="CU80" s="762">
        <v>1395490</v>
      </c>
      <c r="CV80" s="762">
        <v>58558</v>
      </c>
      <c r="CW80" s="762">
        <v>49774</v>
      </c>
      <c r="CX80" s="762">
        <v>1464</v>
      </c>
      <c r="CY80" s="762">
        <v>109796</v>
      </c>
      <c r="CZ80" s="762">
        <v>0</v>
      </c>
      <c r="DA80" s="762">
        <v>0</v>
      </c>
      <c r="DB80" s="762">
        <v>0</v>
      </c>
      <c r="DC80" s="762">
        <v>0</v>
      </c>
      <c r="DD80" s="762">
        <v>18271</v>
      </c>
      <c r="DE80" s="762">
        <v>15530</v>
      </c>
      <c r="DF80" s="762">
        <v>457</v>
      </c>
      <c r="DG80" s="762">
        <v>34258</v>
      </c>
      <c r="DH80" s="762">
        <v>0</v>
      </c>
      <c r="DI80" s="762">
        <v>0</v>
      </c>
      <c r="DJ80" s="762">
        <v>0</v>
      </c>
      <c r="DK80" s="762">
        <v>0</v>
      </c>
      <c r="DL80" s="762">
        <v>9312</v>
      </c>
      <c r="DM80" s="762">
        <v>7916</v>
      </c>
      <c r="DN80" s="762">
        <v>233</v>
      </c>
      <c r="DO80" s="762">
        <v>17461</v>
      </c>
      <c r="DP80" s="762">
        <v>7168</v>
      </c>
      <c r="DQ80" s="762">
        <v>6092</v>
      </c>
      <c r="DR80" s="762">
        <v>179</v>
      </c>
      <c r="DS80" s="762">
        <v>13439</v>
      </c>
      <c r="DT80" s="762">
        <v>0</v>
      </c>
      <c r="DU80" s="762">
        <v>0</v>
      </c>
      <c r="DV80" s="762">
        <v>0</v>
      </c>
      <c r="DW80" s="762">
        <v>0</v>
      </c>
      <c r="DX80" s="762">
        <v>0</v>
      </c>
      <c r="DY80" s="762">
        <v>0</v>
      </c>
      <c r="DZ80" s="762">
        <v>0</v>
      </c>
      <c r="EA80" s="762">
        <v>0</v>
      </c>
      <c r="EB80" s="762">
        <v>155175</v>
      </c>
      <c r="EC80" s="762">
        <v>131898</v>
      </c>
      <c r="ED80" s="762">
        <v>3879</v>
      </c>
      <c r="EE80" s="762">
        <v>290952</v>
      </c>
      <c r="EF80" s="762">
        <v>1629914</v>
      </c>
      <c r="EG80" s="762">
        <v>1362661</v>
      </c>
      <c r="EH80" s="762">
        <v>40079</v>
      </c>
      <c r="EI80" s="799">
        <v>3032654</v>
      </c>
      <c r="EJ80" s="763" t="s">
        <v>25</v>
      </c>
      <c r="EK80" s="607" t="s">
        <v>605</v>
      </c>
      <c r="EL80" s="805" t="s">
        <v>556</v>
      </c>
      <c r="EM80" t="s">
        <v>1646</v>
      </c>
    </row>
    <row r="81" spans="1:143" ht="12.75" x14ac:dyDescent="0.2">
      <c r="A81" s="764">
        <v>74</v>
      </c>
      <c r="B81" s="765" t="s">
        <v>28</v>
      </c>
      <c r="C81" s="766" t="s">
        <v>529</v>
      </c>
      <c r="D81" s="767" t="s">
        <v>1220</v>
      </c>
      <c r="E81" s="768" t="s">
        <v>558</v>
      </c>
      <c r="F81" s="761">
        <v>90514812</v>
      </c>
      <c r="G81" s="762">
        <v>1263050</v>
      </c>
      <c r="H81" s="762">
        <v>0</v>
      </c>
      <c r="I81" s="762">
        <v>317726</v>
      </c>
      <c r="J81" s="762">
        <v>0</v>
      </c>
      <c r="K81" s="762">
        <v>317726</v>
      </c>
      <c r="L81" s="762">
        <v>0</v>
      </c>
      <c r="M81" s="762">
        <v>124784</v>
      </c>
      <c r="N81" s="762">
        <v>728784</v>
      </c>
      <c r="O81" s="762">
        <v>728784</v>
      </c>
      <c r="P81" s="762">
        <v>0</v>
      </c>
      <c r="Q81" s="762">
        <v>0</v>
      </c>
      <c r="R81" s="762">
        <v>90606568</v>
      </c>
      <c r="S81" s="790">
        <v>0.5</v>
      </c>
      <c r="T81" s="790">
        <v>0.49</v>
      </c>
      <c r="U81" s="790">
        <v>0</v>
      </c>
      <c r="V81" s="790">
        <v>0.01</v>
      </c>
      <c r="W81" s="790">
        <v>1</v>
      </c>
      <c r="X81" s="762">
        <v>45303284</v>
      </c>
      <c r="Y81" s="762">
        <v>44397218</v>
      </c>
      <c r="Z81" s="762">
        <v>0</v>
      </c>
      <c r="AA81" s="762">
        <v>906066</v>
      </c>
      <c r="AB81" s="762">
        <v>90606568</v>
      </c>
      <c r="AC81" s="762">
        <v>36432</v>
      </c>
      <c r="AD81" s="762">
        <v>0</v>
      </c>
      <c r="AE81" s="762">
        <v>0</v>
      </c>
      <c r="AF81" s="762">
        <v>0</v>
      </c>
      <c r="AG81" s="762">
        <v>36432</v>
      </c>
      <c r="AH81" s="762">
        <v>45266852</v>
      </c>
      <c r="AI81" s="762">
        <v>44397218</v>
      </c>
      <c r="AJ81" s="762">
        <v>0</v>
      </c>
      <c r="AK81" s="762">
        <v>906066</v>
      </c>
      <c r="AL81" s="762">
        <v>90570136</v>
      </c>
      <c r="AM81" s="762">
        <v>317726</v>
      </c>
      <c r="AN81" s="762">
        <v>317726</v>
      </c>
      <c r="AO81" s="762">
        <v>124784</v>
      </c>
      <c r="AP81" s="762">
        <v>124784</v>
      </c>
      <c r="AQ81" s="762">
        <v>728784</v>
      </c>
      <c r="AR81" s="762">
        <v>0</v>
      </c>
      <c r="AS81" s="762">
        <v>728784</v>
      </c>
      <c r="AT81" s="762">
        <v>0</v>
      </c>
      <c r="AU81" s="762">
        <v>0</v>
      </c>
      <c r="AV81" s="762">
        <v>0</v>
      </c>
      <c r="AW81" s="762">
        <v>0</v>
      </c>
      <c r="AX81" s="762">
        <v>36432</v>
      </c>
      <c r="AY81" s="762">
        <v>0</v>
      </c>
      <c r="AZ81" s="762">
        <v>0</v>
      </c>
      <c r="BA81" s="762">
        <v>36432</v>
      </c>
      <c r="BB81" s="762">
        <v>0</v>
      </c>
      <c r="BC81" s="762">
        <v>0</v>
      </c>
      <c r="BD81" s="762">
        <v>0</v>
      </c>
      <c r="BE81" s="762">
        <v>0</v>
      </c>
      <c r="BF81" s="762">
        <v>0</v>
      </c>
      <c r="BG81" s="762">
        <v>0</v>
      </c>
      <c r="BH81" s="762">
        <v>0</v>
      </c>
      <c r="BI81" s="762">
        <v>0</v>
      </c>
      <c r="BJ81" s="790">
        <v>0</v>
      </c>
      <c r="BK81" s="790">
        <v>0.99</v>
      </c>
      <c r="BL81" s="790">
        <v>0</v>
      </c>
      <c r="BM81" s="790">
        <v>0.01</v>
      </c>
      <c r="BN81" s="790">
        <v>1</v>
      </c>
      <c r="BO81" s="762">
        <v>0</v>
      </c>
      <c r="BP81" s="762">
        <v>-6486922</v>
      </c>
      <c r="BQ81" s="762">
        <v>0</v>
      </c>
      <c r="BR81" s="762">
        <v>-65524</v>
      </c>
      <c r="BS81" s="762">
        <v>-6552446</v>
      </c>
      <c r="BT81" s="790">
        <v>0.5</v>
      </c>
      <c r="BU81" s="790">
        <v>0.49</v>
      </c>
      <c r="BV81" s="790">
        <v>0</v>
      </c>
      <c r="BW81" s="790">
        <v>0.01</v>
      </c>
      <c r="BX81" s="790">
        <v>1</v>
      </c>
      <c r="BY81" s="762">
        <v>244624</v>
      </c>
      <c r="BZ81" s="762">
        <v>239732</v>
      </c>
      <c r="CA81" s="762">
        <v>0</v>
      </c>
      <c r="CB81" s="762">
        <v>4892</v>
      </c>
      <c r="CC81" s="762">
        <v>489248</v>
      </c>
      <c r="CD81" s="762">
        <v>244624</v>
      </c>
      <c r="CE81" s="762">
        <v>-6247190</v>
      </c>
      <c r="CF81" s="762">
        <v>0</v>
      </c>
      <c r="CG81" s="762">
        <v>-60632</v>
      </c>
      <c r="CH81" s="762">
        <v>-6063198</v>
      </c>
      <c r="CI81" s="762">
        <v>45511476</v>
      </c>
      <c r="CJ81" s="762">
        <v>39357754</v>
      </c>
      <c r="CK81" s="762">
        <v>0</v>
      </c>
      <c r="CL81" s="762">
        <v>845434</v>
      </c>
      <c r="CM81" s="762">
        <v>85714664</v>
      </c>
      <c r="CN81" s="762">
        <v>1475755</v>
      </c>
      <c r="CO81" s="762">
        <v>0</v>
      </c>
      <c r="CP81" s="762">
        <v>29526</v>
      </c>
      <c r="CQ81" s="762">
        <v>1505281</v>
      </c>
      <c r="CR81" s="762">
        <v>2285335</v>
      </c>
      <c r="CS81" s="762">
        <v>0</v>
      </c>
      <c r="CT81" s="762">
        <v>46481</v>
      </c>
      <c r="CU81" s="762">
        <v>2331816</v>
      </c>
      <c r="CV81" s="762">
        <v>215199</v>
      </c>
      <c r="CW81" s="762">
        <v>0</v>
      </c>
      <c r="CX81" s="762">
        <v>4386</v>
      </c>
      <c r="CY81" s="762">
        <v>219585</v>
      </c>
      <c r="CZ81" s="762">
        <v>0</v>
      </c>
      <c r="DA81" s="762">
        <v>0</v>
      </c>
      <c r="DB81" s="762">
        <v>0</v>
      </c>
      <c r="DC81" s="762">
        <v>0</v>
      </c>
      <c r="DD81" s="762">
        <v>0</v>
      </c>
      <c r="DE81" s="762">
        <v>0</v>
      </c>
      <c r="DF81" s="762">
        <v>0</v>
      </c>
      <c r="DG81" s="762">
        <v>0</v>
      </c>
      <c r="DH81" s="762">
        <v>759</v>
      </c>
      <c r="DI81" s="762">
        <v>0</v>
      </c>
      <c r="DJ81" s="762">
        <v>15</v>
      </c>
      <c r="DK81" s="762">
        <v>774</v>
      </c>
      <c r="DL81" s="762">
        <v>41992</v>
      </c>
      <c r="DM81" s="762">
        <v>0</v>
      </c>
      <c r="DN81" s="762">
        <v>857</v>
      </c>
      <c r="DO81" s="762">
        <v>42849</v>
      </c>
      <c r="DP81" s="762">
        <v>7619</v>
      </c>
      <c r="DQ81" s="762">
        <v>0</v>
      </c>
      <c r="DR81" s="762">
        <v>155</v>
      </c>
      <c r="DS81" s="762">
        <v>7774</v>
      </c>
      <c r="DT81" s="762">
        <v>0</v>
      </c>
      <c r="DU81" s="762">
        <v>0</v>
      </c>
      <c r="DV81" s="762">
        <v>0</v>
      </c>
      <c r="DW81" s="762">
        <v>0</v>
      </c>
      <c r="DX81" s="762">
        <v>0</v>
      </c>
      <c r="DY81" s="762">
        <v>0</v>
      </c>
      <c r="DZ81" s="762">
        <v>0</v>
      </c>
      <c r="EA81" s="762">
        <v>0</v>
      </c>
      <c r="EB81" s="762">
        <v>1300701</v>
      </c>
      <c r="EC81" s="762">
        <v>0</v>
      </c>
      <c r="ED81" s="762">
        <v>26545</v>
      </c>
      <c r="EE81" s="762">
        <v>1327246</v>
      </c>
      <c r="EF81" s="762">
        <v>5327360</v>
      </c>
      <c r="EG81" s="762">
        <v>0</v>
      </c>
      <c r="EH81" s="762">
        <v>107965</v>
      </c>
      <c r="EI81" s="799">
        <v>5435325</v>
      </c>
      <c r="EJ81" s="763" t="s">
        <v>558</v>
      </c>
      <c r="EK81" s="607" t="s">
        <v>529</v>
      </c>
      <c r="EL81" s="805" t="s">
        <v>559</v>
      </c>
      <c r="EM81" t="s">
        <v>1647</v>
      </c>
    </row>
    <row r="82" spans="1:143" ht="12.75" x14ac:dyDescent="0.2">
      <c r="A82" s="764">
        <v>75</v>
      </c>
      <c r="B82" s="765" t="s">
        <v>30</v>
      </c>
      <c r="C82" s="766" t="s">
        <v>1217</v>
      </c>
      <c r="D82" s="767" t="s">
        <v>1220</v>
      </c>
      <c r="E82" s="768" t="s">
        <v>29</v>
      </c>
      <c r="F82" s="761">
        <v>17579175</v>
      </c>
      <c r="G82" s="762">
        <v>1155602</v>
      </c>
      <c r="H82" s="762">
        <v>0</v>
      </c>
      <c r="I82" s="762">
        <v>147327</v>
      </c>
      <c r="J82" s="762">
        <v>0</v>
      </c>
      <c r="K82" s="762">
        <v>147327</v>
      </c>
      <c r="L82" s="762">
        <v>0</v>
      </c>
      <c r="M82" s="762">
        <v>0</v>
      </c>
      <c r="N82" s="762">
        <v>163944</v>
      </c>
      <c r="O82" s="762">
        <v>163944</v>
      </c>
      <c r="P82" s="762">
        <v>0</v>
      </c>
      <c r="Q82" s="762">
        <v>0</v>
      </c>
      <c r="R82" s="762">
        <v>18423506</v>
      </c>
      <c r="S82" s="790">
        <v>0.5</v>
      </c>
      <c r="T82" s="790">
        <v>0.4</v>
      </c>
      <c r="U82" s="790">
        <v>0.09</v>
      </c>
      <c r="V82" s="790">
        <v>0.01</v>
      </c>
      <c r="W82" s="790">
        <v>1</v>
      </c>
      <c r="X82" s="762">
        <v>9211753</v>
      </c>
      <c r="Y82" s="762">
        <v>7369402</v>
      </c>
      <c r="Z82" s="762">
        <v>1658116</v>
      </c>
      <c r="AA82" s="762">
        <v>184235</v>
      </c>
      <c r="AB82" s="762">
        <v>18423506</v>
      </c>
      <c r="AC82" s="762">
        <v>0</v>
      </c>
      <c r="AD82" s="762">
        <v>0</v>
      </c>
      <c r="AE82" s="762">
        <v>0</v>
      </c>
      <c r="AF82" s="762">
        <v>0</v>
      </c>
      <c r="AG82" s="762">
        <v>0</v>
      </c>
      <c r="AH82" s="762">
        <v>9211753</v>
      </c>
      <c r="AI82" s="762">
        <v>7369402</v>
      </c>
      <c r="AJ82" s="762">
        <v>1658116</v>
      </c>
      <c r="AK82" s="762">
        <v>184235</v>
      </c>
      <c r="AL82" s="762">
        <v>18423506</v>
      </c>
      <c r="AM82" s="762">
        <v>147327</v>
      </c>
      <c r="AN82" s="762">
        <v>147327</v>
      </c>
      <c r="AO82" s="762">
        <v>0</v>
      </c>
      <c r="AP82" s="762">
        <v>0</v>
      </c>
      <c r="AQ82" s="762">
        <v>163944</v>
      </c>
      <c r="AR82" s="762">
        <v>0</v>
      </c>
      <c r="AS82" s="762">
        <v>163944</v>
      </c>
      <c r="AT82" s="762">
        <v>0</v>
      </c>
      <c r="AU82" s="762">
        <v>0</v>
      </c>
      <c r="AV82" s="762">
        <v>0</v>
      </c>
      <c r="AW82" s="762">
        <v>0</v>
      </c>
      <c r="AX82" s="762">
        <v>0</v>
      </c>
      <c r="AY82" s="762">
        <v>0</v>
      </c>
      <c r="AZ82" s="762">
        <v>0</v>
      </c>
      <c r="BA82" s="762">
        <v>0</v>
      </c>
      <c r="BB82" s="762">
        <v>0</v>
      </c>
      <c r="BC82" s="762">
        <v>0</v>
      </c>
      <c r="BD82" s="762">
        <v>0</v>
      </c>
      <c r="BE82" s="762">
        <v>0</v>
      </c>
      <c r="BF82" s="762">
        <v>0</v>
      </c>
      <c r="BG82" s="762">
        <v>0</v>
      </c>
      <c r="BH82" s="762">
        <v>0</v>
      </c>
      <c r="BI82" s="762">
        <v>0</v>
      </c>
      <c r="BJ82" s="790">
        <v>0</v>
      </c>
      <c r="BK82" s="790">
        <v>0.5</v>
      </c>
      <c r="BL82" s="790">
        <v>0.49</v>
      </c>
      <c r="BM82" s="790">
        <v>0.01</v>
      </c>
      <c r="BN82" s="790">
        <v>1</v>
      </c>
      <c r="BO82" s="762">
        <v>0</v>
      </c>
      <c r="BP82" s="762">
        <v>264061</v>
      </c>
      <c r="BQ82" s="762">
        <v>258780</v>
      </c>
      <c r="BR82" s="762">
        <v>5281</v>
      </c>
      <c r="BS82" s="762">
        <v>528122</v>
      </c>
      <c r="BT82" s="790">
        <v>0.5</v>
      </c>
      <c r="BU82" s="790">
        <v>0.4</v>
      </c>
      <c r="BV82" s="790">
        <v>0.09</v>
      </c>
      <c r="BW82" s="790">
        <v>0.01</v>
      </c>
      <c r="BX82" s="790">
        <v>1</v>
      </c>
      <c r="BY82" s="762">
        <v>-68725</v>
      </c>
      <c r="BZ82" s="762">
        <v>-54980</v>
      </c>
      <c r="CA82" s="762">
        <v>-12370</v>
      </c>
      <c r="CB82" s="762">
        <v>-1374</v>
      </c>
      <c r="CC82" s="762">
        <v>-137449</v>
      </c>
      <c r="CD82" s="762">
        <v>-68725</v>
      </c>
      <c r="CE82" s="762">
        <v>209081</v>
      </c>
      <c r="CF82" s="762">
        <v>246410</v>
      </c>
      <c r="CG82" s="762">
        <v>3907</v>
      </c>
      <c r="CH82" s="762">
        <v>390673</v>
      </c>
      <c r="CI82" s="762">
        <v>9143028</v>
      </c>
      <c r="CJ82" s="762">
        <v>7889754</v>
      </c>
      <c r="CK82" s="762">
        <v>1904526</v>
      </c>
      <c r="CL82" s="762">
        <v>188142</v>
      </c>
      <c r="CM82" s="762">
        <v>19125450</v>
      </c>
      <c r="CN82" s="762">
        <v>245486</v>
      </c>
      <c r="CO82" s="762">
        <v>54032</v>
      </c>
      <c r="CP82" s="762">
        <v>6004</v>
      </c>
      <c r="CQ82" s="762">
        <v>305522</v>
      </c>
      <c r="CR82" s="762">
        <v>1290166</v>
      </c>
      <c r="CS82" s="762">
        <v>290287</v>
      </c>
      <c r="CT82" s="762">
        <v>32254</v>
      </c>
      <c r="CU82" s="762">
        <v>1612707</v>
      </c>
      <c r="CV82" s="762">
        <v>60428</v>
      </c>
      <c r="CW82" s="762">
        <v>13596</v>
      </c>
      <c r="CX82" s="762">
        <v>1511</v>
      </c>
      <c r="CY82" s="762">
        <v>75535</v>
      </c>
      <c r="CZ82" s="762">
        <v>0</v>
      </c>
      <c r="DA82" s="762">
        <v>0</v>
      </c>
      <c r="DB82" s="762">
        <v>0</v>
      </c>
      <c r="DC82" s="762">
        <v>0</v>
      </c>
      <c r="DD82" s="762">
        <v>20850</v>
      </c>
      <c r="DE82" s="762">
        <v>4691</v>
      </c>
      <c r="DF82" s="762">
        <v>521</v>
      </c>
      <c r="DG82" s="762">
        <v>26062</v>
      </c>
      <c r="DH82" s="762">
        <v>0</v>
      </c>
      <c r="DI82" s="762">
        <v>0</v>
      </c>
      <c r="DJ82" s="762">
        <v>0</v>
      </c>
      <c r="DK82" s="762">
        <v>0</v>
      </c>
      <c r="DL82" s="762">
        <v>41141</v>
      </c>
      <c r="DM82" s="762">
        <v>9257</v>
      </c>
      <c r="DN82" s="762">
        <v>1029</v>
      </c>
      <c r="DO82" s="762">
        <v>51427</v>
      </c>
      <c r="DP82" s="762">
        <v>30975</v>
      </c>
      <c r="DQ82" s="762">
        <v>6969</v>
      </c>
      <c r="DR82" s="762">
        <v>774</v>
      </c>
      <c r="DS82" s="762">
        <v>38718</v>
      </c>
      <c r="DT82" s="762">
        <v>0</v>
      </c>
      <c r="DU82" s="762">
        <v>0</v>
      </c>
      <c r="DV82" s="762">
        <v>0</v>
      </c>
      <c r="DW82" s="762">
        <v>0</v>
      </c>
      <c r="DX82" s="762">
        <v>0</v>
      </c>
      <c r="DY82" s="762">
        <v>0</v>
      </c>
      <c r="DZ82" s="762">
        <v>0</v>
      </c>
      <c r="EA82" s="762">
        <v>0</v>
      </c>
      <c r="EB82" s="762">
        <v>493335</v>
      </c>
      <c r="EC82" s="762">
        <v>111001</v>
      </c>
      <c r="ED82" s="762">
        <v>12333</v>
      </c>
      <c r="EE82" s="762">
        <v>616669</v>
      </c>
      <c r="EF82" s="762">
        <v>2182381</v>
      </c>
      <c r="EG82" s="762">
        <v>489833</v>
      </c>
      <c r="EH82" s="762">
        <v>54426</v>
      </c>
      <c r="EI82" s="799">
        <v>2726640</v>
      </c>
      <c r="EJ82" s="763" t="s">
        <v>29</v>
      </c>
      <c r="EK82" s="607" t="s">
        <v>560</v>
      </c>
      <c r="EL82" s="805" t="s">
        <v>559</v>
      </c>
      <c r="EM82" t="s">
        <v>1648</v>
      </c>
    </row>
    <row r="83" spans="1:143" ht="12.75" x14ac:dyDescent="0.2">
      <c r="A83" s="764">
        <v>76</v>
      </c>
      <c r="B83" s="765" t="s">
        <v>32</v>
      </c>
      <c r="C83" s="766" t="s">
        <v>1224</v>
      </c>
      <c r="D83" s="767" t="s">
        <v>1225</v>
      </c>
      <c r="E83" s="768" t="s">
        <v>31</v>
      </c>
      <c r="F83" s="761">
        <v>94114563</v>
      </c>
      <c r="G83" s="762">
        <v>0</v>
      </c>
      <c r="H83" s="762">
        <v>927541</v>
      </c>
      <c r="I83" s="762">
        <v>371624</v>
      </c>
      <c r="J83" s="762">
        <v>0</v>
      </c>
      <c r="K83" s="762">
        <v>371624</v>
      </c>
      <c r="L83" s="762">
        <v>0</v>
      </c>
      <c r="M83" s="762">
        <v>0</v>
      </c>
      <c r="N83" s="762">
        <v>192906</v>
      </c>
      <c r="O83" s="762">
        <v>192906</v>
      </c>
      <c r="P83" s="762">
        <v>0</v>
      </c>
      <c r="Q83" s="762">
        <v>0</v>
      </c>
      <c r="R83" s="762">
        <v>92622492</v>
      </c>
      <c r="S83" s="790">
        <v>0.5</v>
      </c>
      <c r="T83" s="790">
        <v>0.49</v>
      </c>
      <c r="U83" s="790">
        <v>0</v>
      </c>
      <c r="V83" s="790">
        <v>0.01</v>
      </c>
      <c r="W83" s="790">
        <v>1</v>
      </c>
      <c r="X83" s="762">
        <v>46311246</v>
      </c>
      <c r="Y83" s="762">
        <v>45385021</v>
      </c>
      <c r="Z83" s="762">
        <v>0</v>
      </c>
      <c r="AA83" s="762">
        <v>926225</v>
      </c>
      <c r="AB83" s="762">
        <v>92622492</v>
      </c>
      <c r="AC83" s="762">
        <v>0</v>
      </c>
      <c r="AD83" s="762">
        <v>0</v>
      </c>
      <c r="AE83" s="762">
        <v>0</v>
      </c>
      <c r="AF83" s="762">
        <v>0</v>
      </c>
      <c r="AG83" s="762">
        <v>0</v>
      </c>
      <c r="AH83" s="762">
        <v>46311246</v>
      </c>
      <c r="AI83" s="762">
        <v>45385021</v>
      </c>
      <c r="AJ83" s="762">
        <v>0</v>
      </c>
      <c r="AK83" s="762">
        <v>926225</v>
      </c>
      <c r="AL83" s="762">
        <v>92622492</v>
      </c>
      <c r="AM83" s="762">
        <v>371624</v>
      </c>
      <c r="AN83" s="762">
        <v>371624</v>
      </c>
      <c r="AO83" s="762">
        <v>0</v>
      </c>
      <c r="AP83" s="762">
        <v>0</v>
      </c>
      <c r="AQ83" s="762">
        <v>192906</v>
      </c>
      <c r="AR83" s="762">
        <v>0</v>
      </c>
      <c r="AS83" s="762">
        <v>192906</v>
      </c>
      <c r="AT83" s="762">
        <v>0</v>
      </c>
      <c r="AU83" s="762">
        <v>0</v>
      </c>
      <c r="AV83" s="762">
        <v>0</v>
      </c>
      <c r="AW83" s="762">
        <v>0</v>
      </c>
      <c r="AX83" s="762">
        <v>0</v>
      </c>
      <c r="AY83" s="762">
        <v>0</v>
      </c>
      <c r="AZ83" s="762">
        <v>0</v>
      </c>
      <c r="BA83" s="762">
        <v>0</v>
      </c>
      <c r="BB83" s="762">
        <v>0</v>
      </c>
      <c r="BC83" s="762">
        <v>0</v>
      </c>
      <c r="BD83" s="762">
        <v>0</v>
      </c>
      <c r="BE83" s="762">
        <v>0</v>
      </c>
      <c r="BF83" s="762">
        <v>0</v>
      </c>
      <c r="BG83" s="762">
        <v>0</v>
      </c>
      <c r="BH83" s="762">
        <v>0</v>
      </c>
      <c r="BI83" s="762">
        <v>0</v>
      </c>
      <c r="BJ83" s="790">
        <v>0.5</v>
      </c>
      <c r="BK83" s="790">
        <v>0.49</v>
      </c>
      <c r="BL83" s="790">
        <v>0</v>
      </c>
      <c r="BM83" s="790">
        <v>0.01</v>
      </c>
      <c r="BN83" s="790">
        <v>1</v>
      </c>
      <c r="BO83" s="762">
        <v>-645199</v>
      </c>
      <c r="BP83" s="762">
        <v>-632296</v>
      </c>
      <c r="BQ83" s="762">
        <v>0</v>
      </c>
      <c r="BR83" s="762">
        <v>-12904</v>
      </c>
      <c r="BS83" s="762">
        <v>-1290399</v>
      </c>
      <c r="BT83" s="790">
        <v>0.5</v>
      </c>
      <c r="BU83" s="790">
        <v>0.49</v>
      </c>
      <c r="BV83" s="790">
        <v>0</v>
      </c>
      <c r="BW83" s="790">
        <v>0.01</v>
      </c>
      <c r="BX83" s="790">
        <v>1</v>
      </c>
      <c r="BY83" s="762">
        <v>-431685</v>
      </c>
      <c r="BZ83" s="762">
        <v>-423051</v>
      </c>
      <c r="CA83" s="762">
        <v>0</v>
      </c>
      <c r="CB83" s="762">
        <v>-8634</v>
      </c>
      <c r="CC83" s="762">
        <v>-863370</v>
      </c>
      <c r="CD83" s="762">
        <v>-1076884</v>
      </c>
      <c r="CE83" s="762">
        <v>-1055347</v>
      </c>
      <c r="CF83" s="762">
        <v>0</v>
      </c>
      <c r="CG83" s="762">
        <v>-21538</v>
      </c>
      <c r="CH83" s="762">
        <v>-2153769</v>
      </c>
      <c r="CI83" s="762">
        <v>45234362</v>
      </c>
      <c r="CJ83" s="762">
        <v>44894204</v>
      </c>
      <c r="CK83" s="762">
        <v>0</v>
      </c>
      <c r="CL83" s="762">
        <v>904687</v>
      </c>
      <c r="CM83" s="762">
        <v>91033253</v>
      </c>
      <c r="CN83" s="762">
        <v>1485228</v>
      </c>
      <c r="CO83" s="762">
        <v>0</v>
      </c>
      <c r="CP83" s="762">
        <v>30182</v>
      </c>
      <c r="CQ83" s="762">
        <v>1515410</v>
      </c>
      <c r="CR83" s="762">
        <v>3282821</v>
      </c>
      <c r="CS83" s="762">
        <v>0</v>
      </c>
      <c r="CT83" s="762">
        <v>66996</v>
      </c>
      <c r="CU83" s="762">
        <v>3349817</v>
      </c>
      <c r="CV83" s="762">
        <v>200398</v>
      </c>
      <c r="CW83" s="762">
        <v>0</v>
      </c>
      <c r="CX83" s="762">
        <v>4090</v>
      </c>
      <c r="CY83" s="762">
        <v>204488</v>
      </c>
      <c r="CZ83" s="762">
        <v>13057</v>
      </c>
      <c r="DA83" s="762">
        <v>0</v>
      </c>
      <c r="DB83" s="762">
        <v>266</v>
      </c>
      <c r="DC83" s="762">
        <v>13323</v>
      </c>
      <c r="DD83" s="762">
        <v>1760</v>
      </c>
      <c r="DE83" s="762">
        <v>0</v>
      </c>
      <c r="DF83" s="762">
        <v>36</v>
      </c>
      <c r="DG83" s="762">
        <v>1796</v>
      </c>
      <c r="DH83" s="762">
        <v>0</v>
      </c>
      <c r="DI83" s="762">
        <v>0</v>
      </c>
      <c r="DJ83" s="762">
        <v>0</v>
      </c>
      <c r="DK83" s="762">
        <v>0</v>
      </c>
      <c r="DL83" s="762">
        <v>22788</v>
      </c>
      <c r="DM83" s="762">
        <v>0</v>
      </c>
      <c r="DN83" s="762">
        <v>465</v>
      </c>
      <c r="DO83" s="762">
        <v>23253</v>
      </c>
      <c r="DP83" s="762">
        <v>46867</v>
      </c>
      <c r="DQ83" s="762">
        <v>0</v>
      </c>
      <c r="DR83" s="762">
        <v>956</v>
      </c>
      <c r="DS83" s="762">
        <v>47823</v>
      </c>
      <c r="DT83" s="762">
        <v>0</v>
      </c>
      <c r="DU83" s="762">
        <v>0</v>
      </c>
      <c r="DV83" s="762">
        <v>0</v>
      </c>
      <c r="DW83" s="762">
        <v>0</v>
      </c>
      <c r="DX83" s="762">
        <v>0</v>
      </c>
      <c r="DY83" s="762">
        <v>0</v>
      </c>
      <c r="DZ83" s="762">
        <v>0</v>
      </c>
      <c r="EA83" s="762">
        <v>0</v>
      </c>
      <c r="EB83" s="762">
        <v>1294298</v>
      </c>
      <c r="EC83" s="762">
        <v>0</v>
      </c>
      <c r="ED83" s="762">
        <v>26414</v>
      </c>
      <c r="EE83" s="762">
        <v>1320712</v>
      </c>
      <c r="EF83" s="762">
        <v>6347217</v>
      </c>
      <c r="EG83" s="762">
        <v>0</v>
      </c>
      <c r="EH83" s="762">
        <v>129405</v>
      </c>
      <c r="EI83" s="799">
        <v>6476622</v>
      </c>
      <c r="EJ83" s="763" t="s">
        <v>31</v>
      </c>
      <c r="EK83" s="607" t="s">
        <v>621</v>
      </c>
      <c r="EL83" s="805" t="s">
        <v>624</v>
      </c>
      <c r="EM83" t="s">
        <v>1649</v>
      </c>
    </row>
    <row r="84" spans="1:143" ht="12.75" x14ac:dyDescent="0.2">
      <c r="A84" s="764">
        <v>77</v>
      </c>
      <c r="B84" s="765" t="s">
        <v>1146</v>
      </c>
      <c r="C84" s="766" t="s">
        <v>529</v>
      </c>
      <c r="D84" s="767" t="s">
        <v>1226</v>
      </c>
      <c r="E84" s="768" t="s">
        <v>1145</v>
      </c>
      <c r="F84" s="761">
        <v>95030666</v>
      </c>
      <c r="G84" s="762">
        <v>1311617</v>
      </c>
      <c r="H84" s="762">
        <v>0</v>
      </c>
      <c r="I84" s="762">
        <v>617486</v>
      </c>
      <c r="J84" s="762">
        <v>0</v>
      </c>
      <c r="K84" s="762">
        <v>617486</v>
      </c>
      <c r="L84" s="762">
        <v>0</v>
      </c>
      <c r="M84" s="762">
        <v>101190</v>
      </c>
      <c r="N84" s="762">
        <v>625923</v>
      </c>
      <c r="O84" s="762">
        <v>625923</v>
      </c>
      <c r="P84" s="762">
        <v>0</v>
      </c>
      <c r="Q84" s="762">
        <v>0</v>
      </c>
      <c r="R84" s="762">
        <v>94997684</v>
      </c>
      <c r="S84" s="790">
        <v>0.5</v>
      </c>
      <c r="T84" s="790">
        <v>0.49</v>
      </c>
      <c r="U84" s="790">
        <v>0</v>
      </c>
      <c r="V84" s="790">
        <v>0.01</v>
      </c>
      <c r="W84" s="790">
        <v>1</v>
      </c>
      <c r="X84" s="762">
        <v>47498842</v>
      </c>
      <c r="Y84" s="762">
        <v>46548865</v>
      </c>
      <c r="Z84" s="762">
        <v>0</v>
      </c>
      <c r="AA84" s="762">
        <v>949977</v>
      </c>
      <c r="AB84" s="762">
        <v>94997684</v>
      </c>
      <c r="AC84" s="762">
        <v>43427</v>
      </c>
      <c r="AD84" s="762">
        <v>0</v>
      </c>
      <c r="AE84" s="762">
        <v>0</v>
      </c>
      <c r="AF84" s="762">
        <v>0</v>
      </c>
      <c r="AG84" s="762">
        <v>43427</v>
      </c>
      <c r="AH84" s="762">
        <v>47455415</v>
      </c>
      <c r="AI84" s="762">
        <v>46548865</v>
      </c>
      <c r="AJ84" s="762">
        <v>0</v>
      </c>
      <c r="AK84" s="762">
        <v>949977</v>
      </c>
      <c r="AL84" s="762">
        <v>94954257</v>
      </c>
      <c r="AM84" s="762">
        <v>617486</v>
      </c>
      <c r="AN84" s="762">
        <v>617486</v>
      </c>
      <c r="AO84" s="762">
        <v>101190</v>
      </c>
      <c r="AP84" s="762">
        <v>101190</v>
      </c>
      <c r="AQ84" s="762">
        <v>625923</v>
      </c>
      <c r="AR84" s="762">
        <v>0</v>
      </c>
      <c r="AS84" s="762">
        <v>625923</v>
      </c>
      <c r="AT84" s="762">
        <v>0</v>
      </c>
      <c r="AU84" s="762">
        <v>0</v>
      </c>
      <c r="AV84" s="762">
        <v>0</v>
      </c>
      <c r="AW84" s="762">
        <v>0</v>
      </c>
      <c r="AX84" s="762">
        <v>43427</v>
      </c>
      <c r="AY84" s="762">
        <v>0</v>
      </c>
      <c r="AZ84" s="762">
        <v>0</v>
      </c>
      <c r="BA84" s="762">
        <v>43427</v>
      </c>
      <c r="BB84" s="762">
        <v>0</v>
      </c>
      <c r="BC84" s="762">
        <v>0</v>
      </c>
      <c r="BD84" s="762">
        <v>0</v>
      </c>
      <c r="BE84" s="762">
        <v>0</v>
      </c>
      <c r="BF84" s="762">
        <v>0</v>
      </c>
      <c r="BG84" s="762">
        <v>0</v>
      </c>
      <c r="BH84" s="762">
        <v>0</v>
      </c>
      <c r="BI84" s="762">
        <v>0</v>
      </c>
      <c r="BJ84" s="790">
        <v>0.5</v>
      </c>
      <c r="BK84" s="790">
        <v>0.49</v>
      </c>
      <c r="BL84" s="790">
        <v>0</v>
      </c>
      <c r="BM84" s="790">
        <v>0.01</v>
      </c>
      <c r="BN84" s="790">
        <v>1</v>
      </c>
      <c r="BO84" s="762">
        <v>2008484.9999999963</v>
      </c>
      <c r="BP84" s="762">
        <v>1968316</v>
      </c>
      <c r="BQ84" s="762">
        <v>0</v>
      </c>
      <c r="BR84" s="762">
        <v>40170</v>
      </c>
      <c r="BS84" s="762">
        <v>4016970.9999999963</v>
      </c>
      <c r="BT84" s="790">
        <v>0.5</v>
      </c>
      <c r="BU84" s="790">
        <v>0.49</v>
      </c>
      <c r="BV84" s="790">
        <v>0</v>
      </c>
      <c r="BW84" s="790">
        <v>0.01</v>
      </c>
      <c r="BX84" s="790">
        <v>1</v>
      </c>
      <c r="BY84" s="762">
        <v>-1982205.7300000004</v>
      </c>
      <c r="BZ84" s="762">
        <v>-1942561</v>
      </c>
      <c r="CA84" s="762">
        <v>0</v>
      </c>
      <c r="CB84" s="762">
        <v>-39644</v>
      </c>
      <c r="CC84" s="762">
        <v>-3964410.7300000004</v>
      </c>
      <c r="CD84" s="762">
        <v>26279</v>
      </c>
      <c r="CE84" s="762">
        <v>25755</v>
      </c>
      <c r="CF84" s="762">
        <v>0</v>
      </c>
      <c r="CG84" s="762">
        <v>526</v>
      </c>
      <c r="CH84" s="762">
        <v>52560.269999995828</v>
      </c>
      <c r="CI84" s="762">
        <v>47481694</v>
      </c>
      <c r="CJ84" s="762">
        <v>47962646</v>
      </c>
      <c r="CK84" s="762">
        <v>0</v>
      </c>
      <c r="CL84" s="762">
        <v>950503</v>
      </c>
      <c r="CM84" s="762">
        <v>96394843</v>
      </c>
      <c r="CN84" s="762">
        <v>1541977</v>
      </c>
      <c r="CO84" s="762">
        <v>0</v>
      </c>
      <c r="CP84" s="762">
        <v>30956</v>
      </c>
      <c r="CQ84" s="762">
        <v>1572933</v>
      </c>
      <c r="CR84" s="762">
        <v>6485825</v>
      </c>
      <c r="CS84" s="762">
        <v>0</v>
      </c>
      <c r="CT84" s="762">
        <v>132307</v>
      </c>
      <c r="CU84" s="762">
        <v>6618132</v>
      </c>
      <c r="CV84" s="762">
        <v>352633</v>
      </c>
      <c r="CW84" s="762">
        <v>0</v>
      </c>
      <c r="CX84" s="762">
        <v>7197</v>
      </c>
      <c r="CY84" s="762">
        <v>359830</v>
      </c>
      <c r="CZ84" s="762">
        <v>13541</v>
      </c>
      <c r="DA84" s="762">
        <v>0</v>
      </c>
      <c r="DB84" s="762">
        <v>276</v>
      </c>
      <c r="DC84" s="762">
        <v>13817</v>
      </c>
      <c r="DD84" s="762">
        <v>57234</v>
      </c>
      <c r="DE84" s="762">
        <v>0</v>
      </c>
      <c r="DF84" s="762">
        <v>1168</v>
      </c>
      <c r="DG84" s="762">
        <v>58402</v>
      </c>
      <c r="DH84" s="762">
        <v>0</v>
      </c>
      <c r="DI84" s="762">
        <v>0</v>
      </c>
      <c r="DJ84" s="762">
        <v>0</v>
      </c>
      <c r="DK84" s="762">
        <v>0</v>
      </c>
      <c r="DL84" s="762">
        <v>64611</v>
      </c>
      <c r="DM84" s="762">
        <v>0</v>
      </c>
      <c r="DN84" s="762">
        <v>1319</v>
      </c>
      <c r="DO84" s="762">
        <v>65930</v>
      </c>
      <c r="DP84" s="762">
        <v>0</v>
      </c>
      <c r="DQ84" s="762">
        <v>0</v>
      </c>
      <c r="DR84" s="762">
        <v>0</v>
      </c>
      <c r="DS84" s="762">
        <v>0</v>
      </c>
      <c r="DT84" s="762">
        <v>0</v>
      </c>
      <c r="DU84" s="762">
        <v>0</v>
      </c>
      <c r="DV84" s="762">
        <v>0</v>
      </c>
      <c r="DW84" s="762">
        <v>0</v>
      </c>
      <c r="DX84" s="762">
        <v>0</v>
      </c>
      <c r="DY84" s="762">
        <v>0</v>
      </c>
      <c r="DZ84" s="762">
        <v>0</v>
      </c>
      <c r="EA84" s="762">
        <v>0</v>
      </c>
      <c r="EB84" s="762">
        <v>2147239</v>
      </c>
      <c r="EC84" s="762">
        <v>0</v>
      </c>
      <c r="ED84" s="762">
        <v>43821</v>
      </c>
      <c r="EE84" s="762">
        <v>2191060</v>
      </c>
      <c r="EF84" s="762">
        <v>10663060</v>
      </c>
      <c r="EG84" s="762">
        <v>0</v>
      </c>
      <c r="EH84" s="762">
        <v>217044</v>
      </c>
      <c r="EI84" s="799">
        <v>10880104</v>
      </c>
      <c r="EJ84" s="763" t="s">
        <v>1145</v>
      </c>
      <c r="EK84" s="607" t="s">
        <v>529</v>
      </c>
      <c r="EL84" s="805" t="s">
        <v>566</v>
      </c>
      <c r="EM84" t="s">
        <v>1650</v>
      </c>
    </row>
    <row r="85" spans="1:143" ht="12.75" x14ac:dyDescent="0.2">
      <c r="A85" s="764">
        <v>78</v>
      </c>
      <c r="B85" s="765" t="s">
        <v>43</v>
      </c>
      <c r="C85" s="766" t="s">
        <v>1217</v>
      </c>
      <c r="D85" s="767" t="s">
        <v>1218</v>
      </c>
      <c r="E85" s="768" t="s">
        <v>42</v>
      </c>
      <c r="F85" s="761">
        <v>42047301</v>
      </c>
      <c r="G85" s="762">
        <v>0</v>
      </c>
      <c r="H85" s="762">
        <v>598267</v>
      </c>
      <c r="I85" s="762">
        <v>159654</v>
      </c>
      <c r="J85" s="762">
        <v>0</v>
      </c>
      <c r="K85" s="762">
        <v>159654</v>
      </c>
      <c r="L85" s="762">
        <v>0</v>
      </c>
      <c r="M85" s="762">
        <v>0</v>
      </c>
      <c r="N85" s="762">
        <v>507380</v>
      </c>
      <c r="O85" s="762">
        <v>507380</v>
      </c>
      <c r="P85" s="762">
        <v>0</v>
      </c>
      <c r="Q85" s="762">
        <v>0</v>
      </c>
      <c r="R85" s="762">
        <v>40782000</v>
      </c>
      <c r="S85" s="790">
        <v>0.5</v>
      </c>
      <c r="T85" s="790">
        <v>0.4</v>
      </c>
      <c r="U85" s="790">
        <v>0.09</v>
      </c>
      <c r="V85" s="790">
        <v>0.01</v>
      </c>
      <c r="W85" s="790">
        <v>1</v>
      </c>
      <c r="X85" s="762">
        <v>20391000</v>
      </c>
      <c r="Y85" s="762">
        <v>16312800</v>
      </c>
      <c r="Z85" s="762">
        <v>3670380</v>
      </c>
      <c r="AA85" s="762">
        <v>407820</v>
      </c>
      <c r="AB85" s="762">
        <v>40782000</v>
      </c>
      <c r="AC85" s="762">
        <v>987500</v>
      </c>
      <c r="AD85" s="762">
        <v>0</v>
      </c>
      <c r="AE85" s="762">
        <v>0</v>
      </c>
      <c r="AF85" s="762">
        <v>0</v>
      </c>
      <c r="AG85" s="762">
        <v>987500</v>
      </c>
      <c r="AH85" s="762">
        <v>19403500</v>
      </c>
      <c r="AI85" s="762">
        <v>16312800</v>
      </c>
      <c r="AJ85" s="762">
        <v>3670380</v>
      </c>
      <c r="AK85" s="762">
        <v>407820</v>
      </c>
      <c r="AL85" s="762">
        <v>39794500</v>
      </c>
      <c r="AM85" s="762">
        <v>159654</v>
      </c>
      <c r="AN85" s="762">
        <v>159654</v>
      </c>
      <c r="AO85" s="762">
        <v>0</v>
      </c>
      <c r="AP85" s="762">
        <v>0</v>
      </c>
      <c r="AQ85" s="762">
        <v>507380</v>
      </c>
      <c r="AR85" s="762">
        <v>0</v>
      </c>
      <c r="AS85" s="762">
        <v>507380</v>
      </c>
      <c r="AT85" s="762">
        <v>0</v>
      </c>
      <c r="AU85" s="762">
        <v>0</v>
      </c>
      <c r="AV85" s="762">
        <v>0</v>
      </c>
      <c r="AW85" s="762">
        <v>0</v>
      </c>
      <c r="AX85" s="762">
        <v>790000</v>
      </c>
      <c r="AY85" s="762">
        <v>177750</v>
      </c>
      <c r="AZ85" s="762">
        <v>19750</v>
      </c>
      <c r="BA85" s="762">
        <v>987500</v>
      </c>
      <c r="BB85" s="762">
        <v>0</v>
      </c>
      <c r="BC85" s="762">
        <v>0</v>
      </c>
      <c r="BD85" s="762">
        <v>0</v>
      </c>
      <c r="BE85" s="762">
        <v>0</v>
      </c>
      <c r="BF85" s="762">
        <v>0</v>
      </c>
      <c r="BG85" s="762">
        <v>0</v>
      </c>
      <c r="BH85" s="762">
        <v>0</v>
      </c>
      <c r="BI85" s="762">
        <v>0</v>
      </c>
      <c r="BJ85" s="790">
        <v>0</v>
      </c>
      <c r="BK85" s="790">
        <v>0.4</v>
      </c>
      <c r="BL85" s="790">
        <v>0.59</v>
      </c>
      <c r="BM85" s="790">
        <v>0.01</v>
      </c>
      <c r="BN85" s="790">
        <v>1</v>
      </c>
      <c r="BO85" s="762">
        <v>0</v>
      </c>
      <c r="BP85" s="762">
        <v>-190429</v>
      </c>
      <c r="BQ85" s="762">
        <v>-280882</v>
      </c>
      <c r="BR85" s="762">
        <v>-4761</v>
      </c>
      <c r="BS85" s="762">
        <v>-476072</v>
      </c>
      <c r="BT85" s="790">
        <v>0.5</v>
      </c>
      <c r="BU85" s="790">
        <v>0.4</v>
      </c>
      <c r="BV85" s="790">
        <v>0.09</v>
      </c>
      <c r="BW85" s="790">
        <v>0.01</v>
      </c>
      <c r="BX85" s="790">
        <v>1</v>
      </c>
      <c r="BY85" s="762">
        <v>-209964</v>
      </c>
      <c r="BZ85" s="762">
        <v>-167971</v>
      </c>
      <c r="CA85" s="762">
        <v>-37794</v>
      </c>
      <c r="CB85" s="762">
        <v>-4199</v>
      </c>
      <c r="CC85" s="762">
        <v>-419928</v>
      </c>
      <c r="CD85" s="762">
        <v>-209964</v>
      </c>
      <c r="CE85" s="762">
        <v>-358400</v>
      </c>
      <c r="CF85" s="762">
        <v>-318676</v>
      </c>
      <c r="CG85" s="762">
        <v>-8960</v>
      </c>
      <c r="CH85" s="762">
        <v>-896000</v>
      </c>
      <c r="CI85" s="762">
        <v>19193536</v>
      </c>
      <c r="CJ85" s="762">
        <v>17411434</v>
      </c>
      <c r="CK85" s="762">
        <v>3529454</v>
      </c>
      <c r="CL85" s="762">
        <v>418610</v>
      </c>
      <c r="CM85" s="762">
        <v>40553034</v>
      </c>
      <c r="CN85" s="762">
        <v>573855</v>
      </c>
      <c r="CO85" s="762">
        <v>125397</v>
      </c>
      <c r="CP85" s="762">
        <v>13933</v>
      </c>
      <c r="CQ85" s="762">
        <v>713185</v>
      </c>
      <c r="CR85" s="762">
        <v>1157865</v>
      </c>
      <c r="CS85" s="762">
        <v>260520</v>
      </c>
      <c r="CT85" s="762">
        <v>28947</v>
      </c>
      <c r="CU85" s="762">
        <v>1447332</v>
      </c>
      <c r="CV85" s="762">
        <v>63090</v>
      </c>
      <c r="CW85" s="762">
        <v>14046</v>
      </c>
      <c r="CX85" s="762">
        <v>1561</v>
      </c>
      <c r="CY85" s="762">
        <v>78697</v>
      </c>
      <c r="CZ85" s="762">
        <v>1510</v>
      </c>
      <c r="DA85" s="762">
        <v>340</v>
      </c>
      <c r="DB85" s="762">
        <v>38</v>
      </c>
      <c r="DC85" s="762">
        <v>1888</v>
      </c>
      <c r="DD85" s="762">
        <v>6347</v>
      </c>
      <c r="DE85" s="762">
        <v>1428</v>
      </c>
      <c r="DF85" s="762">
        <v>159</v>
      </c>
      <c r="DG85" s="762">
        <v>7934</v>
      </c>
      <c r="DH85" s="762">
        <v>620</v>
      </c>
      <c r="DI85" s="762">
        <v>139</v>
      </c>
      <c r="DJ85" s="762">
        <v>15</v>
      </c>
      <c r="DK85" s="762">
        <v>774</v>
      </c>
      <c r="DL85" s="762">
        <v>15700</v>
      </c>
      <c r="DM85" s="762">
        <v>3532</v>
      </c>
      <c r="DN85" s="762">
        <v>392</v>
      </c>
      <c r="DO85" s="762">
        <v>19624</v>
      </c>
      <c r="DP85" s="762">
        <v>19196</v>
      </c>
      <c r="DQ85" s="762">
        <v>4319</v>
      </c>
      <c r="DR85" s="762">
        <v>480</v>
      </c>
      <c r="DS85" s="762">
        <v>23995</v>
      </c>
      <c r="DT85" s="762">
        <v>0</v>
      </c>
      <c r="DU85" s="762">
        <v>0</v>
      </c>
      <c r="DV85" s="762">
        <v>0</v>
      </c>
      <c r="DW85" s="762">
        <v>0</v>
      </c>
      <c r="DX85" s="762">
        <v>0</v>
      </c>
      <c r="DY85" s="762">
        <v>0</v>
      </c>
      <c r="DZ85" s="762">
        <v>0</v>
      </c>
      <c r="EA85" s="762">
        <v>0</v>
      </c>
      <c r="EB85" s="762">
        <v>303580</v>
      </c>
      <c r="EC85" s="762">
        <v>68306</v>
      </c>
      <c r="ED85" s="762">
        <v>7590</v>
      </c>
      <c r="EE85" s="762">
        <v>379476</v>
      </c>
      <c r="EF85" s="762">
        <v>2141763</v>
      </c>
      <c r="EG85" s="762">
        <v>478027</v>
      </c>
      <c r="EH85" s="762">
        <v>53115</v>
      </c>
      <c r="EI85" s="799">
        <v>2672905</v>
      </c>
      <c r="EJ85" s="763" t="s">
        <v>42</v>
      </c>
      <c r="EK85" s="607" t="s">
        <v>591</v>
      </c>
      <c r="EL85" s="805" t="s">
        <v>590</v>
      </c>
      <c r="EM85" t="s">
        <v>1651</v>
      </c>
    </row>
    <row r="86" spans="1:143" ht="12.75" x14ac:dyDescent="0.2">
      <c r="A86" s="764">
        <v>79</v>
      </c>
      <c r="B86" s="765" t="s">
        <v>45</v>
      </c>
      <c r="C86" s="766" t="s">
        <v>1224</v>
      </c>
      <c r="D86" s="767" t="s">
        <v>1227</v>
      </c>
      <c r="E86" s="768" t="s">
        <v>44</v>
      </c>
      <c r="F86" s="761">
        <v>86952972</v>
      </c>
      <c r="G86" s="762">
        <v>0</v>
      </c>
      <c r="H86" s="762">
        <v>983596</v>
      </c>
      <c r="I86" s="762">
        <v>414008</v>
      </c>
      <c r="J86" s="762">
        <v>0</v>
      </c>
      <c r="K86" s="762">
        <v>414008</v>
      </c>
      <c r="L86" s="762">
        <v>0</v>
      </c>
      <c r="M86" s="762">
        <v>55681</v>
      </c>
      <c r="N86" s="762">
        <v>0</v>
      </c>
      <c r="O86" s="762">
        <v>0</v>
      </c>
      <c r="P86" s="762">
        <v>0</v>
      </c>
      <c r="Q86" s="762">
        <v>0</v>
      </c>
      <c r="R86" s="762">
        <v>85499687</v>
      </c>
      <c r="S86" s="790">
        <v>0</v>
      </c>
      <c r="T86" s="790">
        <v>0.99</v>
      </c>
      <c r="U86" s="790">
        <v>0</v>
      </c>
      <c r="V86" s="790">
        <v>0.01</v>
      </c>
      <c r="W86" s="790">
        <v>1</v>
      </c>
      <c r="X86" s="762">
        <v>0</v>
      </c>
      <c r="Y86" s="762">
        <v>84644690</v>
      </c>
      <c r="Z86" s="762">
        <v>0</v>
      </c>
      <c r="AA86" s="762">
        <v>854997</v>
      </c>
      <c r="AB86" s="762">
        <v>85499687</v>
      </c>
      <c r="AC86" s="762">
        <v>0</v>
      </c>
      <c r="AD86" s="762">
        <v>0</v>
      </c>
      <c r="AE86" s="762">
        <v>0</v>
      </c>
      <c r="AF86" s="762">
        <v>0</v>
      </c>
      <c r="AG86" s="762">
        <v>0</v>
      </c>
      <c r="AH86" s="762">
        <v>0</v>
      </c>
      <c r="AI86" s="762">
        <v>84644690</v>
      </c>
      <c r="AJ86" s="762">
        <v>0</v>
      </c>
      <c r="AK86" s="762">
        <v>854997</v>
      </c>
      <c r="AL86" s="762">
        <v>85499687</v>
      </c>
      <c r="AM86" s="762">
        <v>414008</v>
      </c>
      <c r="AN86" s="762">
        <v>414008</v>
      </c>
      <c r="AO86" s="762">
        <v>55681</v>
      </c>
      <c r="AP86" s="762">
        <v>55681</v>
      </c>
      <c r="AQ86" s="762">
        <v>0</v>
      </c>
      <c r="AR86" s="762">
        <v>0</v>
      </c>
      <c r="AS86" s="762">
        <v>0</v>
      </c>
      <c r="AT86" s="762">
        <v>0</v>
      </c>
      <c r="AU86" s="762">
        <v>0</v>
      </c>
      <c r="AV86" s="762">
        <v>0</v>
      </c>
      <c r="AW86" s="762">
        <v>0</v>
      </c>
      <c r="AX86" s="762">
        <v>0</v>
      </c>
      <c r="AY86" s="762">
        <v>0</v>
      </c>
      <c r="AZ86" s="762">
        <v>0</v>
      </c>
      <c r="BA86" s="762">
        <v>0</v>
      </c>
      <c r="BB86" s="762">
        <v>0</v>
      </c>
      <c r="BC86" s="762">
        <v>0</v>
      </c>
      <c r="BD86" s="762">
        <v>0</v>
      </c>
      <c r="BE86" s="762">
        <v>0</v>
      </c>
      <c r="BF86" s="762">
        <v>0</v>
      </c>
      <c r="BG86" s="762">
        <v>0</v>
      </c>
      <c r="BH86" s="762">
        <v>0</v>
      </c>
      <c r="BI86" s="762">
        <v>0</v>
      </c>
      <c r="BJ86" s="790">
        <v>0</v>
      </c>
      <c r="BK86" s="790">
        <v>0.99</v>
      </c>
      <c r="BL86" s="790">
        <v>0</v>
      </c>
      <c r="BM86" s="790">
        <v>0.01</v>
      </c>
      <c r="BN86" s="790">
        <v>1</v>
      </c>
      <c r="BO86" s="762">
        <v>0</v>
      </c>
      <c r="BP86" s="762">
        <v>-1058370</v>
      </c>
      <c r="BQ86" s="762">
        <v>0</v>
      </c>
      <c r="BR86" s="762">
        <v>-10691</v>
      </c>
      <c r="BS86" s="762">
        <v>-1069061</v>
      </c>
      <c r="BT86" s="790">
        <v>0</v>
      </c>
      <c r="BU86" s="790">
        <v>0.99</v>
      </c>
      <c r="BV86" s="790">
        <v>0</v>
      </c>
      <c r="BW86" s="790">
        <v>0.01</v>
      </c>
      <c r="BX86" s="790">
        <v>1</v>
      </c>
      <c r="BY86" s="762">
        <v>0</v>
      </c>
      <c r="BZ86" s="762">
        <v>-1646686</v>
      </c>
      <c r="CA86" s="762">
        <v>0</v>
      </c>
      <c r="CB86" s="762">
        <v>-16633</v>
      </c>
      <c r="CC86" s="762">
        <v>-1663319</v>
      </c>
      <c r="CD86" s="762">
        <v>0</v>
      </c>
      <c r="CE86" s="762">
        <v>-2705056</v>
      </c>
      <c r="CF86" s="762">
        <v>0</v>
      </c>
      <c r="CG86" s="762">
        <v>-27324</v>
      </c>
      <c r="CH86" s="762">
        <v>-2732380</v>
      </c>
      <c r="CI86" s="762">
        <v>0</v>
      </c>
      <c r="CJ86" s="762">
        <v>82409323</v>
      </c>
      <c r="CK86" s="762">
        <v>0</v>
      </c>
      <c r="CL86" s="762">
        <v>827673</v>
      </c>
      <c r="CM86" s="762">
        <v>83236996</v>
      </c>
      <c r="CN86" s="762">
        <v>2760094</v>
      </c>
      <c r="CO86" s="762">
        <v>0</v>
      </c>
      <c r="CP86" s="762">
        <v>27861</v>
      </c>
      <c r="CQ86" s="762">
        <v>2787955</v>
      </c>
      <c r="CR86" s="762">
        <v>7861136</v>
      </c>
      <c r="CS86" s="762">
        <v>0</v>
      </c>
      <c r="CT86" s="762">
        <v>79372</v>
      </c>
      <c r="CU86" s="762">
        <v>7940508</v>
      </c>
      <c r="CV86" s="762">
        <v>458636</v>
      </c>
      <c r="CW86" s="762">
        <v>0</v>
      </c>
      <c r="CX86" s="762">
        <v>4626</v>
      </c>
      <c r="CY86" s="762">
        <v>463262</v>
      </c>
      <c r="CZ86" s="762">
        <v>30723</v>
      </c>
      <c r="DA86" s="762">
        <v>0</v>
      </c>
      <c r="DB86" s="762">
        <v>310</v>
      </c>
      <c r="DC86" s="762">
        <v>31033</v>
      </c>
      <c r="DD86" s="762">
        <v>0</v>
      </c>
      <c r="DE86" s="762">
        <v>0</v>
      </c>
      <c r="DF86" s="762">
        <v>0</v>
      </c>
      <c r="DG86" s="762">
        <v>0</v>
      </c>
      <c r="DH86" s="762">
        <v>2198</v>
      </c>
      <c r="DI86" s="762">
        <v>0</v>
      </c>
      <c r="DJ86" s="762">
        <v>22</v>
      </c>
      <c r="DK86" s="762">
        <v>2220</v>
      </c>
      <c r="DL86" s="762">
        <v>15827</v>
      </c>
      <c r="DM86" s="762">
        <v>0</v>
      </c>
      <c r="DN86" s="762">
        <v>160</v>
      </c>
      <c r="DO86" s="762">
        <v>15987</v>
      </c>
      <c r="DP86" s="762">
        <v>71985</v>
      </c>
      <c r="DQ86" s="762">
        <v>0</v>
      </c>
      <c r="DR86" s="762">
        <v>727</v>
      </c>
      <c r="DS86" s="762">
        <v>72712</v>
      </c>
      <c r="DT86" s="762">
        <v>372882</v>
      </c>
      <c r="DU86" s="762">
        <v>0</v>
      </c>
      <c r="DV86" s="762">
        <v>1550</v>
      </c>
      <c r="DW86" s="762">
        <v>374432</v>
      </c>
      <c r="DX86" s="762">
        <v>0</v>
      </c>
      <c r="DY86" s="762">
        <v>0</v>
      </c>
      <c r="DZ86" s="762">
        <v>0</v>
      </c>
      <c r="EA86" s="762">
        <v>0</v>
      </c>
      <c r="EB86" s="762">
        <v>2069055</v>
      </c>
      <c r="EC86" s="762">
        <v>0</v>
      </c>
      <c r="ED86" s="762">
        <v>20900</v>
      </c>
      <c r="EE86" s="762">
        <v>2089955</v>
      </c>
      <c r="EF86" s="762">
        <v>13642536</v>
      </c>
      <c r="EG86" s="762">
        <v>0</v>
      </c>
      <c r="EH86" s="762">
        <v>135528</v>
      </c>
      <c r="EI86" s="799">
        <v>13778064</v>
      </c>
      <c r="EJ86" s="763" t="s">
        <v>44</v>
      </c>
      <c r="EK86" s="607" t="s">
        <v>621</v>
      </c>
      <c r="EL86" s="805" t="s">
        <v>626</v>
      </c>
      <c r="EM86" t="s">
        <v>1652</v>
      </c>
    </row>
    <row r="87" spans="1:143" ht="12.75" x14ac:dyDescent="0.2">
      <c r="A87" s="764">
        <v>80</v>
      </c>
      <c r="B87" s="765" t="s">
        <v>47</v>
      </c>
      <c r="C87" s="766" t="s">
        <v>529</v>
      </c>
      <c r="D87" s="767" t="s">
        <v>1229</v>
      </c>
      <c r="E87" s="768" t="s">
        <v>46</v>
      </c>
      <c r="F87" s="761">
        <v>112291741</v>
      </c>
      <c r="G87" s="762">
        <v>0</v>
      </c>
      <c r="H87" s="762">
        <v>827425</v>
      </c>
      <c r="I87" s="762">
        <v>581102</v>
      </c>
      <c r="J87" s="762">
        <v>0</v>
      </c>
      <c r="K87" s="762">
        <v>581102</v>
      </c>
      <c r="L87" s="762">
        <v>0</v>
      </c>
      <c r="M87" s="762">
        <v>0</v>
      </c>
      <c r="N87" s="762">
        <v>134009</v>
      </c>
      <c r="O87" s="762">
        <v>134009</v>
      </c>
      <c r="P87" s="762">
        <v>0</v>
      </c>
      <c r="Q87" s="762">
        <v>0</v>
      </c>
      <c r="R87" s="762">
        <v>110749205</v>
      </c>
      <c r="S87" s="790">
        <v>0.5</v>
      </c>
      <c r="T87" s="790">
        <v>0.49</v>
      </c>
      <c r="U87" s="790">
        <v>0</v>
      </c>
      <c r="V87" s="790">
        <v>0.01</v>
      </c>
      <c r="W87" s="790">
        <v>1</v>
      </c>
      <c r="X87" s="762">
        <v>55374603</v>
      </c>
      <c r="Y87" s="762">
        <v>54267110</v>
      </c>
      <c r="Z87" s="762">
        <v>0</v>
      </c>
      <c r="AA87" s="762">
        <v>1107492</v>
      </c>
      <c r="AB87" s="762">
        <v>110749205</v>
      </c>
      <c r="AC87" s="762">
        <v>0</v>
      </c>
      <c r="AD87" s="762">
        <v>0</v>
      </c>
      <c r="AE87" s="762">
        <v>0</v>
      </c>
      <c r="AF87" s="762">
        <v>0</v>
      </c>
      <c r="AG87" s="762">
        <v>0</v>
      </c>
      <c r="AH87" s="762">
        <v>55374603</v>
      </c>
      <c r="AI87" s="762">
        <v>54267110</v>
      </c>
      <c r="AJ87" s="762">
        <v>0</v>
      </c>
      <c r="AK87" s="762">
        <v>1107492</v>
      </c>
      <c r="AL87" s="762">
        <v>110749205</v>
      </c>
      <c r="AM87" s="762">
        <v>581102</v>
      </c>
      <c r="AN87" s="762">
        <v>581102</v>
      </c>
      <c r="AO87" s="762">
        <v>0</v>
      </c>
      <c r="AP87" s="762">
        <v>0</v>
      </c>
      <c r="AQ87" s="762">
        <v>134009</v>
      </c>
      <c r="AR87" s="762">
        <v>0</v>
      </c>
      <c r="AS87" s="762">
        <v>134009</v>
      </c>
      <c r="AT87" s="762">
        <v>0</v>
      </c>
      <c r="AU87" s="762">
        <v>0</v>
      </c>
      <c r="AV87" s="762">
        <v>0</v>
      </c>
      <c r="AW87" s="762">
        <v>0</v>
      </c>
      <c r="AX87" s="762">
        <v>0</v>
      </c>
      <c r="AY87" s="762">
        <v>0</v>
      </c>
      <c r="AZ87" s="762">
        <v>0</v>
      </c>
      <c r="BA87" s="762">
        <v>0</v>
      </c>
      <c r="BB87" s="762">
        <v>0</v>
      </c>
      <c r="BC87" s="762">
        <v>0</v>
      </c>
      <c r="BD87" s="762">
        <v>0</v>
      </c>
      <c r="BE87" s="762">
        <v>0</v>
      </c>
      <c r="BF87" s="762">
        <v>0</v>
      </c>
      <c r="BG87" s="762">
        <v>0</v>
      </c>
      <c r="BH87" s="762">
        <v>0</v>
      </c>
      <c r="BI87" s="762">
        <v>0</v>
      </c>
      <c r="BJ87" s="790">
        <v>0.5</v>
      </c>
      <c r="BK87" s="790">
        <v>0.49</v>
      </c>
      <c r="BL87" s="790">
        <v>0</v>
      </c>
      <c r="BM87" s="790">
        <v>0.01</v>
      </c>
      <c r="BN87" s="790">
        <v>1</v>
      </c>
      <c r="BO87" s="762">
        <v>1598010</v>
      </c>
      <c r="BP87" s="762">
        <v>1566050</v>
      </c>
      <c r="BQ87" s="762">
        <v>0</v>
      </c>
      <c r="BR87" s="762">
        <v>31960</v>
      </c>
      <c r="BS87" s="762">
        <v>3196020</v>
      </c>
      <c r="BT87" s="790">
        <v>0.5</v>
      </c>
      <c r="BU87" s="790">
        <v>0.49</v>
      </c>
      <c r="BV87" s="790">
        <v>0</v>
      </c>
      <c r="BW87" s="790">
        <v>0.01</v>
      </c>
      <c r="BX87" s="790">
        <v>1</v>
      </c>
      <c r="BY87" s="762">
        <v>-861908</v>
      </c>
      <c r="BZ87" s="762">
        <v>-844669</v>
      </c>
      <c r="CA87" s="762">
        <v>0</v>
      </c>
      <c r="CB87" s="762">
        <v>-17238</v>
      </c>
      <c r="CC87" s="762">
        <v>-1723815</v>
      </c>
      <c r="CD87" s="762">
        <v>736103</v>
      </c>
      <c r="CE87" s="762">
        <v>721380</v>
      </c>
      <c r="CF87" s="762">
        <v>0</v>
      </c>
      <c r="CG87" s="762">
        <v>14722</v>
      </c>
      <c r="CH87" s="762">
        <v>1472205</v>
      </c>
      <c r="CI87" s="762">
        <v>56110706</v>
      </c>
      <c r="CJ87" s="762">
        <v>55703601</v>
      </c>
      <c r="CK87" s="762">
        <v>0</v>
      </c>
      <c r="CL87" s="762">
        <v>1122214</v>
      </c>
      <c r="CM87" s="762">
        <v>112936521</v>
      </c>
      <c r="CN87" s="762">
        <v>1772745</v>
      </c>
      <c r="CO87" s="762">
        <v>0</v>
      </c>
      <c r="CP87" s="762">
        <v>36089</v>
      </c>
      <c r="CQ87" s="762">
        <v>1808834</v>
      </c>
      <c r="CR87" s="762">
        <v>4904414</v>
      </c>
      <c r="CS87" s="762">
        <v>0</v>
      </c>
      <c r="CT87" s="762">
        <v>100090</v>
      </c>
      <c r="CU87" s="762">
        <v>5004504</v>
      </c>
      <c r="CV87" s="762">
        <v>306140</v>
      </c>
      <c r="CW87" s="762">
        <v>0</v>
      </c>
      <c r="CX87" s="762">
        <v>6153</v>
      </c>
      <c r="CY87" s="762">
        <v>312293</v>
      </c>
      <c r="CZ87" s="762">
        <v>9263</v>
      </c>
      <c r="DA87" s="762">
        <v>0</v>
      </c>
      <c r="DB87" s="762">
        <v>189</v>
      </c>
      <c r="DC87" s="762">
        <v>9452</v>
      </c>
      <c r="DD87" s="762">
        <v>42299</v>
      </c>
      <c r="DE87" s="762">
        <v>0</v>
      </c>
      <c r="DF87" s="762">
        <v>863</v>
      </c>
      <c r="DG87" s="762">
        <v>43162</v>
      </c>
      <c r="DH87" s="762">
        <v>759</v>
      </c>
      <c r="DI87" s="762">
        <v>0</v>
      </c>
      <c r="DJ87" s="762">
        <v>15</v>
      </c>
      <c r="DK87" s="762">
        <v>774</v>
      </c>
      <c r="DL87" s="762">
        <v>37168</v>
      </c>
      <c r="DM87" s="762">
        <v>0</v>
      </c>
      <c r="DN87" s="762">
        <v>759</v>
      </c>
      <c r="DO87" s="762">
        <v>37927</v>
      </c>
      <c r="DP87" s="762">
        <v>67046</v>
      </c>
      <c r="DQ87" s="762">
        <v>0</v>
      </c>
      <c r="DR87" s="762">
        <v>1368</v>
      </c>
      <c r="DS87" s="762">
        <v>68414</v>
      </c>
      <c r="DT87" s="762">
        <v>0</v>
      </c>
      <c r="DU87" s="762">
        <v>0</v>
      </c>
      <c r="DV87" s="762">
        <v>0</v>
      </c>
      <c r="DW87" s="762">
        <v>0</v>
      </c>
      <c r="DX87" s="762">
        <v>0</v>
      </c>
      <c r="DY87" s="762">
        <v>0</v>
      </c>
      <c r="DZ87" s="762">
        <v>0</v>
      </c>
      <c r="EA87" s="762">
        <v>0</v>
      </c>
      <c r="EB87" s="762">
        <v>936883</v>
      </c>
      <c r="EC87" s="762">
        <v>0</v>
      </c>
      <c r="ED87" s="762">
        <v>19120</v>
      </c>
      <c r="EE87" s="762">
        <v>956003</v>
      </c>
      <c r="EF87" s="762">
        <v>8076717</v>
      </c>
      <c r="EG87" s="762">
        <v>0</v>
      </c>
      <c r="EH87" s="762">
        <v>164646</v>
      </c>
      <c r="EI87" s="799">
        <v>8241363</v>
      </c>
      <c r="EJ87" s="763" t="s">
        <v>46</v>
      </c>
      <c r="EK87" s="607" t="s">
        <v>529</v>
      </c>
      <c r="EL87" s="805" t="s">
        <v>569</v>
      </c>
      <c r="EM87" t="s">
        <v>1653</v>
      </c>
    </row>
    <row r="88" spans="1:143" ht="12.75" x14ac:dyDescent="0.2">
      <c r="A88" s="764">
        <v>81</v>
      </c>
      <c r="B88" s="765" t="s">
        <v>49</v>
      </c>
      <c r="C88" s="766" t="s">
        <v>1222</v>
      </c>
      <c r="D88" s="767" t="s">
        <v>1223</v>
      </c>
      <c r="E88" s="768" t="s">
        <v>48</v>
      </c>
      <c r="F88" s="761">
        <v>148081469</v>
      </c>
      <c r="G88" s="762">
        <v>1301095</v>
      </c>
      <c r="H88" s="762">
        <v>0</v>
      </c>
      <c r="I88" s="762">
        <v>499912</v>
      </c>
      <c r="J88" s="762">
        <v>0</v>
      </c>
      <c r="K88" s="762">
        <v>499912</v>
      </c>
      <c r="L88" s="762">
        <v>0</v>
      </c>
      <c r="M88" s="762">
        <v>0</v>
      </c>
      <c r="N88" s="762">
        <v>0</v>
      </c>
      <c r="O88" s="762">
        <v>0</v>
      </c>
      <c r="P88" s="762">
        <v>0</v>
      </c>
      <c r="Q88" s="762">
        <v>0</v>
      </c>
      <c r="R88" s="762">
        <v>148882652</v>
      </c>
      <c r="S88" s="790">
        <v>0.25</v>
      </c>
      <c r="T88" s="790">
        <v>0.48</v>
      </c>
      <c r="U88" s="790">
        <v>0.27</v>
      </c>
      <c r="V88" s="790">
        <v>0</v>
      </c>
      <c r="W88" s="790">
        <v>1</v>
      </c>
      <c r="X88" s="762">
        <v>37220663</v>
      </c>
      <c r="Y88" s="762">
        <v>71463673</v>
      </c>
      <c r="Z88" s="762">
        <v>40198316</v>
      </c>
      <c r="AA88" s="762">
        <v>0</v>
      </c>
      <c r="AB88" s="762">
        <v>148882652</v>
      </c>
      <c r="AC88" s="762">
        <v>0</v>
      </c>
      <c r="AD88" s="762">
        <v>0</v>
      </c>
      <c r="AE88" s="762">
        <v>0</v>
      </c>
      <c r="AF88" s="762">
        <v>0</v>
      </c>
      <c r="AG88" s="762">
        <v>0</v>
      </c>
      <c r="AH88" s="762">
        <v>37220663</v>
      </c>
      <c r="AI88" s="762">
        <v>71463673</v>
      </c>
      <c r="AJ88" s="762">
        <v>40198316</v>
      </c>
      <c r="AK88" s="762">
        <v>0</v>
      </c>
      <c r="AL88" s="762">
        <v>148882652</v>
      </c>
      <c r="AM88" s="762">
        <v>499912</v>
      </c>
      <c r="AN88" s="762">
        <v>499912</v>
      </c>
      <c r="AO88" s="762">
        <v>0</v>
      </c>
      <c r="AP88" s="762">
        <v>0</v>
      </c>
      <c r="AQ88" s="762">
        <v>0</v>
      </c>
      <c r="AR88" s="762">
        <v>0</v>
      </c>
      <c r="AS88" s="762">
        <v>0</v>
      </c>
      <c r="AT88" s="762">
        <v>0</v>
      </c>
      <c r="AU88" s="762">
        <v>0</v>
      </c>
      <c r="AV88" s="762">
        <v>0</v>
      </c>
      <c r="AW88" s="762">
        <v>0</v>
      </c>
      <c r="AX88" s="762">
        <v>0</v>
      </c>
      <c r="AY88" s="762">
        <v>0</v>
      </c>
      <c r="AZ88" s="762">
        <v>0</v>
      </c>
      <c r="BA88" s="762">
        <v>0</v>
      </c>
      <c r="BB88" s="762">
        <v>0</v>
      </c>
      <c r="BC88" s="762">
        <v>0</v>
      </c>
      <c r="BD88" s="762">
        <v>0</v>
      </c>
      <c r="BE88" s="762">
        <v>0</v>
      </c>
      <c r="BF88" s="762">
        <v>0</v>
      </c>
      <c r="BG88" s="762">
        <v>0</v>
      </c>
      <c r="BH88" s="762">
        <v>0</v>
      </c>
      <c r="BI88" s="762">
        <v>0</v>
      </c>
      <c r="BJ88" s="790">
        <v>0</v>
      </c>
      <c r="BK88" s="790">
        <v>0.64</v>
      </c>
      <c r="BL88" s="790">
        <v>0.36</v>
      </c>
      <c r="BM88" s="790">
        <v>0</v>
      </c>
      <c r="BN88" s="790">
        <v>1</v>
      </c>
      <c r="BO88" s="762">
        <v>0</v>
      </c>
      <c r="BP88" s="762">
        <v>886496</v>
      </c>
      <c r="BQ88" s="762">
        <v>498654</v>
      </c>
      <c r="BR88" s="762">
        <v>0</v>
      </c>
      <c r="BS88" s="762">
        <v>1385150</v>
      </c>
      <c r="BT88" s="790">
        <v>0.33</v>
      </c>
      <c r="BU88" s="790">
        <v>0.3</v>
      </c>
      <c r="BV88" s="790">
        <v>0.37</v>
      </c>
      <c r="BW88" s="790">
        <v>0</v>
      </c>
      <c r="BX88" s="790">
        <v>1</v>
      </c>
      <c r="BY88" s="762">
        <v>676257</v>
      </c>
      <c r="BZ88" s="762">
        <v>614779</v>
      </c>
      <c r="CA88" s="762">
        <v>758227</v>
      </c>
      <c r="CB88" s="762">
        <v>0</v>
      </c>
      <c r="CC88" s="762">
        <v>2049263</v>
      </c>
      <c r="CD88" s="762">
        <v>676257</v>
      </c>
      <c r="CE88" s="762">
        <v>1501275</v>
      </c>
      <c r="CF88" s="762">
        <v>1256881</v>
      </c>
      <c r="CG88" s="762">
        <v>0</v>
      </c>
      <c r="CH88" s="762">
        <v>3434413</v>
      </c>
      <c r="CI88" s="762">
        <v>37896920</v>
      </c>
      <c r="CJ88" s="762">
        <v>73464860</v>
      </c>
      <c r="CK88" s="762">
        <v>41455197</v>
      </c>
      <c r="CL88" s="762">
        <v>0</v>
      </c>
      <c r="CM88" s="762">
        <v>152816977</v>
      </c>
      <c r="CN88" s="762">
        <v>2328755</v>
      </c>
      <c r="CO88" s="762">
        <v>1309925</v>
      </c>
      <c r="CP88" s="762">
        <v>0</v>
      </c>
      <c r="CQ88" s="762">
        <v>3638680</v>
      </c>
      <c r="CR88" s="762">
        <v>3585226</v>
      </c>
      <c r="CS88" s="762">
        <v>2016689</v>
      </c>
      <c r="CT88" s="762">
        <v>0</v>
      </c>
      <c r="CU88" s="762">
        <v>5601915</v>
      </c>
      <c r="CV88" s="762">
        <v>210314</v>
      </c>
      <c r="CW88" s="762">
        <v>118302</v>
      </c>
      <c r="CX88" s="762">
        <v>0</v>
      </c>
      <c r="CY88" s="762">
        <v>328616</v>
      </c>
      <c r="CZ88" s="762">
        <v>9197</v>
      </c>
      <c r="DA88" s="762">
        <v>5174</v>
      </c>
      <c r="DB88" s="762">
        <v>0</v>
      </c>
      <c r="DC88" s="762">
        <v>14371</v>
      </c>
      <c r="DD88" s="762">
        <v>0</v>
      </c>
      <c r="DE88" s="762">
        <v>0</v>
      </c>
      <c r="DF88" s="762">
        <v>0</v>
      </c>
      <c r="DG88" s="762">
        <v>0</v>
      </c>
      <c r="DH88" s="762">
        <v>0</v>
      </c>
      <c r="DI88" s="762">
        <v>0</v>
      </c>
      <c r="DJ88" s="762">
        <v>0</v>
      </c>
      <c r="DK88" s="762">
        <v>0</v>
      </c>
      <c r="DL88" s="762">
        <v>86127</v>
      </c>
      <c r="DM88" s="762">
        <v>48447</v>
      </c>
      <c r="DN88" s="762">
        <v>0</v>
      </c>
      <c r="DO88" s="762">
        <v>134574</v>
      </c>
      <c r="DP88" s="762">
        <v>146710</v>
      </c>
      <c r="DQ88" s="762">
        <v>82524</v>
      </c>
      <c r="DR88" s="762">
        <v>0</v>
      </c>
      <c r="DS88" s="762">
        <v>229234</v>
      </c>
      <c r="DT88" s="762">
        <v>0</v>
      </c>
      <c r="DU88" s="762">
        <v>0</v>
      </c>
      <c r="DV88" s="762">
        <v>0</v>
      </c>
      <c r="DW88" s="762">
        <v>0</v>
      </c>
      <c r="DX88" s="762">
        <v>0</v>
      </c>
      <c r="DY88" s="762">
        <v>0</v>
      </c>
      <c r="DZ88" s="762">
        <v>0</v>
      </c>
      <c r="EA88" s="762">
        <v>0</v>
      </c>
      <c r="EB88" s="762">
        <v>2550368</v>
      </c>
      <c r="EC88" s="762">
        <v>1434582</v>
      </c>
      <c r="ED88" s="762">
        <v>0</v>
      </c>
      <c r="EE88" s="762">
        <v>3984950</v>
      </c>
      <c r="EF88" s="762">
        <v>8916697</v>
      </c>
      <c r="EG88" s="762">
        <v>5015643</v>
      </c>
      <c r="EH88" s="762">
        <v>0</v>
      </c>
      <c r="EI88" s="799">
        <v>13932340</v>
      </c>
      <c r="EJ88" s="763" t="s">
        <v>48</v>
      </c>
      <c r="EK88" s="607" t="s">
        <v>628</v>
      </c>
      <c r="EL88" s="272" t="s">
        <v>528</v>
      </c>
      <c r="EM88" t="s">
        <v>1654</v>
      </c>
    </row>
    <row r="89" spans="1:143" ht="12.75" x14ac:dyDescent="0.2">
      <c r="A89" s="764">
        <v>82</v>
      </c>
      <c r="B89" s="765" t="s">
        <v>51</v>
      </c>
      <c r="C89" s="766" t="s">
        <v>1217</v>
      </c>
      <c r="D89" s="767" t="s">
        <v>1221</v>
      </c>
      <c r="E89" s="768" t="s">
        <v>50</v>
      </c>
      <c r="F89" s="761">
        <v>20954355</v>
      </c>
      <c r="G89" s="762">
        <v>510759</v>
      </c>
      <c r="H89" s="762">
        <v>0</v>
      </c>
      <c r="I89" s="762">
        <v>95044</v>
      </c>
      <c r="J89" s="762">
        <v>0</v>
      </c>
      <c r="K89" s="762">
        <v>95044</v>
      </c>
      <c r="L89" s="762">
        <v>0</v>
      </c>
      <c r="M89" s="762">
        <v>37648</v>
      </c>
      <c r="N89" s="762">
        <v>748591</v>
      </c>
      <c r="O89" s="762">
        <v>748591</v>
      </c>
      <c r="P89" s="762">
        <v>0</v>
      </c>
      <c r="Q89" s="762">
        <v>0</v>
      </c>
      <c r="R89" s="762">
        <v>20583831</v>
      </c>
      <c r="S89" s="790">
        <v>0.5</v>
      </c>
      <c r="T89" s="790">
        <v>0.4</v>
      </c>
      <c r="U89" s="790">
        <v>0.09</v>
      </c>
      <c r="V89" s="790">
        <v>0.01</v>
      </c>
      <c r="W89" s="790">
        <v>1</v>
      </c>
      <c r="X89" s="762">
        <v>10291916</v>
      </c>
      <c r="Y89" s="762">
        <v>8233532</v>
      </c>
      <c r="Z89" s="762">
        <v>1852545</v>
      </c>
      <c r="AA89" s="762">
        <v>205838</v>
      </c>
      <c r="AB89" s="762">
        <v>20583831</v>
      </c>
      <c r="AC89" s="762">
        <v>32812</v>
      </c>
      <c r="AD89" s="762">
        <v>0</v>
      </c>
      <c r="AE89" s="762">
        <v>0</v>
      </c>
      <c r="AF89" s="762">
        <v>0</v>
      </c>
      <c r="AG89" s="762">
        <v>32812</v>
      </c>
      <c r="AH89" s="762">
        <v>10259104</v>
      </c>
      <c r="AI89" s="762">
        <v>8233532</v>
      </c>
      <c r="AJ89" s="762">
        <v>1852545</v>
      </c>
      <c r="AK89" s="762">
        <v>205838</v>
      </c>
      <c r="AL89" s="762">
        <v>20551019</v>
      </c>
      <c r="AM89" s="762">
        <v>95044</v>
      </c>
      <c r="AN89" s="762">
        <v>95044</v>
      </c>
      <c r="AO89" s="762">
        <v>37648</v>
      </c>
      <c r="AP89" s="762">
        <v>37648</v>
      </c>
      <c r="AQ89" s="762">
        <v>748591</v>
      </c>
      <c r="AR89" s="762">
        <v>0</v>
      </c>
      <c r="AS89" s="762">
        <v>748591</v>
      </c>
      <c r="AT89" s="762">
        <v>0</v>
      </c>
      <c r="AU89" s="762">
        <v>0</v>
      </c>
      <c r="AV89" s="762">
        <v>0</v>
      </c>
      <c r="AW89" s="762">
        <v>0</v>
      </c>
      <c r="AX89" s="762">
        <v>32812</v>
      </c>
      <c r="AY89" s="762">
        <v>0</v>
      </c>
      <c r="AZ89" s="762">
        <v>0</v>
      </c>
      <c r="BA89" s="762">
        <v>32812</v>
      </c>
      <c r="BB89" s="762">
        <v>0</v>
      </c>
      <c r="BC89" s="762">
        <v>0</v>
      </c>
      <c r="BD89" s="762">
        <v>0</v>
      </c>
      <c r="BE89" s="762">
        <v>0</v>
      </c>
      <c r="BF89" s="762">
        <v>0</v>
      </c>
      <c r="BG89" s="762">
        <v>0</v>
      </c>
      <c r="BH89" s="762">
        <v>0</v>
      </c>
      <c r="BI89" s="762">
        <v>0</v>
      </c>
      <c r="BJ89" s="790">
        <v>0.5</v>
      </c>
      <c r="BK89" s="790">
        <v>0.4</v>
      </c>
      <c r="BL89" s="790">
        <v>0.09</v>
      </c>
      <c r="BM89" s="790">
        <v>0.01</v>
      </c>
      <c r="BN89" s="790">
        <v>1</v>
      </c>
      <c r="BO89" s="762">
        <v>64918</v>
      </c>
      <c r="BP89" s="762">
        <v>51934</v>
      </c>
      <c r="BQ89" s="762">
        <v>11685</v>
      </c>
      <c r="BR89" s="762">
        <v>1298</v>
      </c>
      <c r="BS89" s="762">
        <v>129835</v>
      </c>
      <c r="BT89" s="790">
        <v>0.5</v>
      </c>
      <c r="BU89" s="790">
        <v>0.4</v>
      </c>
      <c r="BV89" s="790">
        <v>0.09</v>
      </c>
      <c r="BW89" s="790">
        <v>0.01</v>
      </c>
      <c r="BX89" s="790">
        <v>1</v>
      </c>
      <c r="BY89" s="762">
        <v>243546</v>
      </c>
      <c r="BZ89" s="762">
        <v>194837</v>
      </c>
      <c r="CA89" s="762">
        <v>43838</v>
      </c>
      <c r="CB89" s="762">
        <v>4871</v>
      </c>
      <c r="CC89" s="762">
        <v>487092</v>
      </c>
      <c r="CD89" s="762">
        <v>308464</v>
      </c>
      <c r="CE89" s="762">
        <v>246771</v>
      </c>
      <c r="CF89" s="762">
        <v>55523</v>
      </c>
      <c r="CG89" s="762">
        <v>6169</v>
      </c>
      <c r="CH89" s="762">
        <v>616927</v>
      </c>
      <c r="CI89" s="762">
        <v>10567568</v>
      </c>
      <c r="CJ89" s="762">
        <v>9394398</v>
      </c>
      <c r="CK89" s="762">
        <v>1908068</v>
      </c>
      <c r="CL89" s="762">
        <v>212007</v>
      </c>
      <c r="CM89" s="762">
        <v>22082041</v>
      </c>
      <c r="CN89" s="762">
        <v>294993</v>
      </c>
      <c r="CO89" s="762">
        <v>60368</v>
      </c>
      <c r="CP89" s="762">
        <v>6708</v>
      </c>
      <c r="CQ89" s="762">
        <v>362069</v>
      </c>
      <c r="CR89" s="762">
        <v>748224</v>
      </c>
      <c r="CS89" s="762">
        <v>168350</v>
      </c>
      <c r="CT89" s="762">
        <v>18706</v>
      </c>
      <c r="CU89" s="762">
        <v>935280</v>
      </c>
      <c r="CV89" s="762">
        <v>63318</v>
      </c>
      <c r="CW89" s="762">
        <v>14247</v>
      </c>
      <c r="CX89" s="762">
        <v>1583</v>
      </c>
      <c r="CY89" s="762">
        <v>79148</v>
      </c>
      <c r="CZ89" s="762">
        <v>0</v>
      </c>
      <c r="DA89" s="762">
        <v>0</v>
      </c>
      <c r="DB89" s="762">
        <v>0</v>
      </c>
      <c r="DC89" s="762">
        <v>0</v>
      </c>
      <c r="DD89" s="762">
        <v>11322</v>
      </c>
      <c r="DE89" s="762">
        <v>2547</v>
      </c>
      <c r="DF89" s="762">
        <v>283</v>
      </c>
      <c r="DG89" s="762">
        <v>14152</v>
      </c>
      <c r="DH89" s="762">
        <v>0</v>
      </c>
      <c r="DI89" s="762">
        <v>0</v>
      </c>
      <c r="DJ89" s="762">
        <v>0</v>
      </c>
      <c r="DK89" s="762">
        <v>0</v>
      </c>
      <c r="DL89" s="762">
        <v>15816</v>
      </c>
      <c r="DM89" s="762">
        <v>3559</v>
      </c>
      <c r="DN89" s="762">
        <v>395</v>
      </c>
      <c r="DO89" s="762">
        <v>19770</v>
      </c>
      <c r="DP89" s="762">
        <v>17209</v>
      </c>
      <c r="DQ89" s="762">
        <v>3872</v>
      </c>
      <c r="DR89" s="762">
        <v>430</v>
      </c>
      <c r="DS89" s="762">
        <v>21511</v>
      </c>
      <c r="DT89" s="762">
        <v>0</v>
      </c>
      <c r="DU89" s="762">
        <v>0</v>
      </c>
      <c r="DV89" s="762">
        <v>0</v>
      </c>
      <c r="DW89" s="762">
        <v>0</v>
      </c>
      <c r="DX89" s="762">
        <v>0</v>
      </c>
      <c r="DY89" s="762">
        <v>0</v>
      </c>
      <c r="DZ89" s="762">
        <v>0</v>
      </c>
      <c r="EA89" s="762">
        <v>0</v>
      </c>
      <c r="EB89" s="762">
        <v>274520</v>
      </c>
      <c r="EC89" s="762">
        <v>61767</v>
      </c>
      <c r="ED89" s="762">
        <v>6863</v>
      </c>
      <c r="EE89" s="762">
        <v>343150</v>
      </c>
      <c r="EF89" s="762">
        <v>1425402</v>
      </c>
      <c r="EG89" s="762">
        <v>314710</v>
      </c>
      <c r="EH89" s="762">
        <v>34968</v>
      </c>
      <c r="EI89" s="799">
        <v>1775080</v>
      </c>
      <c r="EJ89" s="763" t="s">
        <v>50</v>
      </c>
      <c r="EK89" s="607" t="s">
        <v>547</v>
      </c>
      <c r="EL89" s="805" t="s">
        <v>546</v>
      </c>
      <c r="EM89" t="s">
        <v>1655</v>
      </c>
    </row>
    <row r="90" spans="1:143" ht="12.75" x14ac:dyDescent="0.2">
      <c r="A90" s="764">
        <v>83</v>
      </c>
      <c r="B90" s="765" t="s">
        <v>53</v>
      </c>
      <c r="C90" s="766" t="s">
        <v>1217</v>
      </c>
      <c r="D90" s="767" t="s">
        <v>1226</v>
      </c>
      <c r="E90" s="768" t="s">
        <v>52</v>
      </c>
      <c r="F90" s="761">
        <v>34995401</v>
      </c>
      <c r="G90" s="762">
        <v>359289</v>
      </c>
      <c r="H90" s="762">
        <v>0</v>
      </c>
      <c r="I90" s="762">
        <v>230639</v>
      </c>
      <c r="J90" s="762">
        <v>0</v>
      </c>
      <c r="K90" s="762">
        <v>230639</v>
      </c>
      <c r="L90" s="762">
        <v>0</v>
      </c>
      <c r="M90" s="762">
        <v>354524</v>
      </c>
      <c r="N90" s="762">
        <v>343030</v>
      </c>
      <c r="O90" s="762">
        <v>343030</v>
      </c>
      <c r="P90" s="762">
        <v>0</v>
      </c>
      <c r="Q90" s="762">
        <v>0</v>
      </c>
      <c r="R90" s="762">
        <v>34426497</v>
      </c>
      <c r="S90" s="790">
        <v>0.5</v>
      </c>
      <c r="T90" s="790">
        <v>0.4</v>
      </c>
      <c r="U90" s="790">
        <v>0.09</v>
      </c>
      <c r="V90" s="790">
        <v>0.01</v>
      </c>
      <c r="W90" s="790">
        <v>1</v>
      </c>
      <c r="X90" s="762">
        <v>17213248</v>
      </c>
      <c r="Y90" s="762">
        <v>13770599</v>
      </c>
      <c r="Z90" s="762">
        <v>3098385</v>
      </c>
      <c r="AA90" s="762">
        <v>344265</v>
      </c>
      <c r="AB90" s="762">
        <v>34426497</v>
      </c>
      <c r="AC90" s="762">
        <v>309710</v>
      </c>
      <c r="AD90" s="762">
        <v>0</v>
      </c>
      <c r="AE90" s="762">
        <v>0</v>
      </c>
      <c r="AF90" s="762">
        <v>0</v>
      </c>
      <c r="AG90" s="762">
        <v>309710</v>
      </c>
      <c r="AH90" s="762">
        <v>16903538</v>
      </c>
      <c r="AI90" s="762">
        <v>13770599</v>
      </c>
      <c r="AJ90" s="762">
        <v>3098385</v>
      </c>
      <c r="AK90" s="762">
        <v>344265</v>
      </c>
      <c r="AL90" s="762">
        <v>34116787</v>
      </c>
      <c r="AM90" s="762">
        <v>230639</v>
      </c>
      <c r="AN90" s="762">
        <v>230639</v>
      </c>
      <c r="AO90" s="762">
        <v>354524</v>
      </c>
      <c r="AP90" s="762">
        <v>354524</v>
      </c>
      <c r="AQ90" s="762">
        <v>343030</v>
      </c>
      <c r="AR90" s="762">
        <v>0</v>
      </c>
      <c r="AS90" s="762">
        <v>343030</v>
      </c>
      <c r="AT90" s="762">
        <v>0</v>
      </c>
      <c r="AU90" s="762">
        <v>0</v>
      </c>
      <c r="AV90" s="762">
        <v>0</v>
      </c>
      <c r="AW90" s="762">
        <v>0</v>
      </c>
      <c r="AX90" s="762">
        <v>309710</v>
      </c>
      <c r="AY90" s="762">
        <v>0</v>
      </c>
      <c r="AZ90" s="762">
        <v>0</v>
      </c>
      <c r="BA90" s="762">
        <v>309710</v>
      </c>
      <c r="BB90" s="762">
        <v>0</v>
      </c>
      <c r="BC90" s="762">
        <v>0</v>
      </c>
      <c r="BD90" s="762">
        <v>0</v>
      </c>
      <c r="BE90" s="762">
        <v>0</v>
      </c>
      <c r="BF90" s="762">
        <v>0</v>
      </c>
      <c r="BG90" s="762">
        <v>0</v>
      </c>
      <c r="BH90" s="762">
        <v>0</v>
      </c>
      <c r="BI90" s="762">
        <v>0</v>
      </c>
      <c r="BJ90" s="790">
        <v>0</v>
      </c>
      <c r="BK90" s="790">
        <v>0.4</v>
      </c>
      <c r="BL90" s="790">
        <v>0.59</v>
      </c>
      <c r="BM90" s="790">
        <v>0.01</v>
      </c>
      <c r="BN90" s="790">
        <v>1</v>
      </c>
      <c r="BO90" s="762">
        <v>0</v>
      </c>
      <c r="BP90" s="762">
        <v>855790</v>
      </c>
      <c r="BQ90" s="762">
        <v>1262291</v>
      </c>
      <c r="BR90" s="762">
        <v>21395</v>
      </c>
      <c r="BS90" s="762">
        <v>2139476</v>
      </c>
      <c r="BT90" s="790">
        <v>0.5</v>
      </c>
      <c r="BU90" s="790">
        <v>0.4</v>
      </c>
      <c r="BV90" s="790">
        <v>0.09</v>
      </c>
      <c r="BW90" s="790">
        <v>0.01</v>
      </c>
      <c r="BX90" s="790">
        <v>1</v>
      </c>
      <c r="BY90" s="762">
        <v>324813</v>
      </c>
      <c r="BZ90" s="762">
        <v>259850</v>
      </c>
      <c r="CA90" s="762">
        <v>58466</v>
      </c>
      <c r="CB90" s="762">
        <v>6496</v>
      </c>
      <c r="CC90" s="762">
        <v>649625</v>
      </c>
      <c r="CD90" s="762">
        <v>324813</v>
      </c>
      <c r="CE90" s="762">
        <v>1115640</v>
      </c>
      <c r="CF90" s="762">
        <v>1320757</v>
      </c>
      <c r="CG90" s="762">
        <v>27891</v>
      </c>
      <c r="CH90" s="762">
        <v>2789101</v>
      </c>
      <c r="CI90" s="762">
        <v>17228351</v>
      </c>
      <c r="CJ90" s="762">
        <v>16124142</v>
      </c>
      <c r="CK90" s="762">
        <v>4419142</v>
      </c>
      <c r="CL90" s="762">
        <v>372156</v>
      </c>
      <c r="CM90" s="762">
        <v>38143791</v>
      </c>
      <c r="CN90" s="762">
        <v>481560</v>
      </c>
      <c r="CO90" s="762">
        <v>100966</v>
      </c>
      <c r="CP90" s="762">
        <v>11218</v>
      </c>
      <c r="CQ90" s="762">
        <v>593744</v>
      </c>
      <c r="CR90" s="762">
        <v>2005515</v>
      </c>
      <c r="CS90" s="762">
        <v>443184</v>
      </c>
      <c r="CT90" s="762">
        <v>49243</v>
      </c>
      <c r="CU90" s="762">
        <v>2497942</v>
      </c>
      <c r="CV90" s="762">
        <v>96411</v>
      </c>
      <c r="CW90" s="762">
        <v>21225</v>
      </c>
      <c r="CX90" s="762">
        <v>2358</v>
      </c>
      <c r="CY90" s="762">
        <v>119994</v>
      </c>
      <c r="CZ90" s="762">
        <v>12873</v>
      </c>
      <c r="DA90" s="762">
        <v>2897</v>
      </c>
      <c r="DB90" s="762">
        <v>322</v>
      </c>
      <c r="DC90" s="762">
        <v>16092</v>
      </c>
      <c r="DD90" s="762">
        <v>18057</v>
      </c>
      <c r="DE90" s="762">
        <v>4063</v>
      </c>
      <c r="DF90" s="762">
        <v>451</v>
      </c>
      <c r="DG90" s="762">
        <v>22571</v>
      </c>
      <c r="DH90" s="762">
        <v>620</v>
      </c>
      <c r="DI90" s="762">
        <v>139</v>
      </c>
      <c r="DJ90" s="762">
        <v>15</v>
      </c>
      <c r="DK90" s="762">
        <v>774</v>
      </c>
      <c r="DL90" s="762">
        <v>7593</v>
      </c>
      <c r="DM90" s="762">
        <v>1709</v>
      </c>
      <c r="DN90" s="762">
        <v>190</v>
      </c>
      <c r="DO90" s="762">
        <v>9492</v>
      </c>
      <c r="DP90" s="762">
        <v>21409</v>
      </c>
      <c r="DQ90" s="762">
        <v>4817</v>
      </c>
      <c r="DR90" s="762">
        <v>535</v>
      </c>
      <c r="DS90" s="762">
        <v>26761</v>
      </c>
      <c r="DT90" s="762">
        <v>0</v>
      </c>
      <c r="DU90" s="762">
        <v>0</v>
      </c>
      <c r="DV90" s="762">
        <v>0</v>
      </c>
      <c r="DW90" s="762">
        <v>0</v>
      </c>
      <c r="DX90" s="762">
        <v>0</v>
      </c>
      <c r="DY90" s="762">
        <v>0</v>
      </c>
      <c r="DZ90" s="762">
        <v>0</v>
      </c>
      <c r="EA90" s="762">
        <v>0</v>
      </c>
      <c r="EB90" s="762">
        <v>454253</v>
      </c>
      <c r="EC90" s="762">
        <v>102207</v>
      </c>
      <c r="ED90" s="762">
        <v>11356</v>
      </c>
      <c r="EE90" s="762">
        <v>567816</v>
      </c>
      <c r="EF90" s="762">
        <v>3098291</v>
      </c>
      <c r="EG90" s="762">
        <v>681207</v>
      </c>
      <c r="EH90" s="762">
        <v>75688</v>
      </c>
      <c r="EI90" s="799">
        <v>3855186</v>
      </c>
      <c r="EJ90" s="763" t="s">
        <v>52</v>
      </c>
      <c r="EK90" s="607" t="s">
        <v>565</v>
      </c>
      <c r="EL90" s="806" t="s">
        <v>563</v>
      </c>
      <c r="EM90" t="s">
        <v>1656</v>
      </c>
    </row>
    <row r="91" spans="1:143" ht="12.75" x14ac:dyDescent="0.2">
      <c r="A91" s="764">
        <v>84</v>
      </c>
      <c r="B91" s="765" t="s">
        <v>55</v>
      </c>
      <c r="C91" s="766" t="s">
        <v>1217</v>
      </c>
      <c r="D91" s="767" t="s">
        <v>1218</v>
      </c>
      <c r="E91" s="768" t="s">
        <v>54</v>
      </c>
      <c r="F91" s="761">
        <v>32998556</v>
      </c>
      <c r="G91" s="762">
        <v>574823</v>
      </c>
      <c r="H91" s="762">
        <v>0</v>
      </c>
      <c r="I91" s="762">
        <v>158385</v>
      </c>
      <c r="J91" s="762">
        <v>0</v>
      </c>
      <c r="K91" s="762">
        <v>158385</v>
      </c>
      <c r="L91" s="762">
        <v>0</v>
      </c>
      <c r="M91" s="762">
        <v>31653</v>
      </c>
      <c r="N91" s="762">
        <v>0</v>
      </c>
      <c r="O91" s="762">
        <v>0</v>
      </c>
      <c r="P91" s="762">
        <v>0</v>
      </c>
      <c r="Q91" s="762">
        <v>0</v>
      </c>
      <c r="R91" s="762">
        <v>33383341</v>
      </c>
      <c r="S91" s="790">
        <v>0.5</v>
      </c>
      <c r="T91" s="790">
        <v>0.4</v>
      </c>
      <c r="U91" s="790">
        <v>0.09</v>
      </c>
      <c r="V91" s="790">
        <v>0.01</v>
      </c>
      <c r="W91" s="790">
        <v>1</v>
      </c>
      <c r="X91" s="762">
        <v>16691671</v>
      </c>
      <c r="Y91" s="762">
        <v>13353336</v>
      </c>
      <c r="Z91" s="762">
        <v>3004501</v>
      </c>
      <c r="AA91" s="762">
        <v>333833</v>
      </c>
      <c r="AB91" s="762">
        <v>33383341</v>
      </c>
      <c r="AC91" s="762">
        <v>15381</v>
      </c>
      <c r="AD91" s="762">
        <v>0</v>
      </c>
      <c r="AE91" s="762">
        <v>0</v>
      </c>
      <c r="AF91" s="762">
        <v>0</v>
      </c>
      <c r="AG91" s="762">
        <v>15381</v>
      </c>
      <c r="AH91" s="762">
        <v>16676290</v>
      </c>
      <c r="AI91" s="762">
        <v>13353336</v>
      </c>
      <c r="AJ91" s="762">
        <v>3004501</v>
      </c>
      <c r="AK91" s="762">
        <v>333833</v>
      </c>
      <c r="AL91" s="762">
        <v>33367960</v>
      </c>
      <c r="AM91" s="762">
        <v>158385</v>
      </c>
      <c r="AN91" s="762">
        <v>158385</v>
      </c>
      <c r="AO91" s="762">
        <v>31653</v>
      </c>
      <c r="AP91" s="762">
        <v>31653</v>
      </c>
      <c r="AQ91" s="762">
        <v>0</v>
      </c>
      <c r="AR91" s="762">
        <v>0</v>
      </c>
      <c r="AS91" s="762">
        <v>0</v>
      </c>
      <c r="AT91" s="762">
        <v>0</v>
      </c>
      <c r="AU91" s="762">
        <v>0</v>
      </c>
      <c r="AV91" s="762">
        <v>0</v>
      </c>
      <c r="AW91" s="762">
        <v>0</v>
      </c>
      <c r="AX91" s="762">
        <v>15381</v>
      </c>
      <c r="AY91" s="762">
        <v>0</v>
      </c>
      <c r="AZ91" s="762">
        <v>0</v>
      </c>
      <c r="BA91" s="762">
        <v>15381</v>
      </c>
      <c r="BB91" s="762">
        <v>0</v>
      </c>
      <c r="BC91" s="762">
        <v>0</v>
      </c>
      <c r="BD91" s="762">
        <v>0</v>
      </c>
      <c r="BE91" s="762">
        <v>0</v>
      </c>
      <c r="BF91" s="762">
        <v>0</v>
      </c>
      <c r="BG91" s="762">
        <v>0</v>
      </c>
      <c r="BH91" s="762">
        <v>0</v>
      </c>
      <c r="BI91" s="762">
        <v>0</v>
      </c>
      <c r="BJ91" s="790">
        <v>0.5</v>
      </c>
      <c r="BK91" s="790">
        <v>0.4</v>
      </c>
      <c r="BL91" s="790">
        <v>0.09</v>
      </c>
      <c r="BM91" s="790">
        <v>0.01</v>
      </c>
      <c r="BN91" s="790">
        <v>1</v>
      </c>
      <c r="BO91" s="762">
        <v>-187820</v>
      </c>
      <c r="BP91" s="762">
        <v>-150256</v>
      </c>
      <c r="BQ91" s="762">
        <v>-33808</v>
      </c>
      <c r="BR91" s="762">
        <v>-3756</v>
      </c>
      <c r="BS91" s="762">
        <v>-375640</v>
      </c>
      <c r="BT91" s="790">
        <v>0.5</v>
      </c>
      <c r="BU91" s="790">
        <v>0.4</v>
      </c>
      <c r="BV91" s="790">
        <v>0.09</v>
      </c>
      <c r="BW91" s="790">
        <v>0.01</v>
      </c>
      <c r="BX91" s="790">
        <v>1</v>
      </c>
      <c r="BY91" s="762">
        <v>-1192537.8000000007</v>
      </c>
      <c r="BZ91" s="762">
        <v>-954030</v>
      </c>
      <c r="CA91" s="762">
        <v>-214657</v>
      </c>
      <c r="CB91" s="762">
        <v>-23851</v>
      </c>
      <c r="CC91" s="762">
        <v>-2385075.8000000007</v>
      </c>
      <c r="CD91" s="762">
        <v>-1380359</v>
      </c>
      <c r="CE91" s="762">
        <v>-1104286</v>
      </c>
      <c r="CF91" s="762">
        <v>-248464</v>
      </c>
      <c r="CG91" s="762">
        <v>-27607</v>
      </c>
      <c r="CH91" s="762">
        <v>-2760715.8000000007</v>
      </c>
      <c r="CI91" s="762">
        <v>15295931</v>
      </c>
      <c r="CJ91" s="762">
        <v>12454469</v>
      </c>
      <c r="CK91" s="762">
        <v>2756037</v>
      </c>
      <c r="CL91" s="762">
        <v>306226</v>
      </c>
      <c r="CM91" s="762">
        <v>30812663</v>
      </c>
      <c r="CN91" s="762">
        <v>436672</v>
      </c>
      <c r="CO91" s="762">
        <v>97906</v>
      </c>
      <c r="CP91" s="762">
        <v>10878</v>
      </c>
      <c r="CQ91" s="762">
        <v>545456</v>
      </c>
      <c r="CR91" s="762">
        <v>1279206</v>
      </c>
      <c r="CS91" s="762">
        <v>287263</v>
      </c>
      <c r="CT91" s="762">
        <v>31918</v>
      </c>
      <c r="CU91" s="762">
        <v>1598387</v>
      </c>
      <c r="CV91" s="762">
        <v>105263</v>
      </c>
      <c r="CW91" s="762">
        <v>23684</v>
      </c>
      <c r="CX91" s="762">
        <v>2632</v>
      </c>
      <c r="CY91" s="762">
        <v>131579</v>
      </c>
      <c r="CZ91" s="762">
        <v>1086</v>
      </c>
      <c r="DA91" s="762">
        <v>245</v>
      </c>
      <c r="DB91" s="762">
        <v>27</v>
      </c>
      <c r="DC91" s="762">
        <v>1358</v>
      </c>
      <c r="DD91" s="762">
        <v>11205</v>
      </c>
      <c r="DE91" s="762">
        <v>2521</v>
      </c>
      <c r="DF91" s="762">
        <v>280</v>
      </c>
      <c r="DG91" s="762">
        <v>14006</v>
      </c>
      <c r="DH91" s="762">
        <v>1859</v>
      </c>
      <c r="DI91" s="762">
        <v>418</v>
      </c>
      <c r="DJ91" s="762">
        <v>46</v>
      </c>
      <c r="DK91" s="762">
        <v>2323</v>
      </c>
      <c r="DL91" s="762">
        <v>20038</v>
      </c>
      <c r="DM91" s="762">
        <v>4509</v>
      </c>
      <c r="DN91" s="762">
        <v>501</v>
      </c>
      <c r="DO91" s="762">
        <v>25048</v>
      </c>
      <c r="DP91" s="762">
        <v>34696</v>
      </c>
      <c r="DQ91" s="762">
        <v>7806</v>
      </c>
      <c r="DR91" s="762">
        <v>867</v>
      </c>
      <c r="DS91" s="762">
        <v>43369</v>
      </c>
      <c r="DT91" s="762">
        <v>0</v>
      </c>
      <c r="DU91" s="762">
        <v>0</v>
      </c>
      <c r="DV91" s="762">
        <v>0</v>
      </c>
      <c r="DW91" s="762">
        <v>0</v>
      </c>
      <c r="DX91" s="762">
        <v>0</v>
      </c>
      <c r="DY91" s="762">
        <v>0</v>
      </c>
      <c r="DZ91" s="762">
        <v>0</v>
      </c>
      <c r="EA91" s="762">
        <v>0</v>
      </c>
      <c r="EB91" s="762">
        <v>382962</v>
      </c>
      <c r="EC91" s="762">
        <v>86166</v>
      </c>
      <c r="ED91" s="762">
        <v>9574</v>
      </c>
      <c r="EE91" s="762">
        <v>478702</v>
      </c>
      <c r="EF91" s="762">
        <v>2272987</v>
      </c>
      <c r="EG91" s="762">
        <v>510518</v>
      </c>
      <c r="EH91" s="762">
        <v>56723</v>
      </c>
      <c r="EI91" s="799">
        <v>2840228</v>
      </c>
      <c r="EJ91" s="763" t="s">
        <v>54</v>
      </c>
      <c r="EK91" s="607" t="s">
        <v>580</v>
      </c>
      <c r="EL91" s="805" t="s">
        <v>578</v>
      </c>
      <c r="EM91" t="s">
        <v>1657</v>
      </c>
    </row>
    <row r="92" spans="1:143" ht="12.75" x14ac:dyDescent="0.2">
      <c r="A92" s="764">
        <v>85</v>
      </c>
      <c r="B92" s="765" t="s">
        <v>57</v>
      </c>
      <c r="C92" s="766" t="s">
        <v>1217</v>
      </c>
      <c r="D92" s="767" t="s">
        <v>1221</v>
      </c>
      <c r="E92" s="768" t="s">
        <v>56</v>
      </c>
      <c r="F92" s="761">
        <v>42433462</v>
      </c>
      <c r="G92" s="762">
        <v>379765</v>
      </c>
      <c r="H92" s="762">
        <v>0</v>
      </c>
      <c r="I92" s="762">
        <v>199266</v>
      </c>
      <c r="J92" s="762">
        <v>0</v>
      </c>
      <c r="K92" s="762">
        <v>199266</v>
      </c>
      <c r="L92" s="762">
        <v>0</v>
      </c>
      <c r="M92" s="762">
        <v>0</v>
      </c>
      <c r="N92" s="762">
        <v>0</v>
      </c>
      <c r="O92" s="762">
        <v>0</v>
      </c>
      <c r="P92" s="762">
        <v>0</v>
      </c>
      <c r="Q92" s="762">
        <v>0</v>
      </c>
      <c r="R92" s="762">
        <v>42613961</v>
      </c>
      <c r="S92" s="790">
        <v>0.25</v>
      </c>
      <c r="T92" s="790">
        <v>0.35</v>
      </c>
      <c r="U92" s="790">
        <v>0.4</v>
      </c>
      <c r="V92" s="790">
        <v>0</v>
      </c>
      <c r="W92" s="790">
        <v>1</v>
      </c>
      <c r="X92" s="762">
        <v>10653491</v>
      </c>
      <c r="Y92" s="762">
        <v>14914886</v>
      </c>
      <c r="Z92" s="762">
        <v>17045584</v>
      </c>
      <c r="AA92" s="762">
        <v>0</v>
      </c>
      <c r="AB92" s="762">
        <v>42613961</v>
      </c>
      <c r="AC92" s="762">
        <v>0</v>
      </c>
      <c r="AD92" s="762">
        <v>0</v>
      </c>
      <c r="AE92" s="762">
        <v>0</v>
      </c>
      <c r="AF92" s="762">
        <v>0</v>
      </c>
      <c r="AG92" s="762">
        <v>0</v>
      </c>
      <c r="AH92" s="762">
        <v>10653491</v>
      </c>
      <c r="AI92" s="762">
        <v>14914886</v>
      </c>
      <c r="AJ92" s="762">
        <v>17045584</v>
      </c>
      <c r="AK92" s="762">
        <v>0</v>
      </c>
      <c r="AL92" s="762">
        <v>42613961</v>
      </c>
      <c r="AM92" s="762">
        <v>199266</v>
      </c>
      <c r="AN92" s="762">
        <v>199266</v>
      </c>
      <c r="AO92" s="762">
        <v>0</v>
      </c>
      <c r="AP92" s="762">
        <v>0</v>
      </c>
      <c r="AQ92" s="762">
        <v>0</v>
      </c>
      <c r="AR92" s="762">
        <v>0</v>
      </c>
      <c r="AS92" s="762">
        <v>0</v>
      </c>
      <c r="AT92" s="762">
        <v>0</v>
      </c>
      <c r="AU92" s="762">
        <v>0</v>
      </c>
      <c r="AV92" s="762">
        <v>0</v>
      </c>
      <c r="AW92" s="762">
        <v>0</v>
      </c>
      <c r="AX92" s="762">
        <v>0</v>
      </c>
      <c r="AY92" s="762">
        <v>0</v>
      </c>
      <c r="AZ92" s="762">
        <v>0</v>
      </c>
      <c r="BA92" s="762">
        <v>0</v>
      </c>
      <c r="BB92" s="762">
        <v>0</v>
      </c>
      <c r="BC92" s="762">
        <v>0</v>
      </c>
      <c r="BD92" s="762">
        <v>0</v>
      </c>
      <c r="BE92" s="762">
        <v>0</v>
      </c>
      <c r="BF92" s="762">
        <v>0</v>
      </c>
      <c r="BG92" s="762">
        <v>0</v>
      </c>
      <c r="BH92" s="762">
        <v>0</v>
      </c>
      <c r="BI92" s="762">
        <v>0</v>
      </c>
      <c r="BJ92" s="790">
        <v>0.5</v>
      </c>
      <c r="BK92" s="790">
        <v>0.4</v>
      </c>
      <c r="BL92" s="790">
        <v>0.1</v>
      </c>
      <c r="BM92" s="790">
        <v>0</v>
      </c>
      <c r="BN92" s="790">
        <v>1</v>
      </c>
      <c r="BO92" s="762">
        <v>-3269</v>
      </c>
      <c r="BP92" s="762">
        <v>-2616</v>
      </c>
      <c r="BQ92" s="762">
        <v>-654</v>
      </c>
      <c r="BR92" s="762">
        <v>0</v>
      </c>
      <c r="BS92" s="762">
        <v>-6539</v>
      </c>
      <c r="BT92" s="790">
        <v>0.5</v>
      </c>
      <c r="BU92" s="790">
        <v>0.4</v>
      </c>
      <c r="BV92" s="790">
        <v>0.1</v>
      </c>
      <c r="BW92" s="790">
        <v>0</v>
      </c>
      <c r="BX92" s="790">
        <v>1</v>
      </c>
      <c r="BY92" s="762">
        <v>88914</v>
      </c>
      <c r="BZ92" s="762">
        <v>71132</v>
      </c>
      <c r="CA92" s="762">
        <v>17783</v>
      </c>
      <c r="CB92" s="762">
        <v>0</v>
      </c>
      <c r="CC92" s="762">
        <v>177829</v>
      </c>
      <c r="CD92" s="762">
        <v>85645</v>
      </c>
      <c r="CE92" s="762">
        <v>68516</v>
      </c>
      <c r="CF92" s="762">
        <v>17129</v>
      </c>
      <c r="CG92" s="762">
        <v>0</v>
      </c>
      <c r="CH92" s="762">
        <v>171290</v>
      </c>
      <c r="CI92" s="762">
        <v>10739136</v>
      </c>
      <c r="CJ92" s="762">
        <v>15182668</v>
      </c>
      <c r="CK92" s="762">
        <v>17062713</v>
      </c>
      <c r="CL92" s="762">
        <v>0</v>
      </c>
      <c r="CM92" s="762">
        <v>42984517</v>
      </c>
      <c r="CN92" s="762">
        <v>486025</v>
      </c>
      <c r="CO92" s="762">
        <v>555457</v>
      </c>
      <c r="CP92" s="762">
        <v>0</v>
      </c>
      <c r="CQ92" s="762">
        <v>1041482</v>
      </c>
      <c r="CR92" s="762">
        <v>1400966</v>
      </c>
      <c r="CS92" s="762">
        <v>1601104</v>
      </c>
      <c r="CT92" s="762">
        <v>0</v>
      </c>
      <c r="CU92" s="762">
        <v>3002070</v>
      </c>
      <c r="CV92" s="762">
        <v>110549</v>
      </c>
      <c r="CW92" s="762">
        <v>126342</v>
      </c>
      <c r="CX92" s="762">
        <v>0</v>
      </c>
      <c r="CY92" s="762">
        <v>236891</v>
      </c>
      <c r="CZ92" s="762">
        <v>0</v>
      </c>
      <c r="DA92" s="762">
        <v>0</v>
      </c>
      <c r="DB92" s="762">
        <v>0</v>
      </c>
      <c r="DC92" s="762">
        <v>0</v>
      </c>
      <c r="DD92" s="762">
        <v>12555</v>
      </c>
      <c r="DE92" s="762">
        <v>14348</v>
      </c>
      <c r="DF92" s="762">
        <v>0</v>
      </c>
      <c r="DG92" s="762">
        <v>26903</v>
      </c>
      <c r="DH92" s="762">
        <v>542</v>
      </c>
      <c r="DI92" s="762">
        <v>620</v>
      </c>
      <c r="DJ92" s="762">
        <v>0</v>
      </c>
      <c r="DK92" s="762">
        <v>1162</v>
      </c>
      <c r="DL92" s="762">
        <v>11743</v>
      </c>
      <c r="DM92" s="762">
        <v>13422</v>
      </c>
      <c r="DN92" s="762">
        <v>0</v>
      </c>
      <c r="DO92" s="762">
        <v>25165</v>
      </c>
      <c r="DP92" s="762">
        <v>23722</v>
      </c>
      <c r="DQ92" s="762">
        <v>27111</v>
      </c>
      <c r="DR92" s="762">
        <v>0</v>
      </c>
      <c r="DS92" s="762">
        <v>50833</v>
      </c>
      <c r="DT92" s="762">
        <v>0</v>
      </c>
      <c r="DU92" s="762">
        <v>0</v>
      </c>
      <c r="DV92" s="762">
        <v>0</v>
      </c>
      <c r="DW92" s="762">
        <v>0</v>
      </c>
      <c r="DX92" s="762">
        <v>0</v>
      </c>
      <c r="DY92" s="762">
        <v>0</v>
      </c>
      <c r="DZ92" s="762">
        <v>0</v>
      </c>
      <c r="EA92" s="762">
        <v>0</v>
      </c>
      <c r="EB92" s="762">
        <v>536543</v>
      </c>
      <c r="EC92" s="762">
        <v>613192</v>
      </c>
      <c r="ED92" s="762">
        <v>0</v>
      </c>
      <c r="EE92" s="762">
        <v>1149735</v>
      </c>
      <c r="EF92" s="762">
        <v>2582645</v>
      </c>
      <c r="EG92" s="762">
        <v>2951596</v>
      </c>
      <c r="EH92" s="762">
        <v>0</v>
      </c>
      <c r="EI92" s="799">
        <v>5534241</v>
      </c>
      <c r="EJ92" s="763" t="s">
        <v>56</v>
      </c>
      <c r="EK92" s="607" t="s">
        <v>584</v>
      </c>
      <c r="EL92" s="805" t="s">
        <v>556</v>
      </c>
      <c r="EM92" t="s">
        <v>1658</v>
      </c>
    </row>
    <row r="93" spans="1:143" ht="12.75" x14ac:dyDescent="0.2">
      <c r="A93" s="764">
        <v>86</v>
      </c>
      <c r="B93" s="765" t="s">
        <v>59</v>
      </c>
      <c r="C93" s="766" t="s">
        <v>1217</v>
      </c>
      <c r="D93" s="767" t="s">
        <v>1220</v>
      </c>
      <c r="E93" s="768" t="s">
        <v>58</v>
      </c>
      <c r="F93" s="761">
        <v>35656144</v>
      </c>
      <c r="G93" s="762">
        <v>884806</v>
      </c>
      <c r="H93" s="762">
        <v>0</v>
      </c>
      <c r="I93" s="762">
        <v>262482</v>
      </c>
      <c r="J93" s="762">
        <v>0</v>
      </c>
      <c r="K93" s="762">
        <v>262482</v>
      </c>
      <c r="L93" s="762">
        <v>0</v>
      </c>
      <c r="M93" s="762">
        <v>0</v>
      </c>
      <c r="N93" s="762">
        <v>759565</v>
      </c>
      <c r="O93" s="762">
        <v>673576</v>
      </c>
      <c r="P93" s="762">
        <v>85989</v>
      </c>
      <c r="Q93" s="762">
        <v>0</v>
      </c>
      <c r="R93" s="762">
        <v>35518903</v>
      </c>
      <c r="S93" s="790">
        <v>0.5</v>
      </c>
      <c r="T93" s="790">
        <v>0.4</v>
      </c>
      <c r="U93" s="790">
        <v>0.1</v>
      </c>
      <c r="V93" s="790">
        <v>0</v>
      </c>
      <c r="W93" s="790">
        <v>1</v>
      </c>
      <c r="X93" s="762">
        <v>17759452</v>
      </c>
      <c r="Y93" s="762">
        <v>14207561</v>
      </c>
      <c r="Z93" s="762">
        <v>3551890</v>
      </c>
      <c r="AA93" s="762">
        <v>0</v>
      </c>
      <c r="AB93" s="762">
        <v>35518903</v>
      </c>
      <c r="AC93" s="762">
        <v>0</v>
      </c>
      <c r="AD93" s="762">
        <v>0</v>
      </c>
      <c r="AE93" s="762">
        <v>0</v>
      </c>
      <c r="AF93" s="762">
        <v>0</v>
      </c>
      <c r="AG93" s="762">
        <v>0</v>
      </c>
      <c r="AH93" s="762">
        <v>17759452</v>
      </c>
      <c r="AI93" s="762">
        <v>14207561</v>
      </c>
      <c r="AJ93" s="762">
        <v>3551890</v>
      </c>
      <c r="AK93" s="762">
        <v>0</v>
      </c>
      <c r="AL93" s="762">
        <v>35518903</v>
      </c>
      <c r="AM93" s="762">
        <v>262482</v>
      </c>
      <c r="AN93" s="762">
        <v>262482</v>
      </c>
      <c r="AO93" s="762">
        <v>0</v>
      </c>
      <c r="AP93" s="762">
        <v>0</v>
      </c>
      <c r="AQ93" s="762">
        <v>673576</v>
      </c>
      <c r="AR93" s="762">
        <v>85989</v>
      </c>
      <c r="AS93" s="762">
        <v>759565</v>
      </c>
      <c r="AT93" s="762">
        <v>0</v>
      </c>
      <c r="AU93" s="762">
        <v>0</v>
      </c>
      <c r="AV93" s="762">
        <v>0</v>
      </c>
      <c r="AW93" s="762">
        <v>0</v>
      </c>
      <c r="AX93" s="762">
        <v>0</v>
      </c>
      <c r="AY93" s="762">
        <v>0</v>
      </c>
      <c r="AZ93" s="762">
        <v>0</v>
      </c>
      <c r="BA93" s="762">
        <v>0</v>
      </c>
      <c r="BB93" s="762">
        <v>0</v>
      </c>
      <c r="BC93" s="762">
        <v>0</v>
      </c>
      <c r="BD93" s="762">
        <v>0</v>
      </c>
      <c r="BE93" s="762">
        <v>0</v>
      </c>
      <c r="BF93" s="762">
        <v>0</v>
      </c>
      <c r="BG93" s="762">
        <v>0</v>
      </c>
      <c r="BH93" s="762">
        <v>0</v>
      </c>
      <c r="BI93" s="762">
        <v>0</v>
      </c>
      <c r="BJ93" s="790">
        <v>0</v>
      </c>
      <c r="BK93" s="790">
        <v>0.6</v>
      </c>
      <c r="BL93" s="790">
        <v>0.4</v>
      </c>
      <c r="BM93" s="790">
        <v>0</v>
      </c>
      <c r="BN93" s="790">
        <v>1</v>
      </c>
      <c r="BO93" s="762">
        <v>0</v>
      </c>
      <c r="BP93" s="762">
        <v>1120444</v>
      </c>
      <c r="BQ93" s="762">
        <v>746963</v>
      </c>
      <c r="BR93" s="762">
        <v>0</v>
      </c>
      <c r="BS93" s="762">
        <v>1867407</v>
      </c>
      <c r="BT93" s="790">
        <v>0.5</v>
      </c>
      <c r="BU93" s="790">
        <v>0.4</v>
      </c>
      <c r="BV93" s="790">
        <v>0.1</v>
      </c>
      <c r="BW93" s="790">
        <v>0</v>
      </c>
      <c r="BX93" s="790">
        <v>1</v>
      </c>
      <c r="BY93" s="762">
        <v>107323</v>
      </c>
      <c r="BZ93" s="762">
        <v>85859</v>
      </c>
      <c r="CA93" s="762">
        <v>21465</v>
      </c>
      <c r="CB93" s="762">
        <v>0</v>
      </c>
      <c r="CC93" s="762">
        <v>214647</v>
      </c>
      <c r="CD93" s="762">
        <v>107323</v>
      </c>
      <c r="CE93" s="762">
        <v>1206303</v>
      </c>
      <c r="CF93" s="762">
        <v>768428</v>
      </c>
      <c r="CG93" s="762">
        <v>0</v>
      </c>
      <c r="CH93" s="762">
        <v>2082054</v>
      </c>
      <c r="CI93" s="762">
        <v>17866775</v>
      </c>
      <c r="CJ93" s="762">
        <v>16349922</v>
      </c>
      <c r="CK93" s="762">
        <v>4406307</v>
      </c>
      <c r="CL93" s="762">
        <v>0</v>
      </c>
      <c r="CM93" s="762">
        <v>38623004</v>
      </c>
      <c r="CN93" s="762">
        <v>484925</v>
      </c>
      <c r="CO93" s="762">
        <v>118546</v>
      </c>
      <c r="CP93" s="762">
        <v>0</v>
      </c>
      <c r="CQ93" s="762">
        <v>603471</v>
      </c>
      <c r="CR93" s="762">
        <v>1866268</v>
      </c>
      <c r="CS93" s="762">
        <v>466567</v>
      </c>
      <c r="CT93" s="762">
        <v>0</v>
      </c>
      <c r="CU93" s="762">
        <v>2332835</v>
      </c>
      <c r="CV93" s="762">
        <v>105463</v>
      </c>
      <c r="CW93" s="762">
        <v>26366</v>
      </c>
      <c r="CX93" s="762">
        <v>0</v>
      </c>
      <c r="CY93" s="762">
        <v>131829</v>
      </c>
      <c r="CZ93" s="762">
        <v>0</v>
      </c>
      <c r="DA93" s="762">
        <v>0</v>
      </c>
      <c r="DB93" s="762">
        <v>0</v>
      </c>
      <c r="DC93" s="762">
        <v>0</v>
      </c>
      <c r="DD93" s="762">
        <v>37144</v>
      </c>
      <c r="DE93" s="762">
        <v>9286</v>
      </c>
      <c r="DF93" s="762">
        <v>0</v>
      </c>
      <c r="DG93" s="762">
        <v>46430</v>
      </c>
      <c r="DH93" s="762">
        <v>0</v>
      </c>
      <c r="DI93" s="762">
        <v>0</v>
      </c>
      <c r="DJ93" s="762">
        <v>0</v>
      </c>
      <c r="DK93" s="762">
        <v>0</v>
      </c>
      <c r="DL93" s="762">
        <v>28352</v>
      </c>
      <c r="DM93" s="762">
        <v>7088</v>
      </c>
      <c r="DN93" s="762">
        <v>0</v>
      </c>
      <c r="DO93" s="762">
        <v>35440</v>
      </c>
      <c r="DP93" s="762">
        <v>34695</v>
      </c>
      <c r="DQ93" s="762">
        <v>8674</v>
      </c>
      <c r="DR93" s="762">
        <v>0</v>
      </c>
      <c r="DS93" s="762">
        <v>43369</v>
      </c>
      <c r="DT93" s="762">
        <v>0</v>
      </c>
      <c r="DU93" s="762">
        <v>0</v>
      </c>
      <c r="DV93" s="762">
        <v>0</v>
      </c>
      <c r="DW93" s="762">
        <v>0</v>
      </c>
      <c r="DX93" s="762">
        <v>0</v>
      </c>
      <c r="DY93" s="762">
        <v>0</v>
      </c>
      <c r="DZ93" s="762">
        <v>0</v>
      </c>
      <c r="EA93" s="762">
        <v>0</v>
      </c>
      <c r="EB93" s="762">
        <v>437774</v>
      </c>
      <c r="EC93" s="762">
        <v>109443</v>
      </c>
      <c r="ED93" s="762">
        <v>0</v>
      </c>
      <c r="EE93" s="762">
        <v>547217</v>
      </c>
      <c r="EF93" s="762">
        <v>2994621</v>
      </c>
      <c r="EG93" s="762">
        <v>745970</v>
      </c>
      <c r="EH93" s="762">
        <v>0</v>
      </c>
      <c r="EI93" s="799">
        <v>3740591</v>
      </c>
      <c r="EJ93" s="763" t="s">
        <v>58</v>
      </c>
      <c r="EK93" s="607" t="s">
        <v>600</v>
      </c>
      <c r="EL93" s="805" t="s">
        <v>556</v>
      </c>
      <c r="EM93" t="s">
        <v>1659</v>
      </c>
    </row>
    <row r="94" spans="1:143" ht="12.75" x14ac:dyDescent="0.2">
      <c r="A94" s="764">
        <v>87</v>
      </c>
      <c r="B94" s="765" t="s">
        <v>61</v>
      </c>
      <c r="C94" s="766" t="s">
        <v>1217</v>
      </c>
      <c r="D94" s="767" t="s">
        <v>1220</v>
      </c>
      <c r="E94" s="768" t="s">
        <v>60</v>
      </c>
      <c r="F94" s="761">
        <v>33825140</v>
      </c>
      <c r="G94" s="762">
        <v>0</v>
      </c>
      <c r="H94" s="762">
        <v>142955</v>
      </c>
      <c r="I94" s="762">
        <v>106631</v>
      </c>
      <c r="J94" s="762">
        <v>0</v>
      </c>
      <c r="K94" s="762">
        <v>106631</v>
      </c>
      <c r="L94" s="762">
        <v>0</v>
      </c>
      <c r="M94" s="762">
        <v>0</v>
      </c>
      <c r="N94" s="762">
        <v>429587</v>
      </c>
      <c r="O94" s="762">
        <v>429587</v>
      </c>
      <c r="P94" s="762">
        <v>0</v>
      </c>
      <c r="Q94" s="762">
        <v>0</v>
      </c>
      <c r="R94" s="762">
        <v>33145967</v>
      </c>
      <c r="S94" s="790">
        <v>0.25</v>
      </c>
      <c r="T94" s="790">
        <v>0.4</v>
      </c>
      <c r="U94" s="790">
        <v>0.33999999999999997</v>
      </c>
      <c r="V94" s="790">
        <v>0.01</v>
      </c>
      <c r="W94" s="790">
        <v>1</v>
      </c>
      <c r="X94" s="762">
        <v>8286491</v>
      </c>
      <c r="Y94" s="762">
        <v>13258387</v>
      </c>
      <c r="Z94" s="762">
        <v>11269629</v>
      </c>
      <c r="AA94" s="762">
        <v>331460</v>
      </c>
      <c r="AB94" s="762">
        <v>33145967</v>
      </c>
      <c r="AC94" s="762">
        <v>0</v>
      </c>
      <c r="AD94" s="762">
        <v>0</v>
      </c>
      <c r="AE94" s="762">
        <v>0</v>
      </c>
      <c r="AF94" s="762">
        <v>0</v>
      </c>
      <c r="AG94" s="762">
        <v>0</v>
      </c>
      <c r="AH94" s="762">
        <v>8286491</v>
      </c>
      <c r="AI94" s="762">
        <v>13258387</v>
      </c>
      <c r="AJ94" s="762">
        <v>11269629</v>
      </c>
      <c r="AK94" s="762">
        <v>331460</v>
      </c>
      <c r="AL94" s="762">
        <v>33145967</v>
      </c>
      <c r="AM94" s="762">
        <v>106631</v>
      </c>
      <c r="AN94" s="762">
        <v>106631</v>
      </c>
      <c r="AO94" s="762">
        <v>0</v>
      </c>
      <c r="AP94" s="762">
        <v>0</v>
      </c>
      <c r="AQ94" s="762">
        <v>429587</v>
      </c>
      <c r="AR94" s="762">
        <v>0</v>
      </c>
      <c r="AS94" s="762">
        <v>429587</v>
      </c>
      <c r="AT94" s="762">
        <v>0</v>
      </c>
      <c r="AU94" s="762">
        <v>0</v>
      </c>
      <c r="AV94" s="762">
        <v>0</v>
      </c>
      <c r="AW94" s="762">
        <v>0</v>
      </c>
      <c r="AX94" s="762">
        <v>0</v>
      </c>
      <c r="AY94" s="762">
        <v>0</v>
      </c>
      <c r="AZ94" s="762">
        <v>0</v>
      </c>
      <c r="BA94" s="762">
        <v>0</v>
      </c>
      <c r="BB94" s="762">
        <v>0</v>
      </c>
      <c r="BC94" s="762">
        <v>0</v>
      </c>
      <c r="BD94" s="762">
        <v>0</v>
      </c>
      <c r="BE94" s="762">
        <v>0</v>
      </c>
      <c r="BF94" s="762">
        <v>0</v>
      </c>
      <c r="BG94" s="762">
        <v>0</v>
      </c>
      <c r="BH94" s="762">
        <v>0</v>
      </c>
      <c r="BI94" s="762">
        <v>0</v>
      </c>
      <c r="BJ94" s="790">
        <v>0.5</v>
      </c>
      <c r="BK94" s="790">
        <v>0.4</v>
      </c>
      <c r="BL94" s="790">
        <v>0.1</v>
      </c>
      <c r="BM94" s="790">
        <v>0</v>
      </c>
      <c r="BN94" s="790">
        <v>1</v>
      </c>
      <c r="BO94" s="762">
        <v>-144652</v>
      </c>
      <c r="BP94" s="762">
        <v>-115722</v>
      </c>
      <c r="BQ94" s="762">
        <v>-28930</v>
      </c>
      <c r="BR94" s="762">
        <v>0</v>
      </c>
      <c r="BS94" s="762">
        <v>-289304</v>
      </c>
      <c r="BT94" s="790">
        <v>0.5</v>
      </c>
      <c r="BU94" s="790">
        <v>0.4</v>
      </c>
      <c r="BV94" s="790">
        <v>0.1</v>
      </c>
      <c r="BW94" s="790">
        <v>0</v>
      </c>
      <c r="BX94" s="790">
        <v>1</v>
      </c>
      <c r="BY94" s="762">
        <v>-200871</v>
      </c>
      <c r="BZ94" s="762">
        <v>-160697</v>
      </c>
      <c r="CA94" s="762">
        <v>-40174</v>
      </c>
      <c r="CB94" s="762">
        <v>0</v>
      </c>
      <c r="CC94" s="762">
        <v>-401742</v>
      </c>
      <c r="CD94" s="762">
        <v>-345523</v>
      </c>
      <c r="CE94" s="762">
        <v>-276418</v>
      </c>
      <c r="CF94" s="762">
        <v>-69105</v>
      </c>
      <c r="CG94" s="762">
        <v>0</v>
      </c>
      <c r="CH94" s="762">
        <v>-691046</v>
      </c>
      <c r="CI94" s="762">
        <v>7940968</v>
      </c>
      <c r="CJ94" s="762">
        <v>13518187</v>
      </c>
      <c r="CK94" s="762">
        <v>11200524</v>
      </c>
      <c r="CL94" s="762">
        <v>331460</v>
      </c>
      <c r="CM94" s="762">
        <v>32991139</v>
      </c>
      <c r="CN94" s="762">
        <v>446044</v>
      </c>
      <c r="CO94" s="762">
        <v>367238</v>
      </c>
      <c r="CP94" s="762">
        <v>10801</v>
      </c>
      <c r="CQ94" s="762">
        <v>824083</v>
      </c>
      <c r="CR94" s="762">
        <v>837466</v>
      </c>
      <c r="CS94" s="762">
        <v>711847</v>
      </c>
      <c r="CT94" s="762">
        <v>20937</v>
      </c>
      <c r="CU94" s="762">
        <v>1570250</v>
      </c>
      <c r="CV94" s="762">
        <v>42540</v>
      </c>
      <c r="CW94" s="762">
        <v>36159</v>
      </c>
      <c r="CX94" s="762">
        <v>1063</v>
      </c>
      <c r="CY94" s="762">
        <v>79762</v>
      </c>
      <c r="CZ94" s="762">
        <v>4319</v>
      </c>
      <c r="DA94" s="762">
        <v>3672</v>
      </c>
      <c r="DB94" s="762">
        <v>108</v>
      </c>
      <c r="DC94" s="762">
        <v>8099</v>
      </c>
      <c r="DD94" s="762">
        <v>10959</v>
      </c>
      <c r="DE94" s="762">
        <v>9315</v>
      </c>
      <c r="DF94" s="762">
        <v>274</v>
      </c>
      <c r="DG94" s="762">
        <v>20548</v>
      </c>
      <c r="DH94" s="762">
        <v>0</v>
      </c>
      <c r="DI94" s="762">
        <v>0</v>
      </c>
      <c r="DJ94" s="762">
        <v>0</v>
      </c>
      <c r="DK94" s="762">
        <v>0</v>
      </c>
      <c r="DL94" s="762">
        <v>2669</v>
      </c>
      <c r="DM94" s="762">
        <v>2268</v>
      </c>
      <c r="DN94" s="762">
        <v>67</v>
      </c>
      <c r="DO94" s="762">
        <v>5004</v>
      </c>
      <c r="DP94" s="762">
        <v>7021</v>
      </c>
      <c r="DQ94" s="762">
        <v>5968</v>
      </c>
      <c r="DR94" s="762">
        <v>176</v>
      </c>
      <c r="DS94" s="762">
        <v>13165</v>
      </c>
      <c r="DT94" s="762">
        <v>0</v>
      </c>
      <c r="DU94" s="762">
        <v>0</v>
      </c>
      <c r="DV94" s="762">
        <v>0</v>
      </c>
      <c r="DW94" s="762">
        <v>0</v>
      </c>
      <c r="DX94" s="762">
        <v>0</v>
      </c>
      <c r="DY94" s="762">
        <v>0</v>
      </c>
      <c r="DZ94" s="762">
        <v>0</v>
      </c>
      <c r="EA94" s="762">
        <v>0</v>
      </c>
      <c r="EB94" s="762">
        <v>157333</v>
      </c>
      <c r="EC94" s="762">
        <v>133732</v>
      </c>
      <c r="ED94" s="762">
        <v>3933</v>
      </c>
      <c r="EE94" s="762">
        <v>294998</v>
      </c>
      <c r="EF94" s="762">
        <v>1508351</v>
      </c>
      <c r="EG94" s="762">
        <v>1270199</v>
      </c>
      <c r="EH94" s="762">
        <v>37359</v>
      </c>
      <c r="EI94" s="799">
        <v>2815909</v>
      </c>
      <c r="EJ94" s="763" t="s">
        <v>60</v>
      </c>
      <c r="EK94" s="607" t="s">
        <v>605</v>
      </c>
      <c r="EL94" s="805" t="s">
        <v>556</v>
      </c>
      <c r="EM94" t="s">
        <v>1660</v>
      </c>
    </row>
    <row r="95" spans="1:143" ht="12.75" x14ac:dyDescent="0.2">
      <c r="A95" s="764">
        <v>88</v>
      </c>
      <c r="B95" s="765" t="s">
        <v>63</v>
      </c>
      <c r="C95" s="766" t="s">
        <v>529</v>
      </c>
      <c r="D95" s="767" t="s">
        <v>1225</v>
      </c>
      <c r="E95" s="768" t="s">
        <v>585</v>
      </c>
      <c r="F95" s="761">
        <v>108262263</v>
      </c>
      <c r="G95" s="762">
        <v>0</v>
      </c>
      <c r="H95" s="762">
        <v>6771736</v>
      </c>
      <c r="I95" s="762">
        <v>434144</v>
      </c>
      <c r="J95" s="762">
        <v>0</v>
      </c>
      <c r="K95" s="762">
        <v>434144</v>
      </c>
      <c r="L95" s="762">
        <v>0</v>
      </c>
      <c r="M95" s="762">
        <v>0</v>
      </c>
      <c r="N95" s="762">
        <v>5064085</v>
      </c>
      <c r="O95" s="762">
        <v>5064085</v>
      </c>
      <c r="P95" s="762">
        <v>0</v>
      </c>
      <c r="Q95" s="762">
        <v>0</v>
      </c>
      <c r="R95" s="762">
        <v>95992298</v>
      </c>
      <c r="S95" s="790">
        <v>0.5</v>
      </c>
      <c r="T95" s="790">
        <v>0.49</v>
      </c>
      <c r="U95" s="790">
        <v>0</v>
      </c>
      <c r="V95" s="790">
        <v>0.01</v>
      </c>
      <c r="W95" s="790">
        <v>1</v>
      </c>
      <c r="X95" s="762">
        <v>47996149</v>
      </c>
      <c r="Y95" s="762">
        <v>47036226</v>
      </c>
      <c r="Z95" s="762">
        <v>0</v>
      </c>
      <c r="AA95" s="762">
        <v>959923</v>
      </c>
      <c r="AB95" s="762">
        <v>95992298</v>
      </c>
      <c r="AC95" s="762">
        <v>8001</v>
      </c>
      <c r="AD95" s="762">
        <v>0</v>
      </c>
      <c r="AE95" s="762">
        <v>0</v>
      </c>
      <c r="AF95" s="762">
        <v>0</v>
      </c>
      <c r="AG95" s="762">
        <v>8001</v>
      </c>
      <c r="AH95" s="762">
        <v>47988148</v>
      </c>
      <c r="AI95" s="762">
        <v>47036226</v>
      </c>
      <c r="AJ95" s="762">
        <v>0</v>
      </c>
      <c r="AK95" s="762">
        <v>959923</v>
      </c>
      <c r="AL95" s="762">
        <v>95984297</v>
      </c>
      <c r="AM95" s="762">
        <v>434144</v>
      </c>
      <c r="AN95" s="762">
        <v>434144</v>
      </c>
      <c r="AO95" s="762">
        <v>0</v>
      </c>
      <c r="AP95" s="762">
        <v>0</v>
      </c>
      <c r="AQ95" s="762">
        <v>5064085</v>
      </c>
      <c r="AR95" s="762">
        <v>0</v>
      </c>
      <c r="AS95" s="762">
        <v>5064085</v>
      </c>
      <c r="AT95" s="762">
        <v>0</v>
      </c>
      <c r="AU95" s="762">
        <v>0</v>
      </c>
      <c r="AV95" s="762">
        <v>0</v>
      </c>
      <c r="AW95" s="762">
        <v>0</v>
      </c>
      <c r="AX95" s="762">
        <v>7841</v>
      </c>
      <c r="AY95" s="762">
        <v>0</v>
      </c>
      <c r="AZ95" s="762">
        <v>160</v>
      </c>
      <c r="BA95" s="762">
        <v>8001</v>
      </c>
      <c r="BB95" s="762">
        <v>0</v>
      </c>
      <c r="BC95" s="762">
        <v>0</v>
      </c>
      <c r="BD95" s="762">
        <v>0</v>
      </c>
      <c r="BE95" s="762">
        <v>0</v>
      </c>
      <c r="BF95" s="762">
        <v>0</v>
      </c>
      <c r="BG95" s="762">
        <v>0</v>
      </c>
      <c r="BH95" s="762">
        <v>0</v>
      </c>
      <c r="BI95" s="762">
        <v>0</v>
      </c>
      <c r="BJ95" s="790">
        <v>0.5</v>
      </c>
      <c r="BK95" s="790">
        <v>0.49</v>
      </c>
      <c r="BL95" s="790">
        <v>0</v>
      </c>
      <c r="BM95" s="790">
        <v>0.01</v>
      </c>
      <c r="BN95" s="790">
        <v>1</v>
      </c>
      <c r="BO95" s="762">
        <v>-442366</v>
      </c>
      <c r="BP95" s="762">
        <v>-433519</v>
      </c>
      <c r="BQ95" s="762">
        <v>0</v>
      </c>
      <c r="BR95" s="762">
        <v>-8847</v>
      </c>
      <c r="BS95" s="762">
        <v>-884732</v>
      </c>
      <c r="BT95" s="790">
        <v>0.5</v>
      </c>
      <c r="BU95" s="790">
        <v>0.49</v>
      </c>
      <c r="BV95" s="790">
        <v>0</v>
      </c>
      <c r="BW95" s="790">
        <v>0.01</v>
      </c>
      <c r="BX95" s="790">
        <v>1</v>
      </c>
      <c r="BY95" s="762">
        <v>-652453</v>
      </c>
      <c r="BZ95" s="762">
        <v>-639403</v>
      </c>
      <c r="CA95" s="762">
        <v>0</v>
      </c>
      <c r="CB95" s="762">
        <v>-13049</v>
      </c>
      <c r="CC95" s="762">
        <v>-1304905</v>
      </c>
      <c r="CD95" s="762">
        <v>-1094819</v>
      </c>
      <c r="CE95" s="762">
        <v>-1072922</v>
      </c>
      <c r="CF95" s="762">
        <v>0</v>
      </c>
      <c r="CG95" s="762">
        <v>-21896</v>
      </c>
      <c r="CH95" s="762">
        <v>-2189637</v>
      </c>
      <c r="CI95" s="762">
        <v>46893329</v>
      </c>
      <c r="CJ95" s="762">
        <v>51469374</v>
      </c>
      <c r="CK95" s="762">
        <v>0</v>
      </c>
      <c r="CL95" s="762">
        <v>938187</v>
      </c>
      <c r="CM95" s="762">
        <v>99300890</v>
      </c>
      <c r="CN95" s="762">
        <v>1698025</v>
      </c>
      <c r="CO95" s="762">
        <v>0</v>
      </c>
      <c r="CP95" s="762">
        <v>31286</v>
      </c>
      <c r="CQ95" s="762">
        <v>1729311</v>
      </c>
      <c r="CR95" s="762">
        <v>4342806</v>
      </c>
      <c r="CS95" s="762">
        <v>0</v>
      </c>
      <c r="CT95" s="762">
        <v>88629</v>
      </c>
      <c r="CU95" s="762">
        <v>4431435</v>
      </c>
      <c r="CV95" s="762">
        <v>247589</v>
      </c>
      <c r="CW95" s="762">
        <v>0</v>
      </c>
      <c r="CX95" s="762">
        <v>5053</v>
      </c>
      <c r="CY95" s="762">
        <v>252642</v>
      </c>
      <c r="CZ95" s="762">
        <v>9144</v>
      </c>
      <c r="DA95" s="762">
        <v>0</v>
      </c>
      <c r="DB95" s="762">
        <v>187</v>
      </c>
      <c r="DC95" s="762">
        <v>9331</v>
      </c>
      <c r="DD95" s="762">
        <v>29576</v>
      </c>
      <c r="DE95" s="762">
        <v>0</v>
      </c>
      <c r="DF95" s="762">
        <v>604</v>
      </c>
      <c r="DG95" s="762">
        <v>30180</v>
      </c>
      <c r="DH95" s="762">
        <v>759</v>
      </c>
      <c r="DI95" s="762">
        <v>0</v>
      </c>
      <c r="DJ95" s="762">
        <v>15</v>
      </c>
      <c r="DK95" s="762">
        <v>774</v>
      </c>
      <c r="DL95" s="762">
        <v>79415</v>
      </c>
      <c r="DM95" s="762">
        <v>0</v>
      </c>
      <c r="DN95" s="762">
        <v>1621</v>
      </c>
      <c r="DO95" s="762">
        <v>81036</v>
      </c>
      <c r="DP95" s="762">
        <v>56669</v>
      </c>
      <c r="DQ95" s="762">
        <v>0</v>
      </c>
      <c r="DR95" s="762">
        <v>1156</v>
      </c>
      <c r="DS95" s="762">
        <v>57825</v>
      </c>
      <c r="DT95" s="762">
        <v>0</v>
      </c>
      <c r="DU95" s="762">
        <v>0</v>
      </c>
      <c r="DV95" s="762">
        <v>0</v>
      </c>
      <c r="DW95" s="762">
        <v>0</v>
      </c>
      <c r="DX95" s="762">
        <v>0</v>
      </c>
      <c r="DY95" s="762">
        <v>0</v>
      </c>
      <c r="DZ95" s="762">
        <v>0</v>
      </c>
      <c r="EA95" s="762">
        <v>0</v>
      </c>
      <c r="EB95" s="762">
        <v>1062581</v>
      </c>
      <c r="EC95" s="762">
        <v>0</v>
      </c>
      <c r="ED95" s="762">
        <v>21685</v>
      </c>
      <c r="EE95" s="762">
        <v>1084266</v>
      </c>
      <c r="EF95" s="762">
        <v>7526564</v>
      </c>
      <c r="EG95" s="762">
        <v>0</v>
      </c>
      <c r="EH95" s="762">
        <v>150236</v>
      </c>
      <c r="EI95" s="799">
        <v>7676800</v>
      </c>
      <c r="EJ95" s="763" t="s">
        <v>585</v>
      </c>
      <c r="EK95" s="607" t="s">
        <v>529</v>
      </c>
      <c r="EL95" s="805" t="s">
        <v>586</v>
      </c>
      <c r="EM95" t="s">
        <v>1661</v>
      </c>
    </row>
    <row r="96" spans="1:143" ht="12.75" x14ac:dyDescent="0.2">
      <c r="A96" s="764">
        <v>89</v>
      </c>
      <c r="B96" s="765" t="s">
        <v>68</v>
      </c>
      <c r="C96" s="766" t="s">
        <v>1217</v>
      </c>
      <c r="D96" s="767" t="s">
        <v>1227</v>
      </c>
      <c r="E96" s="768" t="s">
        <v>67</v>
      </c>
      <c r="F96" s="761">
        <v>53070593</v>
      </c>
      <c r="G96" s="762">
        <v>0</v>
      </c>
      <c r="H96" s="762">
        <v>95555</v>
      </c>
      <c r="I96" s="762">
        <v>173359</v>
      </c>
      <c r="J96" s="762">
        <v>0</v>
      </c>
      <c r="K96" s="762">
        <v>173359</v>
      </c>
      <c r="L96" s="762">
        <v>0</v>
      </c>
      <c r="M96" s="762">
        <v>0</v>
      </c>
      <c r="N96" s="762">
        <v>0</v>
      </c>
      <c r="O96" s="762">
        <v>0</v>
      </c>
      <c r="P96" s="762">
        <v>0</v>
      </c>
      <c r="Q96" s="762">
        <v>0</v>
      </c>
      <c r="R96" s="762">
        <v>52801679</v>
      </c>
      <c r="S96" s="790">
        <v>0.25</v>
      </c>
      <c r="T96" s="790">
        <v>0.4</v>
      </c>
      <c r="U96" s="790">
        <v>0.33999999999999997</v>
      </c>
      <c r="V96" s="790">
        <v>0.01</v>
      </c>
      <c r="W96" s="790">
        <v>1</v>
      </c>
      <c r="X96" s="762">
        <v>13200419</v>
      </c>
      <c r="Y96" s="762">
        <v>21120672</v>
      </c>
      <c r="Z96" s="762">
        <v>17952571</v>
      </c>
      <c r="AA96" s="762">
        <v>528017</v>
      </c>
      <c r="AB96" s="762">
        <v>52801679</v>
      </c>
      <c r="AC96" s="762">
        <v>0</v>
      </c>
      <c r="AD96" s="762">
        <v>0</v>
      </c>
      <c r="AE96" s="762">
        <v>0</v>
      </c>
      <c r="AF96" s="762">
        <v>0</v>
      </c>
      <c r="AG96" s="762">
        <v>0</v>
      </c>
      <c r="AH96" s="762">
        <v>13200419</v>
      </c>
      <c r="AI96" s="762">
        <v>21120672</v>
      </c>
      <c r="AJ96" s="762">
        <v>17952571</v>
      </c>
      <c r="AK96" s="762">
        <v>528017</v>
      </c>
      <c r="AL96" s="762">
        <v>52801679</v>
      </c>
      <c r="AM96" s="762">
        <v>173359</v>
      </c>
      <c r="AN96" s="762">
        <v>173359</v>
      </c>
      <c r="AO96" s="762">
        <v>0</v>
      </c>
      <c r="AP96" s="762">
        <v>0</v>
      </c>
      <c r="AQ96" s="762">
        <v>0</v>
      </c>
      <c r="AR96" s="762">
        <v>0</v>
      </c>
      <c r="AS96" s="762">
        <v>0</v>
      </c>
      <c r="AT96" s="762">
        <v>0</v>
      </c>
      <c r="AU96" s="762">
        <v>0</v>
      </c>
      <c r="AV96" s="762">
        <v>0</v>
      </c>
      <c r="AW96" s="762">
        <v>0</v>
      </c>
      <c r="AX96" s="762">
        <v>0</v>
      </c>
      <c r="AY96" s="762">
        <v>0</v>
      </c>
      <c r="AZ96" s="762">
        <v>0</v>
      </c>
      <c r="BA96" s="762">
        <v>0</v>
      </c>
      <c r="BB96" s="762">
        <v>0</v>
      </c>
      <c r="BC96" s="762">
        <v>0</v>
      </c>
      <c r="BD96" s="762">
        <v>0</v>
      </c>
      <c r="BE96" s="762">
        <v>0</v>
      </c>
      <c r="BF96" s="762">
        <v>0</v>
      </c>
      <c r="BG96" s="762">
        <v>0</v>
      </c>
      <c r="BH96" s="762">
        <v>0</v>
      </c>
      <c r="BI96" s="762">
        <v>0</v>
      </c>
      <c r="BJ96" s="790">
        <v>0.5</v>
      </c>
      <c r="BK96" s="790">
        <v>0.4</v>
      </c>
      <c r="BL96" s="790">
        <v>0.09</v>
      </c>
      <c r="BM96" s="790">
        <v>0.01</v>
      </c>
      <c r="BN96" s="790">
        <v>1</v>
      </c>
      <c r="BO96" s="762">
        <v>0</v>
      </c>
      <c r="BP96" s="762">
        <v>0</v>
      </c>
      <c r="BQ96" s="762">
        <v>0</v>
      </c>
      <c r="BR96" s="762">
        <v>0</v>
      </c>
      <c r="BS96" s="762">
        <v>0</v>
      </c>
      <c r="BT96" s="790">
        <v>0.5</v>
      </c>
      <c r="BU96" s="790">
        <v>0.4</v>
      </c>
      <c r="BV96" s="790">
        <v>0.09</v>
      </c>
      <c r="BW96" s="790">
        <v>0.01</v>
      </c>
      <c r="BX96" s="790">
        <v>1</v>
      </c>
      <c r="BY96" s="762">
        <v>983958</v>
      </c>
      <c r="BZ96" s="762">
        <v>787167</v>
      </c>
      <c r="CA96" s="762">
        <v>177113</v>
      </c>
      <c r="CB96" s="762">
        <v>19679</v>
      </c>
      <c r="CC96" s="762">
        <v>1967917</v>
      </c>
      <c r="CD96" s="762">
        <v>983958</v>
      </c>
      <c r="CE96" s="762">
        <v>787167</v>
      </c>
      <c r="CF96" s="762">
        <v>177113</v>
      </c>
      <c r="CG96" s="762">
        <v>19679</v>
      </c>
      <c r="CH96" s="762">
        <v>1967917</v>
      </c>
      <c r="CI96" s="762">
        <v>14184377</v>
      </c>
      <c r="CJ96" s="762">
        <v>22081198</v>
      </c>
      <c r="CK96" s="762">
        <v>18129684</v>
      </c>
      <c r="CL96" s="762">
        <v>547696</v>
      </c>
      <c r="CM96" s="762">
        <v>54942955</v>
      </c>
      <c r="CN96" s="762">
        <v>688250</v>
      </c>
      <c r="CO96" s="762">
        <v>585012</v>
      </c>
      <c r="CP96" s="762">
        <v>17206</v>
      </c>
      <c r="CQ96" s="762">
        <v>1290468</v>
      </c>
      <c r="CR96" s="762">
        <v>1200727</v>
      </c>
      <c r="CS96" s="762">
        <v>1020617</v>
      </c>
      <c r="CT96" s="762">
        <v>30018</v>
      </c>
      <c r="CU96" s="762">
        <v>2251362</v>
      </c>
      <c r="CV96" s="762">
        <v>90751</v>
      </c>
      <c r="CW96" s="762">
        <v>77139</v>
      </c>
      <c r="CX96" s="762">
        <v>2269</v>
      </c>
      <c r="CY96" s="762">
        <v>170159</v>
      </c>
      <c r="CZ96" s="762">
        <v>0</v>
      </c>
      <c r="DA96" s="762">
        <v>0</v>
      </c>
      <c r="DB96" s="762">
        <v>0</v>
      </c>
      <c r="DC96" s="762">
        <v>0</v>
      </c>
      <c r="DD96" s="762">
        <v>1100</v>
      </c>
      <c r="DE96" s="762">
        <v>935</v>
      </c>
      <c r="DF96" s="762">
        <v>28</v>
      </c>
      <c r="DG96" s="762">
        <v>2063</v>
      </c>
      <c r="DH96" s="762">
        <v>620</v>
      </c>
      <c r="DI96" s="762">
        <v>527</v>
      </c>
      <c r="DJ96" s="762">
        <v>15</v>
      </c>
      <c r="DK96" s="762">
        <v>1162</v>
      </c>
      <c r="DL96" s="762">
        <v>923</v>
      </c>
      <c r="DM96" s="762">
        <v>785</v>
      </c>
      <c r="DN96" s="762">
        <v>23</v>
      </c>
      <c r="DO96" s="762">
        <v>1731</v>
      </c>
      <c r="DP96" s="762">
        <v>29281</v>
      </c>
      <c r="DQ96" s="762">
        <v>24889</v>
      </c>
      <c r="DR96" s="762">
        <v>732</v>
      </c>
      <c r="DS96" s="762">
        <v>54902</v>
      </c>
      <c r="DT96" s="762">
        <v>0</v>
      </c>
      <c r="DU96" s="762">
        <v>0</v>
      </c>
      <c r="DV96" s="762">
        <v>0</v>
      </c>
      <c r="DW96" s="762">
        <v>0</v>
      </c>
      <c r="DX96" s="762">
        <v>0</v>
      </c>
      <c r="DY96" s="762">
        <v>0</v>
      </c>
      <c r="DZ96" s="762">
        <v>0</v>
      </c>
      <c r="EA96" s="762">
        <v>0</v>
      </c>
      <c r="EB96" s="762">
        <v>249670</v>
      </c>
      <c r="EC96" s="762">
        <v>212220</v>
      </c>
      <c r="ED96" s="762">
        <v>6242</v>
      </c>
      <c r="EE96" s="762">
        <v>468132</v>
      </c>
      <c r="EF96" s="762">
        <v>2261322</v>
      </c>
      <c r="EG96" s="762">
        <v>1922124</v>
      </c>
      <c r="EH96" s="762">
        <v>56533</v>
      </c>
      <c r="EI96" s="799">
        <v>4239979</v>
      </c>
      <c r="EJ96" s="763" t="s">
        <v>67</v>
      </c>
      <c r="EK96" s="607" t="s">
        <v>614</v>
      </c>
      <c r="EL96" s="805" t="s">
        <v>613</v>
      </c>
      <c r="EM96" t="s">
        <v>1662</v>
      </c>
    </row>
    <row r="97" spans="1:143" ht="12.75" x14ac:dyDescent="0.2">
      <c r="A97" s="764">
        <v>90</v>
      </c>
      <c r="B97" s="765" t="s">
        <v>1148</v>
      </c>
      <c r="C97" s="766" t="s">
        <v>1217</v>
      </c>
      <c r="D97" s="767" t="s">
        <v>1221</v>
      </c>
      <c r="E97" s="768" t="s">
        <v>1147</v>
      </c>
      <c r="F97" s="761">
        <v>92792211</v>
      </c>
      <c r="G97" s="762">
        <v>0</v>
      </c>
      <c r="H97" s="762">
        <v>4374791</v>
      </c>
      <c r="I97" s="762">
        <v>461945</v>
      </c>
      <c r="J97" s="762">
        <v>0</v>
      </c>
      <c r="K97" s="762">
        <v>461945</v>
      </c>
      <c r="L97" s="762">
        <v>0</v>
      </c>
      <c r="M97" s="762">
        <v>242443</v>
      </c>
      <c r="N97" s="762">
        <v>544043</v>
      </c>
      <c r="O97" s="762">
        <v>544043</v>
      </c>
      <c r="P97" s="762">
        <v>0</v>
      </c>
      <c r="Q97" s="762">
        <v>0</v>
      </c>
      <c r="R97" s="762">
        <v>87168989</v>
      </c>
      <c r="S97" s="790">
        <v>0.5</v>
      </c>
      <c r="T97" s="790">
        <v>0.4</v>
      </c>
      <c r="U97" s="790">
        <v>0.1</v>
      </c>
      <c r="V97" s="790">
        <v>0</v>
      </c>
      <c r="W97" s="790">
        <v>1</v>
      </c>
      <c r="X97" s="762">
        <v>43584494</v>
      </c>
      <c r="Y97" s="762">
        <v>34867596</v>
      </c>
      <c r="Z97" s="762">
        <v>8716899</v>
      </c>
      <c r="AA97" s="762">
        <v>0</v>
      </c>
      <c r="AB97" s="762">
        <v>87168989</v>
      </c>
      <c r="AC97" s="762">
        <v>200220</v>
      </c>
      <c r="AD97" s="762">
        <v>0</v>
      </c>
      <c r="AE97" s="762">
        <v>0</v>
      </c>
      <c r="AF97" s="762">
        <v>0</v>
      </c>
      <c r="AG97" s="762">
        <v>200220</v>
      </c>
      <c r="AH97" s="762">
        <v>43384274</v>
      </c>
      <c r="AI97" s="762">
        <v>34867596</v>
      </c>
      <c r="AJ97" s="762">
        <v>8716899</v>
      </c>
      <c r="AK97" s="762">
        <v>0</v>
      </c>
      <c r="AL97" s="762">
        <v>86968769</v>
      </c>
      <c r="AM97" s="762">
        <v>461945</v>
      </c>
      <c r="AN97" s="762">
        <v>461945</v>
      </c>
      <c r="AO97" s="762">
        <v>242443</v>
      </c>
      <c r="AP97" s="762">
        <v>242443</v>
      </c>
      <c r="AQ97" s="762">
        <v>544043</v>
      </c>
      <c r="AR97" s="762">
        <v>0</v>
      </c>
      <c r="AS97" s="762">
        <v>544043</v>
      </c>
      <c r="AT97" s="762">
        <v>0</v>
      </c>
      <c r="AU97" s="762">
        <v>0</v>
      </c>
      <c r="AV97" s="762">
        <v>0</v>
      </c>
      <c r="AW97" s="762">
        <v>0</v>
      </c>
      <c r="AX97" s="762">
        <v>200220</v>
      </c>
      <c r="AY97" s="762">
        <v>0</v>
      </c>
      <c r="AZ97" s="762">
        <v>0</v>
      </c>
      <c r="BA97" s="762">
        <v>200220</v>
      </c>
      <c r="BB97" s="762">
        <v>0</v>
      </c>
      <c r="BC97" s="762">
        <v>0</v>
      </c>
      <c r="BD97" s="762">
        <v>0</v>
      </c>
      <c r="BE97" s="762">
        <v>0</v>
      </c>
      <c r="BF97" s="762">
        <v>0</v>
      </c>
      <c r="BG97" s="762">
        <v>0</v>
      </c>
      <c r="BH97" s="762">
        <v>0</v>
      </c>
      <c r="BI97" s="762">
        <v>0</v>
      </c>
      <c r="BJ97" s="790">
        <v>0</v>
      </c>
      <c r="BK97" s="790">
        <v>0.8</v>
      </c>
      <c r="BL97" s="790">
        <v>0.2</v>
      </c>
      <c r="BM97" s="790">
        <v>0</v>
      </c>
      <c r="BN97" s="790">
        <v>1</v>
      </c>
      <c r="BO97" s="762">
        <v>0</v>
      </c>
      <c r="BP97" s="762">
        <v>732688</v>
      </c>
      <c r="BQ97" s="762">
        <v>183172</v>
      </c>
      <c r="BR97" s="762">
        <v>0</v>
      </c>
      <c r="BS97" s="762">
        <v>915860</v>
      </c>
      <c r="BT97" s="790">
        <v>0.5</v>
      </c>
      <c r="BU97" s="790">
        <v>0.4</v>
      </c>
      <c r="BV97" s="790">
        <v>0.1</v>
      </c>
      <c r="BW97" s="790">
        <v>0</v>
      </c>
      <c r="BX97" s="790">
        <v>1</v>
      </c>
      <c r="BY97" s="762">
        <v>-396062</v>
      </c>
      <c r="BZ97" s="762">
        <v>-316850</v>
      </c>
      <c r="CA97" s="762">
        <v>-79213</v>
      </c>
      <c r="CB97" s="762">
        <v>0</v>
      </c>
      <c r="CC97" s="762">
        <v>-792125</v>
      </c>
      <c r="CD97" s="762">
        <v>-396062</v>
      </c>
      <c r="CE97" s="762">
        <v>415838</v>
      </c>
      <c r="CF97" s="762">
        <v>103959</v>
      </c>
      <c r="CG97" s="762">
        <v>0</v>
      </c>
      <c r="CH97" s="762">
        <v>123735</v>
      </c>
      <c r="CI97" s="762">
        <v>42988212</v>
      </c>
      <c r="CJ97" s="762">
        <v>36732085</v>
      </c>
      <c r="CK97" s="762">
        <v>8820858</v>
      </c>
      <c r="CL97" s="762">
        <v>0</v>
      </c>
      <c r="CM97" s="762">
        <v>88541155</v>
      </c>
      <c r="CN97" s="762">
        <v>1168368</v>
      </c>
      <c r="CO97" s="762">
        <v>284054</v>
      </c>
      <c r="CP97" s="762">
        <v>0</v>
      </c>
      <c r="CQ97" s="762">
        <v>1452422</v>
      </c>
      <c r="CR97" s="762">
        <v>2842988</v>
      </c>
      <c r="CS97" s="762">
        <v>708919</v>
      </c>
      <c r="CT97" s="762">
        <v>0</v>
      </c>
      <c r="CU97" s="762">
        <v>3551907</v>
      </c>
      <c r="CV97" s="762">
        <v>141367</v>
      </c>
      <c r="CW97" s="762">
        <v>34977</v>
      </c>
      <c r="CX97" s="762">
        <v>0</v>
      </c>
      <c r="CY97" s="762">
        <v>176344</v>
      </c>
      <c r="CZ97" s="762">
        <v>1014</v>
      </c>
      <c r="DA97" s="762">
        <v>254</v>
      </c>
      <c r="DB97" s="762">
        <v>0</v>
      </c>
      <c r="DC97" s="762">
        <v>1268</v>
      </c>
      <c r="DD97" s="762">
        <v>26482</v>
      </c>
      <c r="DE97" s="762">
        <v>6620</v>
      </c>
      <c r="DF97" s="762">
        <v>0</v>
      </c>
      <c r="DG97" s="762">
        <v>33102</v>
      </c>
      <c r="DH97" s="762">
        <v>619</v>
      </c>
      <c r="DI97" s="762">
        <v>155</v>
      </c>
      <c r="DJ97" s="762">
        <v>0</v>
      </c>
      <c r="DK97" s="762">
        <v>774</v>
      </c>
      <c r="DL97" s="762">
        <v>70288</v>
      </c>
      <c r="DM97" s="762">
        <v>17572</v>
      </c>
      <c r="DN97" s="762">
        <v>0</v>
      </c>
      <c r="DO97" s="762">
        <v>87860</v>
      </c>
      <c r="DP97" s="762">
        <v>67946</v>
      </c>
      <c r="DQ97" s="762">
        <v>16987</v>
      </c>
      <c r="DR97" s="762">
        <v>0</v>
      </c>
      <c r="DS97" s="762">
        <v>84933</v>
      </c>
      <c r="DT97" s="762">
        <v>0</v>
      </c>
      <c r="DU97" s="762">
        <v>0</v>
      </c>
      <c r="DV97" s="762">
        <v>0</v>
      </c>
      <c r="DW97" s="762">
        <v>0</v>
      </c>
      <c r="DX97" s="762">
        <v>0</v>
      </c>
      <c r="DY97" s="762">
        <v>0</v>
      </c>
      <c r="DZ97" s="762">
        <v>0</v>
      </c>
      <c r="EA97" s="762">
        <v>0</v>
      </c>
      <c r="EB97" s="762">
        <v>950177</v>
      </c>
      <c r="EC97" s="762">
        <v>237544</v>
      </c>
      <c r="ED97" s="762">
        <v>0</v>
      </c>
      <c r="EE97" s="762">
        <v>1187721</v>
      </c>
      <c r="EF97" s="762">
        <v>5269249</v>
      </c>
      <c r="EG97" s="762">
        <v>1307082</v>
      </c>
      <c r="EH97" s="762">
        <v>0</v>
      </c>
      <c r="EI97" s="799">
        <v>6576331</v>
      </c>
      <c r="EJ97" s="763" t="s">
        <v>1147</v>
      </c>
      <c r="EK97" s="607" t="s">
        <v>615</v>
      </c>
      <c r="EL97" s="805" t="s">
        <v>556</v>
      </c>
      <c r="EM97" t="s">
        <v>1663</v>
      </c>
    </row>
    <row r="98" spans="1:143" ht="12.75" x14ac:dyDescent="0.2">
      <c r="A98" s="764">
        <v>91</v>
      </c>
      <c r="B98" s="765" t="s">
        <v>70</v>
      </c>
      <c r="C98" s="766" t="s">
        <v>1217</v>
      </c>
      <c r="D98" s="767" t="s">
        <v>1218</v>
      </c>
      <c r="E98" s="768" t="s">
        <v>69</v>
      </c>
      <c r="F98" s="761">
        <v>34807810</v>
      </c>
      <c r="G98" s="762">
        <v>475291</v>
      </c>
      <c r="H98" s="762">
        <v>0</v>
      </c>
      <c r="I98" s="762">
        <v>128773</v>
      </c>
      <c r="J98" s="762">
        <v>0</v>
      </c>
      <c r="K98" s="762">
        <v>128773</v>
      </c>
      <c r="L98" s="762">
        <v>0</v>
      </c>
      <c r="M98" s="762">
        <v>0</v>
      </c>
      <c r="N98" s="762">
        <v>0</v>
      </c>
      <c r="O98" s="762">
        <v>0</v>
      </c>
      <c r="P98" s="762">
        <v>0</v>
      </c>
      <c r="Q98" s="762">
        <v>0</v>
      </c>
      <c r="R98" s="762">
        <v>35154328</v>
      </c>
      <c r="S98" s="790">
        <v>0.24999999999999994</v>
      </c>
      <c r="T98" s="790">
        <v>0.44</v>
      </c>
      <c r="U98" s="790">
        <v>0.26</v>
      </c>
      <c r="V98" s="790">
        <v>0.05</v>
      </c>
      <c r="W98" s="790">
        <v>1</v>
      </c>
      <c r="X98" s="762">
        <v>8788583</v>
      </c>
      <c r="Y98" s="762">
        <v>15467904</v>
      </c>
      <c r="Z98" s="762">
        <v>9140125</v>
      </c>
      <c r="AA98" s="762">
        <v>1757716</v>
      </c>
      <c r="AB98" s="762">
        <v>35154328</v>
      </c>
      <c r="AC98" s="762">
        <v>0</v>
      </c>
      <c r="AD98" s="762">
        <v>0</v>
      </c>
      <c r="AE98" s="762">
        <v>0</v>
      </c>
      <c r="AF98" s="762">
        <v>0</v>
      </c>
      <c r="AG98" s="762">
        <v>0</v>
      </c>
      <c r="AH98" s="762">
        <v>8788583</v>
      </c>
      <c r="AI98" s="762">
        <v>15467904</v>
      </c>
      <c r="AJ98" s="762">
        <v>9140125</v>
      </c>
      <c r="AK98" s="762">
        <v>1757716</v>
      </c>
      <c r="AL98" s="762">
        <v>35154328</v>
      </c>
      <c r="AM98" s="762">
        <v>128773</v>
      </c>
      <c r="AN98" s="762">
        <v>128773</v>
      </c>
      <c r="AO98" s="762">
        <v>0</v>
      </c>
      <c r="AP98" s="762">
        <v>0</v>
      </c>
      <c r="AQ98" s="762">
        <v>0</v>
      </c>
      <c r="AR98" s="762">
        <v>0</v>
      </c>
      <c r="AS98" s="762">
        <v>0</v>
      </c>
      <c r="AT98" s="762">
        <v>0</v>
      </c>
      <c r="AU98" s="762">
        <v>0</v>
      </c>
      <c r="AV98" s="762">
        <v>0</v>
      </c>
      <c r="AW98" s="762">
        <v>0</v>
      </c>
      <c r="AX98" s="762">
        <v>0</v>
      </c>
      <c r="AY98" s="762">
        <v>0</v>
      </c>
      <c r="AZ98" s="762">
        <v>0</v>
      </c>
      <c r="BA98" s="762">
        <v>0</v>
      </c>
      <c r="BB98" s="762">
        <v>0</v>
      </c>
      <c r="BC98" s="762">
        <v>0</v>
      </c>
      <c r="BD98" s="762">
        <v>0</v>
      </c>
      <c r="BE98" s="762">
        <v>0</v>
      </c>
      <c r="BF98" s="762">
        <v>0</v>
      </c>
      <c r="BG98" s="762">
        <v>0</v>
      </c>
      <c r="BH98" s="762">
        <v>0</v>
      </c>
      <c r="BI98" s="762">
        <v>0</v>
      </c>
      <c r="BJ98" s="790">
        <v>0.5</v>
      </c>
      <c r="BK98" s="790">
        <v>0.4</v>
      </c>
      <c r="BL98" s="790">
        <v>0.09</v>
      </c>
      <c r="BM98" s="790">
        <v>0.01</v>
      </c>
      <c r="BN98" s="790">
        <v>1</v>
      </c>
      <c r="BO98" s="762">
        <v>-637240</v>
      </c>
      <c r="BP98" s="762">
        <v>-509792</v>
      </c>
      <c r="BQ98" s="762">
        <v>-114703</v>
      </c>
      <c r="BR98" s="762">
        <v>-12745</v>
      </c>
      <c r="BS98" s="762">
        <v>-1274480</v>
      </c>
      <c r="BT98" s="790">
        <v>0.5</v>
      </c>
      <c r="BU98" s="790">
        <v>0.4</v>
      </c>
      <c r="BV98" s="790">
        <v>0.09</v>
      </c>
      <c r="BW98" s="790">
        <v>0.01</v>
      </c>
      <c r="BX98" s="790">
        <v>1</v>
      </c>
      <c r="BY98" s="762">
        <v>-276216</v>
      </c>
      <c r="BZ98" s="762">
        <v>-220973</v>
      </c>
      <c r="CA98" s="762">
        <v>-49719</v>
      </c>
      <c r="CB98" s="762">
        <v>-5524</v>
      </c>
      <c r="CC98" s="762">
        <v>-552432</v>
      </c>
      <c r="CD98" s="762">
        <v>-913456</v>
      </c>
      <c r="CE98" s="762">
        <v>-730765</v>
      </c>
      <c r="CF98" s="762">
        <v>-164422</v>
      </c>
      <c r="CG98" s="762">
        <v>-18269</v>
      </c>
      <c r="CH98" s="762">
        <v>-1826912</v>
      </c>
      <c r="CI98" s="762">
        <v>7875127</v>
      </c>
      <c r="CJ98" s="762">
        <v>14865912</v>
      </c>
      <c r="CK98" s="762">
        <v>8975703</v>
      </c>
      <c r="CL98" s="762">
        <v>1739447</v>
      </c>
      <c r="CM98" s="762">
        <v>33456189</v>
      </c>
      <c r="CN98" s="762">
        <v>504046</v>
      </c>
      <c r="CO98" s="762">
        <v>297845</v>
      </c>
      <c r="CP98" s="762">
        <v>57278</v>
      </c>
      <c r="CQ98" s="762">
        <v>859169</v>
      </c>
      <c r="CR98" s="762">
        <v>1109268</v>
      </c>
      <c r="CS98" s="762">
        <v>655476</v>
      </c>
      <c r="CT98" s="762">
        <v>126053</v>
      </c>
      <c r="CU98" s="762">
        <v>1890797</v>
      </c>
      <c r="CV98" s="762">
        <v>81660</v>
      </c>
      <c r="CW98" s="762">
        <v>48253</v>
      </c>
      <c r="CX98" s="762">
        <v>9280</v>
      </c>
      <c r="CY98" s="762">
        <v>139193</v>
      </c>
      <c r="CZ98" s="762">
        <v>0</v>
      </c>
      <c r="DA98" s="762">
        <v>0</v>
      </c>
      <c r="DB98" s="762">
        <v>0</v>
      </c>
      <c r="DC98" s="762">
        <v>0</v>
      </c>
      <c r="DD98" s="762">
        <v>0</v>
      </c>
      <c r="DE98" s="762">
        <v>0</v>
      </c>
      <c r="DF98" s="762">
        <v>0</v>
      </c>
      <c r="DG98" s="762">
        <v>0</v>
      </c>
      <c r="DH98" s="762">
        <v>0</v>
      </c>
      <c r="DI98" s="762">
        <v>0</v>
      </c>
      <c r="DJ98" s="762">
        <v>0</v>
      </c>
      <c r="DK98" s="762">
        <v>0</v>
      </c>
      <c r="DL98" s="762">
        <v>24787</v>
      </c>
      <c r="DM98" s="762">
        <v>14647</v>
      </c>
      <c r="DN98" s="762">
        <v>2817</v>
      </c>
      <c r="DO98" s="762">
        <v>42251</v>
      </c>
      <c r="DP98" s="762">
        <v>26739</v>
      </c>
      <c r="DQ98" s="762">
        <v>15800</v>
      </c>
      <c r="DR98" s="762">
        <v>3039</v>
      </c>
      <c r="DS98" s="762">
        <v>45578</v>
      </c>
      <c r="DT98" s="762">
        <v>0</v>
      </c>
      <c r="DU98" s="762">
        <v>0</v>
      </c>
      <c r="DV98" s="762">
        <v>0</v>
      </c>
      <c r="DW98" s="762">
        <v>0</v>
      </c>
      <c r="DX98" s="762">
        <v>0</v>
      </c>
      <c r="DY98" s="762">
        <v>0</v>
      </c>
      <c r="DZ98" s="762">
        <v>0</v>
      </c>
      <c r="EA98" s="762">
        <v>0</v>
      </c>
      <c r="EB98" s="762">
        <v>394725</v>
      </c>
      <c r="EC98" s="762">
        <v>233247</v>
      </c>
      <c r="ED98" s="762">
        <v>44855</v>
      </c>
      <c r="EE98" s="762">
        <v>672827</v>
      </c>
      <c r="EF98" s="762">
        <v>2141225</v>
      </c>
      <c r="EG98" s="762">
        <v>1265268</v>
      </c>
      <c r="EH98" s="762">
        <v>243322</v>
      </c>
      <c r="EI98" s="799">
        <v>3649815</v>
      </c>
      <c r="EJ98" s="763" t="s">
        <v>69</v>
      </c>
      <c r="EK98" s="607" t="s">
        <v>571</v>
      </c>
      <c r="EL98" s="805" t="s">
        <v>570</v>
      </c>
      <c r="EM98" t="s">
        <v>1664</v>
      </c>
    </row>
    <row r="99" spans="1:143" ht="12.75" x14ac:dyDescent="0.2">
      <c r="A99" s="764">
        <v>92</v>
      </c>
      <c r="B99" s="765" t="s">
        <v>72</v>
      </c>
      <c r="C99" s="766" t="s">
        <v>1217</v>
      </c>
      <c r="D99" s="767" t="s">
        <v>1218</v>
      </c>
      <c r="E99" s="768" t="s">
        <v>71</v>
      </c>
      <c r="F99" s="761">
        <v>58531889</v>
      </c>
      <c r="G99" s="762">
        <v>0</v>
      </c>
      <c r="H99" s="762">
        <v>419940</v>
      </c>
      <c r="I99" s="762">
        <v>147506</v>
      </c>
      <c r="J99" s="762">
        <v>0</v>
      </c>
      <c r="K99" s="762">
        <v>147506</v>
      </c>
      <c r="L99" s="762">
        <v>0</v>
      </c>
      <c r="M99" s="762">
        <v>0</v>
      </c>
      <c r="N99" s="762">
        <v>0</v>
      </c>
      <c r="O99" s="762">
        <v>0</v>
      </c>
      <c r="P99" s="762">
        <v>0</v>
      </c>
      <c r="Q99" s="762">
        <v>0</v>
      </c>
      <c r="R99" s="762">
        <v>57964443</v>
      </c>
      <c r="S99" s="790">
        <v>0.5</v>
      </c>
      <c r="T99" s="790">
        <v>0.4</v>
      </c>
      <c r="U99" s="790">
        <v>0.09</v>
      </c>
      <c r="V99" s="790">
        <v>0.01</v>
      </c>
      <c r="W99" s="790">
        <v>1</v>
      </c>
      <c r="X99" s="762">
        <v>28982222</v>
      </c>
      <c r="Y99" s="762">
        <v>23185777</v>
      </c>
      <c r="Z99" s="762">
        <v>5216800</v>
      </c>
      <c r="AA99" s="762">
        <v>579644</v>
      </c>
      <c r="AB99" s="762">
        <v>57964443</v>
      </c>
      <c r="AC99" s="762">
        <v>0</v>
      </c>
      <c r="AD99" s="762">
        <v>0</v>
      </c>
      <c r="AE99" s="762">
        <v>0</v>
      </c>
      <c r="AF99" s="762">
        <v>0</v>
      </c>
      <c r="AG99" s="762">
        <v>0</v>
      </c>
      <c r="AH99" s="762">
        <v>28982222</v>
      </c>
      <c r="AI99" s="762">
        <v>23185777</v>
      </c>
      <c r="AJ99" s="762">
        <v>5216800</v>
      </c>
      <c r="AK99" s="762">
        <v>579644</v>
      </c>
      <c r="AL99" s="762">
        <v>57964443</v>
      </c>
      <c r="AM99" s="762">
        <v>147506</v>
      </c>
      <c r="AN99" s="762">
        <v>147506</v>
      </c>
      <c r="AO99" s="762">
        <v>0</v>
      </c>
      <c r="AP99" s="762">
        <v>0</v>
      </c>
      <c r="AQ99" s="762">
        <v>0</v>
      </c>
      <c r="AR99" s="762">
        <v>0</v>
      </c>
      <c r="AS99" s="762">
        <v>0</v>
      </c>
      <c r="AT99" s="762">
        <v>0</v>
      </c>
      <c r="AU99" s="762">
        <v>0</v>
      </c>
      <c r="AV99" s="762">
        <v>0</v>
      </c>
      <c r="AW99" s="762">
        <v>0</v>
      </c>
      <c r="AX99" s="762">
        <v>0</v>
      </c>
      <c r="AY99" s="762">
        <v>0</v>
      </c>
      <c r="AZ99" s="762">
        <v>0</v>
      </c>
      <c r="BA99" s="762">
        <v>0</v>
      </c>
      <c r="BB99" s="762">
        <v>0</v>
      </c>
      <c r="BC99" s="762">
        <v>0</v>
      </c>
      <c r="BD99" s="762">
        <v>0</v>
      </c>
      <c r="BE99" s="762">
        <v>0</v>
      </c>
      <c r="BF99" s="762">
        <v>0</v>
      </c>
      <c r="BG99" s="762">
        <v>0</v>
      </c>
      <c r="BH99" s="762">
        <v>0</v>
      </c>
      <c r="BI99" s="762">
        <v>0</v>
      </c>
      <c r="BJ99" s="790">
        <v>0.5</v>
      </c>
      <c r="BK99" s="790">
        <v>0.4</v>
      </c>
      <c r="BL99" s="790">
        <v>0.09</v>
      </c>
      <c r="BM99" s="790">
        <v>0.01</v>
      </c>
      <c r="BN99" s="790">
        <v>1</v>
      </c>
      <c r="BO99" s="762">
        <v>-671167</v>
      </c>
      <c r="BP99" s="762">
        <v>-536934</v>
      </c>
      <c r="BQ99" s="762">
        <v>-120810</v>
      </c>
      <c r="BR99" s="762">
        <v>-13423</v>
      </c>
      <c r="BS99" s="762">
        <v>-1342334</v>
      </c>
      <c r="BT99" s="790">
        <v>0.5</v>
      </c>
      <c r="BU99" s="790">
        <v>0.4</v>
      </c>
      <c r="BV99" s="790">
        <v>0.09</v>
      </c>
      <c r="BW99" s="790">
        <v>0.01</v>
      </c>
      <c r="BX99" s="790">
        <v>1</v>
      </c>
      <c r="BY99" s="762">
        <v>495703</v>
      </c>
      <c r="BZ99" s="762">
        <v>396562</v>
      </c>
      <c r="CA99" s="762">
        <v>89226</v>
      </c>
      <c r="CB99" s="762">
        <v>9914</v>
      </c>
      <c r="CC99" s="762">
        <v>991405</v>
      </c>
      <c r="CD99" s="762">
        <v>-175464</v>
      </c>
      <c r="CE99" s="762">
        <v>-140372</v>
      </c>
      <c r="CF99" s="762">
        <v>-31584</v>
      </c>
      <c r="CG99" s="762">
        <v>-3509</v>
      </c>
      <c r="CH99" s="762">
        <v>-350929</v>
      </c>
      <c r="CI99" s="762">
        <v>28806758</v>
      </c>
      <c r="CJ99" s="762">
        <v>23192911</v>
      </c>
      <c r="CK99" s="762">
        <v>5185216</v>
      </c>
      <c r="CL99" s="762">
        <v>576135</v>
      </c>
      <c r="CM99" s="762">
        <v>57761020</v>
      </c>
      <c r="CN99" s="762">
        <v>755545</v>
      </c>
      <c r="CO99" s="762">
        <v>169998</v>
      </c>
      <c r="CP99" s="762">
        <v>18889</v>
      </c>
      <c r="CQ99" s="762">
        <v>944432</v>
      </c>
      <c r="CR99" s="762">
        <v>898222</v>
      </c>
      <c r="CS99" s="762">
        <v>202100</v>
      </c>
      <c r="CT99" s="762">
        <v>22456</v>
      </c>
      <c r="CU99" s="762">
        <v>1122778</v>
      </c>
      <c r="CV99" s="762">
        <v>103784</v>
      </c>
      <c r="CW99" s="762">
        <v>23352</v>
      </c>
      <c r="CX99" s="762">
        <v>2595</v>
      </c>
      <c r="CY99" s="762">
        <v>129731</v>
      </c>
      <c r="CZ99" s="762">
        <v>5344</v>
      </c>
      <c r="DA99" s="762">
        <v>1202</v>
      </c>
      <c r="DB99" s="762">
        <v>134</v>
      </c>
      <c r="DC99" s="762">
        <v>6680</v>
      </c>
      <c r="DD99" s="762">
        <v>0</v>
      </c>
      <c r="DE99" s="762">
        <v>0</v>
      </c>
      <c r="DF99" s="762">
        <v>0</v>
      </c>
      <c r="DG99" s="762">
        <v>0</v>
      </c>
      <c r="DH99" s="762">
        <v>0</v>
      </c>
      <c r="DI99" s="762">
        <v>0</v>
      </c>
      <c r="DJ99" s="762">
        <v>0</v>
      </c>
      <c r="DK99" s="762">
        <v>0</v>
      </c>
      <c r="DL99" s="762">
        <v>2965</v>
      </c>
      <c r="DM99" s="762">
        <v>667</v>
      </c>
      <c r="DN99" s="762">
        <v>74</v>
      </c>
      <c r="DO99" s="762">
        <v>3706</v>
      </c>
      <c r="DP99" s="762">
        <v>13820</v>
      </c>
      <c r="DQ99" s="762">
        <v>3110</v>
      </c>
      <c r="DR99" s="762">
        <v>346</v>
      </c>
      <c r="DS99" s="762">
        <v>17276</v>
      </c>
      <c r="DT99" s="762">
        <v>0</v>
      </c>
      <c r="DU99" s="762">
        <v>0</v>
      </c>
      <c r="DV99" s="762">
        <v>0</v>
      </c>
      <c r="DW99" s="762">
        <v>0</v>
      </c>
      <c r="DX99" s="762">
        <v>0</v>
      </c>
      <c r="DY99" s="762">
        <v>0</v>
      </c>
      <c r="DZ99" s="762">
        <v>0</v>
      </c>
      <c r="EA99" s="762">
        <v>0</v>
      </c>
      <c r="EB99" s="762">
        <v>793627</v>
      </c>
      <c r="EC99" s="762">
        <v>178566</v>
      </c>
      <c r="ED99" s="762">
        <v>19841</v>
      </c>
      <c r="EE99" s="762">
        <v>992034</v>
      </c>
      <c r="EF99" s="762">
        <v>2573307</v>
      </c>
      <c r="EG99" s="762">
        <v>578995</v>
      </c>
      <c r="EH99" s="762">
        <v>64335</v>
      </c>
      <c r="EI99" s="799">
        <v>3216637</v>
      </c>
      <c r="EJ99" s="763" t="s">
        <v>71</v>
      </c>
      <c r="EK99" s="607" t="s">
        <v>580</v>
      </c>
      <c r="EL99" s="805" t="s">
        <v>578</v>
      </c>
      <c r="EM99" t="s">
        <v>1665</v>
      </c>
    </row>
    <row r="100" spans="1:143" ht="12.75" x14ac:dyDescent="0.2">
      <c r="A100" s="764">
        <v>93</v>
      </c>
      <c r="B100" s="765" t="s">
        <v>74</v>
      </c>
      <c r="C100" s="766" t="s">
        <v>1217</v>
      </c>
      <c r="D100" s="767" t="s">
        <v>1219</v>
      </c>
      <c r="E100" s="768" t="s">
        <v>73</v>
      </c>
      <c r="F100" s="761">
        <v>21478900</v>
      </c>
      <c r="G100" s="762">
        <v>320300</v>
      </c>
      <c r="H100" s="762">
        <v>0</v>
      </c>
      <c r="I100" s="762">
        <v>126002</v>
      </c>
      <c r="J100" s="762">
        <v>0</v>
      </c>
      <c r="K100" s="762">
        <v>126002</v>
      </c>
      <c r="L100" s="762">
        <v>0</v>
      </c>
      <c r="M100" s="762">
        <v>0</v>
      </c>
      <c r="N100" s="762">
        <v>0</v>
      </c>
      <c r="O100" s="762">
        <v>0</v>
      </c>
      <c r="P100" s="762">
        <v>0</v>
      </c>
      <c r="Q100" s="762">
        <v>0</v>
      </c>
      <c r="R100" s="762">
        <v>21673198</v>
      </c>
      <c r="S100" s="790">
        <v>0.5</v>
      </c>
      <c r="T100" s="790">
        <v>0.4</v>
      </c>
      <c r="U100" s="790">
        <v>0.1</v>
      </c>
      <c r="V100" s="790">
        <v>0</v>
      </c>
      <c r="W100" s="790">
        <v>1</v>
      </c>
      <c r="X100" s="762">
        <v>10836599</v>
      </c>
      <c r="Y100" s="762">
        <v>8669279</v>
      </c>
      <c r="Z100" s="762">
        <v>2167320</v>
      </c>
      <c r="AA100" s="762">
        <v>0</v>
      </c>
      <c r="AB100" s="762">
        <v>21673198</v>
      </c>
      <c r="AC100" s="762">
        <v>0</v>
      </c>
      <c r="AD100" s="762">
        <v>0</v>
      </c>
      <c r="AE100" s="762">
        <v>0</v>
      </c>
      <c r="AF100" s="762">
        <v>0</v>
      </c>
      <c r="AG100" s="762">
        <v>0</v>
      </c>
      <c r="AH100" s="762">
        <v>10836599</v>
      </c>
      <c r="AI100" s="762">
        <v>8669279</v>
      </c>
      <c r="AJ100" s="762">
        <v>2167320</v>
      </c>
      <c r="AK100" s="762">
        <v>0</v>
      </c>
      <c r="AL100" s="762">
        <v>21673198</v>
      </c>
      <c r="AM100" s="762">
        <v>126002</v>
      </c>
      <c r="AN100" s="762">
        <v>126002</v>
      </c>
      <c r="AO100" s="762">
        <v>0</v>
      </c>
      <c r="AP100" s="762">
        <v>0</v>
      </c>
      <c r="AQ100" s="762">
        <v>0</v>
      </c>
      <c r="AR100" s="762">
        <v>0</v>
      </c>
      <c r="AS100" s="762">
        <v>0</v>
      </c>
      <c r="AT100" s="762">
        <v>0</v>
      </c>
      <c r="AU100" s="762">
        <v>0</v>
      </c>
      <c r="AV100" s="762">
        <v>0</v>
      </c>
      <c r="AW100" s="762">
        <v>0</v>
      </c>
      <c r="AX100" s="762">
        <v>0</v>
      </c>
      <c r="AY100" s="762">
        <v>0</v>
      </c>
      <c r="AZ100" s="762">
        <v>0</v>
      </c>
      <c r="BA100" s="762">
        <v>0</v>
      </c>
      <c r="BB100" s="762">
        <v>0</v>
      </c>
      <c r="BC100" s="762">
        <v>0</v>
      </c>
      <c r="BD100" s="762">
        <v>0</v>
      </c>
      <c r="BE100" s="762">
        <v>0</v>
      </c>
      <c r="BF100" s="762">
        <v>0</v>
      </c>
      <c r="BG100" s="762">
        <v>0</v>
      </c>
      <c r="BH100" s="762">
        <v>0</v>
      </c>
      <c r="BI100" s="762">
        <v>0</v>
      </c>
      <c r="BJ100" s="790">
        <v>0.5</v>
      </c>
      <c r="BK100" s="790">
        <v>0.4</v>
      </c>
      <c r="BL100" s="790">
        <v>0.1</v>
      </c>
      <c r="BM100" s="790">
        <v>0</v>
      </c>
      <c r="BN100" s="790">
        <v>1</v>
      </c>
      <c r="BO100" s="762">
        <v>-475358</v>
      </c>
      <c r="BP100" s="762">
        <v>-380287</v>
      </c>
      <c r="BQ100" s="762">
        <v>-95072</v>
      </c>
      <c r="BR100" s="762">
        <v>0</v>
      </c>
      <c r="BS100" s="762">
        <v>-950717</v>
      </c>
      <c r="BT100" s="790">
        <v>0.5</v>
      </c>
      <c r="BU100" s="790">
        <v>0.4</v>
      </c>
      <c r="BV100" s="790">
        <v>0.1</v>
      </c>
      <c r="BW100" s="790">
        <v>0</v>
      </c>
      <c r="BX100" s="790">
        <v>1</v>
      </c>
      <c r="BY100" s="762">
        <v>190122</v>
      </c>
      <c r="BZ100" s="762">
        <v>152098</v>
      </c>
      <c r="CA100" s="762">
        <v>38025</v>
      </c>
      <c r="CB100" s="762">
        <v>0</v>
      </c>
      <c r="CC100" s="762">
        <v>380245</v>
      </c>
      <c r="CD100" s="762">
        <v>-285236</v>
      </c>
      <c r="CE100" s="762">
        <v>-228189</v>
      </c>
      <c r="CF100" s="762">
        <v>-57047</v>
      </c>
      <c r="CG100" s="762">
        <v>0</v>
      </c>
      <c r="CH100" s="762">
        <v>-570472</v>
      </c>
      <c r="CI100" s="762">
        <v>10551363</v>
      </c>
      <c r="CJ100" s="762">
        <v>8567092</v>
      </c>
      <c r="CK100" s="762">
        <v>2110273</v>
      </c>
      <c r="CL100" s="762">
        <v>0</v>
      </c>
      <c r="CM100" s="762">
        <v>21228728</v>
      </c>
      <c r="CN100" s="762">
        <v>282502</v>
      </c>
      <c r="CO100" s="762">
        <v>70625</v>
      </c>
      <c r="CP100" s="762">
        <v>0</v>
      </c>
      <c r="CQ100" s="762">
        <v>353127</v>
      </c>
      <c r="CR100" s="762">
        <v>972848</v>
      </c>
      <c r="CS100" s="762">
        <v>243212</v>
      </c>
      <c r="CT100" s="762">
        <v>0</v>
      </c>
      <c r="CU100" s="762">
        <v>1216060</v>
      </c>
      <c r="CV100" s="762">
        <v>41503</v>
      </c>
      <c r="CW100" s="762">
        <v>10376</v>
      </c>
      <c r="CX100" s="762">
        <v>0</v>
      </c>
      <c r="CY100" s="762">
        <v>51879</v>
      </c>
      <c r="CZ100" s="762">
        <v>0</v>
      </c>
      <c r="DA100" s="762">
        <v>0</v>
      </c>
      <c r="DB100" s="762">
        <v>0</v>
      </c>
      <c r="DC100" s="762">
        <v>0</v>
      </c>
      <c r="DD100" s="762">
        <v>26234</v>
      </c>
      <c r="DE100" s="762">
        <v>6558</v>
      </c>
      <c r="DF100" s="762">
        <v>0</v>
      </c>
      <c r="DG100" s="762">
        <v>32792</v>
      </c>
      <c r="DH100" s="762">
        <v>619</v>
      </c>
      <c r="DI100" s="762">
        <v>155</v>
      </c>
      <c r="DJ100" s="762">
        <v>0</v>
      </c>
      <c r="DK100" s="762">
        <v>774</v>
      </c>
      <c r="DL100" s="762">
        <v>2840</v>
      </c>
      <c r="DM100" s="762">
        <v>710</v>
      </c>
      <c r="DN100" s="762">
        <v>0</v>
      </c>
      <c r="DO100" s="762">
        <v>3550</v>
      </c>
      <c r="DP100" s="762">
        <v>7213</v>
      </c>
      <c r="DQ100" s="762">
        <v>1803</v>
      </c>
      <c r="DR100" s="762">
        <v>0</v>
      </c>
      <c r="DS100" s="762">
        <v>9016</v>
      </c>
      <c r="DT100" s="762">
        <v>0</v>
      </c>
      <c r="DU100" s="762">
        <v>0</v>
      </c>
      <c r="DV100" s="762">
        <v>0</v>
      </c>
      <c r="DW100" s="762">
        <v>0</v>
      </c>
      <c r="DX100" s="762">
        <v>0</v>
      </c>
      <c r="DY100" s="762">
        <v>0</v>
      </c>
      <c r="DZ100" s="762">
        <v>0</v>
      </c>
      <c r="EA100" s="762">
        <v>0</v>
      </c>
      <c r="EB100" s="762">
        <v>171152</v>
      </c>
      <c r="EC100" s="762">
        <v>42788</v>
      </c>
      <c r="ED100" s="762">
        <v>0</v>
      </c>
      <c r="EE100" s="762">
        <v>213940</v>
      </c>
      <c r="EF100" s="762">
        <v>1504911</v>
      </c>
      <c r="EG100" s="762">
        <v>376227</v>
      </c>
      <c r="EH100" s="762">
        <v>0</v>
      </c>
      <c r="EI100" s="799">
        <v>1881138</v>
      </c>
      <c r="EJ100" s="763" t="s">
        <v>73</v>
      </c>
      <c r="EK100" s="607" t="s">
        <v>557</v>
      </c>
      <c r="EL100" s="805" t="s">
        <v>556</v>
      </c>
      <c r="EM100" t="s">
        <v>1666</v>
      </c>
    </row>
    <row r="101" spans="1:143" ht="12.75" x14ac:dyDescent="0.2">
      <c r="A101" s="764">
        <v>94</v>
      </c>
      <c r="B101" s="765" t="s">
        <v>76</v>
      </c>
      <c r="C101" s="766" t="s">
        <v>1217</v>
      </c>
      <c r="D101" s="767" t="s">
        <v>1218</v>
      </c>
      <c r="E101" s="768" t="s">
        <v>75</v>
      </c>
      <c r="F101" s="761">
        <v>62597544</v>
      </c>
      <c r="G101" s="762">
        <v>1170671</v>
      </c>
      <c r="H101" s="762">
        <v>0</v>
      </c>
      <c r="I101" s="762">
        <v>184686</v>
      </c>
      <c r="J101" s="762">
        <v>0</v>
      </c>
      <c r="K101" s="762">
        <v>184686</v>
      </c>
      <c r="L101" s="762">
        <v>0</v>
      </c>
      <c r="M101" s="762">
        <v>0</v>
      </c>
      <c r="N101" s="762">
        <v>16156</v>
      </c>
      <c r="O101" s="762">
        <v>16156</v>
      </c>
      <c r="P101" s="762">
        <v>0</v>
      </c>
      <c r="Q101" s="762">
        <v>0</v>
      </c>
      <c r="R101" s="762">
        <v>63567373</v>
      </c>
      <c r="S101" s="790">
        <v>0.5</v>
      </c>
      <c r="T101" s="790">
        <v>0.4</v>
      </c>
      <c r="U101" s="790">
        <v>0.1</v>
      </c>
      <c r="V101" s="790">
        <v>0</v>
      </c>
      <c r="W101" s="790">
        <v>1</v>
      </c>
      <c r="X101" s="762">
        <v>31783687</v>
      </c>
      <c r="Y101" s="762">
        <v>25426949</v>
      </c>
      <c r="Z101" s="762">
        <v>6356737</v>
      </c>
      <c r="AA101" s="762">
        <v>0</v>
      </c>
      <c r="AB101" s="762">
        <v>63567373</v>
      </c>
      <c r="AC101" s="762">
        <v>0</v>
      </c>
      <c r="AD101" s="762">
        <v>0</v>
      </c>
      <c r="AE101" s="762">
        <v>0</v>
      </c>
      <c r="AF101" s="762">
        <v>0</v>
      </c>
      <c r="AG101" s="762">
        <v>0</v>
      </c>
      <c r="AH101" s="762">
        <v>31783687</v>
      </c>
      <c r="AI101" s="762">
        <v>25426949</v>
      </c>
      <c r="AJ101" s="762">
        <v>6356737</v>
      </c>
      <c r="AK101" s="762">
        <v>0</v>
      </c>
      <c r="AL101" s="762">
        <v>63567373</v>
      </c>
      <c r="AM101" s="762">
        <v>184686</v>
      </c>
      <c r="AN101" s="762">
        <v>184686</v>
      </c>
      <c r="AO101" s="762">
        <v>0</v>
      </c>
      <c r="AP101" s="762">
        <v>0</v>
      </c>
      <c r="AQ101" s="762">
        <v>16156</v>
      </c>
      <c r="AR101" s="762">
        <v>0</v>
      </c>
      <c r="AS101" s="762">
        <v>16156</v>
      </c>
      <c r="AT101" s="762">
        <v>0</v>
      </c>
      <c r="AU101" s="762">
        <v>0</v>
      </c>
      <c r="AV101" s="762">
        <v>0</v>
      </c>
      <c r="AW101" s="762">
        <v>0</v>
      </c>
      <c r="AX101" s="762">
        <v>0</v>
      </c>
      <c r="AY101" s="762">
        <v>0</v>
      </c>
      <c r="AZ101" s="762">
        <v>0</v>
      </c>
      <c r="BA101" s="762">
        <v>0</v>
      </c>
      <c r="BB101" s="762">
        <v>0</v>
      </c>
      <c r="BC101" s="762">
        <v>0</v>
      </c>
      <c r="BD101" s="762">
        <v>0</v>
      </c>
      <c r="BE101" s="762">
        <v>0</v>
      </c>
      <c r="BF101" s="762">
        <v>0</v>
      </c>
      <c r="BG101" s="762">
        <v>0</v>
      </c>
      <c r="BH101" s="762">
        <v>0</v>
      </c>
      <c r="BI101" s="762">
        <v>0</v>
      </c>
      <c r="BJ101" s="790">
        <v>0</v>
      </c>
      <c r="BK101" s="790">
        <v>0.3</v>
      </c>
      <c r="BL101" s="790">
        <v>0.7</v>
      </c>
      <c r="BM101" s="790">
        <v>0</v>
      </c>
      <c r="BN101" s="790">
        <v>1</v>
      </c>
      <c r="BO101" s="762">
        <v>0</v>
      </c>
      <c r="BP101" s="762">
        <v>172818</v>
      </c>
      <c r="BQ101" s="762">
        <v>403241</v>
      </c>
      <c r="BR101" s="762">
        <v>0</v>
      </c>
      <c r="BS101" s="762">
        <v>576059</v>
      </c>
      <c r="BT101" s="790">
        <v>0.5</v>
      </c>
      <c r="BU101" s="790">
        <v>0.4</v>
      </c>
      <c r="BV101" s="790">
        <v>0.1</v>
      </c>
      <c r="BW101" s="790">
        <v>0</v>
      </c>
      <c r="BX101" s="790">
        <v>1</v>
      </c>
      <c r="BY101" s="762">
        <v>-374970</v>
      </c>
      <c r="BZ101" s="762">
        <v>-299976</v>
      </c>
      <c r="CA101" s="762">
        <v>-74994</v>
      </c>
      <c r="CB101" s="762">
        <v>0</v>
      </c>
      <c r="CC101" s="762">
        <v>-749940</v>
      </c>
      <c r="CD101" s="762">
        <v>-374970</v>
      </c>
      <c r="CE101" s="762">
        <v>-127158</v>
      </c>
      <c r="CF101" s="762">
        <v>328247</v>
      </c>
      <c r="CG101" s="762">
        <v>0</v>
      </c>
      <c r="CH101" s="762">
        <v>-173881</v>
      </c>
      <c r="CI101" s="762">
        <v>31408717</v>
      </c>
      <c r="CJ101" s="762">
        <v>25500633</v>
      </c>
      <c r="CK101" s="762">
        <v>6684984</v>
      </c>
      <c r="CL101" s="762">
        <v>0</v>
      </c>
      <c r="CM101" s="762">
        <v>63594334</v>
      </c>
      <c r="CN101" s="762">
        <v>829103</v>
      </c>
      <c r="CO101" s="762">
        <v>207144</v>
      </c>
      <c r="CP101" s="762">
        <v>0</v>
      </c>
      <c r="CQ101" s="762">
        <v>1036247</v>
      </c>
      <c r="CR101" s="762">
        <v>993616</v>
      </c>
      <c r="CS101" s="762">
        <v>248404</v>
      </c>
      <c r="CT101" s="762">
        <v>0</v>
      </c>
      <c r="CU101" s="762">
        <v>1242020</v>
      </c>
      <c r="CV101" s="762">
        <v>124167</v>
      </c>
      <c r="CW101" s="762">
        <v>31042</v>
      </c>
      <c r="CX101" s="762">
        <v>0</v>
      </c>
      <c r="CY101" s="762">
        <v>155209</v>
      </c>
      <c r="CZ101" s="762">
        <v>0</v>
      </c>
      <c r="DA101" s="762">
        <v>0</v>
      </c>
      <c r="DB101" s="762">
        <v>0</v>
      </c>
      <c r="DC101" s="762">
        <v>0</v>
      </c>
      <c r="DD101" s="762">
        <v>0</v>
      </c>
      <c r="DE101" s="762">
        <v>0</v>
      </c>
      <c r="DF101" s="762">
        <v>0</v>
      </c>
      <c r="DG101" s="762">
        <v>0</v>
      </c>
      <c r="DH101" s="762">
        <v>0</v>
      </c>
      <c r="DI101" s="762">
        <v>0</v>
      </c>
      <c r="DJ101" s="762">
        <v>0</v>
      </c>
      <c r="DK101" s="762">
        <v>0</v>
      </c>
      <c r="DL101" s="762">
        <v>45534</v>
      </c>
      <c r="DM101" s="762">
        <v>11383</v>
      </c>
      <c r="DN101" s="762">
        <v>0</v>
      </c>
      <c r="DO101" s="762">
        <v>56917</v>
      </c>
      <c r="DP101" s="762">
        <v>68150</v>
      </c>
      <c r="DQ101" s="762">
        <v>17038</v>
      </c>
      <c r="DR101" s="762">
        <v>0</v>
      </c>
      <c r="DS101" s="762">
        <v>85188</v>
      </c>
      <c r="DT101" s="762">
        <v>0</v>
      </c>
      <c r="DU101" s="762">
        <v>0</v>
      </c>
      <c r="DV101" s="762">
        <v>0</v>
      </c>
      <c r="DW101" s="762">
        <v>0</v>
      </c>
      <c r="DX101" s="762">
        <v>0</v>
      </c>
      <c r="DY101" s="762">
        <v>0</v>
      </c>
      <c r="DZ101" s="762">
        <v>0</v>
      </c>
      <c r="EA101" s="762">
        <v>0</v>
      </c>
      <c r="EB101" s="762">
        <v>599989</v>
      </c>
      <c r="EC101" s="762">
        <v>149997</v>
      </c>
      <c r="ED101" s="762">
        <v>0</v>
      </c>
      <c r="EE101" s="762">
        <v>749986</v>
      </c>
      <c r="EF101" s="762">
        <v>2660559</v>
      </c>
      <c r="EG101" s="762">
        <v>665008</v>
      </c>
      <c r="EH101" s="762">
        <v>0</v>
      </c>
      <c r="EI101" s="799">
        <v>3325567</v>
      </c>
      <c r="EJ101" s="763" t="s">
        <v>75</v>
      </c>
      <c r="EK101" s="607" t="s">
        <v>616</v>
      </c>
      <c r="EL101" s="805" t="s">
        <v>556</v>
      </c>
      <c r="EM101" t="s">
        <v>1667</v>
      </c>
    </row>
    <row r="102" spans="1:143" ht="12.75" x14ac:dyDescent="0.2">
      <c r="A102" s="764">
        <v>95</v>
      </c>
      <c r="B102" s="765" t="s">
        <v>78</v>
      </c>
      <c r="C102" s="766" t="s">
        <v>1222</v>
      </c>
      <c r="D102" s="767" t="s">
        <v>1223</v>
      </c>
      <c r="E102" s="768" t="s">
        <v>77</v>
      </c>
      <c r="F102" s="761">
        <v>113231319</v>
      </c>
      <c r="G102" s="762">
        <v>0</v>
      </c>
      <c r="H102" s="762">
        <v>482321</v>
      </c>
      <c r="I102" s="762">
        <v>324865</v>
      </c>
      <c r="J102" s="762">
        <v>0</v>
      </c>
      <c r="K102" s="762">
        <v>324865</v>
      </c>
      <c r="L102" s="762">
        <v>0</v>
      </c>
      <c r="M102" s="762">
        <v>0</v>
      </c>
      <c r="N102" s="762">
        <v>0</v>
      </c>
      <c r="O102" s="762">
        <v>0</v>
      </c>
      <c r="P102" s="762">
        <v>0</v>
      </c>
      <c r="Q102" s="762">
        <v>0</v>
      </c>
      <c r="R102" s="762">
        <v>112424133</v>
      </c>
      <c r="S102" s="790">
        <v>0.25</v>
      </c>
      <c r="T102" s="790">
        <v>0.48</v>
      </c>
      <c r="U102" s="790">
        <v>0.27</v>
      </c>
      <c r="V102" s="790">
        <v>0</v>
      </c>
      <c r="W102" s="790">
        <v>1</v>
      </c>
      <c r="X102" s="762">
        <v>28106033</v>
      </c>
      <c r="Y102" s="762">
        <v>53963584</v>
      </c>
      <c r="Z102" s="762">
        <v>30354516</v>
      </c>
      <c r="AA102" s="762">
        <v>0</v>
      </c>
      <c r="AB102" s="762">
        <v>112424133</v>
      </c>
      <c r="AC102" s="762">
        <v>0</v>
      </c>
      <c r="AD102" s="762">
        <v>0</v>
      </c>
      <c r="AE102" s="762">
        <v>0</v>
      </c>
      <c r="AF102" s="762">
        <v>0</v>
      </c>
      <c r="AG102" s="762">
        <v>0</v>
      </c>
      <c r="AH102" s="762">
        <v>28106033</v>
      </c>
      <c r="AI102" s="762">
        <v>53963584</v>
      </c>
      <c r="AJ102" s="762">
        <v>30354516</v>
      </c>
      <c r="AK102" s="762">
        <v>0</v>
      </c>
      <c r="AL102" s="762">
        <v>112424133</v>
      </c>
      <c r="AM102" s="762">
        <v>324865</v>
      </c>
      <c r="AN102" s="762">
        <v>324865</v>
      </c>
      <c r="AO102" s="762">
        <v>0</v>
      </c>
      <c r="AP102" s="762">
        <v>0</v>
      </c>
      <c r="AQ102" s="762">
        <v>0</v>
      </c>
      <c r="AR102" s="762">
        <v>0</v>
      </c>
      <c r="AS102" s="762">
        <v>0</v>
      </c>
      <c r="AT102" s="762">
        <v>0</v>
      </c>
      <c r="AU102" s="762">
        <v>0</v>
      </c>
      <c r="AV102" s="762">
        <v>0</v>
      </c>
      <c r="AW102" s="762">
        <v>0</v>
      </c>
      <c r="AX102" s="762">
        <v>0</v>
      </c>
      <c r="AY102" s="762">
        <v>0</v>
      </c>
      <c r="AZ102" s="762">
        <v>0</v>
      </c>
      <c r="BA102" s="762">
        <v>0</v>
      </c>
      <c r="BB102" s="762">
        <v>0</v>
      </c>
      <c r="BC102" s="762">
        <v>0</v>
      </c>
      <c r="BD102" s="762">
        <v>0</v>
      </c>
      <c r="BE102" s="762">
        <v>0</v>
      </c>
      <c r="BF102" s="762">
        <v>0</v>
      </c>
      <c r="BG102" s="762">
        <v>0</v>
      </c>
      <c r="BH102" s="762">
        <v>0</v>
      </c>
      <c r="BI102" s="762">
        <v>0</v>
      </c>
      <c r="BJ102" s="790">
        <v>0</v>
      </c>
      <c r="BK102" s="790">
        <v>0.64</v>
      </c>
      <c r="BL102" s="790">
        <v>0.36</v>
      </c>
      <c r="BM102" s="790">
        <v>0</v>
      </c>
      <c r="BN102" s="790">
        <v>1</v>
      </c>
      <c r="BO102" s="762">
        <v>0</v>
      </c>
      <c r="BP102" s="762">
        <v>557717</v>
      </c>
      <c r="BQ102" s="762">
        <v>313716</v>
      </c>
      <c r="BR102" s="762">
        <v>0</v>
      </c>
      <c r="BS102" s="762">
        <v>871433</v>
      </c>
      <c r="BT102" s="790">
        <v>0.33</v>
      </c>
      <c r="BU102" s="790">
        <v>0.3</v>
      </c>
      <c r="BV102" s="790">
        <v>0.37</v>
      </c>
      <c r="BW102" s="790">
        <v>0</v>
      </c>
      <c r="BX102" s="790">
        <v>1</v>
      </c>
      <c r="BY102" s="762">
        <v>-1900684</v>
      </c>
      <c r="BZ102" s="762">
        <v>-1727894</v>
      </c>
      <c r="CA102" s="762">
        <v>-2131070</v>
      </c>
      <c r="CB102" s="762">
        <v>0</v>
      </c>
      <c r="CC102" s="762">
        <v>-5759648</v>
      </c>
      <c r="CD102" s="762">
        <v>-1900684</v>
      </c>
      <c r="CE102" s="762">
        <v>-1170177</v>
      </c>
      <c r="CF102" s="762">
        <v>-1817354</v>
      </c>
      <c r="CG102" s="762">
        <v>0</v>
      </c>
      <c r="CH102" s="762">
        <v>-4888215</v>
      </c>
      <c r="CI102" s="762">
        <v>26205349</v>
      </c>
      <c r="CJ102" s="762">
        <v>53118272</v>
      </c>
      <c r="CK102" s="762">
        <v>28537162</v>
      </c>
      <c r="CL102" s="762">
        <v>0</v>
      </c>
      <c r="CM102" s="762">
        <v>107860783</v>
      </c>
      <c r="CN102" s="762">
        <v>1758487</v>
      </c>
      <c r="CO102" s="762">
        <v>989149</v>
      </c>
      <c r="CP102" s="762">
        <v>0</v>
      </c>
      <c r="CQ102" s="762">
        <v>2747636</v>
      </c>
      <c r="CR102" s="762">
        <v>2534580</v>
      </c>
      <c r="CS102" s="762">
        <v>1425701</v>
      </c>
      <c r="CT102" s="762">
        <v>0</v>
      </c>
      <c r="CU102" s="762">
        <v>3960281</v>
      </c>
      <c r="CV102" s="762">
        <v>170601</v>
      </c>
      <c r="CW102" s="762">
        <v>95963</v>
      </c>
      <c r="CX102" s="762">
        <v>0</v>
      </c>
      <c r="CY102" s="762">
        <v>266564</v>
      </c>
      <c r="CZ102" s="762">
        <v>0</v>
      </c>
      <c r="DA102" s="762">
        <v>0</v>
      </c>
      <c r="DB102" s="762">
        <v>0</v>
      </c>
      <c r="DC102" s="762">
        <v>0</v>
      </c>
      <c r="DD102" s="762">
        <v>0</v>
      </c>
      <c r="DE102" s="762">
        <v>0</v>
      </c>
      <c r="DF102" s="762">
        <v>0</v>
      </c>
      <c r="DG102" s="762">
        <v>0</v>
      </c>
      <c r="DH102" s="762">
        <v>744</v>
      </c>
      <c r="DI102" s="762">
        <v>418</v>
      </c>
      <c r="DJ102" s="762">
        <v>0</v>
      </c>
      <c r="DK102" s="762">
        <v>1162</v>
      </c>
      <c r="DL102" s="762">
        <v>19270</v>
      </c>
      <c r="DM102" s="762">
        <v>10839</v>
      </c>
      <c r="DN102" s="762">
        <v>0</v>
      </c>
      <c r="DO102" s="762">
        <v>30109</v>
      </c>
      <c r="DP102" s="762">
        <v>90189</v>
      </c>
      <c r="DQ102" s="762">
        <v>50731</v>
      </c>
      <c r="DR102" s="762">
        <v>0</v>
      </c>
      <c r="DS102" s="762">
        <v>140920</v>
      </c>
      <c r="DT102" s="762">
        <v>0</v>
      </c>
      <c r="DU102" s="762">
        <v>0</v>
      </c>
      <c r="DV102" s="762">
        <v>0</v>
      </c>
      <c r="DW102" s="762">
        <v>0</v>
      </c>
      <c r="DX102" s="762">
        <v>0</v>
      </c>
      <c r="DY102" s="762">
        <v>0</v>
      </c>
      <c r="DZ102" s="762">
        <v>0</v>
      </c>
      <c r="EA102" s="762">
        <v>0</v>
      </c>
      <c r="EB102" s="762">
        <v>1857133</v>
      </c>
      <c r="EC102" s="762">
        <v>1044637</v>
      </c>
      <c r="ED102" s="762">
        <v>0</v>
      </c>
      <c r="EE102" s="762">
        <v>2901770</v>
      </c>
      <c r="EF102" s="762">
        <v>6431004</v>
      </c>
      <c r="EG102" s="762">
        <v>3617438</v>
      </c>
      <c r="EH102" s="762">
        <v>0</v>
      </c>
      <c r="EI102" s="799">
        <v>10048442</v>
      </c>
      <c r="EJ102" s="763" t="s">
        <v>77</v>
      </c>
      <c r="EK102" s="607" t="s">
        <v>628</v>
      </c>
      <c r="EL102" s="272" t="s">
        <v>528</v>
      </c>
      <c r="EM102" t="s">
        <v>1668</v>
      </c>
    </row>
    <row r="103" spans="1:143" ht="12.75" x14ac:dyDescent="0.2">
      <c r="A103" s="764">
        <v>96</v>
      </c>
      <c r="B103" s="765" t="s">
        <v>80</v>
      </c>
      <c r="C103" s="766" t="s">
        <v>1217</v>
      </c>
      <c r="D103" s="767" t="s">
        <v>1221</v>
      </c>
      <c r="E103" s="768" t="s">
        <v>79</v>
      </c>
      <c r="F103" s="761">
        <v>34080127</v>
      </c>
      <c r="G103" s="762">
        <v>378403</v>
      </c>
      <c r="H103" s="762">
        <v>0</v>
      </c>
      <c r="I103" s="762">
        <v>172819</v>
      </c>
      <c r="J103" s="762">
        <v>0</v>
      </c>
      <c r="K103" s="762">
        <v>172819</v>
      </c>
      <c r="L103" s="762">
        <v>0</v>
      </c>
      <c r="M103" s="762">
        <v>0</v>
      </c>
      <c r="N103" s="762">
        <v>0</v>
      </c>
      <c r="O103" s="762">
        <v>0</v>
      </c>
      <c r="P103" s="762">
        <v>0</v>
      </c>
      <c r="Q103" s="762">
        <v>0</v>
      </c>
      <c r="R103" s="762">
        <v>34285711</v>
      </c>
      <c r="S103" s="790">
        <v>0.5</v>
      </c>
      <c r="T103" s="790">
        <v>0.4</v>
      </c>
      <c r="U103" s="790">
        <v>0.09</v>
      </c>
      <c r="V103" s="790">
        <v>0.01</v>
      </c>
      <c r="W103" s="790">
        <v>1</v>
      </c>
      <c r="X103" s="762">
        <v>17142856</v>
      </c>
      <c r="Y103" s="762">
        <v>13714284</v>
      </c>
      <c r="Z103" s="762">
        <v>3085714</v>
      </c>
      <c r="AA103" s="762">
        <v>342857</v>
      </c>
      <c r="AB103" s="762">
        <v>34285711</v>
      </c>
      <c r="AC103" s="762">
        <v>0</v>
      </c>
      <c r="AD103" s="762">
        <v>0</v>
      </c>
      <c r="AE103" s="762">
        <v>0</v>
      </c>
      <c r="AF103" s="762">
        <v>0</v>
      </c>
      <c r="AG103" s="762">
        <v>0</v>
      </c>
      <c r="AH103" s="762">
        <v>17142856</v>
      </c>
      <c r="AI103" s="762">
        <v>13714284</v>
      </c>
      <c r="AJ103" s="762">
        <v>3085714</v>
      </c>
      <c r="AK103" s="762">
        <v>342857</v>
      </c>
      <c r="AL103" s="762">
        <v>34285711</v>
      </c>
      <c r="AM103" s="762">
        <v>172819</v>
      </c>
      <c r="AN103" s="762">
        <v>172819</v>
      </c>
      <c r="AO103" s="762">
        <v>0</v>
      </c>
      <c r="AP103" s="762">
        <v>0</v>
      </c>
      <c r="AQ103" s="762">
        <v>0</v>
      </c>
      <c r="AR103" s="762">
        <v>0</v>
      </c>
      <c r="AS103" s="762">
        <v>0</v>
      </c>
      <c r="AT103" s="762">
        <v>0</v>
      </c>
      <c r="AU103" s="762">
        <v>0</v>
      </c>
      <c r="AV103" s="762">
        <v>0</v>
      </c>
      <c r="AW103" s="762">
        <v>0</v>
      </c>
      <c r="AX103" s="762">
        <v>0</v>
      </c>
      <c r="AY103" s="762">
        <v>0</v>
      </c>
      <c r="AZ103" s="762">
        <v>0</v>
      </c>
      <c r="BA103" s="762">
        <v>0</v>
      </c>
      <c r="BB103" s="762">
        <v>0</v>
      </c>
      <c r="BC103" s="762">
        <v>0</v>
      </c>
      <c r="BD103" s="762">
        <v>0</v>
      </c>
      <c r="BE103" s="762">
        <v>0</v>
      </c>
      <c r="BF103" s="762">
        <v>0</v>
      </c>
      <c r="BG103" s="762">
        <v>0</v>
      </c>
      <c r="BH103" s="762">
        <v>0</v>
      </c>
      <c r="BI103" s="762">
        <v>0</v>
      </c>
      <c r="BJ103" s="790">
        <v>0.5</v>
      </c>
      <c r="BK103" s="790">
        <v>0.4</v>
      </c>
      <c r="BL103" s="790">
        <v>0.09</v>
      </c>
      <c r="BM103" s="790">
        <v>0.01</v>
      </c>
      <c r="BN103" s="790">
        <v>1</v>
      </c>
      <c r="BO103" s="762">
        <v>-820551</v>
      </c>
      <c r="BP103" s="762">
        <v>-656441</v>
      </c>
      <c r="BQ103" s="762">
        <v>-147699</v>
      </c>
      <c r="BR103" s="762">
        <v>-16411</v>
      </c>
      <c r="BS103" s="762">
        <v>-1641102</v>
      </c>
      <c r="BT103" s="790">
        <v>0.5</v>
      </c>
      <c r="BU103" s="790">
        <v>0.4</v>
      </c>
      <c r="BV103" s="790">
        <v>0.09</v>
      </c>
      <c r="BW103" s="790">
        <v>0.01</v>
      </c>
      <c r="BX103" s="790">
        <v>1</v>
      </c>
      <c r="BY103" s="762">
        <v>1192214</v>
      </c>
      <c r="BZ103" s="762">
        <v>953770</v>
      </c>
      <c r="CA103" s="762">
        <v>214598</v>
      </c>
      <c r="CB103" s="762">
        <v>23844</v>
      </c>
      <c r="CC103" s="762">
        <v>2384426</v>
      </c>
      <c r="CD103" s="762">
        <v>371662</v>
      </c>
      <c r="CE103" s="762">
        <v>297330</v>
      </c>
      <c r="CF103" s="762">
        <v>66899</v>
      </c>
      <c r="CG103" s="762">
        <v>7433</v>
      </c>
      <c r="CH103" s="762">
        <v>743324</v>
      </c>
      <c r="CI103" s="762">
        <v>17514518</v>
      </c>
      <c r="CJ103" s="762">
        <v>14184433</v>
      </c>
      <c r="CK103" s="762">
        <v>3152613</v>
      </c>
      <c r="CL103" s="762">
        <v>350290</v>
      </c>
      <c r="CM103" s="762">
        <v>35201854</v>
      </c>
      <c r="CN103" s="762">
        <v>446901</v>
      </c>
      <c r="CO103" s="762">
        <v>100553</v>
      </c>
      <c r="CP103" s="762">
        <v>11173</v>
      </c>
      <c r="CQ103" s="762">
        <v>558627</v>
      </c>
      <c r="CR103" s="762">
        <v>1521381</v>
      </c>
      <c r="CS103" s="762">
        <v>342310</v>
      </c>
      <c r="CT103" s="762">
        <v>38034</v>
      </c>
      <c r="CU103" s="762">
        <v>1901725</v>
      </c>
      <c r="CV103" s="762">
        <v>114442</v>
      </c>
      <c r="CW103" s="762">
        <v>25749</v>
      </c>
      <c r="CX103" s="762">
        <v>2861</v>
      </c>
      <c r="CY103" s="762">
        <v>143052</v>
      </c>
      <c r="CZ103" s="762">
        <v>0</v>
      </c>
      <c r="DA103" s="762">
        <v>0</v>
      </c>
      <c r="DB103" s="762">
        <v>0</v>
      </c>
      <c r="DC103" s="762">
        <v>0</v>
      </c>
      <c r="DD103" s="762">
        <v>2456</v>
      </c>
      <c r="DE103" s="762">
        <v>553</v>
      </c>
      <c r="DF103" s="762">
        <v>61</v>
      </c>
      <c r="DG103" s="762">
        <v>3070</v>
      </c>
      <c r="DH103" s="762">
        <v>0</v>
      </c>
      <c r="DI103" s="762">
        <v>0</v>
      </c>
      <c r="DJ103" s="762">
        <v>0</v>
      </c>
      <c r="DK103" s="762">
        <v>0</v>
      </c>
      <c r="DL103" s="762">
        <v>1631</v>
      </c>
      <c r="DM103" s="762">
        <v>367</v>
      </c>
      <c r="DN103" s="762">
        <v>41</v>
      </c>
      <c r="DO103" s="762">
        <v>2039</v>
      </c>
      <c r="DP103" s="762">
        <v>24704</v>
      </c>
      <c r="DQ103" s="762">
        <v>5558</v>
      </c>
      <c r="DR103" s="762">
        <v>618</v>
      </c>
      <c r="DS103" s="762">
        <v>30880</v>
      </c>
      <c r="DT103" s="762">
        <v>0</v>
      </c>
      <c r="DU103" s="762">
        <v>0</v>
      </c>
      <c r="DV103" s="762">
        <v>0</v>
      </c>
      <c r="DW103" s="762">
        <v>0</v>
      </c>
      <c r="DX103" s="762">
        <v>0</v>
      </c>
      <c r="DY103" s="762">
        <v>0</v>
      </c>
      <c r="DZ103" s="762">
        <v>0</v>
      </c>
      <c r="EA103" s="762">
        <v>0</v>
      </c>
      <c r="EB103" s="762">
        <v>622561</v>
      </c>
      <c r="EC103" s="762">
        <v>140076</v>
      </c>
      <c r="ED103" s="762">
        <v>15564</v>
      </c>
      <c r="EE103" s="762">
        <v>778201</v>
      </c>
      <c r="EF103" s="762">
        <v>2734076</v>
      </c>
      <c r="EG103" s="762">
        <v>615166</v>
      </c>
      <c r="EH103" s="762">
        <v>68352</v>
      </c>
      <c r="EI103" s="799">
        <v>3417594</v>
      </c>
      <c r="EJ103" s="763" t="s">
        <v>79</v>
      </c>
      <c r="EK103" s="607" t="s">
        <v>575</v>
      </c>
      <c r="EL103" s="805" t="s">
        <v>573</v>
      </c>
      <c r="EM103" t="s">
        <v>1669</v>
      </c>
    </row>
    <row r="104" spans="1:143" ht="12.75" x14ac:dyDescent="0.2">
      <c r="A104" s="764">
        <v>97</v>
      </c>
      <c r="B104" s="765" t="s">
        <v>82</v>
      </c>
      <c r="C104" s="766" t="s">
        <v>1217</v>
      </c>
      <c r="D104" s="767" t="s">
        <v>1218</v>
      </c>
      <c r="E104" s="768" t="s">
        <v>900</v>
      </c>
      <c r="F104" s="761">
        <v>24905515</v>
      </c>
      <c r="G104" s="762">
        <v>97132</v>
      </c>
      <c r="H104" s="762">
        <v>0</v>
      </c>
      <c r="I104" s="762">
        <v>83273</v>
      </c>
      <c r="J104" s="762">
        <v>0</v>
      </c>
      <c r="K104" s="762">
        <v>83273</v>
      </c>
      <c r="L104" s="762">
        <v>0</v>
      </c>
      <c r="M104" s="762">
        <v>0</v>
      </c>
      <c r="N104" s="762">
        <v>0</v>
      </c>
      <c r="O104" s="762">
        <v>0</v>
      </c>
      <c r="P104" s="762">
        <v>0</v>
      </c>
      <c r="Q104" s="762">
        <v>0</v>
      </c>
      <c r="R104" s="762">
        <v>24919374</v>
      </c>
      <c r="S104" s="790">
        <v>0.5</v>
      </c>
      <c r="T104" s="790">
        <v>0.4</v>
      </c>
      <c r="U104" s="790">
        <v>0.1</v>
      </c>
      <c r="V104" s="790">
        <v>0</v>
      </c>
      <c r="W104" s="790">
        <v>1</v>
      </c>
      <c r="X104" s="762">
        <v>12459687</v>
      </c>
      <c r="Y104" s="762">
        <v>9967750</v>
      </c>
      <c r="Z104" s="762">
        <v>2491937</v>
      </c>
      <c r="AA104" s="762">
        <v>0</v>
      </c>
      <c r="AB104" s="762">
        <v>24919374</v>
      </c>
      <c r="AC104" s="762">
        <v>0</v>
      </c>
      <c r="AD104" s="762">
        <v>0</v>
      </c>
      <c r="AE104" s="762">
        <v>0</v>
      </c>
      <c r="AF104" s="762">
        <v>0</v>
      </c>
      <c r="AG104" s="762">
        <v>0</v>
      </c>
      <c r="AH104" s="762">
        <v>12459687</v>
      </c>
      <c r="AI104" s="762">
        <v>9967750</v>
      </c>
      <c r="AJ104" s="762">
        <v>2491937</v>
      </c>
      <c r="AK104" s="762">
        <v>0</v>
      </c>
      <c r="AL104" s="762">
        <v>24919374</v>
      </c>
      <c r="AM104" s="762">
        <v>83273</v>
      </c>
      <c r="AN104" s="762">
        <v>83273</v>
      </c>
      <c r="AO104" s="762">
        <v>0</v>
      </c>
      <c r="AP104" s="762">
        <v>0</v>
      </c>
      <c r="AQ104" s="762">
        <v>0</v>
      </c>
      <c r="AR104" s="762">
        <v>0</v>
      </c>
      <c r="AS104" s="762">
        <v>0</v>
      </c>
      <c r="AT104" s="762">
        <v>0</v>
      </c>
      <c r="AU104" s="762">
        <v>0</v>
      </c>
      <c r="AV104" s="762">
        <v>0</v>
      </c>
      <c r="AW104" s="762">
        <v>0</v>
      </c>
      <c r="AX104" s="762">
        <v>0</v>
      </c>
      <c r="AY104" s="762">
        <v>0</v>
      </c>
      <c r="AZ104" s="762">
        <v>0</v>
      </c>
      <c r="BA104" s="762">
        <v>0</v>
      </c>
      <c r="BB104" s="762">
        <v>0</v>
      </c>
      <c r="BC104" s="762">
        <v>0</v>
      </c>
      <c r="BD104" s="762">
        <v>0</v>
      </c>
      <c r="BE104" s="762">
        <v>0</v>
      </c>
      <c r="BF104" s="762">
        <v>0</v>
      </c>
      <c r="BG104" s="762">
        <v>0</v>
      </c>
      <c r="BH104" s="762">
        <v>0</v>
      </c>
      <c r="BI104" s="762">
        <v>0</v>
      </c>
      <c r="BJ104" s="790">
        <v>0</v>
      </c>
      <c r="BK104" s="790">
        <v>0.3</v>
      </c>
      <c r="BL104" s="790">
        <v>0.7</v>
      </c>
      <c r="BM104" s="790">
        <v>0</v>
      </c>
      <c r="BN104" s="790">
        <v>1</v>
      </c>
      <c r="BO104" s="762">
        <v>0</v>
      </c>
      <c r="BP104" s="762">
        <v>11252</v>
      </c>
      <c r="BQ104" s="762">
        <v>26255</v>
      </c>
      <c r="BR104" s="762">
        <v>0</v>
      </c>
      <c r="BS104" s="762">
        <v>37507</v>
      </c>
      <c r="BT104" s="790">
        <v>0.5</v>
      </c>
      <c r="BU104" s="790">
        <v>0.4</v>
      </c>
      <c r="BV104" s="790">
        <v>0.1</v>
      </c>
      <c r="BW104" s="790">
        <v>0</v>
      </c>
      <c r="BX104" s="790">
        <v>1</v>
      </c>
      <c r="BY104" s="762">
        <v>-2268492</v>
      </c>
      <c r="BZ104" s="762">
        <v>-1814794</v>
      </c>
      <c r="CA104" s="762">
        <v>-453699</v>
      </c>
      <c r="CB104" s="762">
        <v>0</v>
      </c>
      <c r="CC104" s="762">
        <v>-4536985</v>
      </c>
      <c r="CD104" s="762">
        <v>-2268492</v>
      </c>
      <c r="CE104" s="762">
        <v>-1803542</v>
      </c>
      <c r="CF104" s="762">
        <v>-427444</v>
      </c>
      <c r="CG104" s="762">
        <v>0</v>
      </c>
      <c r="CH104" s="762">
        <v>-4499478</v>
      </c>
      <c r="CI104" s="762">
        <v>10191195</v>
      </c>
      <c r="CJ104" s="762">
        <v>8247481</v>
      </c>
      <c r="CK104" s="762">
        <v>2064493</v>
      </c>
      <c r="CL104" s="762">
        <v>0</v>
      </c>
      <c r="CM104" s="762">
        <v>20503169</v>
      </c>
      <c r="CN104" s="762">
        <v>324815</v>
      </c>
      <c r="CO104" s="762">
        <v>81204</v>
      </c>
      <c r="CP104" s="762">
        <v>0</v>
      </c>
      <c r="CQ104" s="762">
        <v>406019</v>
      </c>
      <c r="CR104" s="762">
        <v>556045</v>
      </c>
      <c r="CS104" s="762">
        <v>139011</v>
      </c>
      <c r="CT104" s="762">
        <v>0</v>
      </c>
      <c r="CU104" s="762">
        <v>695056</v>
      </c>
      <c r="CV104" s="762">
        <v>46215</v>
      </c>
      <c r="CW104" s="762">
        <v>11554</v>
      </c>
      <c r="CX104" s="762">
        <v>0</v>
      </c>
      <c r="CY104" s="762">
        <v>57769</v>
      </c>
      <c r="CZ104" s="762">
        <v>0</v>
      </c>
      <c r="DA104" s="762">
        <v>0</v>
      </c>
      <c r="DB104" s="762">
        <v>0</v>
      </c>
      <c r="DC104" s="762">
        <v>0</v>
      </c>
      <c r="DD104" s="762">
        <v>0</v>
      </c>
      <c r="DE104" s="762">
        <v>0</v>
      </c>
      <c r="DF104" s="762">
        <v>0</v>
      </c>
      <c r="DG104" s="762">
        <v>0</v>
      </c>
      <c r="DH104" s="762">
        <v>0</v>
      </c>
      <c r="DI104" s="762">
        <v>0</v>
      </c>
      <c r="DJ104" s="762">
        <v>0</v>
      </c>
      <c r="DK104" s="762">
        <v>0</v>
      </c>
      <c r="DL104" s="762">
        <v>6146</v>
      </c>
      <c r="DM104" s="762">
        <v>1536</v>
      </c>
      <c r="DN104" s="762">
        <v>0</v>
      </c>
      <c r="DO104" s="762">
        <v>7682</v>
      </c>
      <c r="DP104" s="762">
        <v>21115</v>
      </c>
      <c r="DQ104" s="762">
        <v>5279</v>
      </c>
      <c r="DR104" s="762">
        <v>0</v>
      </c>
      <c r="DS104" s="762">
        <v>26394</v>
      </c>
      <c r="DT104" s="762">
        <v>0</v>
      </c>
      <c r="DU104" s="762">
        <v>0</v>
      </c>
      <c r="DV104" s="762">
        <v>0</v>
      </c>
      <c r="DW104" s="762">
        <v>0</v>
      </c>
      <c r="DX104" s="762">
        <v>0</v>
      </c>
      <c r="DY104" s="762">
        <v>0</v>
      </c>
      <c r="DZ104" s="762">
        <v>0</v>
      </c>
      <c r="EA104" s="762">
        <v>0</v>
      </c>
      <c r="EB104" s="762">
        <v>305948</v>
      </c>
      <c r="EC104" s="762">
        <v>76487</v>
      </c>
      <c r="ED104" s="762">
        <v>0</v>
      </c>
      <c r="EE104" s="762">
        <v>382435</v>
      </c>
      <c r="EF104" s="762">
        <v>1260284</v>
      </c>
      <c r="EG104" s="762">
        <v>315071</v>
      </c>
      <c r="EH104" s="762">
        <v>0</v>
      </c>
      <c r="EI104" s="799">
        <v>1575355</v>
      </c>
      <c r="EJ104" s="763" t="s">
        <v>900</v>
      </c>
      <c r="EK104" s="607" t="s">
        <v>616</v>
      </c>
      <c r="EL104" s="805" t="s">
        <v>556</v>
      </c>
      <c r="EM104" t="s">
        <v>1670</v>
      </c>
    </row>
    <row r="105" spans="1:143" ht="12.75" x14ac:dyDescent="0.2">
      <c r="A105" s="764">
        <v>98</v>
      </c>
      <c r="B105" s="765" t="s">
        <v>84</v>
      </c>
      <c r="C105" s="766" t="s">
        <v>1217</v>
      </c>
      <c r="D105" s="767" t="s">
        <v>1220</v>
      </c>
      <c r="E105" s="768" t="s">
        <v>83</v>
      </c>
      <c r="F105" s="761">
        <v>24381540.960000001</v>
      </c>
      <c r="G105" s="762">
        <v>121405.04000000001</v>
      </c>
      <c r="H105" s="762">
        <v>0</v>
      </c>
      <c r="I105" s="762">
        <v>132995</v>
      </c>
      <c r="J105" s="762">
        <v>0</v>
      </c>
      <c r="K105" s="762">
        <v>132995</v>
      </c>
      <c r="L105" s="762">
        <v>0</v>
      </c>
      <c r="M105" s="762">
        <v>0</v>
      </c>
      <c r="N105" s="762">
        <v>0</v>
      </c>
      <c r="O105" s="762">
        <v>0</v>
      </c>
      <c r="P105" s="762">
        <v>0</v>
      </c>
      <c r="Q105" s="762">
        <v>0</v>
      </c>
      <c r="R105" s="762">
        <v>24369951</v>
      </c>
      <c r="S105" s="790">
        <v>0.5</v>
      </c>
      <c r="T105" s="790">
        <v>0.4</v>
      </c>
      <c r="U105" s="790">
        <v>0.09</v>
      </c>
      <c r="V105" s="790">
        <v>0.01</v>
      </c>
      <c r="W105" s="790">
        <v>1</v>
      </c>
      <c r="X105" s="762">
        <v>12184975</v>
      </c>
      <c r="Y105" s="762">
        <v>9747980</v>
      </c>
      <c r="Z105" s="762">
        <v>2193296</v>
      </c>
      <c r="AA105" s="762">
        <v>243700</v>
      </c>
      <c r="AB105" s="762">
        <v>24369951</v>
      </c>
      <c r="AC105" s="762">
        <v>0</v>
      </c>
      <c r="AD105" s="762">
        <v>0</v>
      </c>
      <c r="AE105" s="762">
        <v>0</v>
      </c>
      <c r="AF105" s="762">
        <v>0</v>
      </c>
      <c r="AG105" s="762">
        <v>0</v>
      </c>
      <c r="AH105" s="762">
        <v>12184975</v>
      </c>
      <c r="AI105" s="762">
        <v>9747980</v>
      </c>
      <c r="AJ105" s="762">
        <v>2193296</v>
      </c>
      <c r="AK105" s="762">
        <v>243700</v>
      </c>
      <c r="AL105" s="762">
        <v>24369951</v>
      </c>
      <c r="AM105" s="762">
        <v>132995</v>
      </c>
      <c r="AN105" s="762">
        <v>132995</v>
      </c>
      <c r="AO105" s="762">
        <v>0</v>
      </c>
      <c r="AP105" s="762">
        <v>0</v>
      </c>
      <c r="AQ105" s="762">
        <v>0</v>
      </c>
      <c r="AR105" s="762">
        <v>0</v>
      </c>
      <c r="AS105" s="762">
        <v>0</v>
      </c>
      <c r="AT105" s="762">
        <v>0</v>
      </c>
      <c r="AU105" s="762">
        <v>0</v>
      </c>
      <c r="AV105" s="762">
        <v>0</v>
      </c>
      <c r="AW105" s="762">
        <v>0</v>
      </c>
      <c r="AX105" s="762">
        <v>0</v>
      </c>
      <c r="AY105" s="762">
        <v>0</v>
      </c>
      <c r="AZ105" s="762">
        <v>0</v>
      </c>
      <c r="BA105" s="762">
        <v>0</v>
      </c>
      <c r="BB105" s="762">
        <v>0</v>
      </c>
      <c r="BC105" s="762">
        <v>0</v>
      </c>
      <c r="BD105" s="762">
        <v>0</v>
      </c>
      <c r="BE105" s="762">
        <v>0</v>
      </c>
      <c r="BF105" s="762">
        <v>0</v>
      </c>
      <c r="BG105" s="762">
        <v>0</v>
      </c>
      <c r="BH105" s="762">
        <v>0</v>
      </c>
      <c r="BI105" s="762">
        <v>0</v>
      </c>
      <c r="BJ105" s="790">
        <v>0</v>
      </c>
      <c r="BK105" s="790">
        <v>0.5</v>
      </c>
      <c r="BL105" s="790">
        <v>0.49</v>
      </c>
      <c r="BM105" s="790">
        <v>0.01</v>
      </c>
      <c r="BN105" s="790">
        <v>1</v>
      </c>
      <c r="BO105" s="762">
        <v>-1</v>
      </c>
      <c r="BP105" s="762">
        <v>161188</v>
      </c>
      <c r="BQ105" s="762">
        <v>157964</v>
      </c>
      <c r="BR105" s="762">
        <v>3224</v>
      </c>
      <c r="BS105" s="762">
        <v>322375</v>
      </c>
      <c r="BT105" s="790">
        <v>0.5</v>
      </c>
      <c r="BU105" s="790">
        <v>0.4</v>
      </c>
      <c r="BV105" s="790">
        <v>0.09</v>
      </c>
      <c r="BW105" s="790">
        <v>0.01</v>
      </c>
      <c r="BX105" s="790">
        <v>1</v>
      </c>
      <c r="BY105" s="762">
        <v>-163445</v>
      </c>
      <c r="BZ105" s="762">
        <v>-130756</v>
      </c>
      <c r="CA105" s="762">
        <v>-29420</v>
      </c>
      <c r="CB105" s="762">
        <v>-3269</v>
      </c>
      <c r="CC105" s="762">
        <v>-326890</v>
      </c>
      <c r="CD105" s="762">
        <v>-163446</v>
      </c>
      <c r="CE105" s="762">
        <v>30432</v>
      </c>
      <c r="CF105" s="762">
        <v>128544</v>
      </c>
      <c r="CG105" s="762">
        <v>-45</v>
      </c>
      <c r="CH105" s="762">
        <v>-4515</v>
      </c>
      <c r="CI105" s="762">
        <v>12021529</v>
      </c>
      <c r="CJ105" s="762">
        <v>9911407</v>
      </c>
      <c r="CK105" s="762">
        <v>2321840</v>
      </c>
      <c r="CL105" s="762">
        <v>243655</v>
      </c>
      <c r="CM105" s="762">
        <v>24498431</v>
      </c>
      <c r="CN105" s="762">
        <v>317653</v>
      </c>
      <c r="CO105" s="762">
        <v>71472</v>
      </c>
      <c r="CP105" s="762">
        <v>7941</v>
      </c>
      <c r="CQ105" s="762">
        <v>397066</v>
      </c>
      <c r="CR105" s="762">
        <v>1154140</v>
      </c>
      <c r="CS105" s="762">
        <v>259681</v>
      </c>
      <c r="CT105" s="762">
        <v>28853</v>
      </c>
      <c r="CU105" s="762">
        <v>1442674</v>
      </c>
      <c r="CV105" s="762">
        <v>69801</v>
      </c>
      <c r="CW105" s="762">
        <v>15705</v>
      </c>
      <c r="CX105" s="762">
        <v>1745</v>
      </c>
      <c r="CY105" s="762">
        <v>87251</v>
      </c>
      <c r="CZ105" s="762">
        <v>0</v>
      </c>
      <c r="DA105" s="762">
        <v>0</v>
      </c>
      <c r="DB105" s="762">
        <v>0</v>
      </c>
      <c r="DC105" s="762">
        <v>0</v>
      </c>
      <c r="DD105" s="762">
        <v>2008</v>
      </c>
      <c r="DE105" s="762">
        <v>452</v>
      </c>
      <c r="DF105" s="762">
        <v>50</v>
      </c>
      <c r="DG105" s="762">
        <v>2510</v>
      </c>
      <c r="DH105" s="762">
        <v>0</v>
      </c>
      <c r="DI105" s="762">
        <v>0</v>
      </c>
      <c r="DJ105" s="762">
        <v>0</v>
      </c>
      <c r="DK105" s="762">
        <v>0</v>
      </c>
      <c r="DL105" s="762">
        <v>9002</v>
      </c>
      <c r="DM105" s="762">
        <v>2025</v>
      </c>
      <c r="DN105" s="762">
        <v>225</v>
      </c>
      <c r="DO105" s="762">
        <v>11252</v>
      </c>
      <c r="DP105" s="762">
        <v>11565</v>
      </c>
      <c r="DQ105" s="762">
        <v>2602</v>
      </c>
      <c r="DR105" s="762">
        <v>289</v>
      </c>
      <c r="DS105" s="762">
        <v>14456</v>
      </c>
      <c r="DT105" s="762">
        <v>0</v>
      </c>
      <c r="DU105" s="762">
        <v>0</v>
      </c>
      <c r="DV105" s="762">
        <v>0</v>
      </c>
      <c r="DW105" s="762">
        <v>0</v>
      </c>
      <c r="DX105" s="762">
        <v>0</v>
      </c>
      <c r="DY105" s="762">
        <v>0</v>
      </c>
      <c r="DZ105" s="762">
        <v>0</v>
      </c>
      <c r="EA105" s="762">
        <v>0</v>
      </c>
      <c r="EB105" s="762">
        <v>220147</v>
      </c>
      <c r="EC105" s="762">
        <v>49533</v>
      </c>
      <c r="ED105" s="762">
        <v>5504</v>
      </c>
      <c r="EE105" s="762">
        <v>275184</v>
      </c>
      <c r="EF105" s="762">
        <v>1784316</v>
      </c>
      <c r="EG105" s="762">
        <v>401470</v>
      </c>
      <c r="EH105" s="762">
        <v>44607</v>
      </c>
      <c r="EI105" s="799">
        <v>2230393</v>
      </c>
      <c r="EJ105" s="763" t="s">
        <v>83</v>
      </c>
      <c r="EK105" s="607" t="s">
        <v>560</v>
      </c>
      <c r="EL105" s="805" t="s">
        <v>559</v>
      </c>
      <c r="EM105" t="s">
        <v>1671</v>
      </c>
    </row>
    <row r="106" spans="1:143" ht="12.75" x14ac:dyDescent="0.2">
      <c r="A106" s="764">
        <v>99</v>
      </c>
      <c r="B106" s="765" t="s">
        <v>86</v>
      </c>
      <c r="C106" s="766" t="s">
        <v>1217</v>
      </c>
      <c r="D106" s="767" t="s">
        <v>1226</v>
      </c>
      <c r="E106" s="768" t="s">
        <v>85</v>
      </c>
      <c r="F106" s="761">
        <v>79257134</v>
      </c>
      <c r="G106" s="762">
        <v>0</v>
      </c>
      <c r="H106" s="762">
        <v>1776042</v>
      </c>
      <c r="I106" s="762">
        <v>214299</v>
      </c>
      <c r="J106" s="762">
        <v>0</v>
      </c>
      <c r="K106" s="762">
        <v>214299</v>
      </c>
      <c r="L106" s="762">
        <v>0</v>
      </c>
      <c r="M106" s="762">
        <v>0</v>
      </c>
      <c r="N106" s="762">
        <v>0</v>
      </c>
      <c r="O106" s="762">
        <v>0</v>
      </c>
      <c r="P106" s="762">
        <v>0</v>
      </c>
      <c r="Q106" s="762">
        <v>0</v>
      </c>
      <c r="R106" s="762">
        <v>77266793</v>
      </c>
      <c r="S106" s="790">
        <v>0.5</v>
      </c>
      <c r="T106" s="790">
        <v>0.4</v>
      </c>
      <c r="U106" s="790">
        <v>0.09</v>
      </c>
      <c r="V106" s="790">
        <v>0.01</v>
      </c>
      <c r="W106" s="790">
        <v>1</v>
      </c>
      <c r="X106" s="762">
        <v>38633397</v>
      </c>
      <c r="Y106" s="762">
        <v>30906717</v>
      </c>
      <c r="Z106" s="762">
        <v>6954011</v>
      </c>
      <c r="AA106" s="762">
        <v>772668</v>
      </c>
      <c r="AB106" s="762">
        <v>77266793</v>
      </c>
      <c r="AC106" s="762">
        <v>0</v>
      </c>
      <c r="AD106" s="762">
        <v>0</v>
      </c>
      <c r="AE106" s="762">
        <v>0</v>
      </c>
      <c r="AF106" s="762">
        <v>0</v>
      </c>
      <c r="AG106" s="762">
        <v>0</v>
      </c>
      <c r="AH106" s="762">
        <v>38633397</v>
      </c>
      <c r="AI106" s="762">
        <v>30906717</v>
      </c>
      <c r="AJ106" s="762">
        <v>6954011</v>
      </c>
      <c r="AK106" s="762">
        <v>772668</v>
      </c>
      <c r="AL106" s="762">
        <v>77266793</v>
      </c>
      <c r="AM106" s="762">
        <v>214299</v>
      </c>
      <c r="AN106" s="762">
        <v>214299</v>
      </c>
      <c r="AO106" s="762">
        <v>0</v>
      </c>
      <c r="AP106" s="762">
        <v>0</v>
      </c>
      <c r="AQ106" s="762">
        <v>0</v>
      </c>
      <c r="AR106" s="762">
        <v>0</v>
      </c>
      <c r="AS106" s="762">
        <v>0</v>
      </c>
      <c r="AT106" s="762">
        <v>0</v>
      </c>
      <c r="AU106" s="762">
        <v>0</v>
      </c>
      <c r="AV106" s="762">
        <v>0</v>
      </c>
      <c r="AW106" s="762">
        <v>0</v>
      </c>
      <c r="AX106" s="762">
        <v>0</v>
      </c>
      <c r="AY106" s="762">
        <v>0</v>
      </c>
      <c r="AZ106" s="762">
        <v>0</v>
      </c>
      <c r="BA106" s="762">
        <v>0</v>
      </c>
      <c r="BB106" s="762">
        <v>0</v>
      </c>
      <c r="BC106" s="762">
        <v>0</v>
      </c>
      <c r="BD106" s="762">
        <v>0</v>
      </c>
      <c r="BE106" s="762">
        <v>0</v>
      </c>
      <c r="BF106" s="762">
        <v>0</v>
      </c>
      <c r="BG106" s="762">
        <v>0</v>
      </c>
      <c r="BH106" s="762">
        <v>0</v>
      </c>
      <c r="BI106" s="762">
        <v>0</v>
      </c>
      <c r="BJ106" s="790">
        <v>0</v>
      </c>
      <c r="BK106" s="790">
        <v>0.4</v>
      </c>
      <c r="BL106" s="790">
        <v>0.59</v>
      </c>
      <c r="BM106" s="790">
        <v>0.01</v>
      </c>
      <c r="BN106" s="790">
        <v>1</v>
      </c>
      <c r="BO106" s="762">
        <v>0</v>
      </c>
      <c r="BP106" s="762">
        <v>419269</v>
      </c>
      <c r="BQ106" s="762">
        <v>618421</v>
      </c>
      <c r="BR106" s="762">
        <v>10482</v>
      </c>
      <c r="BS106" s="762">
        <v>1048172</v>
      </c>
      <c r="BT106" s="790">
        <v>0.5</v>
      </c>
      <c r="BU106" s="790">
        <v>0.4</v>
      </c>
      <c r="BV106" s="790">
        <v>0.09</v>
      </c>
      <c r="BW106" s="790">
        <v>0.01</v>
      </c>
      <c r="BX106" s="790">
        <v>1</v>
      </c>
      <c r="BY106" s="762">
        <v>-1115817</v>
      </c>
      <c r="BZ106" s="762">
        <v>-892653</v>
      </c>
      <c r="CA106" s="762">
        <v>-200847</v>
      </c>
      <c r="CB106" s="762">
        <v>-22316</v>
      </c>
      <c r="CC106" s="762">
        <v>-2231633</v>
      </c>
      <c r="CD106" s="762">
        <v>-1115817</v>
      </c>
      <c r="CE106" s="762">
        <v>-473384</v>
      </c>
      <c r="CF106" s="762">
        <v>417574</v>
      </c>
      <c r="CG106" s="762">
        <v>-11834</v>
      </c>
      <c r="CH106" s="762">
        <v>-1183461</v>
      </c>
      <c r="CI106" s="762">
        <v>37517580</v>
      </c>
      <c r="CJ106" s="762">
        <v>30647632</v>
      </c>
      <c r="CK106" s="762">
        <v>7371585</v>
      </c>
      <c r="CL106" s="762">
        <v>760834</v>
      </c>
      <c r="CM106" s="762">
        <v>76297631</v>
      </c>
      <c r="CN106" s="762">
        <v>1007144</v>
      </c>
      <c r="CO106" s="762">
        <v>226607</v>
      </c>
      <c r="CP106" s="762">
        <v>25179</v>
      </c>
      <c r="CQ106" s="762">
        <v>1258930</v>
      </c>
      <c r="CR106" s="762">
        <v>1109131</v>
      </c>
      <c r="CS106" s="762">
        <v>249554</v>
      </c>
      <c r="CT106" s="762">
        <v>27728</v>
      </c>
      <c r="CU106" s="762">
        <v>1386413</v>
      </c>
      <c r="CV106" s="762">
        <v>129641</v>
      </c>
      <c r="CW106" s="762">
        <v>29169</v>
      </c>
      <c r="CX106" s="762">
        <v>3241</v>
      </c>
      <c r="CY106" s="762">
        <v>162051</v>
      </c>
      <c r="CZ106" s="762">
        <v>0</v>
      </c>
      <c r="DA106" s="762">
        <v>0</v>
      </c>
      <c r="DB106" s="762">
        <v>0</v>
      </c>
      <c r="DC106" s="762">
        <v>0</v>
      </c>
      <c r="DD106" s="762">
        <v>0</v>
      </c>
      <c r="DE106" s="762">
        <v>0</v>
      </c>
      <c r="DF106" s="762">
        <v>0</v>
      </c>
      <c r="DG106" s="762">
        <v>0</v>
      </c>
      <c r="DH106" s="762">
        <v>620</v>
      </c>
      <c r="DI106" s="762">
        <v>139</v>
      </c>
      <c r="DJ106" s="762">
        <v>15</v>
      </c>
      <c r="DK106" s="762">
        <v>774</v>
      </c>
      <c r="DL106" s="762">
        <v>22095</v>
      </c>
      <c r="DM106" s="762">
        <v>4971</v>
      </c>
      <c r="DN106" s="762">
        <v>552</v>
      </c>
      <c r="DO106" s="762">
        <v>27618</v>
      </c>
      <c r="DP106" s="762">
        <v>29326</v>
      </c>
      <c r="DQ106" s="762">
        <v>6598</v>
      </c>
      <c r="DR106" s="762">
        <v>733</v>
      </c>
      <c r="DS106" s="762">
        <v>36657</v>
      </c>
      <c r="DT106" s="762">
        <v>0</v>
      </c>
      <c r="DU106" s="762">
        <v>0</v>
      </c>
      <c r="DV106" s="762">
        <v>0</v>
      </c>
      <c r="DW106" s="762">
        <v>0</v>
      </c>
      <c r="DX106" s="762">
        <v>0</v>
      </c>
      <c r="DY106" s="762">
        <v>0</v>
      </c>
      <c r="DZ106" s="762">
        <v>0</v>
      </c>
      <c r="EA106" s="762">
        <v>0</v>
      </c>
      <c r="EB106" s="762">
        <v>738214</v>
      </c>
      <c r="EC106" s="762">
        <v>166098</v>
      </c>
      <c r="ED106" s="762">
        <v>18455</v>
      </c>
      <c r="EE106" s="762">
        <v>922767</v>
      </c>
      <c r="EF106" s="762">
        <v>3036171</v>
      </c>
      <c r="EG106" s="762">
        <v>683136</v>
      </c>
      <c r="EH106" s="762">
        <v>75903</v>
      </c>
      <c r="EI106" s="799">
        <v>3795210</v>
      </c>
      <c r="EJ106" s="763" t="s">
        <v>85</v>
      </c>
      <c r="EK106" s="607" t="s">
        <v>565</v>
      </c>
      <c r="EL106" s="805" t="s">
        <v>563</v>
      </c>
      <c r="EM106" t="s">
        <v>1672</v>
      </c>
    </row>
    <row r="107" spans="1:143" ht="12.75" x14ac:dyDescent="0.2">
      <c r="A107" s="764">
        <v>100</v>
      </c>
      <c r="B107" s="765" t="s">
        <v>88</v>
      </c>
      <c r="C107" s="766" t="s">
        <v>1217</v>
      </c>
      <c r="D107" s="767" t="s">
        <v>1218</v>
      </c>
      <c r="E107" s="768" t="s">
        <v>87</v>
      </c>
      <c r="F107" s="761">
        <v>40230306</v>
      </c>
      <c r="G107" s="762">
        <v>0</v>
      </c>
      <c r="H107" s="762">
        <v>417938</v>
      </c>
      <c r="I107" s="762">
        <v>137831</v>
      </c>
      <c r="J107" s="762">
        <v>0</v>
      </c>
      <c r="K107" s="762">
        <v>137831</v>
      </c>
      <c r="L107" s="762">
        <v>0</v>
      </c>
      <c r="M107" s="762">
        <v>275970</v>
      </c>
      <c r="N107" s="762">
        <v>79652</v>
      </c>
      <c r="O107" s="762">
        <v>79652</v>
      </c>
      <c r="P107" s="762">
        <v>0</v>
      </c>
      <c r="Q107" s="762">
        <v>0</v>
      </c>
      <c r="R107" s="762">
        <v>39318915</v>
      </c>
      <c r="S107" s="790">
        <v>0.5</v>
      </c>
      <c r="T107" s="790">
        <v>0.4</v>
      </c>
      <c r="U107" s="790">
        <v>0.09</v>
      </c>
      <c r="V107" s="790">
        <v>0.01</v>
      </c>
      <c r="W107" s="790">
        <v>1</v>
      </c>
      <c r="X107" s="762">
        <v>19659458</v>
      </c>
      <c r="Y107" s="762">
        <v>15727566</v>
      </c>
      <c r="Z107" s="762">
        <v>3538702</v>
      </c>
      <c r="AA107" s="762">
        <v>393189</v>
      </c>
      <c r="AB107" s="762">
        <v>39318915</v>
      </c>
      <c r="AC107" s="762">
        <v>236230</v>
      </c>
      <c r="AD107" s="762">
        <v>0</v>
      </c>
      <c r="AE107" s="762">
        <v>0</v>
      </c>
      <c r="AF107" s="762">
        <v>0</v>
      </c>
      <c r="AG107" s="762">
        <v>236230</v>
      </c>
      <c r="AH107" s="762">
        <v>19423228</v>
      </c>
      <c r="AI107" s="762">
        <v>15727566</v>
      </c>
      <c r="AJ107" s="762">
        <v>3538702</v>
      </c>
      <c r="AK107" s="762">
        <v>393189</v>
      </c>
      <c r="AL107" s="762">
        <v>39082685</v>
      </c>
      <c r="AM107" s="762">
        <v>137831</v>
      </c>
      <c r="AN107" s="762">
        <v>137831</v>
      </c>
      <c r="AO107" s="762">
        <v>275970</v>
      </c>
      <c r="AP107" s="762">
        <v>275970</v>
      </c>
      <c r="AQ107" s="762">
        <v>79652</v>
      </c>
      <c r="AR107" s="762">
        <v>0</v>
      </c>
      <c r="AS107" s="762">
        <v>79652</v>
      </c>
      <c r="AT107" s="762">
        <v>0</v>
      </c>
      <c r="AU107" s="762">
        <v>0</v>
      </c>
      <c r="AV107" s="762">
        <v>0</v>
      </c>
      <c r="AW107" s="762">
        <v>0</v>
      </c>
      <c r="AX107" s="762">
        <v>236230</v>
      </c>
      <c r="AY107" s="762">
        <v>0</v>
      </c>
      <c r="AZ107" s="762">
        <v>0</v>
      </c>
      <c r="BA107" s="762">
        <v>236230</v>
      </c>
      <c r="BB107" s="762">
        <v>0</v>
      </c>
      <c r="BC107" s="762">
        <v>0</v>
      </c>
      <c r="BD107" s="762">
        <v>0</v>
      </c>
      <c r="BE107" s="762">
        <v>0</v>
      </c>
      <c r="BF107" s="762">
        <v>0</v>
      </c>
      <c r="BG107" s="762">
        <v>0</v>
      </c>
      <c r="BH107" s="762">
        <v>0</v>
      </c>
      <c r="BI107" s="762">
        <v>0</v>
      </c>
      <c r="BJ107" s="790">
        <v>0.5</v>
      </c>
      <c r="BK107" s="790">
        <v>0.4</v>
      </c>
      <c r="BL107" s="790">
        <v>0.09</v>
      </c>
      <c r="BM107" s="790">
        <v>0.01</v>
      </c>
      <c r="BN107" s="790">
        <v>1</v>
      </c>
      <c r="BO107" s="762">
        <v>3482736</v>
      </c>
      <c r="BP107" s="762">
        <v>2786190</v>
      </c>
      <c r="BQ107" s="762">
        <v>626893</v>
      </c>
      <c r="BR107" s="762">
        <v>69655</v>
      </c>
      <c r="BS107" s="762">
        <v>6965474</v>
      </c>
      <c r="BT107" s="790">
        <v>0.5</v>
      </c>
      <c r="BU107" s="790">
        <v>0.4</v>
      </c>
      <c r="BV107" s="790">
        <v>0.09</v>
      </c>
      <c r="BW107" s="790">
        <v>0.01</v>
      </c>
      <c r="BX107" s="790">
        <v>1</v>
      </c>
      <c r="BY107" s="762">
        <v>-369504</v>
      </c>
      <c r="BZ107" s="762">
        <v>-295603</v>
      </c>
      <c r="CA107" s="762">
        <v>-66511</v>
      </c>
      <c r="CB107" s="762">
        <v>-7390</v>
      </c>
      <c r="CC107" s="762">
        <v>-739008</v>
      </c>
      <c r="CD107" s="762">
        <v>3113233</v>
      </c>
      <c r="CE107" s="762">
        <v>2490586</v>
      </c>
      <c r="CF107" s="762">
        <v>560382</v>
      </c>
      <c r="CG107" s="762">
        <v>62265</v>
      </c>
      <c r="CH107" s="762">
        <v>6226466</v>
      </c>
      <c r="CI107" s="762">
        <v>22536461</v>
      </c>
      <c r="CJ107" s="762">
        <v>18947835</v>
      </c>
      <c r="CK107" s="762">
        <v>4099084</v>
      </c>
      <c r="CL107" s="762">
        <v>455454</v>
      </c>
      <c r="CM107" s="762">
        <v>46038834</v>
      </c>
      <c r="CN107" s="762">
        <v>531794</v>
      </c>
      <c r="CO107" s="762">
        <v>115314</v>
      </c>
      <c r="CP107" s="762">
        <v>12813</v>
      </c>
      <c r="CQ107" s="762">
        <v>659921</v>
      </c>
      <c r="CR107" s="762">
        <v>972369</v>
      </c>
      <c r="CS107" s="762">
        <v>215511</v>
      </c>
      <c r="CT107" s="762">
        <v>23946</v>
      </c>
      <c r="CU107" s="762">
        <v>1211826</v>
      </c>
      <c r="CV107" s="762">
        <v>83550</v>
      </c>
      <c r="CW107" s="762">
        <v>18711</v>
      </c>
      <c r="CX107" s="762">
        <v>2079</v>
      </c>
      <c r="CY107" s="762">
        <v>104340</v>
      </c>
      <c r="CZ107" s="762">
        <v>666</v>
      </c>
      <c r="DA107" s="762">
        <v>150</v>
      </c>
      <c r="DB107" s="762">
        <v>17</v>
      </c>
      <c r="DC107" s="762">
        <v>833</v>
      </c>
      <c r="DD107" s="762">
        <v>0</v>
      </c>
      <c r="DE107" s="762">
        <v>0</v>
      </c>
      <c r="DF107" s="762">
        <v>0</v>
      </c>
      <c r="DG107" s="762">
        <v>0</v>
      </c>
      <c r="DH107" s="762">
        <v>0</v>
      </c>
      <c r="DI107" s="762">
        <v>0</v>
      </c>
      <c r="DJ107" s="762">
        <v>0</v>
      </c>
      <c r="DK107" s="762">
        <v>0</v>
      </c>
      <c r="DL107" s="762">
        <v>4578</v>
      </c>
      <c r="DM107" s="762">
        <v>1030</v>
      </c>
      <c r="DN107" s="762">
        <v>114</v>
      </c>
      <c r="DO107" s="762">
        <v>5722</v>
      </c>
      <c r="DP107" s="762">
        <v>14869</v>
      </c>
      <c r="DQ107" s="762">
        <v>3346</v>
      </c>
      <c r="DR107" s="762">
        <v>372</v>
      </c>
      <c r="DS107" s="762">
        <v>18587</v>
      </c>
      <c r="DT107" s="762">
        <v>0</v>
      </c>
      <c r="DU107" s="762">
        <v>0</v>
      </c>
      <c r="DV107" s="762">
        <v>0</v>
      </c>
      <c r="DW107" s="762">
        <v>0</v>
      </c>
      <c r="DX107" s="762">
        <v>0</v>
      </c>
      <c r="DY107" s="762">
        <v>0</v>
      </c>
      <c r="DZ107" s="762">
        <v>0</v>
      </c>
      <c r="EA107" s="762">
        <v>0</v>
      </c>
      <c r="EB107" s="762">
        <v>396817</v>
      </c>
      <c r="EC107" s="762">
        <v>89002</v>
      </c>
      <c r="ED107" s="762">
        <v>9889</v>
      </c>
      <c r="EE107" s="762">
        <v>495708</v>
      </c>
      <c r="EF107" s="762">
        <v>2004643</v>
      </c>
      <c r="EG107" s="762">
        <v>443064</v>
      </c>
      <c r="EH107" s="762">
        <v>49230</v>
      </c>
      <c r="EI107" s="799">
        <v>2496937</v>
      </c>
      <c r="EJ107" s="763" t="s">
        <v>87</v>
      </c>
      <c r="EK107" s="607" t="s">
        <v>580</v>
      </c>
      <c r="EL107" s="805" t="s">
        <v>578</v>
      </c>
      <c r="EM107" t="s">
        <v>1673</v>
      </c>
    </row>
    <row r="108" spans="1:143" ht="12.75" x14ac:dyDescent="0.2">
      <c r="A108" s="764">
        <v>101</v>
      </c>
      <c r="B108" s="765" t="s">
        <v>90</v>
      </c>
      <c r="C108" s="766" t="s">
        <v>1217</v>
      </c>
      <c r="D108" s="767" t="s">
        <v>1221</v>
      </c>
      <c r="E108" s="768" t="s">
        <v>89</v>
      </c>
      <c r="F108" s="761">
        <v>24390301</v>
      </c>
      <c r="G108" s="762">
        <v>78605</v>
      </c>
      <c r="H108" s="762">
        <v>0</v>
      </c>
      <c r="I108" s="762">
        <v>121544</v>
      </c>
      <c r="J108" s="762">
        <v>0</v>
      </c>
      <c r="K108" s="762">
        <v>121544</v>
      </c>
      <c r="L108" s="762">
        <v>0</v>
      </c>
      <c r="M108" s="762">
        <v>0</v>
      </c>
      <c r="N108" s="762">
        <v>345240</v>
      </c>
      <c r="O108" s="762">
        <v>345240</v>
      </c>
      <c r="P108" s="762">
        <v>0</v>
      </c>
      <c r="Q108" s="762">
        <v>0</v>
      </c>
      <c r="R108" s="762">
        <v>24002122</v>
      </c>
      <c r="S108" s="790">
        <v>0.5</v>
      </c>
      <c r="T108" s="790">
        <v>0.4</v>
      </c>
      <c r="U108" s="790">
        <v>0.09</v>
      </c>
      <c r="V108" s="790">
        <v>0.01</v>
      </c>
      <c r="W108" s="790">
        <v>1</v>
      </c>
      <c r="X108" s="762">
        <v>12001061</v>
      </c>
      <c r="Y108" s="762">
        <v>9600849</v>
      </c>
      <c r="Z108" s="762">
        <v>2160191</v>
      </c>
      <c r="AA108" s="762">
        <v>240021</v>
      </c>
      <c r="AB108" s="762">
        <v>24002122</v>
      </c>
      <c r="AC108" s="762">
        <v>0</v>
      </c>
      <c r="AD108" s="762">
        <v>0</v>
      </c>
      <c r="AE108" s="762">
        <v>0</v>
      </c>
      <c r="AF108" s="762">
        <v>0</v>
      </c>
      <c r="AG108" s="762">
        <v>0</v>
      </c>
      <c r="AH108" s="762">
        <v>12001061</v>
      </c>
      <c r="AI108" s="762">
        <v>9600849</v>
      </c>
      <c r="AJ108" s="762">
        <v>2160191</v>
      </c>
      <c r="AK108" s="762">
        <v>240021</v>
      </c>
      <c r="AL108" s="762">
        <v>24002122</v>
      </c>
      <c r="AM108" s="762">
        <v>121544</v>
      </c>
      <c r="AN108" s="762">
        <v>121544</v>
      </c>
      <c r="AO108" s="762">
        <v>0</v>
      </c>
      <c r="AP108" s="762">
        <v>0</v>
      </c>
      <c r="AQ108" s="762">
        <v>345240</v>
      </c>
      <c r="AR108" s="762">
        <v>0</v>
      </c>
      <c r="AS108" s="762">
        <v>345240</v>
      </c>
      <c r="AT108" s="762">
        <v>0</v>
      </c>
      <c r="AU108" s="762">
        <v>0</v>
      </c>
      <c r="AV108" s="762">
        <v>0</v>
      </c>
      <c r="AW108" s="762">
        <v>0</v>
      </c>
      <c r="AX108" s="762">
        <v>0</v>
      </c>
      <c r="AY108" s="762">
        <v>0</v>
      </c>
      <c r="AZ108" s="762">
        <v>0</v>
      </c>
      <c r="BA108" s="762">
        <v>0</v>
      </c>
      <c r="BB108" s="762">
        <v>0</v>
      </c>
      <c r="BC108" s="762">
        <v>0</v>
      </c>
      <c r="BD108" s="762">
        <v>0</v>
      </c>
      <c r="BE108" s="762">
        <v>0</v>
      </c>
      <c r="BF108" s="762">
        <v>0</v>
      </c>
      <c r="BG108" s="762">
        <v>0</v>
      </c>
      <c r="BH108" s="762">
        <v>0</v>
      </c>
      <c r="BI108" s="762">
        <v>0</v>
      </c>
      <c r="BJ108" s="790">
        <v>0.5</v>
      </c>
      <c r="BK108" s="790">
        <v>0.4</v>
      </c>
      <c r="BL108" s="790">
        <v>0.09</v>
      </c>
      <c r="BM108" s="790">
        <v>0.01</v>
      </c>
      <c r="BN108" s="790">
        <v>1</v>
      </c>
      <c r="BO108" s="762">
        <v>-1096465</v>
      </c>
      <c r="BP108" s="762">
        <v>-877172</v>
      </c>
      <c r="BQ108" s="762">
        <v>-197364</v>
      </c>
      <c r="BR108" s="762">
        <v>-21929</v>
      </c>
      <c r="BS108" s="762">
        <v>-2192930</v>
      </c>
      <c r="BT108" s="790">
        <v>0.5</v>
      </c>
      <c r="BU108" s="790">
        <v>0.4</v>
      </c>
      <c r="BV108" s="790">
        <v>0.09</v>
      </c>
      <c r="BW108" s="790">
        <v>0.01</v>
      </c>
      <c r="BX108" s="790">
        <v>1</v>
      </c>
      <c r="BY108" s="762">
        <v>542730</v>
      </c>
      <c r="BZ108" s="762">
        <v>434184</v>
      </c>
      <c r="CA108" s="762">
        <v>97691</v>
      </c>
      <c r="CB108" s="762">
        <v>10855</v>
      </c>
      <c r="CC108" s="762">
        <v>1085460</v>
      </c>
      <c r="CD108" s="762">
        <v>-553735</v>
      </c>
      <c r="CE108" s="762">
        <v>-442988</v>
      </c>
      <c r="CF108" s="762">
        <v>-99672</v>
      </c>
      <c r="CG108" s="762">
        <v>-11075</v>
      </c>
      <c r="CH108" s="762">
        <v>-1107470</v>
      </c>
      <c r="CI108" s="762">
        <v>11447326</v>
      </c>
      <c r="CJ108" s="762">
        <v>9624645</v>
      </c>
      <c r="CK108" s="762">
        <v>2060519</v>
      </c>
      <c r="CL108" s="762">
        <v>228946</v>
      </c>
      <c r="CM108" s="762">
        <v>23361436</v>
      </c>
      <c r="CN108" s="762">
        <v>324109</v>
      </c>
      <c r="CO108" s="762">
        <v>70393</v>
      </c>
      <c r="CP108" s="762">
        <v>7821</v>
      </c>
      <c r="CQ108" s="762">
        <v>402323</v>
      </c>
      <c r="CR108" s="762">
        <v>1032007</v>
      </c>
      <c r="CS108" s="762">
        <v>232201</v>
      </c>
      <c r="CT108" s="762">
        <v>25800</v>
      </c>
      <c r="CU108" s="762">
        <v>1290008</v>
      </c>
      <c r="CV108" s="762">
        <v>51702</v>
      </c>
      <c r="CW108" s="762">
        <v>11633</v>
      </c>
      <c r="CX108" s="762">
        <v>1293</v>
      </c>
      <c r="CY108" s="762">
        <v>64628</v>
      </c>
      <c r="CZ108" s="762">
        <v>0</v>
      </c>
      <c r="DA108" s="762">
        <v>0</v>
      </c>
      <c r="DB108" s="762">
        <v>0</v>
      </c>
      <c r="DC108" s="762">
        <v>0</v>
      </c>
      <c r="DD108" s="762">
        <v>10481</v>
      </c>
      <c r="DE108" s="762">
        <v>2358</v>
      </c>
      <c r="DF108" s="762">
        <v>262</v>
      </c>
      <c r="DG108" s="762">
        <v>13101</v>
      </c>
      <c r="DH108" s="762">
        <v>0</v>
      </c>
      <c r="DI108" s="762">
        <v>0</v>
      </c>
      <c r="DJ108" s="762">
        <v>0</v>
      </c>
      <c r="DK108" s="762">
        <v>0</v>
      </c>
      <c r="DL108" s="762">
        <v>8807</v>
      </c>
      <c r="DM108" s="762">
        <v>1981</v>
      </c>
      <c r="DN108" s="762">
        <v>220</v>
      </c>
      <c r="DO108" s="762">
        <v>11008</v>
      </c>
      <c r="DP108" s="762">
        <v>13183</v>
      </c>
      <c r="DQ108" s="762">
        <v>2966</v>
      </c>
      <c r="DR108" s="762">
        <v>330</v>
      </c>
      <c r="DS108" s="762">
        <v>16479</v>
      </c>
      <c r="DT108" s="762">
        <v>0</v>
      </c>
      <c r="DU108" s="762">
        <v>0</v>
      </c>
      <c r="DV108" s="762">
        <v>0</v>
      </c>
      <c r="DW108" s="762">
        <v>0</v>
      </c>
      <c r="DX108" s="762">
        <v>0</v>
      </c>
      <c r="DY108" s="762">
        <v>0</v>
      </c>
      <c r="DZ108" s="762">
        <v>0</v>
      </c>
      <c r="EA108" s="762">
        <v>0</v>
      </c>
      <c r="EB108" s="762">
        <v>264074</v>
      </c>
      <c r="EC108" s="762">
        <v>59416</v>
      </c>
      <c r="ED108" s="762">
        <v>6602</v>
      </c>
      <c r="EE108" s="762">
        <v>330092</v>
      </c>
      <c r="EF108" s="762">
        <v>1704363</v>
      </c>
      <c r="EG108" s="762">
        <v>380948</v>
      </c>
      <c r="EH108" s="762">
        <v>42328</v>
      </c>
      <c r="EI108" s="799">
        <v>2127639</v>
      </c>
      <c r="EJ108" s="763" t="s">
        <v>89</v>
      </c>
      <c r="EK108" s="607" t="s">
        <v>547</v>
      </c>
      <c r="EL108" s="805" t="s">
        <v>546</v>
      </c>
      <c r="EM108" t="s">
        <v>1674</v>
      </c>
    </row>
    <row r="109" spans="1:143" ht="12.75" x14ac:dyDescent="0.2">
      <c r="A109" s="764">
        <v>102</v>
      </c>
      <c r="B109" s="765" t="s">
        <v>345</v>
      </c>
      <c r="C109" s="766" t="s">
        <v>1217</v>
      </c>
      <c r="D109" s="767" t="s">
        <v>1221</v>
      </c>
      <c r="E109" s="768" t="s">
        <v>1142</v>
      </c>
      <c r="F109" s="761">
        <v>28038667</v>
      </c>
      <c r="G109" s="762">
        <v>0</v>
      </c>
      <c r="H109" s="762">
        <v>325416</v>
      </c>
      <c r="I109" s="762">
        <v>146408</v>
      </c>
      <c r="J109" s="762">
        <v>0</v>
      </c>
      <c r="K109" s="762">
        <v>146408</v>
      </c>
      <c r="L109" s="762">
        <v>0</v>
      </c>
      <c r="M109" s="762">
        <v>0</v>
      </c>
      <c r="N109" s="762">
        <v>0</v>
      </c>
      <c r="O109" s="762">
        <v>0</v>
      </c>
      <c r="P109" s="762">
        <v>0</v>
      </c>
      <c r="Q109" s="762">
        <v>0</v>
      </c>
      <c r="R109" s="762">
        <v>27566843</v>
      </c>
      <c r="S109" s="790">
        <v>0.5</v>
      </c>
      <c r="T109" s="790">
        <v>0.4</v>
      </c>
      <c r="U109" s="790">
        <v>0.09</v>
      </c>
      <c r="V109" s="790">
        <v>0.01</v>
      </c>
      <c r="W109" s="790">
        <v>1</v>
      </c>
      <c r="X109" s="762">
        <v>13783422</v>
      </c>
      <c r="Y109" s="762">
        <v>11026737</v>
      </c>
      <c r="Z109" s="762">
        <v>2481016</v>
      </c>
      <c r="AA109" s="762">
        <v>275668</v>
      </c>
      <c r="AB109" s="762">
        <v>27566843</v>
      </c>
      <c r="AC109" s="762">
        <v>0</v>
      </c>
      <c r="AD109" s="762">
        <v>0</v>
      </c>
      <c r="AE109" s="762">
        <v>0</v>
      </c>
      <c r="AF109" s="762">
        <v>0</v>
      </c>
      <c r="AG109" s="762">
        <v>0</v>
      </c>
      <c r="AH109" s="762">
        <v>13783422</v>
      </c>
      <c r="AI109" s="762">
        <v>11026737</v>
      </c>
      <c r="AJ109" s="762">
        <v>2481016</v>
      </c>
      <c r="AK109" s="762">
        <v>275668</v>
      </c>
      <c r="AL109" s="762">
        <v>27566843</v>
      </c>
      <c r="AM109" s="762">
        <v>146408</v>
      </c>
      <c r="AN109" s="762">
        <v>146408</v>
      </c>
      <c r="AO109" s="762">
        <v>0</v>
      </c>
      <c r="AP109" s="762">
        <v>0</v>
      </c>
      <c r="AQ109" s="762">
        <v>0</v>
      </c>
      <c r="AR109" s="762">
        <v>0</v>
      </c>
      <c r="AS109" s="762">
        <v>0</v>
      </c>
      <c r="AT109" s="762">
        <v>0</v>
      </c>
      <c r="AU109" s="762">
        <v>0</v>
      </c>
      <c r="AV109" s="762">
        <v>0</v>
      </c>
      <c r="AW109" s="762">
        <v>0</v>
      </c>
      <c r="AX109" s="762">
        <v>0</v>
      </c>
      <c r="AY109" s="762">
        <v>0</v>
      </c>
      <c r="AZ109" s="762">
        <v>0</v>
      </c>
      <c r="BA109" s="762">
        <v>0</v>
      </c>
      <c r="BB109" s="762">
        <v>0</v>
      </c>
      <c r="BC109" s="762">
        <v>0</v>
      </c>
      <c r="BD109" s="762">
        <v>0</v>
      </c>
      <c r="BE109" s="762">
        <v>0</v>
      </c>
      <c r="BF109" s="762">
        <v>0</v>
      </c>
      <c r="BG109" s="762">
        <v>0</v>
      </c>
      <c r="BH109" s="762">
        <v>0</v>
      </c>
      <c r="BI109" s="762">
        <v>0</v>
      </c>
      <c r="BJ109" s="790">
        <v>0</v>
      </c>
      <c r="BK109" s="790">
        <v>0.4</v>
      </c>
      <c r="BL109" s="790">
        <v>0.59</v>
      </c>
      <c r="BM109" s="790">
        <v>0.01</v>
      </c>
      <c r="BN109" s="790">
        <v>1</v>
      </c>
      <c r="BO109" s="762">
        <v>0</v>
      </c>
      <c r="BP109" s="762">
        <v>361582</v>
      </c>
      <c r="BQ109" s="762">
        <v>533333</v>
      </c>
      <c r="BR109" s="762">
        <v>9040</v>
      </c>
      <c r="BS109" s="762">
        <v>903955</v>
      </c>
      <c r="BT109" s="790">
        <v>0.5</v>
      </c>
      <c r="BU109" s="790">
        <v>0.4</v>
      </c>
      <c r="BV109" s="790">
        <v>0.09</v>
      </c>
      <c r="BW109" s="790">
        <v>0.01</v>
      </c>
      <c r="BX109" s="790">
        <v>1</v>
      </c>
      <c r="BY109" s="762">
        <v>-1320198</v>
      </c>
      <c r="BZ109" s="762">
        <v>-1056158</v>
      </c>
      <c r="CA109" s="762">
        <v>-237636</v>
      </c>
      <c r="CB109" s="762">
        <v>-26404</v>
      </c>
      <c r="CC109" s="762">
        <v>-2640396</v>
      </c>
      <c r="CD109" s="762">
        <v>-1320198</v>
      </c>
      <c r="CE109" s="762">
        <v>-694576</v>
      </c>
      <c r="CF109" s="762">
        <v>295697</v>
      </c>
      <c r="CG109" s="762">
        <v>-17364</v>
      </c>
      <c r="CH109" s="762">
        <v>-1736441</v>
      </c>
      <c r="CI109" s="762">
        <v>12463224</v>
      </c>
      <c r="CJ109" s="762">
        <v>10478569</v>
      </c>
      <c r="CK109" s="762">
        <v>2776713</v>
      </c>
      <c r="CL109" s="762">
        <v>258304</v>
      </c>
      <c r="CM109" s="762">
        <v>25976810</v>
      </c>
      <c r="CN109" s="762">
        <v>359323</v>
      </c>
      <c r="CO109" s="762">
        <v>80848</v>
      </c>
      <c r="CP109" s="762">
        <v>8983</v>
      </c>
      <c r="CQ109" s="762">
        <v>449154</v>
      </c>
      <c r="CR109" s="762">
        <v>1145913</v>
      </c>
      <c r="CS109" s="762">
        <v>257830</v>
      </c>
      <c r="CT109" s="762">
        <v>28648</v>
      </c>
      <c r="CU109" s="762">
        <v>1432391</v>
      </c>
      <c r="CV109" s="762">
        <v>50715</v>
      </c>
      <c r="CW109" s="762">
        <v>11411</v>
      </c>
      <c r="CX109" s="762">
        <v>1268</v>
      </c>
      <c r="CY109" s="762">
        <v>63394</v>
      </c>
      <c r="CZ109" s="762">
        <v>8780</v>
      </c>
      <c r="DA109" s="762">
        <v>1975</v>
      </c>
      <c r="DB109" s="762">
        <v>219</v>
      </c>
      <c r="DC109" s="762">
        <v>10974</v>
      </c>
      <c r="DD109" s="762">
        <v>8215</v>
      </c>
      <c r="DE109" s="762">
        <v>1848</v>
      </c>
      <c r="DF109" s="762">
        <v>205</v>
      </c>
      <c r="DG109" s="762">
        <v>10268</v>
      </c>
      <c r="DH109" s="762">
        <v>0</v>
      </c>
      <c r="DI109" s="762">
        <v>0</v>
      </c>
      <c r="DJ109" s="762">
        <v>0</v>
      </c>
      <c r="DK109" s="762">
        <v>0</v>
      </c>
      <c r="DL109" s="762">
        <v>12664</v>
      </c>
      <c r="DM109" s="762">
        <v>2849</v>
      </c>
      <c r="DN109" s="762">
        <v>317</v>
      </c>
      <c r="DO109" s="762">
        <v>15830</v>
      </c>
      <c r="DP109" s="762">
        <v>13300</v>
      </c>
      <c r="DQ109" s="762">
        <v>2993</v>
      </c>
      <c r="DR109" s="762">
        <v>333</v>
      </c>
      <c r="DS109" s="762">
        <v>16626</v>
      </c>
      <c r="DT109" s="762">
        <v>0</v>
      </c>
      <c r="DU109" s="762">
        <v>0</v>
      </c>
      <c r="DV109" s="762">
        <v>0</v>
      </c>
      <c r="DW109" s="762">
        <v>0</v>
      </c>
      <c r="DX109" s="762">
        <v>0</v>
      </c>
      <c r="DY109" s="762">
        <v>0</v>
      </c>
      <c r="DZ109" s="762">
        <v>0</v>
      </c>
      <c r="EA109" s="762">
        <v>0</v>
      </c>
      <c r="EB109" s="762">
        <v>429024</v>
      </c>
      <c r="EC109" s="762">
        <v>96530</v>
      </c>
      <c r="ED109" s="762">
        <v>10726</v>
      </c>
      <c r="EE109" s="762">
        <v>536280</v>
      </c>
      <c r="EF109" s="762">
        <v>2027934</v>
      </c>
      <c r="EG109" s="762">
        <v>456284</v>
      </c>
      <c r="EH109" s="762">
        <v>50699</v>
      </c>
      <c r="EI109" s="799">
        <v>2534917</v>
      </c>
      <c r="EJ109" s="763" t="s">
        <v>1142</v>
      </c>
      <c r="EK109" s="607" t="s">
        <v>615</v>
      </c>
      <c r="EL109" s="805" t="s">
        <v>556</v>
      </c>
      <c r="EM109" t="s">
        <v>1675</v>
      </c>
    </row>
    <row r="110" spans="1:143" ht="12.75" x14ac:dyDescent="0.2">
      <c r="A110" s="764">
        <v>103</v>
      </c>
      <c r="B110" s="765" t="s">
        <v>92</v>
      </c>
      <c r="C110" s="766" t="s">
        <v>1217</v>
      </c>
      <c r="D110" s="767" t="s">
        <v>1226</v>
      </c>
      <c r="E110" s="768" t="s">
        <v>91</v>
      </c>
      <c r="F110" s="761">
        <v>13206675</v>
      </c>
      <c r="G110" s="762">
        <v>444502</v>
      </c>
      <c r="H110" s="762">
        <v>0</v>
      </c>
      <c r="I110" s="762">
        <v>116976</v>
      </c>
      <c r="J110" s="762">
        <v>0</v>
      </c>
      <c r="K110" s="762">
        <v>116976</v>
      </c>
      <c r="L110" s="762">
        <v>0</v>
      </c>
      <c r="M110" s="762">
        <v>0</v>
      </c>
      <c r="N110" s="762">
        <v>177408</v>
      </c>
      <c r="O110" s="762">
        <v>177408</v>
      </c>
      <c r="P110" s="762">
        <v>0</v>
      </c>
      <c r="Q110" s="762">
        <v>0</v>
      </c>
      <c r="R110" s="762">
        <v>13356793</v>
      </c>
      <c r="S110" s="790">
        <v>0.5</v>
      </c>
      <c r="T110" s="790">
        <v>0.4</v>
      </c>
      <c r="U110" s="790">
        <v>0.1</v>
      </c>
      <c r="V110" s="790">
        <v>0</v>
      </c>
      <c r="W110" s="790">
        <v>1</v>
      </c>
      <c r="X110" s="762">
        <v>6678397</v>
      </c>
      <c r="Y110" s="762">
        <v>5342717</v>
      </c>
      <c r="Z110" s="762">
        <v>1335679</v>
      </c>
      <c r="AA110" s="762">
        <v>0</v>
      </c>
      <c r="AB110" s="762">
        <v>13356793</v>
      </c>
      <c r="AC110" s="762">
        <v>0</v>
      </c>
      <c r="AD110" s="762">
        <v>0</v>
      </c>
      <c r="AE110" s="762">
        <v>0</v>
      </c>
      <c r="AF110" s="762">
        <v>0</v>
      </c>
      <c r="AG110" s="762">
        <v>0</v>
      </c>
      <c r="AH110" s="762">
        <v>6678397</v>
      </c>
      <c r="AI110" s="762">
        <v>5342717</v>
      </c>
      <c r="AJ110" s="762">
        <v>1335679</v>
      </c>
      <c r="AK110" s="762">
        <v>0</v>
      </c>
      <c r="AL110" s="762">
        <v>13356793</v>
      </c>
      <c r="AM110" s="762">
        <v>116976</v>
      </c>
      <c r="AN110" s="762">
        <v>116976</v>
      </c>
      <c r="AO110" s="762">
        <v>0</v>
      </c>
      <c r="AP110" s="762">
        <v>0</v>
      </c>
      <c r="AQ110" s="762">
        <v>177408</v>
      </c>
      <c r="AR110" s="762">
        <v>0</v>
      </c>
      <c r="AS110" s="762">
        <v>177408</v>
      </c>
      <c r="AT110" s="762">
        <v>0</v>
      </c>
      <c r="AU110" s="762">
        <v>0</v>
      </c>
      <c r="AV110" s="762">
        <v>0</v>
      </c>
      <c r="AW110" s="762">
        <v>0</v>
      </c>
      <c r="AX110" s="762">
        <v>0</v>
      </c>
      <c r="AY110" s="762">
        <v>0</v>
      </c>
      <c r="AZ110" s="762">
        <v>0</v>
      </c>
      <c r="BA110" s="762">
        <v>0</v>
      </c>
      <c r="BB110" s="762">
        <v>0</v>
      </c>
      <c r="BC110" s="762">
        <v>0</v>
      </c>
      <c r="BD110" s="762">
        <v>0</v>
      </c>
      <c r="BE110" s="762">
        <v>0</v>
      </c>
      <c r="BF110" s="762">
        <v>0</v>
      </c>
      <c r="BG110" s="762">
        <v>0</v>
      </c>
      <c r="BH110" s="762">
        <v>0</v>
      </c>
      <c r="BI110" s="762">
        <v>0</v>
      </c>
      <c r="BJ110" s="790">
        <v>0</v>
      </c>
      <c r="BK110" s="790">
        <v>0.5</v>
      </c>
      <c r="BL110" s="790">
        <v>0.5</v>
      </c>
      <c r="BM110" s="790">
        <v>0</v>
      </c>
      <c r="BN110" s="790">
        <v>1</v>
      </c>
      <c r="BO110" s="762">
        <v>1</v>
      </c>
      <c r="BP110" s="762">
        <v>-92789</v>
      </c>
      <c r="BQ110" s="762">
        <v>-92789</v>
      </c>
      <c r="BR110" s="762">
        <v>0</v>
      </c>
      <c r="BS110" s="762">
        <v>-185577</v>
      </c>
      <c r="BT110" s="790">
        <v>0.5</v>
      </c>
      <c r="BU110" s="790">
        <v>0.4</v>
      </c>
      <c r="BV110" s="790">
        <v>0.1</v>
      </c>
      <c r="BW110" s="790">
        <v>0</v>
      </c>
      <c r="BX110" s="790">
        <v>1</v>
      </c>
      <c r="BY110" s="762">
        <v>-144833</v>
      </c>
      <c r="BZ110" s="762">
        <v>-115866</v>
      </c>
      <c r="CA110" s="762">
        <v>-28967</v>
      </c>
      <c r="CB110" s="762">
        <v>0</v>
      </c>
      <c r="CC110" s="762">
        <v>-289666</v>
      </c>
      <c r="CD110" s="762">
        <v>-144832</v>
      </c>
      <c r="CE110" s="762">
        <v>-208655</v>
      </c>
      <c r="CF110" s="762">
        <v>-121756</v>
      </c>
      <c r="CG110" s="762">
        <v>0</v>
      </c>
      <c r="CH110" s="762">
        <v>-475243</v>
      </c>
      <c r="CI110" s="762">
        <v>6533565</v>
      </c>
      <c r="CJ110" s="762">
        <v>5428446</v>
      </c>
      <c r="CK110" s="762">
        <v>1213923</v>
      </c>
      <c r="CL110" s="762">
        <v>0</v>
      </c>
      <c r="CM110" s="762">
        <v>13175934</v>
      </c>
      <c r="CN110" s="762">
        <v>179882</v>
      </c>
      <c r="CO110" s="762">
        <v>43525</v>
      </c>
      <c r="CP110" s="762">
        <v>0</v>
      </c>
      <c r="CQ110" s="762">
        <v>223407</v>
      </c>
      <c r="CR110" s="762">
        <v>900351</v>
      </c>
      <c r="CS110" s="762">
        <v>225088</v>
      </c>
      <c r="CT110" s="762">
        <v>0</v>
      </c>
      <c r="CU110" s="762">
        <v>1125439</v>
      </c>
      <c r="CV110" s="762">
        <v>34904</v>
      </c>
      <c r="CW110" s="762">
        <v>8726</v>
      </c>
      <c r="CX110" s="762">
        <v>0</v>
      </c>
      <c r="CY110" s="762">
        <v>43630</v>
      </c>
      <c r="CZ110" s="762">
        <v>2354</v>
      </c>
      <c r="DA110" s="762">
        <v>588</v>
      </c>
      <c r="DB110" s="762">
        <v>0</v>
      </c>
      <c r="DC110" s="762">
        <v>2942</v>
      </c>
      <c r="DD110" s="762">
        <v>16988</v>
      </c>
      <c r="DE110" s="762">
        <v>4247</v>
      </c>
      <c r="DF110" s="762">
        <v>0</v>
      </c>
      <c r="DG110" s="762">
        <v>21235</v>
      </c>
      <c r="DH110" s="762">
        <v>619</v>
      </c>
      <c r="DI110" s="762">
        <v>155</v>
      </c>
      <c r="DJ110" s="762">
        <v>0</v>
      </c>
      <c r="DK110" s="762">
        <v>774</v>
      </c>
      <c r="DL110" s="762">
        <v>6517</v>
      </c>
      <c r="DM110" s="762">
        <v>1629</v>
      </c>
      <c r="DN110" s="762">
        <v>0</v>
      </c>
      <c r="DO110" s="762">
        <v>8146</v>
      </c>
      <c r="DP110" s="762">
        <v>13921</v>
      </c>
      <c r="DQ110" s="762">
        <v>3480</v>
      </c>
      <c r="DR110" s="762">
        <v>0</v>
      </c>
      <c r="DS110" s="762">
        <v>17401</v>
      </c>
      <c r="DT110" s="762">
        <v>0</v>
      </c>
      <c r="DU110" s="762">
        <v>0</v>
      </c>
      <c r="DV110" s="762">
        <v>0</v>
      </c>
      <c r="DW110" s="762">
        <v>0</v>
      </c>
      <c r="DX110" s="762">
        <v>0</v>
      </c>
      <c r="DY110" s="762">
        <v>0</v>
      </c>
      <c r="DZ110" s="762">
        <v>0</v>
      </c>
      <c r="EA110" s="762">
        <v>0</v>
      </c>
      <c r="EB110" s="762">
        <v>127685</v>
      </c>
      <c r="EC110" s="762">
        <v>31921</v>
      </c>
      <c r="ED110" s="762">
        <v>0</v>
      </c>
      <c r="EE110" s="762">
        <v>159606</v>
      </c>
      <c r="EF110" s="762">
        <v>1283221</v>
      </c>
      <c r="EG110" s="762">
        <v>319359</v>
      </c>
      <c r="EH110" s="762">
        <v>0</v>
      </c>
      <c r="EI110" s="799">
        <v>1602580</v>
      </c>
      <c r="EJ110" s="763" t="s">
        <v>91</v>
      </c>
      <c r="EK110" s="607" t="s">
        <v>576</v>
      </c>
      <c r="EL110" s="805" t="s">
        <v>556</v>
      </c>
      <c r="EM110" t="s">
        <v>1676</v>
      </c>
    </row>
    <row r="111" spans="1:143" ht="12.75" x14ac:dyDescent="0.2">
      <c r="A111" s="764">
        <v>104</v>
      </c>
      <c r="B111" s="765" t="s">
        <v>94</v>
      </c>
      <c r="C111" s="766" t="s">
        <v>1217</v>
      </c>
      <c r="D111" s="767" t="s">
        <v>1219</v>
      </c>
      <c r="E111" s="768" t="s">
        <v>93</v>
      </c>
      <c r="F111" s="761">
        <v>25214196</v>
      </c>
      <c r="G111" s="762">
        <v>0</v>
      </c>
      <c r="H111" s="762">
        <v>64872</v>
      </c>
      <c r="I111" s="762">
        <v>111299</v>
      </c>
      <c r="J111" s="762">
        <v>0</v>
      </c>
      <c r="K111" s="762">
        <v>111299</v>
      </c>
      <c r="L111" s="762">
        <v>0</v>
      </c>
      <c r="M111" s="762">
        <v>0</v>
      </c>
      <c r="N111" s="762">
        <v>56486</v>
      </c>
      <c r="O111" s="762">
        <v>45188</v>
      </c>
      <c r="P111" s="762">
        <v>11298</v>
      </c>
      <c r="Q111" s="762">
        <v>25956</v>
      </c>
      <c r="R111" s="762">
        <v>24955583</v>
      </c>
      <c r="S111" s="790">
        <v>0.25</v>
      </c>
      <c r="T111" s="790">
        <v>0.56000000000000005</v>
      </c>
      <c r="U111" s="790">
        <v>0.17499999999999999</v>
      </c>
      <c r="V111" s="790">
        <v>1.4999999999999999E-2</v>
      </c>
      <c r="W111" s="790">
        <v>1</v>
      </c>
      <c r="X111" s="762">
        <v>6238896</v>
      </c>
      <c r="Y111" s="762">
        <v>13975126</v>
      </c>
      <c r="Z111" s="762">
        <v>4367227</v>
      </c>
      <c r="AA111" s="762">
        <v>374334</v>
      </c>
      <c r="AB111" s="762">
        <v>24955583</v>
      </c>
      <c r="AC111" s="762">
        <v>259239</v>
      </c>
      <c r="AD111" s="762">
        <v>0</v>
      </c>
      <c r="AE111" s="762">
        <v>0</v>
      </c>
      <c r="AF111" s="762">
        <v>0</v>
      </c>
      <c r="AG111" s="762">
        <v>259239</v>
      </c>
      <c r="AH111" s="762">
        <v>5979657</v>
      </c>
      <c r="AI111" s="762">
        <v>13975126</v>
      </c>
      <c r="AJ111" s="762">
        <v>4367227</v>
      </c>
      <c r="AK111" s="762">
        <v>374334</v>
      </c>
      <c r="AL111" s="762">
        <v>24696344</v>
      </c>
      <c r="AM111" s="762">
        <v>111299</v>
      </c>
      <c r="AN111" s="762">
        <v>111299</v>
      </c>
      <c r="AO111" s="762">
        <v>0</v>
      </c>
      <c r="AP111" s="762">
        <v>0</v>
      </c>
      <c r="AQ111" s="762">
        <v>45188</v>
      </c>
      <c r="AR111" s="762">
        <v>11298</v>
      </c>
      <c r="AS111" s="762">
        <v>56486</v>
      </c>
      <c r="AT111" s="762">
        <v>10382.400000000001</v>
      </c>
      <c r="AU111" s="762">
        <v>15314.039999999999</v>
      </c>
      <c r="AV111" s="762">
        <v>259.56</v>
      </c>
      <c r="AW111" s="762">
        <v>25956</v>
      </c>
      <c r="AX111" s="762">
        <v>259239</v>
      </c>
      <c r="AY111" s="762">
        <v>0</v>
      </c>
      <c r="AZ111" s="762">
        <v>0</v>
      </c>
      <c r="BA111" s="762">
        <v>259239</v>
      </c>
      <c r="BB111" s="762">
        <v>0</v>
      </c>
      <c r="BC111" s="762">
        <v>0</v>
      </c>
      <c r="BD111" s="762">
        <v>0</v>
      </c>
      <c r="BE111" s="762">
        <v>0</v>
      </c>
      <c r="BF111" s="762">
        <v>0</v>
      </c>
      <c r="BG111" s="762">
        <v>0</v>
      </c>
      <c r="BH111" s="762">
        <v>0</v>
      </c>
      <c r="BI111" s="762">
        <v>0</v>
      </c>
      <c r="BJ111" s="790">
        <v>0.5</v>
      </c>
      <c r="BK111" s="790">
        <v>0.4</v>
      </c>
      <c r="BL111" s="790">
        <v>0.09</v>
      </c>
      <c r="BM111" s="790">
        <v>0.01</v>
      </c>
      <c r="BN111" s="790">
        <v>1</v>
      </c>
      <c r="BO111" s="762">
        <v>-225926</v>
      </c>
      <c r="BP111" s="762">
        <v>-180742</v>
      </c>
      <c r="BQ111" s="762">
        <v>-40667</v>
      </c>
      <c r="BR111" s="762">
        <v>-4519</v>
      </c>
      <c r="BS111" s="762">
        <v>-451854</v>
      </c>
      <c r="BT111" s="790">
        <v>0.5</v>
      </c>
      <c r="BU111" s="790">
        <v>0.4</v>
      </c>
      <c r="BV111" s="790">
        <v>0.09</v>
      </c>
      <c r="BW111" s="790">
        <v>0.01</v>
      </c>
      <c r="BX111" s="790">
        <v>1</v>
      </c>
      <c r="BY111" s="762">
        <v>-134932</v>
      </c>
      <c r="BZ111" s="762">
        <v>-107946</v>
      </c>
      <c r="CA111" s="762">
        <v>-24288</v>
      </c>
      <c r="CB111" s="762">
        <v>-2699</v>
      </c>
      <c r="CC111" s="762">
        <v>-269865</v>
      </c>
      <c r="CD111" s="762">
        <v>-360859</v>
      </c>
      <c r="CE111" s="762">
        <v>-288688</v>
      </c>
      <c r="CF111" s="762">
        <v>-64955</v>
      </c>
      <c r="CG111" s="762">
        <v>-7217</v>
      </c>
      <c r="CH111" s="762">
        <v>-721719</v>
      </c>
      <c r="CI111" s="762">
        <v>5618798</v>
      </c>
      <c r="CJ111" s="762">
        <v>14112546</v>
      </c>
      <c r="CK111" s="762">
        <v>4328884</v>
      </c>
      <c r="CL111" s="762">
        <v>367377</v>
      </c>
      <c r="CM111" s="762">
        <v>24427605</v>
      </c>
      <c r="CN111" s="762">
        <v>465660</v>
      </c>
      <c r="CO111" s="762">
        <v>143180</v>
      </c>
      <c r="CP111" s="762">
        <v>12207</v>
      </c>
      <c r="CQ111" s="762">
        <v>621047</v>
      </c>
      <c r="CR111" s="762">
        <v>1397673</v>
      </c>
      <c r="CS111" s="762">
        <v>429530</v>
      </c>
      <c r="CT111" s="762">
        <v>36817</v>
      </c>
      <c r="CU111" s="762">
        <v>1864020</v>
      </c>
      <c r="CV111" s="762">
        <v>71546</v>
      </c>
      <c r="CW111" s="762">
        <v>19718</v>
      </c>
      <c r="CX111" s="762">
        <v>1690</v>
      </c>
      <c r="CY111" s="762">
        <v>92954</v>
      </c>
      <c r="CZ111" s="762">
        <v>2072</v>
      </c>
      <c r="DA111" s="762">
        <v>648</v>
      </c>
      <c r="DB111" s="762">
        <v>56</v>
      </c>
      <c r="DC111" s="762">
        <v>2776</v>
      </c>
      <c r="DD111" s="762">
        <v>2500</v>
      </c>
      <c r="DE111" s="762">
        <v>781</v>
      </c>
      <c r="DF111" s="762">
        <v>67</v>
      </c>
      <c r="DG111" s="762">
        <v>3348</v>
      </c>
      <c r="DH111" s="762">
        <v>868</v>
      </c>
      <c r="DI111" s="762">
        <v>271</v>
      </c>
      <c r="DJ111" s="762">
        <v>23</v>
      </c>
      <c r="DK111" s="762">
        <v>1162</v>
      </c>
      <c r="DL111" s="762">
        <v>7638</v>
      </c>
      <c r="DM111" s="762">
        <v>2387</v>
      </c>
      <c r="DN111" s="762">
        <v>205</v>
      </c>
      <c r="DO111" s="762">
        <v>10230</v>
      </c>
      <c r="DP111" s="762">
        <v>14562</v>
      </c>
      <c r="DQ111" s="762">
        <v>4551</v>
      </c>
      <c r="DR111" s="762">
        <v>390</v>
      </c>
      <c r="DS111" s="762">
        <v>19503</v>
      </c>
      <c r="DT111" s="762">
        <v>0</v>
      </c>
      <c r="DU111" s="762">
        <v>0</v>
      </c>
      <c r="DV111" s="762">
        <v>0</v>
      </c>
      <c r="DW111" s="762">
        <v>0</v>
      </c>
      <c r="DX111" s="762">
        <v>0</v>
      </c>
      <c r="DY111" s="762">
        <v>0</v>
      </c>
      <c r="DZ111" s="762">
        <v>0</v>
      </c>
      <c r="EA111" s="762">
        <v>0</v>
      </c>
      <c r="EB111" s="762">
        <v>325931</v>
      </c>
      <c r="EC111" s="762">
        <v>101854</v>
      </c>
      <c r="ED111" s="762">
        <v>8730</v>
      </c>
      <c r="EE111" s="762">
        <v>436515</v>
      </c>
      <c r="EF111" s="762">
        <v>2288450</v>
      </c>
      <c r="EG111" s="762">
        <v>702920</v>
      </c>
      <c r="EH111" s="762">
        <v>60185</v>
      </c>
      <c r="EI111" s="799">
        <v>3051555</v>
      </c>
      <c r="EJ111" s="763" t="s">
        <v>93</v>
      </c>
      <c r="EK111" s="607" t="s">
        <v>595</v>
      </c>
      <c r="EL111" s="805" t="s">
        <v>593</v>
      </c>
      <c r="EM111" t="s">
        <v>1677</v>
      </c>
    </row>
    <row r="112" spans="1:143" ht="12.75" x14ac:dyDescent="0.2">
      <c r="A112" s="764">
        <v>105</v>
      </c>
      <c r="B112" s="765" t="s">
        <v>96</v>
      </c>
      <c r="C112" s="766" t="s">
        <v>1224</v>
      </c>
      <c r="D112" s="767" t="s">
        <v>1229</v>
      </c>
      <c r="E112" s="768" t="s">
        <v>95</v>
      </c>
      <c r="F112" s="761">
        <v>87145616</v>
      </c>
      <c r="G112" s="762">
        <v>0</v>
      </c>
      <c r="H112" s="762">
        <v>1534862</v>
      </c>
      <c r="I112" s="762">
        <v>274332</v>
      </c>
      <c r="J112" s="762">
        <v>0</v>
      </c>
      <c r="K112" s="762">
        <v>274332</v>
      </c>
      <c r="L112" s="762">
        <v>0</v>
      </c>
      <c r="M112" s="762">
        <v>831346</v>
      </c>
      <c r="N112" s="762">
        <v>0</v>
      </c>
      <c r="O112" s="762">
        <v>0</v>
      </c>
      <c r="P112" s="762">
        <v>0</v>
      </c>
      <c r="Q112" s="762">
        <v>0</v>
      </c>
      <c r="R112" s="762">
        <v>84505076</v>
      </c>
      <c r="S112" s="790">
        <v>0.5</v>
      </c>
      <c r="T112" s="790">
        <v>0.49</v>
      </c>
      <c r="U112" s="790">
        <v>0</v>
      </c>
      <c r="V112" s="790">
        <v>0.01</v>
      </c>
      <c r="W112" s="790">
        <v>1</v>
      </c>
      <c r="X112" s="762">
        <v>42252538</v>
      </c>
      <c r="Y112" s="762">
        <v>41407487</v>
      </c>
      <c r="Z112" s="762">
        <v>0</v>
      </c>
      <c r="AA112" s="762">
        <v>845051</v>
      </c>
      <c r="AB112" s="762">
        <v>84505076</v>
      </c>
      <c r="AC112" s="762">
        <v>0</v>
      </c>
      <c r="AD112" s="762">
        <v>0</v>
      </c>
      <c r="AE112" s="762">
        <v>0</v>
      </c>
      <c r="AF112" s="762">
        <v>0</v>
      </c>
      <c r="AG112" s="762">
        <v>0</v>
      </c>
      <c r="AH112" s="762">
        <v>42252538</v>
      </c>
      <c r="AI112" s="762">
        <v>41407487</v>
      </c>
      <c r="AJ112" s="762">
        <v>0</v>
      </c>
      <c r="AK112" s="762">
        <v>845051</v>
      </c>
      <c r="AL112" s="762">
        <v>84505076</v>
      </c>
      <c r="AM112" s="762">
        <v>274332</v>
      </c>
      <c r="AN112" s="762">
        <v>274332</v>
      </c>
      <c r="AO112" s="762">
        <v>831346</v>
      </c>
      <c r="AP112" s="762">
        <v>831346</v>
      </c>
      <c r="AQ112" s="762">
        <v>0</v>
      </c>
      <c r="AR112" s="762">
        <v>0</v>
      </c>
      <c r="AS112" s="762">
        <v>0</v>
      </c>
      <c r="AT112" s="762">
        <v>0</v>
      </c>
      <c r="AU112" s="762">
        <v>0</v>
      </c>
      <c r="AV112" s="762">
        <v>0</v>
      </c>
      <c r="AW112" s="762">
        <v>0</v>
      </c>
      <c r="AX112" s="762">
        <v>0</v>
      </c>
      <c r="AY112" s="762">
        <v>0</v>
      </c>
      <c r="AZ112" s="762">
        <v>0</v>
      </c>
      <c r="BA112" s="762">
        <v>0</v>
      </c>
      <c r="BB112" s="762">
        <v>0</v>
      </c>
      <c r="BC112" s="762">
        <v>0</v>
      </c>
      <c r="BD112" s="762">
        <v>0</v>
      </c>
      <c r="BE112" s="762">
        <v>0</v>
      </c>
      <c r="BF112" s="762">
        <v>0</v>
      </c>
      <c r="BG112" s="762">
        <v>0</v>
      </c>
      <c r="BH112" s="762">
        <v>0</v>
      </c>
      <c r="BI112" s="762">
        <v>0</v>
      </c>
      <c r="BJ112" s="790">
        <v>0.5</v>
      </c>
      <c r="BK112" s="790">
        <v>0.49</v>
      </c>
      <c r="BL112" s="790">
        <v>0</v>
      </c>
      <c r="BM112" s="790">
        <v>0.01</v>
      </c>
      <c r="BN112" s="790">
        <v>1</v>
      </c>
      <c r="BO112" s="762">
        <v>-366203</v>
      </c>
      <c r="BP112" s="762">
        <v>-358879</v>
      </c>
      <c r="BQ112" s="762">
        <v>0</v>
      </c>
      <c r="BR112" s="762">
        <v>-7324</v>
      </c>
      <c r="BS112" s="762">
        <v>-732406</v>
      </c>
      <c r="BT112" s="790">
        <v>0.5</v>
      </c>
      <c r="BU112" s="790">
        <v>0.49</v>
      </c>
      <c r="BV112" s="790">
        <v>0</v>
      </c>
      <c r="BW112" s="790">
        <v>0.01</v>
      </c>
      <c r="BX112" s="790">
        <v>1</v>
      </c>
      <c r="BY112" s="762">
        <v>-178780</v>
      </c>
      <c r="BZ112" s="762">
        <v>-175204</v>
      </c>
      <c r="CA112" s="762">
        <v>0</v>
      </c>
      <c r="CB112" s="762">
        <v>-3576</v>
      </c>
      <c r="CC112" s="762">
        <v>-357560</v>
      </c>
      <c r="CD112" s="762">
        <v>-544983</v>
      </c>
      <c r="CE112" s="762">
        <v>-534083</v>
      </c>
      <c r="CF112" s="762">
        <v>0</v>
      </c>
      <c r="CG112" s="762">
        <v>-10900</v>
      </c>
      <c r="CH112" s="762">
        <v>-1089966</v>
      </c>
      <c r="CI112" s="762">
        <v>41707555</v>
      </c>
      <c r="CJ112" s="762">
        <v>41979082</v>
      </c>
      <c r="CK112" s="762">
        <v>0</v>
      </c>
      <c r="CL112" s="762">
        <v>834151</v>
      </c>
      <c r="CM112" s="762">
        <v>84520788</v>
      </c>
      <c r="CN112" s="762">
        <v>1376418</v>
      </c>
      <c r="CO112" s="762">
        <v>0</v>
      </c>
      <c r="CP112" s="762">
        <v>27537</v>
      </c>
      <c r="CQ112" s="762">
        <v>1403955</v>
      </c>
      <c r="CR112" s="762">
        <v>2194175</v>
      </c>
      <c r="CS112" s="762">
        <v>0</v>
      </c>
      <c r="CT112" s="762">
        <v>43124</v>
      </c>
      <c r="CU112" s="762">
        <v>2237299</v>
      </c>
      <c r="CV112" s="762">
        <v>178177</v>
      </c>
      <c r="CW112" s="762">
        <v>0</v>
      </c>
      <c r="CX112" s="762">
        <v>3494</v>
      </c>
      <c r="CY112" s="762">
        <v>181671</v>
      </c>
      <c r="CZ112" s="762">
        <v>4583</v>
      </c>
      <c r="DA112" s="762">
        <v>0</v>
      </c>
      <c r="DB112" s="762">
        <v>94</v>
      </c>
      <c r="DC112" s="762">
        <v>4677</v>
      </c>
      <c r="DD112" s="762">
        <v>3264</v>
      </c>
      <c r="DE112" s="762">
        <v>0</v>
      </c>
      <c r="DF112" s="762">
        <v>67</v>
      </c>
      <c r="DG112" s="762">
        <v>3331</v>
      </c>
      <c r="DH112" s="762">
        <v>0</v>
      </c>
      <c r="DI112" s="762">
        <v>0</v>
      </c>
      <c r="DJ112" s="762">
        <v>0</v>
      </c>
      <c r="DK112" s="762">
        <v>0</v>
      </c>
      <c r="DL112" s="762">
        <v>22455</v>
      </c>
      <c r="DM112" s="762">
        <v>0</v>
      </c>
      <c r="DN112" s="762">
        <v>458</v>
      </c>
      <c r="DO112" s="762">
        <v>22913</v>
      </c>
      <c r="DP112" s="762">
        <v>40296</v>
      </c>
      <c r="DQ112" s="762">
        <v>0</v>
      </c>
      <c r="DR112" s="762">
        <v>749</v>
      </c>
      <c r="DS112" s="762">
        <v>41045</v>
      </c>
      <c r="DT112" s="762">
        <v>0</v>
      </c>
      <c r="DU112" s="762">
        <v>0</v>
      </c>
      <c r="DV112" s="762">
        <v>0</v>
      </c>
      <c r="DW112" s="762">
        <v>0</v>
      </c>
      <c r="DX112" s="762">
        <v>0</v>
      </c>
      <c r="DY112" s="762">
        <v>0</v>
      </c>
      <c r="DZ112" s="762">
        <v>0</v>
      </c>
      <c r="EA112" s="762">
        <v>0</v>
      </c>
      <c r="EB112" s="762">
        <v>574769</v>
      </c>
      <c r="EC112" s="762">
        <v>0</v>
      </c>
      <c r="ED112" s="762">
        <v>11487</v>
      </c>
      <c r="EE112" s="762">
        <v>586256</v>
      </c>
      <c r="EF112" s="762">
        <v>4394137</v>
      </c>
      <c r="EG112" s="762">
        <v>0</v>
      </c>
      <c r="EH112" s="762">
        <v>87010</v>
      </c>
      <c r="EI112" s="799">
        <v>4481147</v>
      </c>
      <c r="EJ112" s="763" t="s">
        <v>95</v>
      </c>
      <c r="EK112" s="607" t="s">
        <v>621</v>
      </c>
      <c r="EL112" s="805" t="s">
        <v>625</v>
      </c>
      <c r="EM112" t="s">
        <v>1678</v>
      </c>
    </row>
    <row r="113" spans="1:143" ht="12.75" x14ac:dyDescent="0.2">
      <c r="A113" s="764">
        <v>106</v>
      </c>
      <c r="B113" s="765" t="s">
        <v>98</v>
      </c>
      <c r="C113" s="766" t="s">
        <v>1217</v>
      </c>
      <c r="D113" s="767" t="s">
        <v>1220</v>
      </c>
      <c r="E113" s="768" t="s">
        <v>97</v>
      </c>
      <c r="F113" s="761">
        <v>22507781.41</v>
      </c>
      <c r="G113" s="762">
        <v>294475.49</v>
      </c>
      <c r="H113" s="762">
        <v>0</v>
      </c>
      <c r="I113" s="762">
        <v>99365</v>
      </c>
      <c r="J113" s="762">
        <v>0</v>
      </c>
      <c r="K113" s="762">
        <v>99365</v>
      </c>
      <c r="L113" s="762">
        <v>0</v>
      </c>
      <c r="M113" s="762">
        <v>0</v>
      </c>
      <c r="N113" s="762">
        <v>190923</v>
      </c>
      <c r="O113" s="762">
        <v>190923</v>
      </c>
      <c r="P113" s="762">
        <v>0</v>
      </c>
      <c r="Q113" s="762">
        <v>0</v>
      </c>
      <c r="R113" s="762">
        <v>22511969</v>
      </c>
      <c r="S113" s="790">
        <v>0.5</v>
      </c>
      <c r="T113" s="790">
        <v>0.4</v>
      </c>
      <c r="U113" s="790">
        <v>0.09</v>
      </c>
      <c r="V113" s="790">
        <v>0.01</v>
      </c>
      <c r="W113" s="790">
        <v>1</v>
      </c>
      <c r="X113" s="762">
        <v>11255984</v>
      </c>
      <c r="Y113" s="762">
        <v>9004788</v>
      </c>
      <c r="Z113" s="762">
        <v>2026077</v>
      </c>
      <c r="AA113" s="762">
        <v>225120</v>
      </c>
      <c r="AB113" s="762">
        <v>22511969</v>
      </c>
      <c r="AC113" s="762">
        <v>0</v>
      </c>
      <c r="AD113" s="762">
        <v>0</v>
      </c>
      <c r="AE113" s="762">
        <v>0</v>
      </c>
      <c r="AF113" s="762">
        <v>0</v>
      </c>
      <c r="AG113" s="762">
        <v>0</v>
      </c>
      <c r="AH113" s="762">
        <v>11255984</v>
      </c>
      <c r="AI113" s="762">
        <v>9004788</v>
      </c>
      <c r="AJ113" s="762">
        <v>2026077</v>
      </c>
      <c r="AK113" s="762">
        <v>225120</v>
      </c>
      <c r="AL113" s="762">
        <v>22511969</v>
      </c>
      <c r="AM113" s="762">
        <v>99365</v>
      </c>
      <c r="AN113" s="762">
        <v>99365</v>
      </c>
      <c r="AO113" s="762">
        <v>0</v>
      </c>
      <c r="AP113" s="762">
        <v>0</v>
      </c>
      <c r="AQ113" s="762">
        <v>190923</v>
      </c>
      <c r="AR113" s="762">
        <v>0</v>
      </c>
      <c r="AS113" s="762">
        <v>190923</v>
      </c>
      <c r="AT113" s="762">
        <v>0</v>
      </c>
      <c r="AU113" s="762">
        <v>0</v>
      </c>
      <c r="AV113" s="762">
        <v>0</v>
      </c>
      <c r="AW113" s="762">
        <v>0</v>
      </c>
      <c r="AX113" s="762">
        <v>0</v>
      </c>
      <c r="AY113" s="762">
        <v>0</v>
      </c>
      <c r="AZ113" s="762">
        <v>0</v>
      </c>
      <c r="BA113" s="762">
        <v>0</v>
      </c>
      <c r="BB113" s="762">
        <v>0</v>
      </c>
      <c r="BC113" s="762">
        <v>0</v>
      </c>
      <c r="BD113" s="762">
        <v>0</v>
      </c>
      <c r="BE113" s="762">
        <v>0</v>
      </c>
      <c r="BF113" s="762">
        <v>0</v>
      </c>
      <c r="BG113" s="762">
        <v>0</v>
      </c>
      <c r="BH113" s="762">
        <v>0</v>
      </c>
      <c r="BI113" s="762">
        <v>0</v>
      </c>
      <c r="BJ113" s="790">
        <v>0.5</v>
      </c>
      <c r="BK113" s="790">
        <v>0.4</v>
      </c>
      <c r="BL113" s="790">
        <v>0.09</v>
      </c>
      <c r="BM113" s="790">
        <v>0.01</v>
      </c>
      <c r="BN113" s="790">
        <v>1</v>
      </c>
      <c r="BO113" s="762">
        <v>-190756</v>
      </c>
      <c r="BP113" s="762">
        <v>-152605</v>
      </c>
      <c r="BQ113" s="762">
        <v>-34336</v>
      </c>
      <c r="BR113" s="762">
        <v>-3815</v>
      </c>
      <c r="BS113" s="762">
        <v>-381512</v>
      </c>
      <c r="BT113" s="790">
        <v>0.5</v>
      </c>
      <c r="BU113" s="790">
        <v>0.4</v>
      </c>
      <c r="BV113" s="790">
        <v>0.09</v>
      </c>
      <c r="BW113" s="790">
        <v>0.01</v>
      </c>
      <c r="BX113" s="790">
        <v>1</v>
      </c>
      <c r="BY113" s="762">
        <v>-167581.67000000179</v>
      </c>
      <c r="BZ113" s="762">
        <v>-134066</v>
      </c>
      <c r="CA113" s="762">
        <v>-30165</v>
      </c>
      <c r="CB113" s="762">
        <v>-3352</v>
      </c>
      <c r="CC113" s="762">
        <v>-335164.67000000179</v>
      </c>
      <c r="CD113" s="762">
        <v>-358338</v>
      </c>
      <c r="CE113" s="762">
        <v>-286671</v>
      </c>
      <c r="CF113" s="762">
        <v>-64501</v>
      </c>
      <c r="CG113" s="762">
        <v>-7167</v>
      </c>
      <c r="CH113" s="762">
        <v>-716676.67000000179</v>
      </c>
      <c r="CI113" s="762">
        <v>10897646</v>
      </c>
      <c r="CJ113" s="762">
        <v>9008405</v>
      </c>
      <c r="CK113" s="762">
        <v>1961576</v>
      </c>
      <c r="CL113" s="762">
        <v>217953</v>
      </c>
      <c r="CM113" s="762">
        <v>22085580</v>
      </c>
      <c r="CN113" s="762">
        <v>299657</v>
      </c>
      <c r="CO113" s="762">
        <v>66023</v>
      </c>
      <c r="CP113" s="762">
        <v>7336</v>
      </c>
      <c r="CQ113" s="762">
        <v>373016</v>
      </c>
      <c r="CR113" s="762">
        <v>790322</v>
      </c>
      <c r="CS113" s="762">
        <v>177823</v>
      </c>
      <c r="CT113" s="762">
        <v>19758</v>
      </c>
      <c r="CU113" s="762">
        <v>987903</v>
      </c>
      <c r="CV113" s="762">
        <v>52441</v>
      </c>
      <c r="CW113" s="762">
        <v>11607</v>
      </c>
      <c r="CX113" s="762">
        <v>1290</v>
      </c>
      <c r="CY113" s="762">
        <v>65338</v>
      </c>
      <c r="CZ113" s="762">
        <v>0</v>
      </c>
      <c r="DA113" s="762">
        <v>0</v>
      </c>
      <c r="DB113" s="762">
        <v>0</v>
      </c>
      <c r="DC113" s="762">
        <v>0</v>
      </c>
      <c r="DD113" s="762">
        <v>0</v>
      </c>
      <c r="DE113" s="762">
        <v>0</v>
      </c>
      <c r="DF113" s="762">
        <v>0</v>
      </c>
      <c r="DG113" s="762">
        <v>0</v>
      </c>
      <c r="DH113" s="762">
        <v>0</v>
      </c>
      <c r="DI113" s="762">
        <v>0</v>
      </c>
      <c r="DJ113" s="762">
        <v>0</v>
      </c>
      <c r="DK113" s="762">
        <v>0</v>
      </c>
      <c r="DL113" s="762">
        <v>7360</v>
      </c>
      <c r="DM113" s="762">
        <v>1656</v>
      </c>
      <c r="DN113" s="762">
        <v>184</v>
      </c>
      <c r="DO113" s="762">
        <v>9200</v>
      </c>
      <c r="DP113" s="762">
        <v>17600</v>
      </c>
      <c r="DQ113" s="762">
        <v>3960</v>
      </c>
      <c r="DR113" s="762">
        <v>440</v>
      </c>
      <c r="DS113" s="762">
        <v>22000</v>
      </c>
      <c r="DT113" s="762">
        <v>0</v>
      </c>
      <c r="DU113" s="762">
        <v>0</v>
      </c>
      <c r="DV113" s="762">
        <v>0</v>
      </c>
      <c r="DW113" s="762">
        <v>0</v>
      </c>
      <c r="DX113" s="762">
        <v>0</v>
      </c>
      <c r="DY113" s="762">
        <v>0</v>
      </c>
      <c r="DZ113" s="762">
        <v>0</v>
      </c>
      <c r="EA113" s="762">
        <v>0</v>
      </c>
      <c r="EB113" s="762">
        <v>231300</v>
      </c>
      <c r="EC113" s="762">
        <v>52042</v>
      </c>
      <c r="ED113" s="762">
        <v>5782</v>
      </c>
      <c r="EE113" s="762">
        <v>289124</v>
      </c>
      <c r="EF113" s="762">
        <v>1398680</v>
      </c>
      <c r="EG113" s="762">
        <v>313111</v>
      </c>
      <c r="EH113" s="762">
        <v>34790</v>
      </c>
      <c r="EI113" s="799">
        <v>1746581</v>
      </c>
      <c r="EJ113" s="763" t="s">
        <v>97</v>
      </c>
      <c r="EK113" s="607" t="s">
        <v>608</v>
      </c>
      <c r="EL113" s="805" t="s">
        <v>607</v>
      </c>
      <c r="EM113" t="s">
        <v>1679</v>
      </c>
    </row>
    <row r="114" spans="1:143" ht="12.75" x14ac:dyDescent="0.2">
      <c r="A114" s="764">
        <v>107</v>
      </c>
      <c r="B114" s="765" t="s">
        <v>100</v>
      </c>
      <c r="C114" s="766" t="s">
        <v>1217</v>
      </c>
      <c r="D114" s="767" t="s">
        <v>1226</v>
      </c>
      <c r="E114" s="768" t="s">
        <v>99</v>
      </c>
      <c r="F114" s="761">
        <v>53344140</v>
      </c>
      <c r="G114" s="762">
        <v>0</v>
      </c>
      <c r="H114" s="762">
        <v>984187</v>
      </c>
      <c r="I114" s="762">
        <v>168418</v>
      </c>
      <c r="J114" s="762">
        <v>0</v>
      </c>
      <c r="K114" s="762">
        <v>168418</v>
      </c>
      <c r="L114" s="762">
        <v>0</v>
      </c>
      <c r="M114" s="762">
        <v>0</v>
      </c>
      <c r="N114" s="762">
        <v>0</v>
      </c>
      <c r="O114" s="762">
        <v>0</v>
      </c>
      <c r="P114" s="762">
        <v>0</v>
      </c>
      <c r="Q114" s="762">
        <v>0</v>
      </c>
      <c r="R114" s="762">
        <v>52191535</v>
      </c>
      <c r="S114" s="790">
        <v>0.5</v>
      </c>
      <c r="T114" s="790">
        <v>0.4</v>
      </c>
      <c r="U114" s="790">
        <v>0.1</v>
      </c>
      <c r="V114" s="790">
        <v>0</v>
      </c>
      <c r="W114" s="790">
        <v>1</v>
      </c>
      <c r="X114" s="762">
        <v>26095767</v>
      </c>
      <c r="Y114" s="762">
        <v>20876614</v>
      </c>
      <c r="Z114" s="762">
        <v>5219154</v>
      </c>
      <c r="AA114" s="762">
        <v>0</v>
      </c>
      <c r="AB114" s="762">
        <v>52191535</v>
      </c>
      <c r="AC114" s="762">
        <v>0</v>
      </c>
      <c r="AD114" s="762">
        <v>0</v>
      </c>
      <c r="AE114" s="762">
        <v>0</v>
      </c>
      <c r="AF114" s="762">
        <v>0</v>
      </c>
      <c r="AG114" s="762">
        <v>0</v>
      </c>
      <c r="AH114" s="762">
        <v>26095767</v>
      </c>
      <c r="AI114" s="762">
        <v>20876614</v>
      </c>
      <c r="AJ114" s="762">
        <v>5219154</v>
      </c>
      <c r="AK114" s="762">
        <v>0</v>
      </c>
      <c r="AL114" s="762">
        <v>52191535</v>
      </c>
      <c r="AM114" s="762">
        <v>168418</v>
      </c>
      <c r="AN114" s="762">
        <v>168418</v>
      </c>
      <c r="AO114" s="762">
        <v>0</v>
      </c>
      <c r="AP114" s="762">
        <v>0</v>
      </c>
      <c r="AQ114" s="762">
        <v>0</v>
      </c>
      <c r="AR114" s="762">
        <v>0</v>
      </c>
      <c r="AS114" s="762">
        <v>0</v>
      </c>
      <c r="AT114" s="762">
        <v>0</v>
      </c>
      <c r="AU114" s="762">
        <v>0</v>
      </c>
      <c r="AV114" s="762">
        <v>0</v>
      </c>
      <c r="AW114" s="762">
        <v>0</v>
      </c>
      <c r="AX114" s="762">
        <v>0</v>
      </c>
      <c r="AY114" s="762">
        <v>0</v>
      </c>
      <c r="AZ114" s="762">
        <v>0</v>
      </c>
      <c r="BA114" s="762">
        <v>0</v>
      </c>
      <c r="BB114" s="762">
        <v>0</v>
      </c>
      <c r="BC114" s="762">
        <v>0</v>
      </c>
      <c r="BD114" s="762">
        <v>0</v>
      </c>
      <c r="BE114" s="762">
        <v>0</v>
      </c>
      <c r="BF114" s="762">
        <v>0</v>
      </c>
      <c r="BG114" s="762">
        <v>0</v>
      </c>
      <c r="BH114" s="762">
        <v>0</v>
      </c>
      <c r="BI114" s="762">
        <v>0</v>
      </c>
      <c r="BJ114" s="790">
        <v>0</v>
      </c>
      <c r="BK114" s="790">
        <v>0.5</v>
      </c>
      <c r="BL114" s="790">
        <v>0.5</v>
      </c>
      <c r="BM114" s="790">
        <v>0</v>
      </c>
      <c r="BN114" s="790">
        <v>1</v>
      </c>
      <c r="BO114" s="762">
        <v>1</v>
      </c>
      <c r="BP114" s="762">
        <v>-130321</v>
      </c>
      <c r="BQ114" s="762">
        <v>-130321</v>
      </c>
      <c r="BR114" s="762">
        <v>0</v>
      </c>
      <c r="BS114" s="762">
        <v>-260641</v>
      </c>
      <c r="BT114" s="790">
        <v>0.5</v>
      </c>
      <c r="BU114" s="790">
        <v>0.4</v>
      </c>
      <c r="BV114" s="790">
        <v>0.1</v>
      </c>
      <c r="BW114" s="790">
        <v>0</v>
      </c>
      <c r="BX114" s="790">
        <v>1</v>
      </c>
      <c r="BY114" s="762">
        <v>622</v>
      </c>
      <c r="BZ114" s="762">
        <v>497</v>
      </c>
      <c r="CA114" s="762">
        <v>124</v>
      </c>
      <c r="CB114" s="762">
        <v>0</v>
      </c>
      <c r="CC114" s="762">
        <v>1243</v>
      </c>
      <c r="CD114" s="762">
        <v>623</v>
      </c>
      <c r="CE114" s="762">
        <v>-129824</v>
      </c>
      <c r="CF114" s="762">
        <v>-130197</v>
      </c>
      <c r="CG114" s="762">
        <v>0</v>
      </c>
      <c r="CH114" s="762">
        <v>-259398</v>
      </c>
      <c r="CI114" s="762">
        <v>26096390</v>
      </c>
      <c r="CJ114" s="762">
        <v>20915208</v>
      </c>
      <c r="CK114" s="762">
        <v>5088957</v>
      </c>
      <c r="CL114" s="762">
        <v>0</v>
      </c>
      <c r="CM114" s="762">
        <v>52100555</v>
      </c>
      <c r="CN114" s="762">
        <v>680297</v>
      </c>
      <c r="CO114" s="762">
        <v>170074</v>
      </c>
      <c r="CP114" s="762">
        <v>0</v>
      </c>
      <c r="CQ114" s="762">
        <v>850371</v>
      </c>
      <c r="CR114" s="762">
        <v>891610</v>
      </c>
      <c r="CS114" s="762">
        <v>222903</v>
      </c>
      <c r="CT114" s="762">
        <v>0</v>
      </c>
      <c r="CU114" s="762">
        <v>1114513</v>
      </c>
      <c r="CV114" s="762">
        <v>92951</v>
      </c>
      <c r="CW114" s="762">
        <v>23238</v>
      </c>
      <c r="CX114" s="762">
        <v>0</v>
      </c>
      <c r="CY114" s="762">
        <v>116189</v>
      </c>
      <c r="CZ114" s="762">
        <v>0</v>
      </c>
      <c r="DA114" s="762">
        <v>0</v>
      </c>
      <c r="DB114" s="762">
        <v>0</v>
      </c>
      <c r="DC114" s="762">
        <v>0</v>
      </c>
      <c r="DD114" s="762">
        <v>0</v>
      </c>
      <c r="DE114" s="762">
        <v>0</v>
      </c>
      <c r="DF114" s="762">
        <v>0</v>
      </c>
      <c r="DG114" s="762">
        <v>0</v>
      </c>
      <c r="DH114" s="762">
        <v>0</v>
      </c>
      <c r="DI114" s="762">
        <v>0</v>
      </c>
      <c r="DJ114" s="762">
        <v>0</v>
      </c>
      <c r="DK114" s="762">
        <v>0</v>
      </c>
      <c r="DL114" s="762">
        <v>2105</v>
      </c>
      <c r="DM114" s="762">
        <v>526</v>
      </c>
      <c r="DN114" s="762">
        <v>0</v>
      </c>
      <c r="DO114" s="762">
        <v>2631</v>
      </c>
      <c r="DP114" s="762">
        <v>16522</v>
      </c>
      <c r="DQ114" s="762">
        <v>4130</v>
      </c>
      <c r="DR114" s="762">
        <v>0</v>
      </c>
      <c r="DS114" s="762">
        <v>20652</v>
      </c>
      <c r="DT114" s="762">
        <v>0</v>
      </c>
      <c r="DU114" s="762">
        <v>0</v>
      </c>
      <c r="DV114" s="762">
        <v>0</v>
      </c>
      <c r="DW114" s="762">
        <v>0</v>
      </c>
      <c r="DX114" s="762">
        <v>0</v>
      </c>
      <c r="DY114" s="762">
        <v>0</v>
      </c>
      <c r="DZ114" s="762">
        <v>0</v>
      </c>
      <c r="EA114" s="762">
        <v>0</v>
      </c>
      <c r="EB114" s="762">
        <v>413034</v>
      </c>
      <c r="EC114" s="762">
        <v>103259</v>
      </c>
      <c r="ED114" s="762">
        <v>0</v>
      </c>
      <c r="EE114" s="762">
        <v>516293</v>
      </c>
      <c r="EF114" s="762">
        <v>2096519</v>
      </c>
      <c r="EG114" s="762">
        <v>524130</v>
      </c>
      <c r="EH114" s="762">
        <v>0</v>
      </c>
      <c r="EI114" s="799">
        <v>2620649</v>
      </c>
      <c r="EJ114" s="763" t="s">
        <v>99</v>
      </c>
      <c r="EK114" s="607" t="s">
        <v>576</v>
      </c>
      <c r="EL114" s="805" t="s">
        <v>556</v>
      </c>
      <c r="EM114" t="s">
        <v>1680</v>
      </c>
    </row>
    <row r="115" spans="1:143" ht="12.75" x14ac:dyDescent="0.2">
      <c r="A115" s="764">
        <v>108</v>
      </c>
      <c r="B115" s="765" t="s">
        <v>102</v>
      </c>
      <c r="C115" s="766" t="s">
        <v>1217</v>
      </c>
      <c r="D115" s="767" t="s">
        <v>1218</v>
      </c>
      <c r="E115" s="768" t="s">
        <v>101</v>
      </c>
      <c r="F115" s="761">
        <v>15599989</v>
      </c>
      <c r="G115" s="762">
        <v>0</v>
      </c>
      <c r="H115" s="762">
        <v>42955</v>
      </c>
      <c r="I115" s="762">
        <v>77322</v>
      </c>
      <c r="J115" s="762">
        <v>0</v>
      </c>
      <c r="K115" s="762">
        <v>77322</v>
      </c>
      <c r="L115" s="762">
        <v>0</v>
      </c>
      <c r="M115" s="762">
        <v>0</v>
      </c>
      <c r="N115" s="762">
        <v>0</v>
      </c>
      <c r="O115" s="762">
        <v>0</v>
      </c>
      <c r="P115" s="762">
        <v>0</v>
      </c>
      <c r="Q115" s="762">
        <v>0</v>
      </c>
      <c r="R115" s="762">
        <v>15479712</v>
      </c>
      <c r="S115" s="790">
        <v>0.5</v>
      </c>
      <c r="T115" s="790">
        <v>0.4</v>
      </c>
      <c r="U115" s="790">
        <v>0.09</v>
      </c>
      <c r="V115" s="790">
        <v>0.01</v>
      </c>
      <c r="W115" s="790">
        <v>1</v>
      </c>
      <c r="X115" s="762">
        <v>7739856</v>
      </c>
      <c r="Y115" s="762">
        <v>6191885</v>
      </c>
      <c r="Z115" s="762">
        <v>1393174</v>
      </c>
      <c r="AA115" s="762">
        <v>154797</v>
      </c>
      <c r="AB115" s="762">
        <v>15479712</v>
      </c>
      <c r="AC115" s="762">
        <v>401264</v>
      </c>
      <c r="AD115" s="762">
        <v>0</v>
      </c>
      <c r="AE115" s="762">
        <v>0</v>
      </c>
      <c r="AF115" s="762">
        <v>0</v>
      </c>
      <c r="AG115" s="762">
        <v>401264</v>
      </c>
      <c r="AH115" s="762">
        <v>7338592</v>
      </c>
      <c r="AI115" s="762">
        <v>6191885</v>
      </c>
      <c r="AJ115" s="762">
        <v>1393174</v>
      </c>
      <c r="AK115" s="762">
        <v>154797</v>
      </c>
      <c r="AL115" s="762">
        <v>15078448</v>
      </c>
      <c r="AM115" s="762">
        <v>77322</v>
      </c>
      <c r="AN115" s="762">
        <v>77322</v>
      </c>
      <c r="AO115" s="762">
        <v>0</v>
      </c>
      <c r="AP115" s="762">
        <v>0</v>
      </c>
      <c r="AQ115" s="762">
        <v>0</v>
      </c>
      <c r="AR115" s="762">
        <v>0</v>
      </c>
      <c r="AS115" s="762">
        <v>0</v>
      </c>
      <c r="AT115" s="762">
        <v>0</v>
      </c>
      <c r="AU115" s="762">
        <v>0</v>
      </c>
      <c r="AV115" s="762">
        <v>0</v>
      </c>
      <c r="AW115" s="762">
        <v>0</v>
      </c>
      <c r="AX115" s="762">
        <v>401264</v>
      </c>
      <c r="AY115" s="762">
        <v>0</v>
      </c>
      <c r="AZ115" s="762">
        <v>0</v>
      </c>
      <c r="BA115" s="762">
        <v>401264</v>
      </c>
      <c r="BB115" s="762">
        <v>0</v>
      </c>
      <c r="BC115" s="762">
        <v>0</v>
      </c>
      <c r="BD115" s="762">
        <v>0</v>
      </c>
      <c r="BE115" s="762">
        <v>0</v>
      </c>
      <c r="BF115" s="762">
        <v>0</v>
      </c>
      <c r="BG115" s="762">
        <v>0</v>
      </c>
      <c r="BH115" s="762">
        <v>0</v>
      </c>
      <c r="BI115" s="762">
        <v>0</v>
      </c>
      <c r="BJ115" s="790">
        <v>0.5</v>
      </c>
      <c r="BK115" s="790">
        <v>0.4</v>
      </c>
      <c r="BL115" s="790">
        <v>0.09</v>
      </c>
      <c r="BM115" s="790">
        <v>0.01</v>
      </c>
      <c r="BN115" s="790">
        <v>1</v>
      </c>
      <c r="BO115" s="762">
        <v>-407873</v>
      </c>
      <c r="BP115" s="762">
        <v>-326298</v>
      </c>
      <c r="BQ115" s="762">
        <v>-73417</v>
      </c>
      <c r="BR115" s="762">
        <v>-8157</v>
      </c>
      <c r="BS115" s="762">
        <v>-815745</v>
      </c>
      <c r="BT115" s="790">
        <v>0.5</v>
      </c>
      <c r="BU115" s="790">
        <v>0.4</v>
      </c>
      <c r="BV115" s="790">
        <v>0.09</v>
      </c>
      <c r="BW115" s="790">
        <v>0.01</v>
      </c>
      <c r="BX115" s="790">
        <v>1</v>
      </c>
      <c r="BY115" s="762">
        <v>334977</v>
      </c>
      <c r="BZ115" s="762">
        <v>267982</v>
      </c>
      <c r="CA115" s="762">
        <v>60296</v>
      </c>
      <c r="CB115" s="762">
        <v>6700</v>
      </c>
      <c r="CC115" s="762">
        <v>669955</v>
      </c>
      <c r="CD115" s="762">
        <v>-72895</v>
      </c>
      <c r="CE115" s="762">
        <v>-58316</v>
      </c>
      <c r="CF115" s="762">
        <v>-13121</v>
      </c>
      <c r="CG115" s="762">
        <v>-1458</v>
      </c>
      <c r="CH115" s="762">
        <v>-145790</v>
      </c>
      <c r="CI115" s="762">
        <v>7265697</v>
      </c>
      <c r="CJ115" s="762">
        <v>6612155</v>
      </c>
      <c r="CK115" s="762">
        <v>1380053</v>
      </c>
      <c r="CL115" s="762">
        <v>153339</v>
      </c>
      <c r="CM115" s="762">
        <v>15411244</v>
      </c>
      <c r="CN115" s="762">
        <v>214848</v>
      </c>
      <c r="CO115" s="762">
        <v>45399</v>
      </c>
      <c r="CP115" s="762">
        <v>5044</v>
      </c>
      <c r="CQ115" s="762">
        <v>265291</v>
      </c>
      <c r="CR115" s="762">
        <v>667055</v>
      </c>
      <c r="CS115" s="762">
        <v>136890</v>
      </c>
      <c r="CT115" s="762">
        <v>15210</v>
      </c>
      <c r="CU115" s="762">
        <v>819155</v>
      </c>
      <c r="CV115" s="762">
        <v>38261</v>
      </c>
      <c r="CW115" s="762">
        <v>7096</v>
      </c>
      <c r="CX115" s="762">
        <v>788</v>
      </c>
      <c r="CY115" s="762">
        <v>46145</v>
      </c>
      <c r="CZ115" s="762">
        <v>0</v>
      </c>
      <c r="DA115" s="762">
        <v>0</v>
      </c>
      <c r="DB115" s="762">
        <v>0</v>
      </c>
      <c r="DC115" s="762">
        <v>0</v>
      </c>
      <c r="DD115" s="762">
        <v>0</v>
      </c>
      <c r="DE115" s="762">
        <v>0</v>
      </c>
      <c r="DF115" s="762">
        <v>0</v>
      </c>
      <c r="DG115" s="762">
        <v>0</v>
      </c>
      <c r="DH115" s="762">
        <v>0</v>
      </c>
      <c r="DI115" s="762">
        <v>0</v>
      </c>
      <c r="DJ115" s="762">
        <v>0</v>
      </c>
      <c r="DK115" s="762">
        <v>0</v>
      </c>
      <c r="DL115" s="762">
        <v>1672</v>
      </c>
      <c r="DM115" s="762">
        <v>376</v>
      </c>
      <c r="DN115" s="762">
        <v>42</v>
      </c>
      <c r="DO115" s="762">
        <v>2090</v>
      </c>
      <c r="DP115" s="762">
        <v>9941</v>
      </c>
      <c r="DQ115" s="762">
        <v>2171</v>
      </c>
      <c r="DR115" s="762">
        <v>241</v>
      </c>
      <c r="DS115" s="762">
        <v>12353</v>
      </c>
      <c r="DT115" s="762">
        <v>0</v>
      </c>
      <c r="DU115" s="762">
        <v>0</v>
      </c>
      <c r="DV115" s="762">
        <v>0</v>
      </c>
      <c r="DW115" s="762">
        <v>0</v>
      </c>
      <c r="DX115" s="762">
        <v>0</v>
      </c>
      <c r="DY115" s="762">
        <v>0</v>
      </c>
      <c r="DZ115" s="762">
        <v>0</v>
      </c>
      <c r="EA115" s="762">
        <v>0</v>
      </c>
      <c r="EB115" s="762">
        <v>222441</v>
      </c>
      <c r="EC115" s="762">
        <v>50049</v>
      </c>
      <c r="ED115" s="762">
        <v>5561</v>
      </c>
      <c r="EE115" s="762">
        <v>278051</v>
      </c>
      <c r="EF115" s="762">
        <v>1154218</v>
      </c>
      <c r="EG115" s="762">
        <v>241981</v>
      </c>
      <c r="EH115" s="762">
        <v>26886</v>
      </c>
      <c r="EI115" s="799">
        <v>1423085</v>
      </c>
      <c r="EJ115" s="763" t="s">
        <v>101</v>
      </c>
      <c r="EK115" s="607" t="s">
        <v>580</v>
      </c>
      <c r="EL115" s="805" t="s">
        <v>578</v>
      </c>
      <c r="EM115" t="s">
        <v>1681</v>
      </c>
    </row>
    <row r="116" spans="1:143" ht="12.75" x14ac:dyDescent="0.2">
      <c r="A116" s="764">
        <v>109</v>
      </c>
      <c r="B116" s="765" t="s">
        <v>104</v>
      </c>
      <c r="C116" s="766" t="s">
        <v>1217</v>
      </c>
      <c r="D116" s="767" t="s">
        <v>1218</v>
      </c>
      <c r="E116" s="768" t="s">
        <v>103</v>
      </c>
      <c r="F116" s="761">
        <v>24161687</v>
      </c>
      <c r="G116" s="762">
        <v>90619</v>
      </c>
      <c r="H116" s="762">
        <v>0</v>
      </c>
      <c r="I116" s="762">
        <v>91946</v>
      </c>
      <c r="J116" s="762">
        <v>0</v>
      </c>
      <c r="K116" s="762">
        <v>91946</v>
      </c>
      <c r="L116" s="762">
        <v>0</v>
      </c>
      <c r="M116" s="762">
        <v>0</v>
      </c>
      <c r="N116" s="762">
        <v>0</v>
      </c>
      <c r="O116" s="762">
        <v>0</v>
      </c>
      <c r="P116" s="762">
        <v>0</v>
      </c>
      <c r="Q116" s="762">
        <v>0</v>
      </c>
      <c r="R116" s="762">
        <v>24160360</v>
      </c>
      <c r="S116" s="790">
        <v>0.5</v>
      </c>
      <c r="T116" s="790">
        <v>0.4</v>
      </c>
      <c r="U116" s="790">
        <v>0.09</v>
      </c>
      <c r="V116" s="790">
        <v>0.01</v>
      </c>
      <c r="W116" s="790">
        <v>1</v>
      </c>
      <c r="X116" s="762">
        <v>12080180</v>
      </c>
      <c r="Y116" s="762">
        <v>9664144</v>
      </c>
      <c r="Z116" s="762">
        <v>2174432</v>
      </c>
      <c r="AA116" s="762">
        <v>241604</v>
      </c>
      <c r="AB116" s="762">
        <v>24160360</v>
      </c>
      <c r="AC116" s="762">
        <v>0</v>
      </c>
      <c r="AD116" s="762">
        <v>0</v>
      </c>
      <c r="AE116" s="762">
        <v>0</v>
      </c>
      <c r="AF116" s="762">
        <v>0</v>
      </c>
      <c r="AG116" s="762">
        <v>0</v>
      </c>
      <c r="AH116" s="762">
        <v>12080180</v>
      </c>
      <c r="AI116" s="762">
        <v>9664144</v>
      </c>
      <c r="AJ116" s="762">
        <v>2174432</v>
      </c>
      <c r="AK116" s="762">
        <v>241604</v>
      </c>
      <c r="AL116" s="762">
        <v>24160360</v>
      </c>
      <c r="AM116" s="762">
        <v>91946</v>
      </c>
      <c r="AN116" s="762">
        <v>91946</v>
      </c>
      <c r="AO116" s="762">
        <v>0</v>
      </c>
      <c r="AP116" s="762">
        <v>0</v>
      </c>
      <c r="AQ116" s="762">
        <v>0</v>
      </c>
      <c r="AR116" s="762">
        <v>0</v>
      </c>
      <c r="AS116" s="762">
        <v>0</v>
      </c>
      <c r="AT116" s="762">
        <v>0</v>
      </c>
      <c r="AU116" s="762">
        <v>0</v>
      </c>
      <c r="AV116" s="762">
        <v>0</v>
      </c>
      <c r="AW116" s="762">
        <v>0</v>
      </c>
      <c r="AX116" s="762">
        <v>0</v>
      </c>
      <c r="AY116" s="762">
        <v>0</v>
      </c>
      <c r="AZ116" s="762">
        <v>0</v>
      </c>
      <c r="BA116" s="762">
        <v>0</v>
      </c>
      <c r="BB116" s="762">
        <v>0</v>
      </c>
      <c r="BC116" s="762">
        <v>0</v>
      </c>
      <c r="BD116" s="762">
        <v>0</v>
      </c>
      <c r="BE116" s="762">
        <v>0</v>
      </c>
      <c r="BF116" s="762">
        <v>0</v>
      </c>
      <c r="BG116" s="762">
        <v>0</v>
      </c>
      <c r="BH116" s="762">
        <v>0</v>
      </c>
      <c r="BI116" s="762">
        <v>0</v>
      </c>
      <c r="BJ116" s="790">
        <v>0</v>
      </c>
      <c r="BK116" s="790">
        <v>0.4</v>
      </c>
      <c r="BL116" s="790">
        <v>0.59</v>
      </c>
      <c r="BM116" s="790">
        <v>0.01</v>
      </c>
      <c r="BN116" s="790">
        <v>1</v>
      </c>
      <c r="BO116" s="762">
        <v>1</v>
      </c>
      <c r="BP116" s="762">
        <v>-93860</v>
      </c>
      <c r="BQ116" s="762">
        <v>-138444</v>
      </c>
      <c r="BR116" s="762">
        <v>-2347</v>
      </c>
      <c r="BS116" s="762">
        <v>-234650</v>
      </c>
      <c r="BT116" s="790">
        <v>0.5</v>
      </c>
      <c r="BU116" s="790">
        <v>0.4</v>
      </c>
      <c r="BV116" s="790">
        <v>0.09</v>
      </c>
      <c r="BW116" s="790">
        <v>0.01</v>
      </c>
      <c r="BX116" s="790">
        <v>1</v>
      </c>
      <c r="BY116" s="762">
        <v>-90000</v>
      </c>
      <c r="BZ116" s="762">
        <v>-72000</v>
      </c>
      <c r="CA116" s="762">
        <v>-16200</v>
      </c>
      <c r="CB116" s="762">
        <v>-1800</v>
      </c>
      <c r="CC116" s="762">
        <v>-180000</v>
      </c>
      <c r="CD116" s="762">
        <v>-89999</v>
      </c>
      <c r="CE116" s="762">
        <v>-165860</v>
      </c>
      <c r="CF116" s="762">
        <v>-154644</v>
      </c>
      <c r="CG116" s="762">
        <v>-4147</v>
      </c>
      <c r="CH116" s="762">
        <v>-414650</v>
      </c>
      <c r="CI116" s="762">
        <v>11990181</v>
      </c>
      <c r="CJ116" s="762">
        <v>9590230</v>
      </c>
      <c r="CK116" s="762">
        <v>2019788</v>
      </c>
      <c r="CL116" s="762">
        <v>237457</v>
      </c>
      <c r="CM116" s="762">
        <v>23837656</v>
      </c>
      <c r="CN116" s="762">
        <v>314921</v>
      </c>
      <c r="CO116" s="762">
        <v>70857</v>
      </c>
      <c r="CP116" s="762">
        <v>7873</v>
      </c>
      <c r="CQ116" s="762">
        <v>393651</v>
      </c>
      <c r="CR116" s="762">
        <v>816651</v>
      </c>
      <c r="CS116" s="762">
        <v>183747</v>
      </c>
      <c r="CT116" s="762">
        <v>20416</v>
      </c>
      <c r="CU116" s="762">
        <v>1020814</v>
      </c>
      <c r="CV116" s="762">
        <v>35450</v>
      </c>
      <c r="CW116" s="762">
        <v>7976</v>
      </c>
      <c r="CX116" s="762">
        <v>886</v>
      </c>
      <c r="CY116" s="762">
        <v>44312</v>
      </c>
      <c r="CZ116" s="762">
        <v>0</v>
      </c>
      <c r="DA116" s="762">
        <v>0</v>
      </c>
      <c r="DB116" s="762">
        <v>0</v>
      </c>
      <c r="DC116" s="762">
        <v>0</v>
      </c>
      <c r="DD116" s="762">
        <v>2513</v>
      </c>
      <c r="DE116" s="762">
        <v>566</v>
      </c>
      <c r="DF116" s="762">
        <v>63</v>
      </c>
      <c r="DG116" s="762">
        <v>3142</v>
      </c>
      <c r="DH116" s="762">
        <v>620</v>
      </c>
      <c r="DI116" s="762">
        <v>139</v>
      </c>
      <c r="DJ116" s="762">
        <v>15</v>
      </c>
      <c r="DK116" s="762">
        <v>774</v>
      </c>
      <c r="DL116" s="762">
        <v>10461</v>
      </c>
      <c r="DM116" s="762">
        <v>2353</v>
      </c>
      <c r="DN116" s="762">
        <v>261</v>
      </c>
      <c r="DO116" s="762">
        <v>13075</v>
      </c>
      <c r="DP116" s="762">
        <v>0</v>
      </c>
      <c r="DQ116" s="762">
        <v>0</v>
      </c>
      <c r="DR116" s="762">
        <v>0</v>
      </c>
      <c r="DS116" s="762">
        <v>0</v>
      </c>
      <c r="DT116" s="762">
        <v>0</v>
      </c>
      <c r="DU116" s="762">
        <v>0</v>
      </c>
      <c r="DV116" s="762">
        <v>0</v>
      </c>
      <c r="DW116" s="762">
        <v>0</v>
      </c>
      <c r="DX116" s="762">
        <v>0</v>
      </c>
      <c r="DY116" s="762">
        <v>0</v>
      </c>
      <c r="DZ116" s="762">
        <v>0</v>
      </c>
      <c r="EA116" s="762">
        <v>0</v>
      </c>
      <c r="EB116" s="762">
        <v>236008</v>
      </c>
      <c r="EC116" s="762">
        <v>53102</v>
      </c>
      <c r="ED116" s="762">
        <v>5900</v>
      </c>
      <c r="EE116" s="762">
        <v>295010</v>
      </c>
      <c r="EF116" s="762">
        <v>1416624</v>
      </c>
      <c r="EG116" s="762">
        <v>318740</v>
      </c>
      <c r="EH116" s="762">
        <v>35414</v>
      </c>
      <c r="EI116" s="799">
        <v>1770778</v>
      </c>
      <c r="EJ116" s="763" t="s">
        <v>103</v>
      </c>
      <c r="EK116" s="607" t="s">
        <v>591</v>
      </c>
      <c r="EL116" s="805" t="s">
        <v>590</v>
      </c>
      <c r="EM116" t="s">
        <v>1682</v>
      </c>
    </row>
    <row r="117" spans="1:143" ht="12.75" x14ac:dyDescent="0.2">
      <c r="A117" s="764">
        <v>110</v>
      </c>
      <c r="B117" s="765" t="s">
        <v>106</v>
      </c>
      <c r="C117" s="766" t="s">
        <v>1217</v>
      </c>
      <c r="D117" s="767" t="s">
        <v>1221</v>
      </c>
      <c r="E117" s="768" t="s">
        <v>105</v>
      </c>
      <c r="F117" s="761">
        <v>30175045</v>
      </c>
      <c r="G117" s="762">
        <v>0</v>
      </c>
      <c r="H117" s="762">
        <v>752386</v>
      </c>
      <c r="I117" s="762">
        <v>180409</v>
      </c>
      <c r="J117" s="762">
        <v>0</v>
      </c>
      <c r="K117" s="762">
        <v>180409</v>
      </c>
      <c r="L117" s="762">
        <v>0</v>
      </c>
      <c r="M117" s="762">
        <v>525440</v>
      </c>
      <c r="N117" s="762">
        <v>61566</v>
      </c>
      <c r="O117" s="762">
        <v>61566</v>
      </c>
      <c r="P117" s="762">
        <v>0</v>
      </c>
      <c r="Q117" s="762">
        <v>0</v>
      </c>
      <c r="R117" s="762">
        <v>28655244</v>
      </c>
      <c r="S117" s="790">
        <v>0.25000000000000006</v>
      </c>
      <c r="T117" s="790">
        <v>0.42499999999999999</v>
      </c>
      <c r="U117" s="790">
        <v>0.32500000000000001</v>
      </c>
      <c r="V117" s="790">
        <v>0</v>
      </c>
      <c r="W117" s="790">
        <v>1</v>
      </c>
      <c r="X117" s="762">
        <v>7163811</v>
      </c>
      <c r="Y117" s="762">
        <v>12178479</v>
      </c>
      <c r="Z117" s="762">
        <v>9312954</v>
      </c>
      <c r="AA117" s="762">
        <v>0</v>
      </c>
      <c r="AB117" s="762">
        <v>28655244</v>
      </c>
      <c r="AC117" s="762">
        <v>619151</v>
      </c>
      <c r="AD117" s="762">
        <v>0</v>
      </c>
      <c r="AE117" s="762">
        <v>0</v>
      </c>
      <c r="AF117" s="762">
        <v>0</v>
      </c>
      <c r="AG117" s="762">
        <v>619151</v>
      </c>
      <c r="AH117" s="762">
        <v>6544660</v>
      </c>
      <c r="AI117" s="762">
        <v>12178479</v>
      </c>
      <c r="AJ117" s="762">
        <v>9312954</v>
      </c>
      <c r="AK117" s="762">
        <v>0</v>
      </c>
      <c r="AL117" s="762">
        <v>28036093</v>
      </c>
      <c r="AM117" s="762">
        <v>180409</v>
      </c>
      <c r="AN117" s="762">
        <v>180409</v>
      </c>
      <c r="AO117" s="762">
        <v>525440</v>
      </c>
      <c r="AP117" s="762">
        <v>525440</v>
      </c>
      <c r="AQ117" s="762">
        <v>61566</v>
      </c>
      <c r="AR117" s="762">
        <v>0</v>
      </c>
      <c r="AS117" s="762">
        <v>61566</v>
      </c>
      <c r="AT117" s="762">
        <v>0</v>
      </c>
      <c r="AU117" s="762">
        <v>0</v>
      </c>
      <c r="AV117" s="762">
        <v>0</v>
      </c>
      <c r="AW117" s="762">
        <v>0</v>
      </c>
      <c r="AX117" s="762">
        <v>619151</v>
      </c>
      <c r="AY117" s="762">
        <v>0</v>
      </c>
      <c r="AZ117" s="762">
        <v>0</v>
      </c>
      <c r="BA117" s="762">
        <v>619151</v>
      </c>
      <c r="BB117" s="762">
        <v>0</v>
      </c>
      <c r="BC117" s="762">
        <v>0</v>
      </c>
      <c r="BD117" s="762">
        <v>0</v>
      </c>
      <c r="BE117" s="762">
        <v>0</v>
      </c>
      <c r="BF117" s="762">
        <v>0</v>
      </c>
      <c r="BG117" s="762">
        <v>0</v>
      </c>
      <c r="BH117" s="762">
        <v>0</v>
      </c>
      <c r="BI117" s="762">
        <v>0</v>
      </c>
      <c r="BJ117" s="790">
        <v>0.5</v>
      </c>
      <c r="BK117" s="790">
        <v>0.4</v>
      </c>
      <c r="BL117" s="790">
        <v>0.1</v>
      </c>
      <c r="BM117" s="790">
        <v>0</v>
      </c>
      <c r="BN117" s="790">
        <v>1</v>
      </c>
      <c r="BO117" s="762">
        <v>86579</v>
      </c>
      <c r="BP117" s="762">
        <v>69263</v>
      </c>
      <c r="BQ117" s="762">
        <v>17316</v>
      </c>
      <c r="BR117" s="762">
        <v>0</v>
      </c>
      <c r="BS117" s="762">
        <v>173158</v>
      </c>
      <c r="BT117" s="790">
        <v>0.5</v>
      </c>
      <c r="BU117" s="790">
        <v>0.4</v>
      </c>
      <c r="BV117" s="790">
        <v>0.1</v>
      </c>
      <c r="BW117" s="790">
        <v>0</v>
      </c>
      <c r="BX117" s="790">
        <v>1</v>
      </c>
      <c r="BY117" s="762">
        <v>-1352448</v>
      </c>
      <c r="BZ117" s="762">
        <v>-1081958</v>
      </c>
      <c r="CA117" s="762">
        <v>-270490</v>
      </c>
      <c r="CB117" s="762">
        <v>0</v>
      </c>
      <c r="CC117" s="762">
        <v>-2704896</v>
      </c>
      <c r="CD117" s="762">
        <v>-1265869</v>
      </c>
      <c r="CE117" s="762">
        <v>-1012695</v>
      </c>
      <c r="CF117" s="762">
        <v>-253174</v>
      </c>
      <c r="CG117" s="762">
        <v>0</v>
      </c>
      <c r="CH117" s="762">
        <v>-2531738</v>
      </c>
      <c r="CI117" s="762">
        <v>5278791</v>
      </c>
      <c r="CJ117" s="762">
        <v>12552350</v>
      </c>
      <c r="CK117" s="762">
        <v>9059780</v>
      </c>
      <c r="CL117" s="762">
        <v>0</v>
      </c>
      <c r="CM117" s="762">
        <v>26890921</v>
      </c>
      <c r="CN117" s="762">
        <v>436159</v>
      </c>
      <c r="CO117" s="762">
        <v>303477</v>
      </c>
      <c r="CP117" s="762">
        <v>0</v>
      </c>
      <c r="CQ117" s="762">
        <v>739636</v>
      </c>
      <c r="CR117" s="762">
        <v>1140560</v>
      </c>
      <c r="CS117" s="762">
        <v>871684</v>
      </c>
      <c r="CT117" s="762">
        <v>0</v>
      </c>
      <c r="CU117" s="762">
        <v>2012244</v>
      </c>
      <c r="CV117" s="762">
        <v>71074</v>
      </c>
      <c r="CW117" s="762">
        <v>50771</v>
      </c>
      <c r="CX117" s="762">
        <v>0</v>
      </c>
      <c r="CY117" s="762">
        <v>121845</v>
      </c>
      <c r="CZ117" s="762">
        <v>1227</v>
      </c>
      <c r="DA117" s="762">
        <v>939</v>
      </c>
      <c r="DB117" s="762">
        <v>0</v>
      </c>
      <c r="DC117" s="762">
        <v>2166</v>
      </c>
      <c r="DD117" s="762">
        <v>302</v>
      </c>
      <c r="DE117" s="762">
        <v>231</v>
      </c>
      <c r="DF117" s="762">
        <v>0</v>
      </c>
      <c r="DG117" s="762">
        <v>533</v>
      </c>
      <c r="DH117" s="762">
        <v>0</v>
      </c>
      <c r="DI117" s="762">
        <v>0</v>
      </c>
      <c r="DJ117" s="762">
        <v>0</v>
      </c>
      <c r="DK117" s="762">
        <v>0</v>
      </c>
      <c r="DL117" s="762">
        <v>7567</v>
      </c>
      <c r="DM117" s="762">
        <v>5787</v>
      </c>
      <c r="DN117" s="762">
        <v>0</v>
      </c>
      <c r="DO117" s="762">
        <v>13354</v>
      </c>
      <c r="DP117" s="762">
        <v>28086</v>
      </c>
      <c r="DQ117" s="762">
        <v>21478</v>
      </c>
      <c r="DR117" s="762">
        <v>0</v>
      </c>
      <c r="DS117" s="762">
        <v>49564</v>
      </c>
      <c r="DT117" s="762">
        <v>0</v>
      </c>
      <c r="DU117" s="762">
        <v>0</v>
      </c>
      <c r="DV117" s="762">
        <v>0</v>
      </c>
      <c r="DW117" s="762">
        <v>0</v>
      </c>
      <c r="DX117" s="762">
        <v>0</v>
      </c>
      <c r="DY117" s="762">
        <v>0</v>
      </c>
      <c r="DZ117" s="762">
        <v>0</v>
      </c>
      <c r="EA117" s="762">
        <v>0</v>
      </c>
      <c r="EB117" s="762">
        <v>337475</v>
      </c>
      <c r="EC117" s="762">
        <v>258069</v>
      </c>
      <c r="ED117" s="762">
        <v>0</v>
      </c>
      <c r="EE117" s="762">
        <v>595544</v>
      </c>
      <c r="EF117" s="762">
        <v>2022450</v>
      </c>
      <c r="EG117" s="762">
        <v>1512436</v>
      </c>
      <c r="EH117" s="762">
        <v>0</v>
      </c>
      <c r="EI117" s="799">
        <v>3534886</v>
      </c>
      <c r="EJ117" s="763" t="s">
        <v>105</v>
      </c>
      <c r="EK117" s="607" t="s">
        <v>601</v>
      </c>
      <c r="EL117" s="805" t="s">
        <v>556</v>
      </c>
      <c r="EM117" t="s">
        <v>1683</v>
      </c>
    </row>
    <row r="118" spans="1:143" ht="12.75" x14ac:dyDescent="0.2">
      <c r="A118" s="764">
        <v>111</v>
      </c>
      <c r="B118" s="765" t="s">
        <v>108</v>
      </c>
      <c r="C118" s="766" t="s">
        <v>1228</v>
      </c>
      <c r="D118" s="767" t="s">
        <v>1223</v>
      </c>
      <c r="E118" s="768" t="s">
        <v>107</v>
      </c>
      <c r="F118" s="761">
        <v>86505271</v>
      </c>
      <c r="G118" s="762">
        <v>692925</v>
      </c>
      <c r="H118" s="762">
        <v>0</v>
      </c>
      <c r="I118" s="762">
        <v>292028</v>
      </c>
      <c r="J118" s="762">
        <v>0</v>
      </c>
      <c r="K118" s="762">
        <v>292028</v>
      </c>
      <c r="L118" s="762">
        <v>0</v>
      </c>
      <c r="M118" s="762">
        <v>0</v>
      </c>
      <c r="N118" s="762">
        <v>0</v>
      </c>
      <c r="O118" s="762">
        <v>0</v>
      </c>
      <c r="P118" s="762">
        <v>0</v>
      </c>
      <c r="Q118" s="762">
        <v>0</v>
      </c>
      <c r="R118" s="762">
        <v>86906168</v>
      </c>
      <c r="S118" s="790">
        <v>0.25</v>
      </c>
      <c r="T118" s="790">
        <v>0.48</v>
      </c>
      <c r="U118" s="790">
        <v>0.27</v>
      </c>
      <c r="V118" s="790">
        <v>0</v>
      </c>
      <c r="W118" s="790">
        <v>1</v>
      </c>
      <c r="X118" s="762">
        <v>21726542</v>
      </c>
      <c r="Y118" s="762">
        <v>41714961</v>
      </c>
      <c r="Z118" s="762">
        <v>23464665</v>
      </c>
      <c r="AA118" s="762">
        <v>0</v>
      </c>
      <c r="AB118" s="762">
        <v>86906168</v>
      </c>
      <c r="AC118" s="762">
        <v>0</v>
      </c>
      <c r="AD118" s="762">
        <v>0</v>
      </c>
      <c r="AE118" s="762">
        <v>0</v>
      </c>
      <c r="AF118" s="762">
        <v>0</v>
      </c>
      <c r="AG118" s="762">
        <v>0</v>
      </c>
      <c r="AH118" s="762">
        <v>21726542</v>
      </c>
      <c r="AI118" s="762">
        <v>41714961</v>
      </c>
      <c r="AJ118" s="762">
        <v>23464665</v>
      </c>
      <c r="AK118" s="762">
        <v>0</v>
      </c>
      <c r="AL118" s="762">
        <v>86906168</v>
      </c>
      <c r="AM118" s="762">
        <v>292028</v>
      </c>
      <c r="AN118" s="762">
        <v>292028</v>
      </c>
      <c r="AO118" s="762">
        <v>0</v>
      </c>
      <c r="AP118" s="762">
        <v>0</v>
      </c>
      <c r="AQ118" s="762">
        <v>0</v>
      </c>
      <c r="AR118" s="762">
        <v>0</v>
      </c>
      <c r="AS118" s="762">
        <v>0</v>
      </c>
      <c r="AT118" s="762">
        <v>0</v>
      </c>
      <c r="AU118" s="762">
        <v>0</v>
      </c>
      <c r="AV118" s="762">
        <v>0</v>
      </c>
      <c r="AW118" s="762">
        <v>0</v>
      </c>
      <c r="AX118" s="762">
        <v>0</v>
      </c>
      <c r="AY118" s="762">
        <v>0</v>
      </c>
      <c r="AZ118" s="762">
        <v>0</v>
      </c>
      <c r="BA118" s="762">
        <v>0</v>
      </c>
      <c r="BB118" s="762">
        <v>0</v>
      </c>
      <c r="BC118" s="762">
        <v>0</v>
      </c>
      <c r="BD118" s="762">
        <v>0</v>
      </c>
      <c r="BE118" s="762">
        <v>0</v>
      </c>
      <c r="BF118" s="762">
        <v>0</v>
      </c>
      <c r="BG118" s="762">
        <v>0</v>
      </c>
      <c r="BH118" s="762">
        <v>0</v>
      </c>
      <c r="BI118" s="762">
        <v>0</v>
      </c>
      <c r="BJ118" s="790">
        <v>0</v>
      </c>
      <c r="BK118" s="790">
        <v>0.64</v>
      </c>
      <c r="BL118" s="790">
        <v>0.36</v>
      </c>
      <c r="BM118" s="790">
        <v>0</v>
      </c>
      <c r="BN118" s="790">
        <v>1</v>
      </c>
      <c r="BO118" s="762">
        <v>0</v>
      </c>
      <c r="BP118" s="762">
        <v>6286922</v>
      </c>
      <c r="BQ118" s="762">
        <v>3536393</v>
      </c>
      <c r="BR118" s="762">
        <v>0</v>
      </c>
      <c r="BS118" s="762">
        <v>9823315</v>
      </c>
      <c r="BT118" s="790">
        <v>0.33</v>
      </c>
      <c r="BU118" s="790">
        <v>0.3</v>
      </c>
      <c r="BV118" s="790">
        <v>0.37</v>
      </c>
      <c r="BW118" s="790">
        <v>0</v>
      </c>
      <c r="BX118" s="790">
        <v>1</v>
      </c>
      <c r="BY118" s="762">
        <v>640931</v>
      </c>
      <c r="BZ118" s="762">
        <v>582664</v>
      </c>
      <c r="CA118" s="762">
        <v>718619</v>
      </c>
      <c r="CB118" s="762">
        <v>0</v>
      </c>
      <c r="CC118" s="762">
        <v>1942214</v>
      </c>
      <c r="CD118" s="762">
        <v>640931</v>
      </c>
      <c r="CE118" s="762">
        <v>6869586</v>
      </c>
      <c r="CF118" s="762">
        <v>4255012</v>
      </c>
      <c r="CG118" s="762">
        <v>0</v>
      </c>
      <c r="CH118" s="762">
        <v>11765529</v>
      </c>
      <c r="CI118" s="762">
        <v>22367473</v>
      </c>
      <c r="CJ118" s="762">
        <v>48876575</v>
      </c>
      <c r="CK118" s="762">
        <v>27719677</v>
      </c>
      <c r="CL118" s="762">
        <v>0</v>
      </c>
      <c r="CM118" s="762">
        <v>98963725</v>
      </c>
      <c r="CN118" s="762">
        <v>1359347</v>
      </c>
      <c r="CO118" s="762">
        <v>764633</v>
      </c>
      <c r="CP118" s="762">
        <v>0</v>
      </c>
      <c r="CQ118" s="762">
        <v>2123980</v>
      </c>
      <c r="CR118" s="762">
        <v>1978302</v>
      </c>
      <c r="CS118" s="762">
        <v>1112795</v>
      </c>
      <c r="CT118" s="762">
        <v>0</v>
      </c>
      <c r="CU118" s="762">
        <v>3091097</v>
      </c>
      <c r="CV118" s="762">
        <v>115387</v>
      </c>
      <c r="CW118" s="762">
        <v>64905</v>
      </c>
      <c r="CX118" s="762">
        <v>0</v>
      </c>
      <c r="CY118" s="762">
        <v>180292</v>
      </c>
      <c r="CZ118" s="762">
        <v>0</v>
      </c>
      <c r="DA118" s="762">
        <v>0</v>
      </c>
      <c r="DB118" s="762">
        <v>0</v>
      </c>
      <c r="DC118" s="762">
        <v>0</v>
      </c>
      <c r="DD118" s="762">
        <v>0</v>
      </c>
      <c r="DE118" s="762">
        <v>0</v>
      </c>
      <c r="DF118" s="762">
        <v>0</v>
      </c>
      <c r="DG118" s="762">
        <v>0</v>
      </c>
      <c r="DH118" s="762">
        <v>0</v>
      </c>
      <c r="DI118" s="762">
        <v>0</v>
      </c>
      <c r="DJ118" s="762">
        <v>0</v>
      </c>
      <c r="DK118" s="762">
        <v>0</v>
      </c>
      <c r="DL118" s="762">
        <v>50958</v>
      </c>
      <c r="DM118" s="762">
        <v>28664</v>
      </c>
      <c r="DN118" s="762">
        <v>0</v>
      </c>
      <c r="DO118" s="762">
        <v>79622</v>
      </c>
      <c r="DP118" s="762">
        <v>91198</v>
      </c>
      <c r="DQ118" s="762">
        <v>51299</v>
      </c>
      <c r="DR118" s="762">
        <v>0</v>
      </c>
      <c r="DS118" s="762">
        <v>142497</v>
      </c>
      <c r="DT118" s="762">
        <v>0</v>
      </c>
      <c r="DU118" s="762">
        <v>0</v>
      </c>
      <c r="DV118" s="762">
        <v>0</v>
      </c>
      <c r="DW118" s="762">
        <v>0</v>
      </c>
      <c r="DX118" s="762">
        <v>0</v>
      </c>
      <c r="DY118" s="762">
        <v>0</v>
      </c>
      <c r="DZ118" s="762">
        <v>0</v>
      </c>
      <c r="EA118" s="762">
        <v>0</v>
      </c>
      <c r="EB118" s="762">
        <v>1841281</v>
      </c>
      <c r="EC118" s="762">
        <v>1035721</v>
      </c>
      <c r="ED118" s="762">
        <v>0</v>
      </c>
      <c r="EE118" s="762">
        <v>2877002</v>
      </c>
      <c r="EF118" s="762">
        <v>5436473</v>
      </c>
      <c r="EG118" s="762">
        <v>3058017</v>
      </c>
      <c r="EH118" s="762">
        <v>0</v>
      </c>
      <c r="EI118" s="799">
        <v>8494490</v>
      </c>
      <c r="EJ118" s="763" t="s">
        <v>107</v>
      </c>
      <c r="EK118" s="607" t="s">
        <v>628</v>
      </c>
      <c r="EL118" s="272" t="s">
        <v>528</v>
      </c>
      <c r="EM118" t="s">
        <v>1684</v>
      </c>
    </row>
    <row r="119" spans="1:143" ht="12.75" x14ac:dyDescent="0.2">
      <c r="A119" s="764">
        <v>112</v>
      </c>
      <c r="B119" s="765" t="s">
        <v>110</v>
      </c>
      <c r="C119" s="766" t="s">
        <v>1217</v>
      </c>
      <c r="D119" s="767" t="s">
        <v>1218</v>
      </c>
      <c r="E119" s="768" t="s">
        <v>109</v>
      </c>
      <c r="F119" s="761">
        <v>87162284</v>
      </c>
      <c r="G119" s="762">
        <v>417886</v>
      </c>
      <c r="H119" s="762">
        <v>0</v>
      </c>
      <c r="I119" s="762">
        <v>226844</v>
      </c>
      <c r="J119" s="762">
        <v>0</v>
      </c>
      <c r="K119" s="762">
        <v>226844</v>
      </c>
      <c r="L119" s="762">
        <v>0</v>
      </c>
      <c r="M119" s="762">
        <v>0</v>
      </c>
      <c r="N119" s="762">
        <v>0</v>
      </c>
      <c r="O119" s="762">
        <v>0</v>
      </c>
      <c r="P119" s="762">
        <v>0</v>
      </c>
      <c r="Q119" s="762">
        <v>0</v>
      </c>
      <c r="R119" s="762">
        <v>87353326</v>
      </c>
      <c r="S119" s="790">
        <v>0.5</v>
      </c>
      <c r="T119" s="790">
        <v>0.4</v>
      </c>
      <c r="U119" s="790">
        <v>0.1</v>
      </c>
      <c r="V119" s="790">
        <v>0</v>
      </c>
      <c r="W119" s="790">
        <v>1</v>
      </c>
      <c r="X119" s="762">
        <v>43676663</v>
      </c>
      <c r="Y119" s="762">
        <v>34941330</v>
      </c>
      <c r="Z119" s="762">
        <v>8735333</v>
      </c>
      <c r="AA119" s="762">
        <v>0</v>
      </c>
      <c r="AB119" s="762">
        <v>87353326</v>
      </c>
      <c r="AC119" s="762">
        <v>0</v>
      </c>
      <c r="AD119" s="762">
        <v>0</v>
      </c>
      <c r="AE119" s="762">
        <v>0</v>
      </c>
      <c r="AF119" s="762">
        <v>0</v>
      </c>
      <c r="AG119" s="762">
        <v>0</v>
      </c>
      <c r="AH119" s="762">
        <v>43676663</v>
      </c>
      <c r="AI119" s="762">
        <v>34941330</v>
      </c>
      <c r="AJ119" s="762">
        <v>8735333</v>
      </c>
      <c r="AK119" s="762">
        <v>0</v>
      </c>
      <c r="AL119" s="762">
        <v>87353326</v>
      </c>
      <c r="AM119" s="762">
        <v>226844</v>
      </c>
      <c r="AN119" s="762">
        <v>226844</v>
      </c>
      <c r="AO119" s="762">
        <v>0</v>
      </c>
      <c r="AP119" s="762">
        <v>0</v>
      </c>
      <c r="AQ119" s="762">
        <v>0</v>
      </c>
      <c r="AR119" s="762">
        <v>0</v>
      </c>
      <c r="AS119" s="762">
        <v>0</v>
      </c>
      <c r="AT119" s="762">
        <v>0</v>
      </c>
      <c r="AU119" s="762">
        <v>0</v>
      </c>
      <c r="AV119" s="762">
        <v>0</v>
      </c>
      <c r="AW119" s="762">
        <v>0</v>
      </c>
      <c r="AX119" s="762">
        <v>0</v>
      </c>
      <c r="AY119" s="762">
        <v>0</v>
      </c>
      <c r="AZ119" s="762">
        <v>0</v>
      </c>
      <c r="BA119" s="762">
        <v>0</v>
      </c>
      <c r="BB119" s="762">
        <v>0</v>
      </c>
      <c r="BC119" s="762">
        <v>0</v>
      </c>
      <c r="BD119" s="762">
        <v>0</v>
      </c>
      <c r="BE119" s="762">
        <v>0</v>
      </c>
      <c r="BF119" s="762">
        <v>0</v>
      </c>
      <c r="BG119" s="762">
        <v>0</v>
      </c>
      <c r="BH119" s="762">
        <v>0</v>
      </c>
      <c r="BI119" s="762">
        <v>0</v>
      </c>
      <c r="BJ119" s="790">
        <v>0</v>
      </c>
      <c r="BK119" s="790">
        <v>0.3</v>
      </c>
      <c r="BL119" s="790">
        <v>0.7</v>
      </c>
      <c r="BM119" s="790">
        <v>0</v>
      </c>
      <c r="BN119" s="790">
        <v>1</v>
      </c>
      <c r="BO119" s="762">
        <v>0</v>
      </c>
      <c r="BP119" s="762">
        <v>3295370</v>
      </c>
      <c r="BQ119" s="762">
        <v>7689198</v>
      </c>
      <c r="BR119" s="762">
        <v>0</v>
      </c>
      <c r="BS119" s="762">
        <v>10984568</v>
      </c>
      <c r="BT119" s="790">
        <v>0.5</v>
      </c>
      <c r="BU119" s="790">
        <v>0.4</v>
      </c>
      <c r="BV119" s="790">
        <v>0.1</v>
      </c>
      <c r="BW119" s="790">
        <v>0</v>
      </c>
      <c r="BX119" s="790">
        <v>1</v>
      </c>
      <c r="BY119" s="762">
        <v>-5985674</v>
      </c>
      <c r="BZ119" s="762">
        <v>-4788540</v>
      </c>
      <c r="CA119" s="762">
        <v>-1197135</v>
      </c>
      <c r="CB119" s="762">
        <v>0</v>
      </c>
      <c r="CC119" s="762">
        <v>-11971349</v>
      </c>
      <c r="CD119" s="762">
        <v>-5985674</v>
      </c>
      <c r="CE119" s="762">
        <v>-1493170</v>
      </c>
      <c r="CF119" s="762">
        <v>6492063</v>
      </c>
      <c r="CG119" s="762">
        <v>0</v>
      </c>
      <c r="CH119" s="762">
        <v>-986781</v>
      </c>
      <c r="CI119" s="762">
        <v>37690989</v>
      </c>
      <c r="CJ119" s="762">
        <v>33675004</v>
      </c>
      <c r="CK119" s="762">
        <v>15227396</v>
      </c>
      <c r="CL119" s="762">
        <v>0</v>
      </c>
      <c r="CM119" s="762">
        <v>86593389</v>
      </c>
      <c r="CN119" s="762">
        <v>1138618</v>
      </c>
      <c r="CO119" s="762">
        <v>284654</v>
      </c>
      <c r="CP119" s="762">
        <v>0</v>
      </c>
      <c r="CQ119" s="762">
        <v>1423272</v>
      </c>
      <c r="CR119" s="762">
        <v>980343</v>
      </c>
      <c r="CS119" s="762">
        <v>245086</v>
      </c>
      <c r="CT119" s="762">
        <v>0</v>
      </c>
      <c r="CU119" s="762">
        <v>1225429</v>
      </c>
      <c r="CV119" s="762">
        <v>120704</v>
      </c>
      <c r="CW119" s="762">
        <v>30176</v>
      </c>
      <c r="CX119" s="762">
        <v>0</v>
      </c>
      <c r="CY119" s="762">
        <v>150880</v>
      </c>
      <c r="CZ119" s="762">
        <v>0</v>
      </c>
      <c r="DA119" s="762">
        <v>0</v>
      </c>
      <c r="DB119" s="762">
        <v>0</v>
      </c>
      <c r="DC119" s="762">
        <v>0</v>
      </c>
      <c r="DD119" s="762">
        <v>5509</v>
      </c>
      <c r="DE119" s="762">
        <v>1377</v>
      </c>
      <c r="DF119" s="762">
        <v>0</v>
      </c>
      <c r="DG119" s="762">
        <v>6886</v>
      </c>
      <c r="DH119" s="762">
        <v>619</v>
      </c>
      <c r="DI119" s="762">
        <v>155</v>
      </c>
      <c r="DJ119" s="762">
        <v>0</v>
      </c>
      <c r="DK119" s="762">
        <v>774</v>
      </c>
      <c r="DL119" s="762">
        <v>11290</v>
      </c>
      <c r="DM119" s="762">
        <v>2822</v>
      </c>
      <c r="DN119" s="762">
        <v>0</v>
      </c>
      <c r="DO119" s="762">
        <v>14112</v>
      </c>
      <c r="DP119" s="762">
        <v>52869</v>
      </c>
      <c r="DQ119" s="762">
        <v>13217</v>
      </c>
      <c r="DR119" s="762">
        <v>0</v>
      </c>
      <c r="DS119" s="762">
        <v>66086</v>
      </c>
      <c r="DT119" s="762">
        <v>0</v>
      </c>
      <c r="DU119" s="762">
        <v>0</v>
      </c>
      <c r="DV119" s="762">
        <v>0</v>
      </c>
      <c r="DW119" s="762">
        <v>0</v>
      </c>
      <c r="DX119" s="762">
        <v>0</v>
      </c>
      <c r="DY119" s="762">
        <v>0</v>
      </c>
      <c r="DZ119" s="762">
        <v>0</v>
      </c>
      <c r="EA119" s="762">
        <v>0</v>
      </c>
      <c r="EB119" s="762">
        <v>536230</v>
      </c>
      <c r="EC119" s="762">
        <v>134057</v>
      </c>
      <c r="ED119" s="762">
        <v>0</v>
      </c>
      <c r="EE119" s="762">
        <v>670287</v>
      </c>
      <c r="EF119" s="762">
        <v>2846182</v>
      </c>
      <c r="EG119" s="762">
        <v>711544</v>
      </c>
      <c r="EH119" s="762">
        <v>0</v>
      </c>
      <c r="EI119" s="799">
        <v>3557726</v>
      </c>
      <c r="EJ119" s="763" t="s">
        <v>109</v>
      </c>
      <c r="EK119" s="607" t="s">
        <v>616</v>
      </c>
      <c r="EL119" s="805" t="s">
        <v>556</v>
      </c>
      <c r="EM119" t="s">
        <v>1685</v>
      </c>
    </row>
    <row r="120" spans="1:143" ht="12.75" x14ac:dyDescent="0.2">
      <c r="A120" s="764">
        <v>113</v>
      </c>
      <c r="B120" s="765" t="s">
        <v>112</v>
      </c>
      <c r="C120" s="766" t="s">
        <v>1228</v>
      </c>
      <c r="D120" s="767" t="s">
        <v>1223</v>
      </c>
      <c r="E120" s="768" t="s">
        <v>111</v>
      </c>
      <c r="F120" s="761">
        <v>123304041</v>
      </c>
      <c r="G120" s="762">
        <v>11033680</v>
      </c>
      <c r="H120" s="762">
        <v>0</v>
      </c>
      <c r="I120" s="762">
        <v>555848</v>
      </c>
      <c r="J120" s="762">
        <v>0</v>
      </c>
      <c r="K120" s="762">
        <v>555848</v>
      </c>
      <c r="L120" s="762">
        <v>0</v>
      </c>
      <c r="M120" s="762">
        <v>0</v>
      </c>
      <c r="N120" s="762">
        <v>0</v>
      </c>
      <c r="O120" s="762">
        <v>0</v>
      </c>
      <c r="P120" s="762">
        <v>0</v>
      </c>
      <c r="Q120" s="762">
        <v>0</v>
      </c>
      <c r="R120" s="762">
        <v>133781873</v>
      </c>
      <c r="S120" s="790">
        <v>0.25</v>
      </c>
      <c r="T120" s="790">
        <v>0.48</v>
      </c>
      <c r="U120" s="790">
        <v>0.27</v>
      </c>
      <c r="V120" s="790">
        <v>0</v>
      </c>
      <c r="W120" s="790">
        <v>1</v>
      </c>
      <c r="X120" s="762">
        <v>33445468</v>
      </c>
      <c r="Y120" s="762">
        <v>64215299</v>
      </c>
      <c r="Z120" s="762">
        <v>36121106</v>
      </c>
      <c r="AA120" s="762">
        <v>0</v>
      </c>
      <c r="AB120" s="762">
        <v>133781873</v>
      </c>
      <c r="AC120" s="762">
        <v>0</v>
      </c>
      <c r="AD120" s="762">
        <v>0</v>
      </c>
      <c r="AE120" s="762">
        <v>0</v>
      </c>
      <c r="AF120" s="762">
        <v>0</v>
      </c>
      <c r="AG120" s="762">
        <v>0</v>
      </c>
      <c r="AH120" s="762">
        <v>33445468</v>
      </c>
      <c r="AI120" s="762">
        <v>64215299</v>
      </c>
      <c r="AJ120" s="762">
        <v>36121106</v>
      </c>
      <c r="AK120" s="762">
        <v>0</v>
      </c>
      <c r="AL120" s="762">
        <v>133781873</v>
      </c>
      <c r="AM120" s="762">
        <v>555848</v>
      </c>
      <c r="AN120" s="762">
        <v>555848</v>
      </c>
      <c r="AO120" s="762">
        <v>0</v>
      </c>
      <c r="AP120" s="762">
        <v>0</v>
      </c>
      <c r="AQ120" s="762">
        <v>0</v>
      </c>
      <c r="AR120" s="762">
        <v>0</v>
      </c>
      <c r="AS120" s="762">
        <v>0</v>
      </c>
      <c r="AT120" s="762">
        <v>0</v>
      </c>
      <c r="AU120" s="762">
        <v>0</v>
      </c>
      <c r="AV120" s="762">
        <v>0</v>
      </c>
      <c r="AW120" s="762">
        <v>0</v>
      </c>
      <c r="AX120" s="762">
        <v>0</v>
      </c>
      <c r="AY120" s="762">
        <v>0</v>
      </c>
      <c r="AZ120" s="762">
        <v>0</v>
      </c>
      <c r="BA120" s="762">
        <v>0</v>
      </c>
      <c r="BB120" s="762">
        <v>0</v>
      </c>
      <c r="BC120" s="762">
        <v>0</v>
      </c>
      <c r="BD120" s="762">
        <v>0</v>
      </c>
      <c r="BE120" s="762">
        <v>0</v>
      </c>
      <c r="BF120" s="762">
        <v>0</v>
      </c>
      <c r="BG120" s="762">
        <v>0</v>
      </c>
      <c r="BH120" s="762">
        <v>0</v>
      </c>
      <c r="BI120" s="762">
        <v>0</v>
      </c>
      <c r="BJ120" s="790">
        <v>0</v>
      </c>
      <c r="BK120" s="790">
        <v>0.64</v>
      </c>
      <c r="BL120" s="790">
        <v>0.36</v>
      </c>
      <c r="BM120" s="790">
        <v>0</v>
      </c>
      <c r="BN120" s="790">
        <v>1</v>
      </c>
      <c r="BO120" s="762">
        <v>0</v>
      </c>
      <c r="BP120" s="762">
        <v>13434441</v>
      </c>
      <c r="BQ120" s="762">
        <v>7556873</v>
      </c>
      <c r="BR120" s="762">
        <v>0</v>
      </c>
      <c r="BS120" s="762">
        <v>20991314</v>
      </c>
      <c r="BT120" s="790">
        <v>0.33</v>
      </c>
      <c r="BU120" s="790">
        <v>0.3</v>
      </c>
      <c r="BV120" s="790">
        <v>0.37</v>
      </c>
      <c r="BW120" s="790">
        <v>0</v>
      </c>
      <c r="BX120" s="790">
        <v>1</v>
      </c>
      <c r="BY120" s="762">
        <v>-3185887.0600000024</v>
      </c>
      <c r="BZ120" s="762">
        <v>-2896261</v>
      </c>
      <c r="CA120" s="762">
        <v>-3572055</v>
      </c>
      <c r="CB120" s="762">
        <v>0</v>
      </c>
      <c r="CC120" s="762">
        <v>-9654203.0600000024</v>
      </c>
      <c r="CD120" s="762">
        <v>-3185887</v>
      </c>
      <c r="CE120" s="762">
        <v>10538180</v>
      </c>
      <c r="CF120" s="762">
        <v>3984818</v>
      </c>
      <c r="CG120" s="762">
        <v>0</v>
      </c>
      <c r="CH120" s="762">
        <v>11337110.939999998</v>
      </c>
      <c r="CI120" s="762">
        <v>30259581</v>
      </c>
      <c r="CJ120" s="762">
        <v>75309327</v>
      </c>
      <c r="CK120" s="762">
        <v>40105924</v>
      </c>
      <c r="CL120" s="762">
        <v>0</v>
      </c>
      <c r="CM120" s="762">
        <v>145674832</v>
      </c>
      <c r="CN120" s="762">
        <v>2092556</v>
      </c>
      <c r="CO120" s="762">
        <v>1177063</v>
      </c>
      <c r="CP120" s="762">
        <v>0</v>
      </c>
      <c r="CQ120" s="762">
        <v>3269619</v>
      </c>
      <c r="CR120" s="762">
        <v>3082435</v>
      </c>
      <c r="CS120" s="762">
        <v>1733869</v>
      </c>
      <c r="CT120" s="762">
        <v>0</v>
      </c>
      <c r="CU120" s="762">
        <v>4816304</v>
      </c>
      <c r="CV120" s="762">
        <v>299895</v>
      </c>
      <c r="CW120" s="762">
        <v>168691</v>
      </c>
      <c r="CX120" s="762">
        <v>0</v>
      </c>
      <c r="CY120" s="762">
        <v>468586</v>
      </c>
      <c r="CZ120" s="762">
        <v>0</v>
      </c>
      <c r="DA120" s="762">
        <v>0</v>
      </c>
      <c r="DB120" s="762">
        <v>0</v>
      </c>
      <c r="DC120" s="762">
        <v>0</v>
      </c>
      <c r="DD120" s="762">
        <v>0</v>
      </c>
      <c r="DE120" s="762">
        <v>0</v>
      </c>
      <c r="DF120" s="762">
        <v>0</v>
      </c>
      <c r="DG120" s="762">
        <v>0</v>
      </c>
      <c r="DH120" s="762">
        <v>0</v>
      </c>
      <c r="DI120" s="762">
        <v>0</v>
      </c>
      <c r="DJ120" s="762">
        <v>0</v>
      </c>
      <c r="DK120" s="762">
        <v>0</v>
      </c>
      <c r="DL120" s="762">
        <v>644334</v>
      </c>
      <c r="DM120" s="762">
        <v>362438</v>
      </c>
      <c r="DN120" s="762">
        <v>0</v>
      </c>
      <c r="DO120" s="762">
        <v>1006772</v>
      </c>
      <c r="DP120" s="762">
        <v>410887</v>
      </c>
      <c r="DQ120" s="762">
        <v>231124</v>
      </c>
      <c r="DR120" s="762">
        <v>0</v>
      </c>
      <c r="DS120" s="762">
        <v>642011</v>
      </c>
      <c r="DT120" s="762">
        <v>0</v>
      </c>
      <c r="DU120" s="762">
        <v>0</v>
      </c>
      <c r="DV120" s="762">
        <v>0</v>
      </c>
      <c r="DW120" s="762">
        <v>0</v>
      </c>
      <c r="DX120" s="762">
        <v>0</v>
      </c>
      <c r="DY120" s="762">
        <v>0</v>
      </c>
      <c r="DZ120" s="762">
        <v>0</v>
      </c>
      <c r="EA120" s="762">
        <v>0</v>
      </c>
      <c r="EB120" s="762">
        <v>3320798</v>
      </c>
      <c r="EC120" s="762">
        <v>1867949</v>
      </c>
      <c r="ED120" s="762">
        <v>0</v>
      </c>
      <c r="EE120" s="762">
        <v>5188747</v>
      </c>
      <c r="EF120" s="762">
        <v>9850905</v>
      </c>
      <c r="EG120" s="762">
        <v>5541134</v>
      </c>
      <c r="EH120" s="762">
        <v>0</v>
      </c>
      <c r="EI120" s="799">
        <v>15392039</v>
      </c>
      <c r="EJ120" s="763" t="s">
        <v>111</v>
      </c>
      <c r="EK120" s="607" t="s">
        <v>628</v>
      </c>
      <c r="EL120" s="272" t="s">
        <v>528</v>
      </c>
      <c r="EM120" t="s">
        <v>1686</v>
      </c>
    </row>
    <row r="121" spans="1:143" ht="12.75" x14ac:dyDescent="0.2">
      <c r="A121" s="764">
        <v>114</v>
      </c>
      <c r="B121" s="765" t="s">
        <v>114</v>
      </c>
      <c r="C121" s="766" t="s">
        <v>529</v>
      </c>
      <c r="D121" s="767" t="s">
        <v>1219</v>
      </c>
      <c r="E121" s="768" t="s">
        <v>548</v>
      </c>
      <c r="F121" s="761">
        <v>53563936</v>
      </c>
      <c r="G121" s="762">
        <v>0</v>
      </c>
      <c r="H121" s="762">
        <v>1876786</v>
      </c>
      <c r="I121" s="762">
        <v>156451</v>
      </c>
      <c r="J121" s="762">
        <v>0</v>
      </c>
      <c r="K121" s="762">
        <v>156451</v>
      </c>
      <c r="L121" s="762">
        <v>0</v>
      </c>
      <c r="M121" s="762">
        <v>8730</v>
      </c>
      <c r="N121" s="762">
        <v>0</v>
      </c>
      <c r="O121" s="762">
        <v>0</v>
      </c>
      <c r="P121" s="762">
        <v>0</v>
      </c>
      <c r="Q121" s="762">
        <v>0</v>
      </c>
      <c r="R121" s="762">
        <v>51521969</v>
      </c>
      <c r="S121" s="790">
        <v>0</v>
      </c>
      <c r="T121" s="790">
        <v>0.99</v>
      </c>
      <c r="U121" s="790">
        <v>0</v>
      </c>
      <c r="V121" s="790">
        <v>0.01</v>
      </c>
      <c r="W121" s="790">
        <v>1</v>
      </c>
      <c r="X121" s="762">
        <v>0</v>
      </c>
      <c r="Y121" s="762">
        <v>51006749</v>
      </c>
      <c r="Z121" s="762">
        <v>0</v>
      </c>
      <c r="AA121" s="762">
        <v>515220</v>
      </c>
      <c r="AB121" s="762">
        <v>51521969</v>
      </c>
      <c r="AC121" s="762">
        <v>0</v>
      </c>
      <c r="AD121" s="762">
        <v>0</v>
      </c>
      <c r="AE121" s="762">
        <v>0</v>
      </c>
      <c r="AF121" s="762">
        <v>0</v>
      </c>
      <c r="AG121" s="762">
        <v>0</v>
      </c>
      <c r="AH121" s="762">
        <v>0</v>
      </c>
      <c r="AI121" s="762">
        <v>51006749</v>
      </c>
      <c r="AJ121" s="762">
        <v>0</v>
      </c>
      <c r="AK121" s="762">
        <v>515220</v>
      </c>
      <c r="AL121" s="762">
        <v>51521969</v>
      </c>
      <c r="AM121" s="762">
        <v>156451</v>
      </c>
      <c r="AN121" s="762">
        <v>156451</v>
      </c>
      <c r="AO121" s="762">
        <v>8730</v>
      </c>
      <c r="AP121" s="762">
        <v>8730</v>
      </c>
      <c r="AQ121" s="762">
        <v>0</v>
      </c>
      <c r="AR121" s="762">
        <v>0</v>
      </c>
      <c r="AS121" s="762">
        <v>0</v>
      </c>
      <c r="AT121" s="762">
        <v>0</v>
      </c>
      <c r="AU121" s="762">
        <v>0</v>
      </c>
      <c r="AV121" s="762">
        <v>0</v>
      </c>
      <c r="AW121" s="762">
        <v>0</v>
      </c>
      <c r="AX121" s="762">
        <v>0</v>
      </c>
      <c r="AY121" s="762">
        <v>0</v>
      </c>
      <c r="AZ121" s="762">
        <v>0</v>
      </c>
      <c r="BA121" s="762">
        <v>0</v>
      </c>
      <c r="BB121" s="762">
        <v>0</v>
      </c>
      <c r="BC121" s="762">
        <v>0</v>
      </c>
      <c r="BD121" s="762">
        <v>0</v>
      </c>
      <c r="BE121" s="762">
        <v>0</v>
      </c>
      <c r="BF121" s="762">
        <v>0</v>
      </c>
      <c r="BG121" s="762">
        <v>0</v>
      </c>
      <c r="BH121" s="762">
        <v>0</v>
      </c>
      <c r="BI121" s="762">
        <v>0</v>
      </c>
      <c r="BJ121" s="790">
        <v>0</v>
      </c>
      <c r="BK121" s="790">
        <v>0.99</v>
      </c>
      <c r="BL121" s="790">
        <v>0</v>
      </c>
      <c r="BM121" s="790">
        <v>0.01</v>
      </c>
      <c r="BN121" s="790">
        <v>1</v>
      </c>
      <c r="BO121" s="762">
        <v>0</v>
      </c>
      <c r="BP121" s="762">
        <v>2039984</v>
      </c>
      <c r="BQ121" s="762">
        <v>0</v>
      </c>
      <c r="BR121" s="762">
        <v>20606</v>
      </c>
      <c r="BS121" s="762">
        <v>2060590</v>
      </c>
      <c r="BT121" s="790">
        <v>0</v>
      </c>
      <c r="BU121" s="790">
        <v>0.99</v>
      </c>
      <c r="BV121" s="790">
        <v>0</v>
      </c>
      <c r="BW121" s="790">
        <v>0.01</v>
      </c>
      <c r="BX121" s="790">
        <v>1</v>
      </c>
      <c r="BY121" s="762">
        <v>0</v>
      </c>
      <c r="BZ121" s="762">
        <v>-654442</v>
      </c>
      <c r="CA121" s="762">
        <v>0</v>
      </c>
      <c r="CB121" s="762">
        <v>-6611</v>
      </c>
      <c r="CC121" s="762">
        <v>-661053</v>
      </c>
      <c r="CD121" s="762">
        <v>0</v>
      </c>
      <c r="CE121" s="762">
        <v>1385542</v>
      </c>
      <c r="CF121" s="762">
        <v>0</v>
      </c>
      <c r="CG121" s="762">
        <v>13995</v>
      </c>
      <c r="CH121" s="762">
        <v>1399537</v>
      </c>
      <c r="CI121" s="762">
        <v>0</v>
      </c>
      <c r="CJ121" s="762">
        <v>52557472</v>
      </c>
      <c r="CK121" s="762">
        <v>0</v>
      </c>
      <c r="CL121" s="762">
        <v>529215</v>
      </c>
      <c r="CM121" s="762">
        <v>53086687</v>
      </c>
      <c r="CN121" s="762">
        <v>1662419</v>
      </c>
      <c r="CO121" s="762">
        <v>0</v>
      </c>
      <c r="CP121" s="762">
        <v>16789</v>
      </c>
      <c r="CQ121" s="762">
        <v>1679208</v>
      </c>
      <c r="CR121" s="762">
        <v>2157916</v>
      </c>
      <c r="CS121" s="762">
        <v>0</v>
      </c>
      <c r="CT121" s="762">
        <v>21797</v>
      </c>
      <c r="CU121" s="762">
        <v>2179713</v>
      </c>
      <c r="CV121" s="762">
        <v>222706</v>
      </c>
      <c r="CW121" s="762">
        <v>0</v>
      </c>
      <c r="CX121" s="762">
        <v>2200</v>
      </c>
      <c r="CY121" s="762">
        <v>224906</v>
      </c>
      <c r="CZ121" s="762">
        <v>22836</v>
      </c>
      <c r="DA121" s="762">
        <v>0</v>
      </c>
      <c r="DB121" s="762">
        <v>231</v>
      </c>
      <c r="DC121" s="762">
        <v>23067</v>
      </c>
      <c r="DD121" s="762">
        <v>0</v>
      </c>
      <c r="DE121" s="762">
        <v>0</v>
      </c>
      <c r="DF121" s="762">
        <v>0</v>
      </c>
      <c r="DG121" s="762">
        <v>0</v>
      </c>
      <c r="DH121" s="762">
        <v>0</v>
      </c>
      <c r="DI121" s="762">
        <v>0</v>
      </c>
      <c r="DJ121" s="762">
        <v>0</v>
      </c>
      <c r="DK121" s="762">
        <v>0</v>
      </c>
      <c r="DL121" s="762">
        <v>8136</v>
      </c>
      <c r="DM121" s="762">
        <v>0</v>
      </c>
      <c r="DN121" s="762">
        <v>82</v>
      </c>
      <c r="DO121" s="762">
        <v>8218</v>
      </c>
      <c r="DP121" s="762">
        <v>33734</v>
      </c>
      <c r="DQ121" s="762">
        <v>0</v>
      </c>
      <c r="DR121" s="762">
        <v>341</v>
      </c>
      <c r="DS121" s="762">
        <v>34075</v>
      </c>
      <c r="DT121" s="762">
        <v>315780.17</v>
      </c>
      <c r="DU121" s="762">
        <v>0</v>
      </c>
      <c r="DV121" s="762">
        <v>322.83</v>
      </c>
      <c r="DW121" s="762">
        <v>316103</v>
      </c>
      <c r="DX121" s="762">
        <v>0</v>
      </c>
      <c r="DY121" s="762">
        <v>0</v>
      </c>
      <c r="DZ121" s="762">
        <v>0</v>
      </c>
      <c r="EA121" s="762">
        <v>0</v>
      </c>
      <c r="EB121" s="762">
        <v>498371</v>
      </c>
      <c r="EC121" s="762">
        <v>0</v>
      </c>
      <c r="ED121" s="762">
        <v>5034</v>
      </c>
      <c r="EE121" s="762">
        <v>503405</v>
      </c>
      <c r="EF121" s="762">
        <v>4921898.17</v>
      </c>
      <c r="EG121" s="762">
        <v>0</v>
      </c>
      <c r="EH121" s="762">
        <v>46796.83</v>
      </c>
      <c r="EI121" s="799">
        <v>4968695</v>
      </c>
      <c r="EJ121" s="763" t="s">
        <v>548</v>
      </c>
      <c r="EK121" s="607" t="s">
        <v>529</v>
      </c>
      <c r="EL121" s="805" t="s">
        <v>549</v>
      </c>
      <c r="EM121" t="s">
        <v>1687</v>
      </c>
    </row>
    <row r="122" spans="1:143" ht="12.75" x14ac:dyDescent="0.2">
      <c r="A122" s="764">
        <v>115</v>
      </c>
      <c r="B122" s="765" t="s">
        <v>116</v>
      </c>
      <c r="C122" s="766" t="s">
        <v>1217</v>
      </c>
      <c r="D122" s="767" t="s">
        <v>1225</v>
      </c>
      <c r="E122" s="768" t="s">
        <v>115</v>
      </c>
      <c r="F122" s="761">
        <v>27871651</v>
      </c>
      <c r="G122" s="762">
        <v>218089</v>
      </c>
      <c r="H122" s="762">
        <v>0</v>
      </c>
      <c r="I122" s="762">
        <v>155448</v>
      </c>
      <c r="J122" s="762">
        <v>0</v>
      </c>
      <c r="K122" s="762">
        <v>155448</v>
      </c>
      <c r="L122" s="762">
        <v>0</v>
      </c>
      <c r="M122" s="762">
        <v>0</v>
      </c>
      <c r="N122" s="762">
        <v>71315</v>
      </c>
      <c r="O122" s="762">
        <v>71315</v>
      </c>
      <c r="P122" s="762">
        <v>0</v>
      </c>
      <c r="Q122" s="762">
        <v>0</v>
      </c>
      <c r="R122" s="762">
        <v>27862977</v>
      </c>
      <c r="S122" s="790">
        <v>0.25</v>
      </c>
      <c r="T122" s="790">
        <v>0.52500000000000002</v>
      </c>
      <c r="U122" s="790">
        <v>0.215</v>
      </c>
      <c r="V122" s="790">
        <v>0.01</v>
      </c>
      <c r="W122" s="790">
        <v>1</v>
      </c>
      <c r="X122" s="762">
        <v>6965744</v>
      </c>
      <c r="Y122" s="762">
        <v>14628063</v>
      </c>
      <c r="Z122" s="762">
        <v>5990540</v>
      </c>
      <c r="AA122" s="762">
        <v>278630</v>
      </c>
      <c r="AB122" s="762">
        <v>27862977</v>
      </c>
      <c r="AC122" s="762">
        <v>0</v>
      </c>
      <c r="AD122" s="762">
        <v>0</v>
      </c>
      <c r="AE122" s="762">
        <v>0</v>
      </c>
      <c r="AF122" s="762">
        <v>0</v>
      </c>
      <c r="AG122" s="762">
        <v>0</v>
      </c>
      <c r="AH122" s="762">
        <v>6965744</v>
      </c>
      <c r="AI122" s="762">
        <v>14628063</v>
      </c>
      <c r="AJ122" s="762">
        <v>5990540</v>
      </c>
      <c r="AK122" s="762">
        <v>278630</v>
      </c>
      <c r="AL122" s="762">
        <v>27862977</v>
      </c>
      <c r="AM122" s="762">
        <v>155448</v>
      </c>
      <c r="AN122" s="762">
        <v>155448</v>
      </c>
      <c r="AO122" s="762">
        <v>0</v>
      </c>
      <c r="AP122" s="762">
        <v>0</v>
      </c>
      <c r="AQ122" s="762">
        <v>71315</v>
      </c>
      <c r="AR122" s="762">
        <v>0</v>
      </c>
      <c r="AS122" s="762">
        <v>71315</v>
      </c>
      <c r="AT122" s="762">
        <v>0</v>
      </c>
      <c r="AU122" s="762">
        <v>0</v>
      </c>
      <c r="AV122" s="762">
        <v>0</v>
      </c>
      <c r="AW122" s="762">
        <v>0</v>
      </c>
      <c r="AX122" s="762">
        <v>0</v>
      </c>
      <c r="AY122" s="762">
        <v>0</v>
      </c>
      <c r="AZ122" s="762">
        <v>0</v>
      </c>
      <c r="BA122" s="762">
        <v>0</v>
      </c>
      <c r="BB122" s="762">
        <v>0</v>
      </c>
      <c r="BC122" s="762">
        <v>0</v>
      </c>
      <c r="BD122" s="762">
        <v>0</v>
      </c>
      <c r="BE122" s="762">
        <v>0</v>
      </c>
      <c r="BF122" s="762">
        <v>0</v>
      </c>
      <c r="BG122" s="762">
        <v>0</v>
      </c>
      <c r="BH122" s="762">
        <v>0</v>
      </c>
      <c r="BI122" s="762">
        <v>0</v>
      </c>
      <c r="BJ122" s="790">
        <v>0.5</v>
      </c>
      <c r="BK122" s="790">
        <v>0.4</v>
      </c>
      <c r="BL122" s="790">
        <v>0.09</v>
      </c>
      <c r="BM122" s="790">
        <v>0.01</v>
      </c>
      <c r="BN122" s="790">
        <v>1</v>
      </c>
      <c r="BO122" s="762">
        <v>-46580</v>
      </c>
      <c r="BP122" s="762">
        <v>-37265</v>
      </c>
      <c r="BQ122" s="762">
        <v>-8385</v>
      </c>
      <c r="BR122" s="762">
        <v>-932</v>
      </c>
      <c r="BS122" s="762">
        <v>-93162</v>
      </c>
      <c r="BT122" s="790">
        <v>0.5</v>
      </c>
      <c r="BU122" s="790">
        <v>0.4</v>
      </c>
      <c r="BV122" s="790">
        <v>0.09</v>
      </c>
      <c r="BW122" s="790">
        <v>0.01</v>
      </c>
      <c r="BX122" s="790">
        <v>1</v>
      </c>
      <c r="BY122" s="762">
        <v>-471801</v>
      </c>
      <c r="BZ122" s="762">
        <v>-377440</v>
      </c>
      <c r="CA122" s="762">
        <v>-84924</v>
      </c>
      <c r="CB122" s="762">
        <v>-9436</v>
      </c>
      <c r="CC122" s="762">
        <v>-943601</v>
      </c>
      <c r="CD122" s="762">
        <v>-518381</v>
      </c>
      <c r="CE122" s="762">
        <v>-414705</v>
      </c>
      <c r="CF122" s="762">
        <v>-93309</v>
      </c>
      <c r="CG122" s="762">
        <v>-10368</v>
      </c>
      <c r="CH122" s="762">
        <v>-1036763</v>
      </c>
      <c r="CI122" s="762">
        <v>6447363</v>
      </c>
      <c r="CJ122" s="762">
        <v>14440121</v>
      </c>
      <c r="CK122" s="762">
        <v>5897231</v>
      </c>
      <c r="CL122" s="762">
        <v>268262</v>
      </c>
      <c r="CM122" s="762">
        <v>27052977</v>
      </c>
      <c r="CN122" s="762">
        <v>479002</v>
      </c>
      <c r="CO122" s="762">
        <v>195211</v>
      </c>
      <c r="CP122" s="762">
        <v>9080</v>
      </c>
      <c r="CQ122" s="762">
        <v>683293</v>
      </c>
      <c r="CR122" s="762">
        <v>1747036</v>
      </c>
      <c r="CS122" s="762">
        <v>715453</v>
      </c>
      <c r="CT122" s="762">
        <v>33277</v>
      </c>
      <c r="CU122" s="762">
        <v>2495766</v>
      </c>
      <c r="CV122" s="762">
        <v>87847</v>
      </c>
      <c r="CW122" s="762">
        <v>35975</v>
      </c>
      <c r="CX122" s="762">
        <v>1673</v>
      </c>
      <c r="CY122" s="762">
        <v>125495</v>
      </c>
      <c r="CZ122" s="762">
        <v>13398</v>
      </c>
      <c r="DA122" s="762">
        <v>5487</v>
      </c>
      <c r="DB122" s="762">
        <v>255</v>
      </c>
      <c r="DC122" s="762">
        <v>19140</v>
      </c>
      <c r="DD122" s="762">
        <v>31653</v>
      </c>
      <c r="DE122" s="762">
        <v>12963</v>
      </c>
      <c r="DF122" s="762">
        <v>603</v>
      </c>
      <c r="DG122" s="762">
        <v>45219</v>
      </c>
      <c r="DH122" s="762">
        <v>0</v>
      </c>
      <c r="DI122" s="762">
        <v>0</v>
      </c>
      <c r="DJ122" s="762">
        <v>0</v>
      </c>
      <c r="DK122" s="762">
        <v>0</v>
      </c>
      <c r="DL122" s="762">
        <v>18116</v>
      </c>
      <c r="DM122" s="762">
        <v>7419</v>
      </c>
      <c r="DN122" s="762">
        <v>345</v>
      </c>
      <c r="DO122" s="762">
        <v>25880</v>
      </c>
      <c r="DP122" s="762">
        <v>25953</v>
      </c>
      <c r="DQ122" s="762">
        <v>10629</v>
      </c>
      <c r="DR122" s="762">
        <v>494</v>
      </c>
      <c r="DS122" s="762">
        <v>37076</v>
      </c>
      <c r="DT122" s="762">
        <v>0</v>
      </c>
      <c r="DU122" s="762">
        <v>0</v>
      </c>
      <c r="DV122" s="762">
        <v>0</v>
      </c>
      <c r="DW122" s="762">
        <v>0</v>
      </c>
      <c r="DX122" s="762">
        <v>2609</v>
      </c>
      <c r="DY122" s="762">
        <v>1068</v>
      </c>
      <c r="DZ122" s="762">
        <v>50</v>
      </c>
      <c r="EA122" s="762">
        <v>3727</v>
      </c>
      <c r="EB122" s="762">
        <v>420085</v>
      </c>
      <c r="EC122" s="762">
        <v>172035</v>
      </c>
      <c r="ED122" s="762">
        <v>8002</v>
      </c>
      <c r="EE122" s="762">
        <v>600122</v>
      </c>
      <c r="EF122" s="762">
        <v>2825699</v>
      </c>
      <c r="EG122" s="762">
        <v>1156240</v>
      </c>
      <c r="EH122" s="762">
        <v>53779</v>
      </c>
      <c r="EI122" s="799">
        <v>4035718</v>
      </c>
      <c r="EJ122" s="763" t="s">
        <v>115</v>
      </c>
      <c r="EK122" s="607" t="s">
        <v>604</v>
      </c>
      <c r="EL122" s="805" t="s">
        <v>603</v>
      </c>
      <c r="EM122" t="s">
        <v>1688</v>
      </c>
    </row>
    <row r="123" spans="1:143" ht="12.75" x14ac:dyDescent="0.2">
      <c r="A123" s="764">
        <v>116</v>
      </c>
      <c r="B123" s="765" t="s">
        <v>118</v>
      </c>
      <c r="C123" s="766" t="s">
        <v>1228</v>
      </c>
      <c r="D123" s="767" t="s">
        <v>1223</v>
      </c>
      <c r="E123" s="768" t="s">
        <v>117</v>
      </c>
      <c r="F123" s="761">
        <v>233942631</v>
      </c>
      <c r="G123" s="762">
        <v>2814459</v>
      </c>
      <c r="H123" s="762">
        <v>0</v>
      </c>
      <c r="I123" s="762">
        <v>579972</v>
      </c>
      <c r="J123" s="762">
        <v>0</v>
      </c>
      <c r="K123" s="762">
        <v>579972</v>
      </c>
      <c r="L123" s="762">
        <v>0</v>
      </c>
      <c r="M123" s="762">
        <v>0</v>
      </c>
      <c r="N123" s="762">
        <v>0</v>
      </c>
      <c r="O123" s="762">
        <v>0</v>
      </c>
      <c r="P123" s="762">
        <v>0</v>
      </c>
      <c r="Q123" s="762">
        <v>0</v>
      </c>
      <c r="R123" s="762">
        <v>236177118</v>
      </c>
      <c r="S123" s="790">
        <v>0.25</v>
      </c>
      <c r="T123" s="790">
        <v>0.48</v>
      </c>
      <c r="U123" s="790">
        <v>0.27</v>
      </c>
      <c r="V123" s="790">
        <v>0</v>
      </c>
      <c r="W123" s="790">
        <v>1</v>
      </c>
      <c r="X123" s="762">
        <v>59044279</v>
      </c>
      <c r="Y123" s="762">
        <v>113365017</v>
      </c>
      <c r="Z123" s="762">
        <v>63767822</v>
      </c>
      <c r="AA123" s="762">
        <v>0</v>
      </c>
      <c r="AB123" s="762">
        <v>236177118</v>
      </c>
      <c r="AC123" s="762">
        <v>0</v>
      </c>
      <c r="AD123" s="762">
        <v>0</v>
      </c>
      <c r="AE123" s="762">
        <v>0</v>
      </c>
      <c r="AF123" s="762">
        <v>0</v>
      </c>
      <c r="AG123" s="762">
        <v>0</v>
      </c>
      <c r="AH123" s="762">
        <v>59044279</v>
      </c>
      <c r="AI123" s="762">
        <v>113365017</v>
      </c>
      <c r="AJ123" s="762">
        <v>63767822</v>
      </c>
      <c r="AK123" s="762">
        <v>0</v>
      </c>
      <c r="AL123" s="762">
        <v>236177118</v>
      </c>
      <c r="AM123" s="762">
        <v>579972</v>
      </c>
      <c r="AN123" s="762">
        <v>579972</v>
      </c>
      <c r="AO123" s="762">
        <v>0</v>
      </c>
      <c r="AP123" s="762">
        <v>0</v>
      </c>
      <c r="AQ123" s="762">
        <v>0</v>
      </c>
      <c r="AR123" s="762">
        <v>0</v>
      </c>
      <c r="AS123" s="762">
        <v>0</v>
      </c>
      <c r="AT123" s="762">
        <v>0</v>
      </c>
      <c r="AU123" s="762">
        <v>0</v>
      </c>
      <c r="AV123" s="762">
        <v>0</v>
      </c>
      <c r="AW123" s="762">
        <v>0</v>
      </c>
      <c r="AX123" s="762">
        <v>0</v>
      </c>
      <c r="AY123" s="762">
        <v>0</v>
      </c>
      <c r="AZ123" s="762">
        <v>0</v>
      </c>
      <c r="BA123" s="762">
        <v>0</v>
      </c>
      <c r="BB123" s="762">
        <v>0</v>
      </c>
      <c r="BC123" s="762">
        <v>0</v>
      </c>
      <c r="BD123" s="762">
        <v>0</v>
      </c>
      <c r="BE123" s="762">
        <v>0</v>
      </c>
      <c r="BF123" s="762">
        <v>0</v>
      </c>
      <c r="BG123" s="762">
        <v>0</v>
      </c>
      <c r="BH123" s="762">
        <v>0</v>
      </c>
      <c r="BI123" s="762">
        <v>0</v>
      </c>
      <c r="BJ123" s="790">
        <v>0</v>
      </c>
      <c r="BK123" s="790">
        <v>0.64</v>
      </c>
      <c r="BL123" s="790">
        <v>0.36</v>
      </c>
      <c r="BM123" s="790">
        <v>0</v>
      </c>
      <c r="BN123" s="790">
        <v>1</v>
      </c>
      <c r="BO123" s="762">
        <v>0</v>
      </c>
      <c r="BP123" s="762">
        <v>-2440234</v>
      </c>
      <c r="BQ123" s="762">
        <v>-1372631</v>
      </c>
      <c r="BR123" s="762">
        <v>0</v>
      </c>
      <c r="BS123" s="762">
        <v>-3812865</v>
      </c>
      <c r="BT123" s="790">
        <v>0.33</v>
      </c>
      <c r="BU123" s="790">
        <v>0.3</v>
      </c>
      <c r="BV123" s="790">
        <v>0.37</v>
      </c>
      <c r="BW123" s="790">
        <v>0</v>
      </c>
      <c r="BX123" s="790">
        <v>1</v>
      </c>
      <c r="BY123" s="762">
        <v>8296326</v>
      </c>
      <c r="BZ123" s="762">
        <v>7542114</v>
      </c>
      <c r="CA123" s="762">
        <v>9301941</v>
      </c>
      <c r="CB123" s="762">
        <v>0</v>
      </c>
      <c r="CC123" s="762">
        <v>25140381</v>
      </c>
      <c r="CD123" s="762">
        <v>8296326</v>
      </c>
      <c r="CE123" s="762">
        <v>5101880</v>
      </c>
      <c r="CF123" s="762">
        <v>7929310</v>
      </c>
      <c r="CG123" s="762">
        <v>0</v>
      </c>
      <c r="CH123" s="762">
        <v>21327516</v>
      </c>
      <c r="CI123" s="762">
        <v>67340605</v>
      </c>
      <c r="CJ123" s="762">
        <v>119046869</v>
      </c>
      <c r="CK123" s="762">
        <v>71697132</v>
      </c>
      <c r="CL123" s="762">
        <v>0</v>
      </c>
      <c r="CM123" s="762">
        <v>258084606</v>
      </c>
      <c r="CN123" s="762">
        <v>3694176</v>
      </c>
      <c r="CO123" s="762">
        <v>2077974</v>
      </c>
      <c r="CP123" s="762">
        <v>0</v>
      </c>
      <c r="CQ123" s="762">
        <v>5772150</v>
      </c>
      <c r="CR123" s="762">
        <v>1901759</v>
      </c>
      <c r="CS123" s="762">
        <v>1069740</v>
      </c>
      <c r="CT123" s="762">
        <v>0</v>
      </c>
      <c r="CU123" s="762">
        <v>2971499</v>
      </c>
      <c r="CV123" s="762">
        <v>245102</v>
      </c>
      <c r="CW123" s="762">
        <v>137870</v>
      </c>
      <c r="CX123" s="762">
        <v>0</v>
      </c>
      <c r="CY123" s="762">
        <v>382972</v>
      </c>
      <c r="CZ123" s="762">
        <v>4679</v>
      </c>
      <c r="DA123" s="762">
        <v>2632</v>
      </c>
      <c r="DB123" s="762">
        <v>0</v>
      </c>
      <c r="DC123" s="762">
        <v>7311</v>
      </c>
      <c r="DD123" s="762">
        <v>0</v>
      </c>
      <c r="DE123" s="762">
        <v>0</v>
      </c>
      <c r="DF123" s="762">
        <v>0</v>
      </c>
      <c r="DG123" s="762">
        <v>0</v>
      </c>
      <c r="DH123" s="762">
        <v>0</v>
      </c>
      <c r="DI123" s="762">
        <v>0</v>
      </c>
      <c r="DJ123" s="762">
        <v>0</v>
      </c>
      <c r="DK123" s="762">
        <v>0</v>
      </c>
      <c r="DL123" s="762">
        <v>20571</v>
      </c>
      <c r="DM123" s="762">
        <v>11572</v>
      </c>
      <c r="DN123" s="762">
        <v>0</v>
      </c>
      <c r="DO123" s="762">
        <v>32143</v>
      </c>
      <c r="DP123" s="762">
        <v>236421</v>
      </c>
      <c r="DQ123" s="762">
        <v>132987</v>
      </c>
      <c r="DR123" s="762">
        <v>0</v>
      </c>
      <c r="DS123" s="762">
        <v>369408</v>
      </c>
      <c r="DT123" s="762">
        <v>0</v>
      </c>
      <c r="DU123" s="762">
        <v>0</v>
      </c>
      <c r="DV123" s="762">
        <v>0</v>
      </c>
      <c r="DW123" s="762">
        <v>0</v>
      </c>
      <c r="DX123" s="762">
        <v>0</v>
      </c>
      <c r="DY123" s="762">
        <v>0</v>
      </c>
      <c r="DZ123" s="762">
        <v>0</v>
      </c>
      <c r="EA123" s="762">
        <v>0</v>
      </c>
      <c r="EB123" s="762">
        <v>2317539</v>
      </c>
      <c r="EC123" s="762">
        <v>1303616</v>
      </c>
      <c r="ED123" s="762">
        <v>0</v>
      </c>
      <c r="EE123" s="762">
        <v>3621155</v>
      </c>
      <c r="EF123" s="762">
        <v>8420247</v>
      </c>
      <c r="EG123" s="762">
        <v>4736391</v>
      </c>
      <c r="EH123" s="762">
        <v>0</v>
      </c>
      <c r="EI123" s="799">
        <v>13156638</v>
      </c>
      <c r="EJ123" s="763" t="s">
        <v>117</v>
      </c>
      <c r="EK123" s="607" t="s">
        <v>628</v>
      </c>
      <c r="EL123" s="272" t="s">
        <v>528</v>
      </c>
      <c r="EM123" t="s">
        <v>1689</v>
      </c>
    </row>
    <row r="124" spans="1:143" ht="12.75" x14ac:dyDescent="0.2">
      <c r="A124" s="764">
        <v>117</v>
      </c>
      <c r="B124" s="765" t="s">
        <v>120</v>
      </c>
      <c r="C124" s="766" t="s">
        <v>1217</v>
      </c>
      <c r="D124" s="767" t="s">
        <v>1220</v>
      </c>
      <c r="E124" s="768" t="s">
        <v>119</v>
      </c>
      <c r="F124" s="761">
        <v>42566573</v>
      </c>
      <c r="G124" s="762">
        <v>760219</v>
      </c>
      <c r="H124" s="762">
        <v>0</v>
      </c>
      <c r="I124" s="762">
        <v>127374</v>
      </c>
      <c r="J124" s="762">
        <v>0</v>
      </c>
      <c r="K124" s="762">
        <v>127374</v>
      </c>
      <c r="L124" s="762">
        <v>0</v>
      </c>
      <c r="M124" s="762">
        <v>0</v>
      </c>
      <c r="N124" s="762">
        <v>13171</v>
      </c>
      <c r="O124" s="762">
        <v>13171</v>
      </c>
      <c r="P124" s="762">
        <v>0</v>
      </c>
      <c r="Q124" s="762">
        <v>0</v>
      </c>
      <c r="R124" s="762">
        <v>43186247</v>
      </c>
      <c r="S124" s="790">
        <v>0.25</v>
      </c>
      <c r="T124" s="790">
        <v>0.375</v>
      </c>
      <c r="U124" s="790">
        <v>0.36499999999999999</v>
      </c>
      <c r="V124" s="790">
        <v>0.01</v>
      </c>
      <c r="W124" s="790">
        <v>1</v>
      </c>
      <c r="X124" s="762">
        <v>10796562</v>
      </c>
      <c r="Y124" s="762">
        <v>16194843</v>
      </c>
      <c r="Z124" s="762">
        <v>15762980</v>
      </c>
      <c r="AA124" s="762">
        <v>431862</v>
      </c>
      <c r="AB124" s="762">
        <v>43186247</v>
      </c>
      <c r="AC124" s="762">
        <v>0</v>
      </c>
      <c r="AD124" s="762">
        <v>0</v>
      </c>
      <c r="AE124" s="762">
        <v>0</v>
      </c>
      <c r="AF124" s="762">
        <v>0</v>
      </c>
      <c r="AG124" s="762">
        <v>0</v>
      </c>
      <c r="AH124" s="762">
        <v>10796562</v>
      </c>
      <c r="AI124" s="762">
        <v>16194843</v>
      </c>
      <c r="AJ124" s="762">
        <v>15762980</v>
      </c>
      <c r="AK124" s="762">
        <v>431862</v>
      </c>
      <c r="AL124" s="762">
        <v>43186247</v>
      </c>
      <c r="AM124" s="762">
        <v>127374</v>
      </c>
      <c r="AN124" s="762">
        <v>127374</v>
      </c>
      <c r="AO124" s="762">
        <v>0</v>
      </c>
      <c r="AP124" s="762">
        <v>0</v>
      </c>
      <c r="AQ124" s="762">
        <v>13171</v>
      </c>
      <c r="AR124" s="762">
        <v>0</v>
      </c>
      <c r="AS124" s="762">
        <v>13171</v>
      </c>
      <c r="AT124" s="762">
        <v>0</v>
      </c>
      <c r="AU124" s="762">
        <v>0</v>
      </c>
      <c r="AV124" s="762">
        <v>0</v>
      </c>
      <c r="AW124" s="762">
        <v>0</v>
      </c>
      <c r="AX124" s="762">
        <v>0</v>
      </c>
      <c r="AY124" s="762">
        <v>0</v>
      </c>
      <c r="AZ124" s="762">
        <v>0</v>
      </c>
      <c r="BA124" s="762">
        <v>0</v>
      </c>
      <c r="BB124" s="762">
        <v>0</v>
      </c>
      <c r="BC124" s="762">
        <v>0</v>
      </c>
      <c r="BD124" s="762">
        <v>0</v>
      </c>
      <c r="BE124" s="762">
        <v>0</v>
      </c>
      <c r="BF124" s="762">
        <v>0</v>
      </c>
      <c r="BG124" s="762">
        <v>0</v>
      </c>
      <c r="BH124" s="762">
        <v>0</v>
      </c>
      <c r="BI124" s="762">
        <v>0</v>
      </c>
      <c r="BJ124" s="790">
        <v>0.5</v>
      </c>
      <c r="BK124" s="790">
        <v>0.4</v>
      </c>
      <c r="BL124" s="790">
        <v>0.09</v>
      </c>
      <c r="BM124" s="790">
        <v>0.01</v>
      </c>
      <c r="BN124" s="790">
        <v>1</v>
      </c>
      <c r="BO124" s="762">
        <v>3865787</v>
      </c>
      <c r="BP124" s="762">
        <v>3092630</v>
      </c>
      <c r="BQ124" s="762">
        <v>695842</v>
      </c>
      <c r="BR124" s="762">
        <v>77316</v>
      </c>
      <c r="BS124" s="762">
        <v>7731575</v>
      </c>
      <c r="BT124" s="790">
        <v>0.5</v>
      </c>
      <c r="BU124" s="790">
        <v>0.4</v>
      </c>
      <c r="BV124" s="790">
        <v>0.09</v>
      </c>
      <c r="BW124" s="790">
        <v>0.01</v>
      </c>
      <c r="BX124" s="790">
        <v>1</v>
      </c>
      <c r="BY124" s="762">
        <v>-2766590</v>
      </c>
      <c r="BZ124" s="762">
        <v>-2213272</v>
      </c>
      <c r="CA124" s="762">
        <v>-497986</v>
      </c>
      <c r="CB124" s="762">
        <v>-55332</v>
      </c>
      <c r="CC124" s="762">
        <v>-5533180</v>
      </c>
      <c r="CD124" s="762">
        <v>1099197</v>
      </c>
      <c r="CE124" s="762">
        <v>879358</v>
      </c>
      <c r="CF124" s="762">
        <v>197856</v>
      </c>
      <c r="CG124" s="762">
        <v>21984</v>
      </c>
      <c r="CH124" s="762">
        <v>2198395</v>
      </c>
      <c r="CI124" s="762">
        <v>11895759</v>
      </c>
      <c r="CJ124" s="762">
        <v>17214746</v>
      </c>
      <c r="CK124" s="762">
        <v>15960836</v>
      </c>
      <c r="CL124" s="762">
        <v>453846</v>
      </c>
      <c r="CM124" s="762">
        <v>45525187</v>
      </c>
      <c r="CN124" s="762">
        <v>528163</v>
      </c>
      <c r="CO124" s="762">
        <v>513661</v>
      </c>
      <c r="CP124" s="762">
        <v>14073</v>
      </c>
      <c r="CQ124" s="762">
        <v>1055897</v>
      </c>
      <c r="CR124" s="762">
        <v>833103</v>
      </c>
      <c r="CS124" s="762">
        <v>810887</v>
      </c>
      <c r="CT124" s="762">
        <v>22216</v>
      </c>
      <c r="CU124" s="762">
        <v>1666206</v>
      </c>
      <c r="CV124" s="762">
        <v>71408</v>
      </c>
      <c r="CW124" s="762">
        <v>69504</v>
      </c>
      <c r="CX124" s="762">
        <v>1904</v>
      </c>
      <c r="CY124" s="762">
        <v>142816</v>
      </c>
      <c r="CZ124" s="762">
        <v>1901</v>
      </c>
      <c r="DA124" s="762">
        <v>1850</v>
      </c>
      <c r="DB124" s="762">
        <v>51</v>
      </c>
      <c r="DC124" s="762">
        <v>3802</v>
      </c>
      <c r="DD124" s="762">
        <v>7935</v>
      </c>
      <c r="DE124" s="762">
        <v>7724</v>
      </c>
      <c r="DF124" s="762">
        <v>212</v>
      </c>
      <c r="DG124" s="762">
        <v>15871</v>
      </c>
      <c r="DH124" s="762">
        <v>0</v>
      </c>
      <c r="DI124" s="762">
        <v>0</v>
      </c>
      <c r="DJ124" s="762">
        <v>0</v>
      </c>
      <c r="DK124" s="762">
        <v>0</v>
      </c>
      <c r="DL124" s="762">
        <v>15965</v>
      </c>
      <c r="DM124" s="762">
        <v>15540</v>
      </c>
      <c r="DN124" s="762">
        <v>426</v>
      </c>
      <c r="DO124" s="762">
        <v>31931</v>
      </c>
      <c r="DP124" s="762">
        <v>28678</v>
      </c>
      <c r="DQ124" s="762">
        <v>27914</v>
      </c>
      <c r="DR124" s="762">
        <v>765</v>
      </c>
      <c r="DS124" s="762">
        <v>57357</v>
      </c>
      <c r="DT124" s="762">
        <v>0</v>
      </c>
      <c r="DU124" s="762">
        <v>0</v>
      </c>
      <c r="DV124" s="762">
        <v>0</v>
      </c>
      <c r="DW124" s="762">
        <v>0</v>
      </c>
      <c r="DX124" s="762">
        <v>0</v>
      </c>
      <c r="DY124" s="762">
        <v>0</v>
      </c>
      <c r="DZ124" s="762">
        <v>0</v>
      </c>
      <c r="EA124" s="762">
        <v>0</v>
      </c>
      <c r="EB124" s="762">
        <v>254209</v>
      </c>
      <c r="EC124" s="762">
        <v>247429</v>
      </c>
      <c r="ED124" s="762">
        <v>6779</v>
      </c>
      <c r="EE124" s="762">
        <v>508417</v>
      </c>
      <c r="EF124" s="762">
        <v>1741362</v>
      </c>
      <c r="EG124" s="762">
        <v>1694509</v>
      </c>
      <c r="EH124" s="762">
        <v>46426</v>
      </c>
      <c r="EI124" s="799">
        <v>3482297</v>
      </c>
      <c r="EJ124" s="763" t="s">
        <v>119</v>
      </c>
      <c r="EK124" s="607" t="s">
        <v>599</v>
      </c>
      <c r="EL124" s="805" t="s">
        <v>597</v>
      </c>
      <c r="EM124" t="s">
        <v>1690</v>
      </c>
    </row>
    <row r="125" spans="1:143" ht="12.75" x14ac:dyDescent="0.2">
      <c r="A125" s="764">
        <v>118</v>
      </c>
      <c r="B125" s="765" t="s">
        <v>122</v>
      </c>
      <c r="C125" s="766" t="s">
        <v>1222</v>
      </c>
      <c r="D125" s="767" t="s">
        <v>1223</v>
      </c>
      <c r="E125" s="768" t="s">
        <v>121</v>
      </c>
      <c r="F125" s="761">
        <v>70448805</v>
      </c>
      <c r="G125" s="762">
        <v>2338986</v>
      </c>
      <c r="H125" s="762">
        <v>0</v>
      </c>
      <c r="I125" s="762">
        <v>301849</v>
      </c>
      <c r="J125" s="762">
        <v>0</v>
      </c>
      <c r="K125" s="762">
        <v>301849</v>
      </c>
      <c r="L125" s="762">
        <v>0</v>
      </c>
      <c r="M125" s="762">
        <v>0</v>
      </c>
      <c r="N125" s="762">
        <v>0</v>
      </c>
      <c r="O125" s="762">
        <v>0</v>
      </c>
      <c r="P125" s="762">
        <v>0</v>
      </c>
      <c r="Q125" s="762">
        <v>0</v>
      </c>
      <c r="R125" s="762">
        <v>72485942</v>
      </c>
      <c r="S125" s="790">
        <v>0.25</v>
      </c>
      <c r="T125" s="790">
        <v>0.48</v>
      </c>
      <c r="U125" s="790">
        <v>0.27</v>
      </c>
      <c r="V125" s="790">
        <v>0</v>
      </c>
      <c r="W125" s="790">
        <v>1</v>
      </c>
      <c r="X125" s="762">
        <v>18121486</v>
      </c>
      <c r="Y125" s="762">
        <v>34793252</v>
      </c>
      <c r="Z125" s="762">
        <v>19571204</v>
      </c>
      <c r="AA125" s="762">
        <v>0</v>
      </c>
      <c r="AB125" s="762">
        <v>72485942</v>
      </c>
      <c r="AC125" s="762">
        <v>0</v>
      </c>
      <c r="AD125" s="762">
        <v>0</v>
      </c>
      <c r="AE125" s="762">
        <v>0</v>
      </c>
      <c r="AF125" s="762">
        <v>0</v>
      </c>
      <c r="AG125" s="762">
        <v>0</v>
      </c>
      <c r="AH125" s="762">
        <v>18121486</v>
      </c>
      <c r="AI125" s="762">
        <v>34793252</v>
      </c>
      <c r="AJ125" s="762">
        <v>19571204</v>
      </c>
      <c r="AK125" s="762">
        <v>0</v>
      </c>
      <c r="AL125" s="762">
        <v>72485942</v>
      </c>
      <c r="AM125" s="762">
        <v>301849</v>
      </c>
      <c r="AN125" s="762">
        <v>301849</v>
      </c>
      <c r="AO125" s="762">
        <v>0</v>
      </c>
      <c r="AP125" s="762">
        <v>0</v>
      </c>
      <c r="AQ125" s="762">
        <v>0</v>
      </c>
      <c r="AR125" s="762">
        <v>0</v>
      </c>
      <c r="AS125" s="762">
        <v>0</v>
      </c>
      <c r="AT125" s="762">
        <v>0</v>
      </c>
      <c r="AU125" s="762">
        <v>0</v>
      </c>
      <c r="AV125" s="762">
        <v>0</v>
      </c>
      <c r="AW125" s="762">
        <v>0</v>
      </c>
      <c r="AX125" s="762">
        <v>0</v>
      </c>
      <c r="AY125" s="762">
        <v>0</v>
      </c>
      <c r="AZ125" s="762">
        <v>0</v>
      </c>
      <c r="BA125" s="762">
        <v>0</v>
      </c>
      <c r="BB125" s="762">
        <v>0</v>
      </c>
      <c r="BC125" s="762">
        <v>0</v>
      </c>
      <c r="BD125" s="762">
        <v>0</v>
      </c>
      <c r="BE125" s="762">
        <v>0</v>
      </c>
      <c r="BF125" s="762">
        <v>0</v>
      </c>
      <c r="BG125" s="762">
        <v>0</v>
      </c>
      <c r="BH125" s="762">
        <v>0</v>
      </c>
      <c r="BI125" s="762">
        <v>0</v>
      </c>
      <c r="BJ125" s="790">
        <v>0</v>
      </c>
      <c r="BK125" s="790">
        <v>0.64</v>
      </c>
      <c r="BL125" s="790">
        <v>0.36</v>
      </c>
      <c r="BM125" s="790">
        <v>0</v>
      </c>
      <c r="BN125" s="790">
        <v>1</v>
      </c>
      <c r="BO125" s="762">
        <v>7.4505805969238281E-9</v>
      </c>
      <c r="BP125" s="762">
        <v>-1352985</v>
      </c>
      <c r="BQ125" s="762">
        <v>-761054</v>
      </c>
      <c r="BR125" s="762">
        <v>0</v>
      </c>
      <c r="BS125" s="762">
        <v>-2114038.9999999925</v>
      </c>
      <c r="BT125" s="790">
        <v>0.33</v>
      </c>
      <c r="BU125" s="790">
        <v>0.3</v>
      </c>
      <c r="BV125" s="790">
        <v>0.37</v>
      </c>
      <c r="BW125" s="790">
        <v>0</v>
      </c>
      <c r="BX125" s="790">
        <v>1</v>
      </c>
      <c r="BY125" s="762">
        <v>-283663.0700000003</v>
      </c>
      <c r="BZ125" s="762">
        <v>-257876</v>
      </c>
      <c r="CA125" s="762">
        <v>-318046</v>
      </c>
      <c r="CB125" s="762">
        <v>0</v>
      </c>
      <c r="CC125" s="762">
        <v>-859585.0700000003</v>
      </c>
      <c r="CD125" s="762">
        <v>-283663</v>
      </c>
      <c r="CE125" s="762">
        <v>-1610861</v>
      </c>
      <c r="CF125" s="762">
        <v>-1079100</v>
      </c>
      <c r="CG125" s="762">
        <v>0</v>
      </c>
      <c r="CH125" s="762">
        <v>-2973624.0699999928</v>
      </c>
      <c r="CI125" s="762">
        <v>17837823</v>
      </c>
      <c r="CJ125" s="762">
        <v>33484240</v>
      </c>
      <c r="CK125" s="762">
        <v>18492104</v>
      </c>
      <c r="CL125" s="762">
        <v>0</v>
      </c>
      <c r="CM125" s="762">
        <v>69814167</v>
      </c>
      <c r="CN125" s="762">
        <v>1133792</v>
      </c>
      <c r="CO125" s="762">
        <v>637758</v>
      </c>
      <c r="CP125" s="762">
        <v>0</v>
      </c>
      <c r="CQ125" s="762">
        <v>1771550</v>
      </c>
      <c r="CR125" s="762">
        <v>3202406</v>
      </c>
      <c r="CS125" s="762">
        <v>1801353</v>
      </c>
      <c r="CT125" s="762">
        <v>0</v>
      </c>
      <c r="CU125" s="762">
        <v>5003759</v>
      </c>
      <c r="CV125" s="762">
        <v>186125</v>
      </c>
      <c r="CW125" s="762">
        <v>104695</v>
      </c>
      <c r="CX125" s="762">
        <v>0</v>
      </c>
      <c r="CY125" s="762">
        <v>290820</v>
      </c>
      <c r="CZ125" s="762">
        <v>5238</v>
      </c>
      <c r="DA125" s="762">
        <v>2946</v>
      </c>
      <c r="DB125" s="762">
        <v>0</v>
      </c>
      <c r="DC125" s="762">
        <v>8184</v>
      </c>
      <c r="DD125" s="762">
        <v>0</v>
      </c>
      <c r="DE125" s="762">
        <v>0</v>
      </c>
      <c r="DF125" s="762">
        <v>0</v>
      </c>
      <c r="DG125" s="762">
        <v>0</v>
      </c>
      <c r="DH125" s="762">
        <v>0</v>
      </c>
      <c r="DI125" s="762">
        <v>0</v>
      </c>
      <c r="DJ125" s="762">
        <v>0</v>
      </c>
      <c r="DK125" s="762">
        <v>0</v>
      </c>
      <c r="DL125" s="762">
        <v>33343</v>
      </c>
      <c r="DM125" s="762">
        <v>18755</v>
      </c>
      <c r="DN125" s="762">
        <v>0</v>
      </c>
      <c r="DO125" s="762">
        <v>52098</v>
      </c>
      <c r="DP125" s="762">
        <v>0</v>
      </c>
      <c r="DQ125" s="762">
        <v>0</v>
      </c>
      <c r="DR125" s="762">
        <v>0</v>
      </c>
      <c r="DS125" s="762">
        <v>0</v>
      </c>
      <c r="DT125" s="762">
        <v>0</v>
      </c>
      <c r="DU125" s="762">
        <v>0</v>
      </c>
      <c r="DV125" s="762">
        <v>0</v>
      </c>
      <c r="DW125" s="762">
        <v>0</v>
      </c>
      <c r="DX125" s="762">
        <v>0</v>
      </c>
      <c r="DY125" s="762">
        <v>0</v>
      </c>
      <c r="DZ125" s="762">
        <v>0</v>
      </c>
      <c r="EA125" s="762">
        <v>0</v>
      </c>
      <c r="EB125" s="762">
        <v>1980417</v>
      </c>
      <c r="EC125" s="762">
        <v>1113985</v>
      </c>
      <c r="ED125" s="762">
        <v>0</v>
      </c>
      <c r="EE125" s="762">
        <v>3094402</v>
      </c>
      <c r="EF125" s="762">
        <v>6541321</v>
      </c>
      <c r="EG125" s="762">
        <v>3679492</v>
      </c>
      <c r="EH125" s="762">
        <v>0</v>
      </c>
      <c r="EI125" s="799">
        <v>10220813</v>
      </c>
      <c r="EJ125" s="763" t="s">
        <v>121</v>
      </c>
      <c r="EK125" s="607" t="s">
        <v>628</v>
      </c>
      <c r="EL125" s="272" t="s">
        <v>528</v>
      </c>
      <c r="EM125" t="s">
        <v>1691</v>
      </c>
    </row>
    <row r="126" spans="1:143" ht="12.75" x14ac:dyDescent="0.2">
      <c r="A126" s="764">
        <v>119</v>
      </c>
      <c r="B126" s="765" t="s">
        <v>124</v>
      </c>
      <c r="C126" s="766" t="s">
        <v>1217</v>
      </c>
      <c r="D126" s="767" t="s">
        <v>1221</v>
      </c>
      <c r="E126" s="768" t="s">
        <v>123</v>
      </c>
      <c r="F126" s="761">
        <v>47475576</v>
      </c>
      <c r="G126" s="762">
        <v>0</v>
      </c>
      <c r="H126" s="762">
        <v>241455</v>
      </c>
      <c r="I126" s="762">
        <v>115639</v>
      </c>
      <c r="J126" s="762">
        <v>0</v>
      </c>
      <c r="K126" s="762">
        <v>115639</v>
      </c>
      <c r="L126" s="762">
        <v>0</v>
      </c>
      <c r="M126" s="762">
        <v>1175875</v>
      </c>
      <c r="N126" s="762">
        <v>0</v>
      </c>
      <c r="O126" s="762">
        <v>0</v>
      </c>
      <c r="P126" s="762">
        <v>0</v>
      </c>
      <c r="Q126" s="762">
        <v>0</v>
      </c>
      <c r="R126" s="762">
        <v>45942607</v>
      </c>
      <c r="S126" s="790">
        <v>0.5</v>
      </c>
      <c r="T126" s="790">
        <v>0.4</v>
      </c>
      <c r="U126" s="790">
        <v>0.09</v>
      </c>
      <c r="V126" s="790">
        <v>0.01</v>
      </c>
      <c r="W126" s="790">
        <v>1</v>
      </c>
      <c r="X126" s="762">
        <v>22971303</v>
      </c>
      <c r="Y126" s="762">
        <v>18377043</v>
      </c>
      <c r="Z126" s="762">
        <v>4134835</v>
      </c>
      <c r="AA126" s="762">
        <v>459426</v>
      </c>
      <c r="AB126" s="762">
        <v>45942607</v>
      </c>
      <c r="AC126" s="762">
        <v>0</v>
      </c>
      <c r="AD126" s="762">
        <v>0</v>
      </c>
      <c r="AE126" s="762">
        <v>0</v>
      </c>
      <c r="AF126" s="762">
        <v>0</v>
      </c>
      <c r="AG126" s="762">
        <v>0</v>
      </c>
      <c r="AH126" s="762">
        <v>22971303</v>
      </c>
      <c r="AI126" s="762">
        <v>18377043</v>
      </c>
      <c r="AJ126" s="762">
        <v>4134835</v>
      </c>
      <c r="AK126" s="762">
        <v>459426</v>
      </c>
      <c r="AL126" s="762">
        <v>45942607</v>
      </c>
      <c r="AM126" s="762">
        <v>115639</v>
      </c>
      <c r="AN126" s="762">
        <v>115639</v>
      </c>
      <c r="AO126" s="762">
        <v>1175875</v>
      </c>
      <c r="AP126" s="762">
        <v>1175875</v>
      </c>
      <c r="AQ126" s="762">
        <v>0</v>
      </c>
      <c r="AR126" s="762">
        <v>0</v>
      </c>
      <c r="AS126" s="762">
        <v>0</v>
      </c>
      <c r="AT126" s="762">
        <v>0</v>
      </c>
      <c r="AU126" s="762">
        <v>0</v>
      </c>
      <c r="AV126" s="762">
        <v>0</v>
      </c>
      <c r="AW126" s="762">
        <v>0</v>
      </c>
      <c r="AX126" s="762">
        <v>0</v>
      </c>
      <c r="AY126" s="762">
        <v>0</v>
      </c>
      <c r="AZ126" s="762">
        <v>0</v>
      </c>
      <c r="BA126" s="762">
        <v>0</v>
      </c>
      <c r="BB126" s="762">
        <v>0</v>
      </c>
      <c r="BC126" s="762">
        <v>0</v>
      </c>
      <c r="BD126" s="762">
        <v>0</v>
      </c>
      <c r="BE126" s="762">
        <v>0</v>
      </c>
      <c r="BF126" s="762">
        <v>0</v>
      </c>
      <c r="BG126" s="762">
        <v>0</v>
      </c>
      <c r="BH126" s="762">
        <v>0</v>
      </c>
      <c r="BI126" s="762">
        <v>0</v>
      </c>
      <c r="BJ126" s="790">
        <v>0.5</v>
      </c>
      <c r="BK126" s="790">
        <v>0.4</v>
      </c>
      <c r="BL126" s="790">
        <v>0.09</v>
      </c>
      <c r="BM126" s="790">
        <v>0.01</v>
      </c>
      <c r="BN126" s="790">
        <v>1</v>
      </c>
      <c r="BO126" s="762">
        <v>1261037</v>
      </c>
      <c r="BP126" s="762">
        <v>1008830</v>
      </c>
      <c r="BQ126" s="762">
        <v>226987</v>
      </c>
      <c r="BR126" s="762">
        <v>25221</v>
      </c>
      <c r="BS126" s="762">
        <v>2522075</v>
      </c>
      <c r="BT126" s="790">
        <v>0.5</v>
      </c>
      <c r="BU126" s="790">
        <v>0.4</v>
      </c>
      <c r="BV126" s="790">
        <v>0.09</v>
      </c>
      <c r="BW126" s="790">
        <v>0.01</v>
      </c>
      <c r="BX126" s="790">
        <v>1</v>
      </c>
      <c r="BY126" s="762">
        <v>-281992</v>
      </c>
      <c r="BZ126" s="762">
        <v>-225593</v>
      </c>
      <c r="CA126" s="762">
        <v>-50758</v>
      </c>
      <c r="CB126" s="762">
        <v>-5640</v>
      </c>
      <c r="CC126" s="762">
        <v>-563983</v>
      </c>
      <c r="CD126" s="762">
        <v>979046</v>
      </c>
      <c r="CE126" s="762">
        <v>783237</v>
      </c>
      <c r="CF126" s="762">
        <v>176228</v>
      </c>
      <c r="CG126" s="762">
        <v>19581</v>
      </c>
      <c r="CH126" s="762">
        <v>1958092</v>
      </c>
      <c r="CI126" s="762">
        <v>23950349</v>
      </c>
      <c r="CJ126" s="762">
        <v>20451794</v>
      </c>
      <c r="CK126" s="762">
        <v>4311063</v>
      </c>
      <c r="CL126" s="762">
        <v>479007</v>
      </c>
      <c r="CM126" s="762">
        <v>49192213</v>
      </c>
      <c r="CN126" s="762">
        <v>637162</v>
      </c>
      <c r="CO126" s="762">
        <v>134740</v>
      </c>
      <c r="CP126" s="762">
        <v>14971</v>
      </c>
      <c r="CQ126" s="762">
        <v>786873</v>
      </c>
      <c r="CR126" s="762">
        <v>625404</v>
      </c>
      <c r="CS126" s="762">
        <v>122804</v>
      </c>
      <c r="CT126" s="762">
        <v>13645</v>
      </c>
      <c r="CU126" s="762">
        <v>761853</v>
      </c>
      <c r="CV126" s="762">
        <v>86693</v>
      </c>
      <c r="CW126" s="762">
        <v>16251</v>
      </c>
      <c r="CX126" s="762">
        <v>1806</v>
      </c>
      <c r="CY126" s="762">
        <v>104750</v>
      </c>
      <c r="CZ126" s="762">
        <v>0</v>
      </c>
      <c r="DA126" s="762">
        <v>0</v>
      </c>
      <c r="DB126" s="762">
        <v>0</v>
      </c>
      <c r="DC126" s="762">
        <v>0</v>
      </c>
      <c r="DD126" s="762">
        <v>0</v>
      </c>
      <c r="DE126" s="762">
        <v>0</v>
      </c>
      <c r="DF126" s="762">
        <v>0</v>
      </c>
      <c r="DG126" s="762">
        <v>0</v>
      </c>
      <c r="DH126" s="762">
        <v>0</v>
      </c>
      <c r="DI126" s="762">
        <v>0</v>
      </c>
      <c r="DJ126" s="762">
        <v>0</v>
      </c>
      <c r="DK126" s="762">
        <v>0</v>
      </c>
      <c r="DL126" s="762">
        <v>3511</v>
      </c>
      <c r="DM126" s="762">
        <v>592</v>
      </c>
      <c r="DN126" s="762">
        <v>66</v>
      </c>
      <c r="DO126" s="762">
        <v>4169</v>
      </c>
      <c r="DP126" s="762">
        <v>8539</v>
      </c>
      <c r="DQ126" s="762">
        <v>1490</v>
      </c>
      <c r="DR126" s="762">
        <v>166</v>
      </c>
      <c r="DS126" s="762">
        <v>10195</v>
      </c>
      <c r="DT126" s="762">
        <v>0</v>
      </c>
      <c r="DU126" s="762">
        <v>0</v>
      </c>
      <c r="DV126" s="762">
        <v>0</v>
      </c>
      <c r="DW126" s="762">
        <v>0</v>
      </c>
      <c r="DX126" s="762">
        <v>0</v>
      </c>
      <c r="DY126" s="762">
        <v>0</v>
      </c>
      <c r="DZ126" s="762">
        <v>0</v>
      </c>
      <c r="EA126" s="762">
        <v>0</v>
      </c>
      <c r="EB126" s="762">
        <v>302754</v>
      </c>
      <c r="EC126" s="762">
        <v>68120</v>
      </c>
      <c r="ED126" s="762">
        <v>7569</v>
      </c>
      <c r="EE126" s="762">
        <v>378443</v>
      </c>
      <c r="EF126" s="762">
        <v>1664063</v>
      </c>
      <c r="EG126" s="762">
        <v>343997</v>
      </c>
      <c r="EH126" s="762">
        <v>38223</v>
      </c>
      <c r="EI126" s="799">
        <v>2046283</v>
      </c>
      <c r="EJ126" s="763" t="s">
        <v>123</v>
      </c>
      <c r="EK126" s="607" t="s">
        <v>575</v>
      </c>
      <c r="EL126" s="805" t="s">
        <v>573</v>
      </c>
      <c r="EM126" t="s">
        <v>1692</v>
      </c>
    </row>
    <row r="127" spans="1:143" ht="12.75" x14ac:dyDescent="0.2">
      <c r="A127" s="764">
        <v>120</v>
      </c>
      <c r="B127" s="765" t="s">
        <v>126</v>
      </c>
      <c r="C127" s="766" t="s">
        <v>1217</v>
      </c>
      <c r="D127" s="767" t="s">
        <v>1225</v>
      </c>
      <c r="E127" s="768" t="s">
        <v>125</v>
      </c>
      <c r="F127" s="761">
        <v>61575013</v>
      </c>
      <c r="G127" s="762">
        <v>224088</v>
      </c>
      <c r="H127" s="762">
        <v>0</v>
      </c>
      <c r="I127" s="762">
        <v>283402</v>
      </c>
      <c r="J127" s="762">
        <v>0</v>
      </c>
      <c r="K127" s="762">
        <v>283402</v>
      </c>
      <c r="L127" s="762">
        <v>0</v>
      </c>
      <c r="M127" s="762">
        <v>0</v>
      </c>
      <c r="N127" s="762">
        <v>224280</v>
      </c>
      <c r="O127" s="762">
        <v>0</v>
      </c>
      <c r="P127" s="762">
        <v>224280</v>
      </c>
      <c r="Q127" s="762">
        <v>0</v>
      </c>
      <c r="R127" s="762">
        <v>61291419</v>
      </c>
      <c r="S127" s="790">
        <v>0.25</v>
      </c>
      <c r="T127" s="790">
        <v>0.52500000000000002</v>
      </c>
      <c r="U127" s="790">
        <v>0.215</v>
      </c>
      <c r="V127" s="790">
        <v>0.01</v>
      </c>
      <c r="W127" s="790">
        <v>1</v>
      </c>
      <c r="X127" s="762">
        <v>15322855</v>
      </c>
      <c r="Y127" s="762">
        <v>32177995</v>
      </c>
      <c r="Z127" s="762">
        <v>13177655</v>
      </c>
      <c r="AA127" s="762">
        <v>612914</v>
      </c>
      <c r="AB127" s="762">
        <v>61291419</v>
      </c>
      <c r="AC127" s="762">
        <v>0</v>
      </c>
      <c r="AD127" s="762">
        <v>0</v>
      </c>
      <c r="AE127" s="762">
        <v>0</v>
      </c>
      <c r="AF127" s="762">
        <v>0</v>
      </c>
      <c r="AG127" s="762">
        <v>0</v>
      </c>
      <c r="AH127" s="762">
        <v>15322855</v>
      </c>
      <c r="AI127" s="762">
        <v>32177995</v>
      </c>
      <c r="AJ127" s="762">
        <v>13177655</v>
      </c>
      <c r="AK127" s="762">
        <v>612914</v>
      </c>
      <c r="AL127" s="762">
        <v>61291419</v>
      </c>
      <c r="AM127" s="762">
        <v>283402</v>
      </c>
      <c r="AN127" s="762">
        <v>283402</v>
      </c>
      <c r="AO127" s="762">
        <v>0</v>
      </c>
      <c r="AP127" s="762">
        <v>0</v>
      </c>
      <c r="AQ127" s="762">
        <v>0</v>
      </c>
      <c r="AR127" s="762">
        <v>224280</v>
      </c>
      <c r="AS127" s="762">
        <v>224280</v>
      </c>
      <c r="AT127" s="762">
        <v>0</v>
      </c>
      <c r="AU127" s="762">
        <v>0</v>
      </c>
      <c r="AV127" s="762">
        <v>0</v>
      </c>
      <c r="AW127" s="762">
        <v>0</v>
      </c>
      <c r="AX127" s="762">
        <v>0</v>
      </c>
      <c r="AY127" s="762">
        <v>0</v>
      </c>
      <c r="AZ127" s="762">
        <v>0</v>
      </c>
      <c r="BA127" s="762">
        <v>0</v>
      </c>
      <c r="BB127" s="762">
        <v>0</v>
      </c>
      <c r="BC127" s="762">
        <v>0</v>
      </c>
      <c r="BD127" s="762">
        <v>0</v>
      </c>
      <c r="BE127" s="762">
        <v>0</v>
      </c>
      <c r="BF127" s="762">
        <v>0</v>
      </c>
      <c r="BG127" s="762">
        <v>0</v>
      </c>
      <c r="BH127" s="762">
        <v>0</v>
      </c>
      <c r="BI127" s="762">
        <v>0</v>
      </c>
      <c r="BJ127" s="790">
        <v>0</v>
      </c>
      <c r="BK127" s="790">
        <v>0.9</v>
      </c>
      <c r="BL127" s="790">
        <v>0.09</v>
      </c>
      <c r="BM127" s="790">
        <v>0.01</v>
      </c>
      <c r="BN127" s="790">
        <v>1</v>
      </c>
      <c r="BO127" s="762">
        <v>0</v>
      </c>
      <c r="BP127" s="762">
        <v>-45382</v>
      </c>
      <c r="BQ127" s="762">
        <v>-4538</v>
      </c>
      <c r="BR127" s="762">
        <v>-504</v>
      </c>
      <c r="BS127" s="762">
        <v>-50424</v>
      </c>
      <c r="BT127" s="790">
        <v>0.5</v>
      </c>
      <c r="BU127" s="790">
        <v>0.4</v>
      </c>
      <c r="BV127" s="790">
        <v>0.09</v>
      </c>
      <c r="BW127" s="790">
        <v>0.01</v>
      </c>
      <c r="BX127" s="790">
        <v>1</v>
      </c>
      <c r="BY127" s="762">
        <v>-351788</v>
      </c>
      <c r="BZ127" s="762">
        <v>-281431</v>
      </c>
      <c r="CA127" s="762">
        <v>-63322</v>
      </c>
      <c r="CB127" s="762">
        <v>-7036</v>
      </c>
      <c r="CC127" s="762">
        <v>-703577</v>
      </c>
      <c r="CD127" s="762">
        <v>-351788</v>
      </c>
      <c r="CE127" s="762">
        <v>-326813</v>
      </c>
      <c r="CF127" s="762">
        <v>-67860</v>
      </c>
      <c r="CG127" s="762">
        <v>-7540</v>
      </c>
      <c r="CH127" s="762">
        <v>-754001</v>
      </c>
      <c r="CI127" s="762">
        <v>14971067</v>
      </c>
      <c r="CJ127" s="762">
        <v>32134584</v>
      </c>
      <c r="CK127" s="762">
        <v>13334075</v>
      </c>
      <c r="CL127" s="762">
        <v>605374</v>
      </c>
      <c r="CM127" s="762">
        <v>61045100</v>
      </c>
      <c r="CN127" s="762">
        <v>1048570</v>
      </c>
      <c r="CO127" s="762">
        <v>436723</v>
      </c>
      <c r="CP127" s="762">
        <v>19973</v>
      </c>
      <c r="CQ127" s="762">
        <v>1505266</v>
      </c>
      <c r="CR127" s="762">
        <v>2910139</v>
      </c>
      <c r="CS127" s="762">
        <v>1191771</v>
      </c>
      <c r="CT127" s="762">
        <v>55431</v>
      </c>
      <c r="CU127" s="762">
        <v>4157341</v>
      </c>
      <c r="CV127" s="762">
        <v>194952</v>
      </c>
      <c r="CW127" s="762">
        <v>79837</v>
      </c>
      <c r="CX127" s="762">
        <v>3713</v>
      </c>
      <c r="CY127" s="762">
        <v>278502</v>
      </c>
      <c r="CZ127" s="762">
        <v>2694</v>
      </c>
      <c r="DA127" s="762">
        <v>1103</v>
      </c>
      <c r="DB127" s="762">
        <v>51</v>
      </c>
      <c r="DC127" s="762">
        <v>3848</v>
      </c>
      <c r="DD127" s="762">
        <v>28023</v>
      </c>
      <c r="DE127" s="762">
        <v>11476</v>
      </c>
      <c r="DF127" s="762">
        <v>534</v>
      </c>
      <c r="DG127" s="762">
        <v>40033</v>
      </c>
      <c r="DH127" s="762">
        <v>0</v>
      </c>
      <c r="DI127" s="762">
        <v>0</v>
      </c>
      <c r="DJ127" s="762">
        <v>0</v>
      </c>
      <c r="DK127" s="762">
        <v>0</v>
      </c>
      <c r="DL127" s="762">
        <v>27686</v>
      </c>
      <c r="DM127" s="762">
        <v>11338</v>
      </c>
      <c r="DN127" s="762">
        <v>527</v>
      </c>
      <c r="DO127" s="762">
        <v>39551</v>
      </c>
      <c r="DP127" s="762">
        <v>42801</v>
      </c>
      <c r="DQ127" s="762">
        <v>17528</v>
      </c>
      <c r="DR127" s="762">
        <v>815</v>
      </c>
      <c r="DS127" s="762">
        <v>61144</v>
      </c>
      <c r="DT127" s="762">
        <v>0</v>
      </c>
      <c r="DU127" s="762">
        <v>0</v>
      </c>
      <c r="DV127" s="762">
        <v>0</v>
      </c>
      <c r="DW127" s="762">
        <v>0</v>
      </c>
      <c r="DX127" s="762">
        <v>0</v>
      </c>
      <c r="DY127" s="762">
        <v>0</v>
      </c>
      <c r="DZ127" s="762">
        <v>0</v>
      </c>
      <c r="EA127" s="762">
        <v>0</v>
      </c>
      <c r="EB127" s="762">
        <v>1080016</v>
      </c>
      <c r="EC127" s="762">
        <v>442292</v>
      </c>
      <c r="ED127" s="762">
        <v>20572</v>
      </c>
      <c r="EE127" s="762">
        <v>1542880</v>
      </c>
      <c r="EF127" s="762">
        <v>5334881</v>
      </c>
      <c r="EG127" s="762">
        <v>2192068</v>
      </c>
      <c r="EH127" s="762">
        <v>101616</v>
      </c>
      <c r="EI127" s="799">
        <v>7628565</v>
      </c>
      <c r="EJ127" s="763" t="s">
        <v>125</v>
      </c>
      <c r="EK127" s="607" t="s">
        <v>604</v>
      </c>
      <c r="EL127" s="805" t="s">
        <v>603</v>
      </c>
      <c r="EM127" t="s">
        <v>1693</v>
      </c>
    </row>
    <row r="128" spans="1:143" ht="12.75" x14ac:dyDescent="0.2">
      <c r="A128" s="764">
        <v>121</v>
      </c>
      <c r="B128" s="765" t="s">
        <v>128</v>
      </c>
      <c r="C128" s="766" t="s">
        <v>1222</v>
      </c>
      <c r="D128" s="767" t="s">
        <v>1223</v>
      </c>
      <c r="E128" s="768" t="s">
        <v>127</v>
      </c>
      <c r="F128" s="761">
        <v>51305167</v>
      </c>
      <c r="G128" s="762">
        <v>680000</v>
      </c>
      <c r="H128" s="762">
        <v>0</v>
      </c>
      <c r="I128" s="762">
        <v>244267</v>
      </c>
      <c r="J128" s="762">
        <v>0</v>
      </c>
      <c r="K128" s="762">
        <v>244267</v>
      </c>
      <c r="L128" s="762">
        <v>0</v>
      </c>
      <c r="M128" s="762">
        <v>0</v>
      </c>
      <c r="N128" s="762">
        <v>0</v>
      </c>
      <c r="O128" s="762">
        <v>0</v>
      </c>
      <c r="P128" s="762">
        <v>0</v>
      </c>
      <c r="Q128" s="762">
        <v>0</v>
      </c>
      <c r="R128" s="762">
        <v>51740900</v>
      </c>
      <c r="S128" s="790">
        <v>0.25</v>
      </c>
      <c r="T128" s="790">
        <v>0.48</v>
      </c>
      <c r="U128" s="790">
        <v>0.27</v>
      </c>
      <c r="V128" s="790">
        <v>0</v>
      </c>
      <c r="W128" s="790">
        <v>1</v>
      </c>
      <c r="X128" s="762">
        <v>12935225</v>
      </c>
      <c r="Y128" s="762">
        <v>24835632</v>
      </c>
      <c r="Z128" s="762">
        <v>13970043</v>
      </c>
      <c r="AA128" s="762">
        <v>0</v>
      </c>
      <c r="AB128" s="762">
        <v>51740900</v>
      </c>
      <c r="AC128" s="762">
        <v>0</v>
      </c>
      <c r="AD128" s="762">
        <v>0</v>
      </c>
      <c r="AE128" s="762">
        <v>0</v>
      </c>
      <c r="AF128" s="762">
        <v>0</v>
      </c>
      <c r="AG128" s="762">
        <v>0</v>
      </c>
      <c r="AH128" s="762">
        <v>12935225</v>
      </c>
      <c r="AI128" s="762">
        <v>24835632</v>
      </c>
      <c r="AJ128" s="762">
        <v>13970043</v>
      </c>
      <c r="AK128" s="762">
        <v>0</v>
      </c>
      <c r="AL128" s="762">
        <v>51740900</v>
      </c>
      <c r="AM128" s="762">
        <v>244267</v>
      </c>
      <c r="AN128" s="762">
        <v>244267</v>
      </c>
      <c r="AO128" s="762">
        <v>0</v>
      </c>
      <c r="AP128" s="762">
        <v>0</v>
      </c>
      <c r="AQ128" s="762">
        <v>0</v>
      </c>
      <c r="AR128" s="762">
        <v>0</v>
      </c>
      <c r="AS128" s="762">
        <v>0</v>
      </c>
      <c r="AT128" s="762">
        <v>0</v>
      </c>
      <c r="AU128" s="762">
        <v>0</v>
      </c>
      <c r="AV128" s="762">
        <v>0</v>
      </c>
      <c r="AW128" s="762">
        <v>0</v>
      </c>
      <c r="AX128" s="762">
        <v>0</v>
      </c>
      <c r="AY128" s="762">
        <v>0</v>
      </c>
      <c r="AZ128" s="762">
        <v>0</v>
      </c>
      <c r="BA128" s="762">
        <v>0</v>
      </c>
      <c r="BB128" s="762">
        <v>0</v>
      </c>
      <c r="BC128" s="762">
        <v>0</v>
      </c>
      <c r="BD128" s="762">
        <v>0</v>
      </c>
      <c r="BE128" s="762">
        <v>0</v>
      </c>
      <c r="BF128" s="762">
        <v>0</v>
      </c>
      <c r="BG128" s="762">
        <v>0</v>
      </c>
      <c r="BH128" s="762">
        <v>0</v>
      </c>
      <c r="BI128" s="762">
        <v>0</v>
      </c>
      <c r="BJ128" s="790">
        <v>0</v>
      </c>
      <c r="BK128" s="790">
        <v>0.64</v>
      </c>
      <c r="BL128" s="790">
        <v>0.36</v>
      </c>
      <c r="BM128" s="790">
        <v>0</v>
      </c>
      <c r="BN128" s="790">
        <v>1</v>
      </c>
      <c r="BO128" s="762">
        <v>0</v>
      </c>
      <c r="BP128" s="762">
        <v>-805603</v>
      </c>
      <c r="BQ128" s="762">
        <v>-453152</v>
      </c>
      <c r="BR128" s="762">
        <v>0</v>
      </c>
      <c r="BS128" s="762">
        <v>-1258755</v>
      </c>
      <c r="BT128" s="790">
        <v>0.33</v>
      </c>
      <c r="BU128" s="790">
        <v>0.3</v>
      </c>
      <c r="BV128" s="790">
        <v>0.37</v>
      </c>
      <c r="BW128" s="790">
        <v>0</v>
      </c>
      <c r="BX128" s="790">
        <v>1</v>
      </c>
      <c r="BY128" s="762">
        <v>29120</v>
      </c>
      <c r="BZ128" s="762">
        <v>26473</v>
      </c>
      <c r="CA128" s="762">
        <v>32650</v>
      </c>
      <c r="CB128" s="762">
        <v>0</v>
      </c>
      <c r="CC128" s="762">
        <v>88243</v>
      </c>
      <c r="CD128" s="762">
        <v>29120</v>
      </c>
      <c r="CE128" s="762">
        <v>-779130</v>
      </c>
      <c r="CF128" s="762">
        <v>-420502</v>
      </c>
      <c r="CG128" s="762">
        <v>0</v>
      </c>
      <c r="CH128" s="762">
        <v>-1170512</v>
      </c>
      <c r="CI128" s="762">
        <v>12964345</v>
      </c>
      <c r="CJ128" s="762">
        <v>24300769</v>
      </c>
      <c r="CK128" s="762">
        <v>13549541</v>
      </c>
      <c r="CL128" s="762">
        <v>0</v>
      </c>
      <c r="CM128" s="762">
        <v>50814655</v>
      </c>
      <c r="CN128" s="762">
        <v>809308</v>
      </c>
      <c r="CO128" s="762">
        <v>455236</v>
      </c>
      <c r="CP128" s="762">
        <v>0</v>
      </c>
      <c r="CQ128" s="762">
        <v>1264544</v>
      </c>
      <c r="CR128" s="762">
        <v>2263100</v>
      </c>
      <c r="CS128" s="762">
        <v>1272993</v>
      </c>
      <c r="CT128" s="762">
        <v>0</v>
      </c>
      <c r="CU128" s="762">
        <v>3536093</v>
      </c>
      <c r="CV128" s="762">
        <v>127654</v>
      </c>
      <c r="CW128" s="762">
        <v>71805</v>
      </c>
      <c r="CX128" s="762">
        <v>0</v>
      </c>
      <c r="CY128" s="762">
        <v>199459</v>
      </c>
      <c r="CZ128" s="762">
        <v>0</v>
      </c>
      <c r="DA128" s="762">
        <v>0</v>
      </c>
      <c r="DB128" s="762">
        <v>0</v>
      </c>
      <c r="DC128" s="762">
        <v>0</v>
      </c>
      <c r="DD128" s="762">
        <v>0</v>
      </c>
      <c r="DE128" s="762">
        <v>0</v>
      </c>
      <c r="DF128" s="762">
        <v>0</v>
      </c>
      <c r="DG128" s="762">
        <v>0</v>
      </c>
      <c r="DH128" s="762">
        <v>0</v>
      </c>
      <c r="DI128" s="762">
        <v>0</v>
      </c>
      <c r="DJ128" s="762">
        <v>0</v>
      </c>
      <c r="DK128" s="762">
        <v>0</v>
      </c>
      <c r="DL128" s="762">
        <v>49564</v>
      </c>
      <c r="DM128" s="762">
        <v>27880</v>
      </c>
      <c r="DN128" s="762">
        <v>0</v>
      </c>
      <c r="DO128" s="762">
        <v>77444</v>
      </c>
      <c r="DP128" s="762">
        <v>74346</v>
      </c>
      <c r="DQ128" s="762">
        <v>41820</v>
      </c>
      <c r="DR128" s="762">
        <v>0</v>
      </c>
      <c r="DS128" s="762">
        <v>116166</v>
      </c>
      <c r="DT128" s="762">
        <v>0</v>
      </c>
      <c r="DU128" s="762">
        <v>0</v>
      </c>
      <c r="DV128" s="762">
        <v>0</v>
      </c>
      <c r="DW128" s="762">
        <v>0</v>
      </c>
      <c r="DX128" s="762">
        <v>0</v>
      </c>
      <c r="DY128" s="762">
        <v>0</v>
      </c>
      <c r="DZ128" s="762">
        <v>0</v>
      </c>
      <c r="EA128" s="762">
        <v>0</v>
      </c>
      <c r="EB128" s="762">
        <v>659203</v>
      </c>
      <c r="EC128" s="762">
        <v>370802</v>
      </c>
      <c r="ED128" s="762">
        <v>0</v>
      </c>
      <c r="EE128" s="762">
        <v>1030005</v>
      </c>
      <c r="EF128" s="762">
        <v>3983175</v>
      </c>
      <c r="EG128" s="762">
        <v>2240536</v>
      </c>
      <c r="EH128" s="762">
        <v>0</v>
      </c>
      <c r="EI128" s="799">
        <v>6223711</v>
      </c>
      <c r="EJ128" s="763" t="s">
        <v>127</v>
      </c>
      <c r="EK128" s="607" t="s">
        <v>628</v>
      </c>
      <c r="EL128" s="272" t="s">
        <v>528</v>
      </c>
      <c r="EM128" t="s">
        <v>1694</v>
      </c>
    </row>
    <row r="129" spans="1:143" ht="12.75" x14ac:dyDescent="0.2">
      <c r="A129" s="764">
        <v>122</v>
      </c>
      <c r="B129" s="765" t="s">
        <v>130</v>
      </c>
      <c r="C129" s="766" t="s">
        <v>1217</v>
      </c>
      <c r="D129" s="767" t="s">
        <v>1218</v>
      </c>
      <c r="E129" s="768" t="s">
        <v>129</v>
      </c>
      <c r="F129" s="761">
        <v>30474628</v>
      </c>
      <c r="G129" s="762">
        <v>116341</v>
      </c>
      <c r="H129" s="762">
        <v>0</v>
      </c>
      <c r="I129" s="762">
        <v>99445</v>
      </c>
      <c r="J129" s="762">
        <v>0</v>
      </c>
      <c r="K129" s="762">
        <v>99445</v>
      </c>
      <c r="L129" s="762">
        <v>0</v>
      </c>
      <c r="M129" s="762">
        <v>0</v>
      </c>
      <c r="N129" s="762">
        <v>0</v>
      </c>
      <c r="O129" s="762">
        <v>0</v>
      </c>
      <c r="P129" s="762">
        <v>0</v>
      </c>
      <c r="Q129" s="762">
        <v>0</v>
      </c>
      <c r="R129" s="762">
        <v>30491524</v>
      </c>
      <c r="S129" s="790">
        <v>0.5</v>
      </c>
      <c r="T129" s="790">
        <v>0.4</v>
      </c>
      <c r="U129" s="790">
        <v>0.09</v>
      </c>
      <c r="V129" s="790">
        <v>0.01</v>
      </c>
      <c r="W129" s="790">
        <v>1</v>
      </c>
      <c r="X129" s="762">
        <v>15245762</v>
      </c>
      <c r="Y129" s="762">
        <v>12196610</v>
      </c>
      <c r="Z129" s="762">
        <v>2744237</v>
      </c>
      <c r="AA129" s="762">
        <v>304915</v>
      </c>
      <c r="AB129" s="762">
        <v>30491524</v>
      </c>
      <c r="AC129" s="762">
        <v>0</v>
      </c>
      <c r="AD129" s="762">
        <v>0</v>
      </c>
      <c r="AE129" s="762">
        <v>0</v>
      </c>
      <c r="AF129" s="762">
        <v>0</v>
      </c>
      <c r="AG129" s="762">
        <v>0</v>
      </c>
      <c r="AH129" s="762">
        <v>15245762</v>
      </c>
      <c r="AI129" s="762">
        <v>12196610</v>
      </c>
      <c r="AJ129" s="762">
        <v>2744237</v>
      </c>
      <c r="AK129" s="762">
        <v>304915</v>
      </c>
      <c r="AL129" s="762">
        <v>30491524</v>
      </c>
      <c r="AM129" s="762">
        <v>99445</v>
      </c>
      <c r="AN129" s="762">
        <v>99445</v>
      </c>
      <c r="AO129" s="762">
        <v>0</v>
      </c>
      <c r="AP129" s="762">
        <v>0</v>
      </c>
      <c r="AQ129" s="762">
        <v>0</v>
      </c>
      <c r="AR129" s="762">
        <v>0</v>
      </c>
      <c r="AS129" s="762">
        <v>0</v>
      </c>
      <c r="AT129" s="762">
        <v>0</v>
      </c>
      <c r="AU129" s="762">
        <v>0</v>
      </c>
      <c r="AV129" s="762">
        <v>0</v>
      </c>
      <c r="AW129" s="762">
        <v>0</v>
      </c>
      <c r="AX129" s="762">
        <v>0</v>
      </c>
      <c r="AY129" s="762">
        <v>0</v>
      </c>
      <c r="AZ129" s="762">
        <v>0</v>
      </c>
      <c r="BA129" s="762">
        <v>0</v>
      </c>
      <c r="BB129" s="762">
        <v>0</v>
      </c>
      <c r="BC129" s="762">
        <v>0</v>
      </c>
      <c r="BD129" s="762">
        <v>0</v>
      </c>
      <c r="BE129" s="762">
        <v>0</v>
      </c>
      <c r="BF129" s="762">
        <v>0</v>
      </c>
      <c r="BG129" s="762">
        <v>0</v>
      </c>
      <c r="BH129" s="762">
        <v>0</v>
      </c>
      <c r="BI129" s="762">
        <v>0</v>
      </c>
      <c r="BJ129" s="790">
        <v>0.5</v>
      </c>
      <c r="BK129" s="790">
        <v>0.4</v>
      </c>
      <c r="BL129" s="790">
        <v>0.09</v>
      </c>
      <c r="BM129" s="790">
        <v>0.01</v>
      </c>
      <c r="BN129" s="790">
        <v>1</v>
      </c>
      <c r="BO129" s="762">
        <v>22125</v>
      </c>
      <c r="BP129" s="762">
        <v>17699</v>
      </c>
      <c r="BQ129" s="762">
        <v>3982</v>
      </c>
      <c r="BR129" s="762">
        <v>442</v>
      </c>
      <c r="BS129" s="762">
        <v>44248</v>
      </c>
      <c r="BT129" s="790">
        <v>0.5</v>
      </c>
      <c r="BU129" s="790">
        <v>0.4</v>
      </c>
      <c r="BV129" s="790">
        <v>0.09</v>
      </c>
      <c r="BW129" s="790">
        <v>0.01</v>
      </c>
      <c r="BX129" s="790">
        <v>1</v>
      </c>
      <c r="BY129" s="762">
        <v>112115</v>
      </c>
      <c r="BZ129" s="762">
        <v>89692</v>
      </c>
      <c r="CA129" s="762">
        <v>20181</v>
      </c>
      <c r="CB129" s="762">
        <v>2242</v>
      </c>
      <c r="CC129" s="762">
        <v>224230</v>
      </c>
      <c r="CD129" s="762">
        <v>134239</v>
      </c>
      <c r="CE129" s="762">
        <v>107391</v>
      </c>
      <c r="CF129" s="762">
        <v>24163</v>
      </c>
      <c r="CG129" s="762">
        <v>2685</v>
      </c>
      <c r="CH129" s="762">
        <v>268478</v>
      </c>
      <c r="CI129" s="762">
        <v>15380001</v>
      </c>
      <c r="CJ129" s="762">
        <v>12403446</v>
      </c>
      <c r="CK129" s="762">
        <v>2768400</v>
      </c>
      <c r="CL129" s="762">
        <v>307600</v>
      </c>
      <c r="CM129" s="762">
        <v>30859447</v>
      </c>
      <c r="CN129" s="762">
        <v>397446</v>
      </c>
      <c r="CO129" s="762">
        <v>89425</v>
      </c>
      <c r="CP129" s="762">
        <v>9936</v>
      </c>
      <c r="CQ129" s="762">
        <v>496807</v>
      </c>
      <c r="CR129" s="762">
        <v>698218</v>
      </c>
      <c r="CS129" s="762">
        <v>157099</v>
      </c>
      <c r="CT129" s="762">
        <v>17455</v>
      </c>
      <c r="CU129" s="762">
        <v>872772</v>
      </c>
      <c r="CV129" s="762">
        <v>59509</v>
      </c>
      <c r="CW129" s="762">
        <v>13389</v>
      </c>
      <c r="CX129" s="762">
        <v>1488</v>
      </c>
      <c r="CY129" s="762">
        <v>74386</v>
      </c>
      <c r="CZ129" s="762">
        <v>0</v>
      </c>
      <c r="DA129" s="762">
        <v>0</v>
      </c>
      <c r="DB129" s="762">
        <v>0</v>
      </c>
      <c r="DC129" s="762">
        <v>0</v>
      </c>
      <c r="DD129" s="762">
        <v>946</v>
      </c>
      <c r="DE129" s="762">
        <v>213</v>
      </c>
      <c r="DF129" s="762">
        <v>24</v>
      </c>
      <c r="DG129" s="762">
        <v>1183</v>
      </c>
      <c r="DH129" s="762">
        <v>0</v>
      </c>
      <c r="DI129" s="762">
        <v>0</v>
      </c>
      <c r="DJ129" s="762">
        <v>0</v>
      </c>
      <c r="DK129" s="762">
        <v>0</v>
      </c>
      <c r="DL129" s="762">
        <v>7120</v>
      </c>
      <c r="DM129" s="762">
        <v>1602</v>
      </c>
      <c r="DN129" s="762">
        <v>178</v>
      </c>
      <c r="DO129" s="762">
        <v>8900</v>
      </c>
      <c r="DP129" s="762">
        <v>16666</v>
      </c>
      <c r="DQ129" s="762">
        <v>3750</v>
      </c>
      <c r="DR129" s="762">
        <v>417</v>
      </c>
      <c r="DS129" s="762">
        <v>20833</v>
      </c>
      <c r="DT129" s="762">
        <v>0</v>
      </c>
      <c r="DU129" s="762">
        <v>0</v>
      </c>
      <c r="DV129" s="762">
        <v>0</v>
      </c>
      <c r="DW129" s="762">
        <v>0</v>
      </c>
      <c r="DX129" s="762">
        <v>0</v>
      </c>
      <c r="DY129" s="762">
        <v>0</v>
      </c>
      <c r="DZ129" s="762">
        <v>0</v>
      </c>
      <c r="EA129" s="762">
        <v>0</v>
      </c>
      <c r="EB129" s="762">
        <v>316936</v>
      </c>
      <c r="EC129" s="762">
        <v>71310</v>
      </c>
      <c r="ED129" s="762">
        <v>7923</v>
      </c>
      <c r="EE129" s="762">
        <v>396169</v>
      </c>
      <c r="EF129" s="762">
        <v>1496841</v>
      </c>
      <c r="EG129" s="762">
        <v>336788</v>
      </c>
      <c r="EH129" s="762">
        <v>37421</v>
      </c>
      <c r="EI129" s="799">
        <v>1871050</v>
      </c>
      <c r="EJ129" s="763" t="s">
        <v>129</v>
      </c>
      <c r="EK129" s="607" t="s">
        <v>580</v>
      </c>
      <c r="EL129" s="805" t="s">
        <v>578</v>
      </c>
      <c r="EM129" t="s">
        <v>1695</v>
      </c>
    </row>
    <row r="130" spans="1:143" ht="12.75" x14ac:dyDescent="0.2">
      <c r="A130" s="764">
        <v>123</v>
      </c>
      <c r="B130" s="765" t="s">
        <v>132</v>
      </c>
      <c r="C130" s="766" t="s">
        <v>529</v>
      </c>
      <c r="D130" s="767" t="s">
        <v>1229</v>
      </c>
      <c r="E130" s="768" t="s">
        <v>552</v>
      </c>
      <c r="F130" s="761">
        <v>31942072</v>
      </c>
      <c r="G130" s="762">
        <v>0</v>
      </c>
      <c r="H130" s="762">
        <v>648955</v>
      </c>
      <c r="I130" s="762">
        <v>112331</v>
      </c>
      <c r="J130" s="762">
        <v>0</v>
      </c>
      <c r="K130" s="762">
        <v>112331</v>
      </c>
      <c r="L130" s="762">
        <v>0</v>
      </c>
      <c r="M130" s="762">
        <v>97441</v>
      </c>
      <c r="N130" s="762">
        <v>0</v>
      </c>
      <c r="O130" s="762">
        <v>0</v>
      </c>
      <c r="P130" s="762">
        <v>0</v>
      </c>
      <c r="Q130" s="762">
        <v>0</v>
      </c>
      <c r="R130" s="762">
        <v>31083345</v>
      </c>
      <c r="S130" s="790">
        <v>0.5</v>
      </c>
      <c r="T130" s="790">
        <v>0.49</v>
      </c>
      <c r="U130" s="790">
        <v>0</v>
      </c>
      <c r="V130" s="790">
        <v>0.01</v>
      </c>
      <c r="W130" s="790">
        <v>1</v>
      </c>
      <c r="X130" s="762">
        <v>15541673</v>
      </c>
      <c r="Y130" s="762">
        <v>15230839</v>
      </c>
      <c r="Z130" s="762">
        <v>0</v>
      </c>
      <c r="AA130" s="762">
        <v>310833</v>
      </c>
      <c r="AB130" s="762">
        <v>31083345</v>
      </c>
      <c r="AC130" s="762">
        <v>44097</v>
      </c>
      <c r="AD130" s="762">
        <v>0</v>
      </c>
      <c r="AE130" s="762">
        <v>0</v>
      </c>
      <c r="AF130" s="762">
        <v>0</v>
      </c>
      <c r="AG130" s="762">
        <v>44097</v>
      </c>
      <c r="AH130" s="762">
        <v>15497576</v>
      </c>
      <c r="AI130" s="762">
        <v>15230839</v>
      </c>
      <c r="AJ130" s="762">
        <v>0</v>
      </c>
      <c r="AK130" s="762">
        <v>310833</v>
      </c>
      <c r="AL130" s="762">
        <v>31039248</v>
      </c>
      <c r="AM130" s="762">
        <v>112331</v>
      </c>
      <c r="AN130" s="762">
        <v>112331</v>
      </c>
      <c r="AO130" s="762">
        <v>97441</v>
      </c>
      <c r="AP130" s="762">
        <v>97441</v>
      </c>
      <c r="AQ130" s="762">
        <v>0</v>
      </c>
      <c r="AR130" s="762">
        <v>0</v>
      </c>
      <c r="AS130" s="762">
        <v>0</v>
      </c>
      <c r="AT130" s="762">
        <v>0</v>
      </c>
      <c r="AU130" s="762">
        <v>0</v>
      </c>
      <c r="AV130" s="762">
        <v>0</v>
      </c>
      <c r="AW130" s="762">
        <v>0</v>
      </c>
      <c r="AX130" s="762">
        <v>44097</v>
      </c>
      <c r="AY130" s="762">
        <v>0</v>
      </c>
      <c r="AZ130" s="762">
        <v>0</v>
      </c>
      <c r="BA130" s="762">
        <v>44097</v>
      </c>
      <c r="BB130" s="762">
        <v>0</v>
      </c>
      <c r="BC130" s="762">
        <v>0</v>
      </c>
      <c r="BD130" s="762">
        <v>0</v>
      </c>
      <c r="BE130" s="762">
        <v>0</v>
      </c>
      <c r="BF130" s="762">
        <v>0</v>
      </c>
      <c r="BG130" s="762">
        <v>0</v>
      </c>
      <c r="BH130" s="762">
        <v>0</v>
      </c>
      <c r="BI130" s="762">
        <v>0</v>
      </c>
      <c r="BJ130" s="790">
        <v>0.5</v>
      </c>
      <c r="BK130" s="790">
        <v>0.49</v>
      </c>
      <c r="BL130" s="790">
        <v>0</v>
      </c>
      <c r="BM130" s="790">
        <v>0.01</v>
      </c>
      <c r="BN130" s="790">
        <v>1</v>
      </c>
      <c r="BO130" s="762">
        <v>867553</v>
      </c>
      <c r="BP130" s="762">
        <v>850202</v>
      </c>
      <c r="BQ130" s="762">
        <v>0</v>
      </c>
      <c r="BR130" s="762">
        <v>17351</v>
      </c>
      <c r="BS130" s="762">
        <v>1735106</v>
      </c>
      <c r="BT130" s="790">
        <v>0.5</v>
      </c>
      <c r="BU130" s="790">
        <v>0.49</v>
      </c>
      <c r="BV130" s="790">
        <v>0</v>
      </c>
      <c r="BW130" s="790">
        <v>0.01</v>
      </c>
      <c r="BX130" s="790">
        <v>1</v>
      </c>
      <c r="BY130" s="762">
        <v>-1136240</v>
      </c>
      <c r="BZ130" s="762">
        <v>-1113516</v>
      </c>
      <c r="CA130" s="762">
        <v>0</v>
      </c>
      <c r="CB130" s="762">
        <v>-22725</v>
      </c>
      <c r="CC130" s="762">
        <v>-2272481</v>
      </c>
      <c r="CD130" s="762">
        <v>-268687</v>
      </c>
      <c r="CE130" s="762">
        <v>-263314</v>
      </c>
      <c r="CF130" s="762">
        <v>0</v>
      </c>
      <c r="CG130" s="762">
        <v>-5374</v>
      </c>
      <c r="CH130" s="762">
        <v>-537375</v>
      </c>
      <c r="CI130" s="762">
        <v>15228889</v>
      </c>
      <c r="CJ130" s="762">
        <v>15221394</v>
      </c>
      <c r="CK130" s="762">
        <v>0</v>
      </c>
      <c r="CL130" s="762">
        <v>305459</v>
      </c>
      <c r="CM130" s="762">
        <v>30755742</v>
      </c>
      <c r="CN130" s="762">
        <v>500933</v>
      </c>
      <c r="CO130" s="762">
        <v>0</v>
      </c>
      <c r="CP130" s="762">
        <v>10129</v>
      </c>
      <c r="CQ130" s="762">
        <v>511062</v>
      </c>
      <c r="CR130" s="762">
        <v>999701</v>
      </c>
      <c r="CS130" s="762">
        <v>0</v>
      </c>
      <c r="CT130" s="762">
        <v>20402</v>
      </c>
      <c r="CU130" s="762">
        <v>1020103</v>
      </c>
      <c r="CV130" s="762">
        <v>50906</v>
      </c>
      <c r="CW130" s="762">
        <v>0</v>
      </c>
      <c r="CX130" s="762">
        <v>1032</v>
      </c>
      <c r="CY130" s="762">
        <v>51938</v>
      </c>
      <c r="CZ130" s="762">
        <v>0</v>
      </c>
      <c r="DA130" s="762">
        <v>0</v>
      </c>
      <c r="DB130" s="762">
        <v>0</v>
      </c>
      <c r="DC130" s="762">
        <v>0</v>
      </c>
      <c r="DD130" s="762">
        <v>0</v>
      </c>
      <c r="DE130" s="762">
        <v>0</v>
      </c>
      <c r="DF130" s="762">
        <v>0</v>
      </c>
      <c r="DG130" s="762">
        <v>0</v>
      </c>
      <c r="DH130" s="762">
        <v>261</v>
      </c>
      <c r="DI130" s="762">
        <v>0</v>
      </c>
      <c r="DJ130" s="762">
        <v>5</v>
      </c>
      <c r="DK130" s="762">
        <v>266</v>
      </c>
      <c r="DL130" s="762">
        <v>14193</v>
      </c>
      <c r="DM130" s="762">
        <v>0</v>
      </c>
      <c r="DN130" s="762">
        <v>290</v>
      </c>
      <c r="DO130" s="762">
        <v>14483</v>
      </c>
      <c r="DP130" s="762">
        <v>12649</v>
      </c>
      <c r="DQ130" s="762">
        <v>0</v>
      </c>
      <c r="DR130" s="762">
        <v>258</v>
      </c>
      <c r="DS130" s="762">
        <v>12907</v>
      </c>
      <c r="DT130" s="762">
        <v>0</v>
      </c>
      <c r="DU130" s="762">
        <v>0</v>
      </c>
      <c r="DV130" s="762">
        <v>0</v>
      </c>
      <c r="DW130" s="762">
        <v>0</v>
      </c>
      <c r="DX130" s="762">
        <v>0</v>
      </c>
      <c r="DY130" s="762">
        <v>0</v>
      </c>
      <c r="DZ130" s="762">
        <v>0</v>
      </c>
      <c r="EA130" s="762">
        <v>0</v>
      </c>
      <c r="EB130" s="762">
        <v>423494</v>
      </c>
      <c r="EC130" s="762">
        <v>0</v>
      </c>
      <c r="ED130" s="762">
        <v>8643</v>
      </c>
      <c r="EE130" s="762">
        <v>432137</v>
      </c>
      <c r="EF130" s="762">
        <v>2002137</v>
      </c>
      <c r="EG130" s="762">
        <v>0</v>
      </c>
      <c r="EH130" s="762">
        <v>40759</v>
      </c>
      <c r="EI130" s="799">
        <v>2042896</v>
      </c>
      <c r="EJ130" s="763" t="s">
        <v>552</v>
      </c>
      <c r="EK130" s="607" t="s">
        <v>529</v>
      </c>
      <c r="EL130" s="805" t="s">
        <v>553</v>
      </c>
      <c r="EM130" t="s">
        <v>1696</v>
      </c>
    </row>
    <row r="131" spans="1:143" ht="12.75" x14ac:dyDescent="0.2">
      <c r="A131" s="764">
        <v>124</v>
      </c>
      <c r="B131" s="765" t="s">
        <v>134</v>
      </c>
      <c r="C131" s="766" t="s">
        <v>1217</v>
      </c>
      <c r="D131" s="767" t="s">
        <v>1218</v>
      </c>
      <c r="E131" s="768" t="s">
        <v>133</v>
      </c>
      <c r="F131" s="761">
        <v>21278752</v>
      </c>
      <c r="G131" s="762">
        <v>0</v>
      </c>
      <c r="H131" s="762">
        <v>93756</v>
      </c>
      <c r="I131" s="762">
        <v>132166</v>
      </c>
      <c r="J131" s="762">
        <v>0</v>
      </c>
      <c r="K131" s="762">
        <v>132166</v>
      </c>
      <c r="L131" s="762">
        <v>0</v>
      </c>
      <c r="M131" s="762">
        <v>0</v>
      </c>
      <c r="N131" s="762">
        <v>0</v>
      </c>
      <c r="O131" s="762">
        <v>0</v>
      </c>
      <c r="P131" s="762">
        <v>0</v>
      </c>
      <c r="Q131" s="762">
        <v>0</v>
      </c>
      <c r="R131" s="762">
        <v>21052830</v>
      </c>
      <c r="S131" s="790">
        <v>0.24999999999999994</v>
      </c>
      <c r="T131" s="790">
        <v>0.44</v>
      </c>
      <c r="U131" s="790">
        <v>0.26</v>
      </c>
      <c r="V131" s="790">
        <v>0.05</v>
      </c>
      <c r="W131" s="790">
        <v>1</v>
      </c>
      <c r="X131" s="762">
        <v>5263207</v>
      </c>
      <c r="Y131" s="762">
        <v>9263245</v>
      </c>
      <c r="Z131" s="762">
        <v>5473736</v>
      </c>
      <c r="AA131" s="762">
        <v>1052642</v>
      </c>
      <c r="AB131" s="762">
        <v>21052830</v>
      </c>
      <c r="AC131" s="762">
        <v>0</v>
      </c>
      <c r="AD131" s="762">
        <v>0</v>
      </c>
      <c r="AE131" s="762">
        <v>0</v>
      </c>
      <c r="AF131" s="762">
        <v>0</v>
      </c>
      <c r="AG131" s="762">
        <v>0</v>
      </c>
      <c r="AH131" s="762">
        <v>5263207</v>
      </c>
      <c r="AI131" s="762">
        <v>9263245</v>
      </c>
      <c r="AJ131" s="762">
        <v>5473736</v>
      </c>
      <c r="AK131" s="762">
        <v>1052642</v>
      </c>
      <c r="AL131" s="762">
        <v>21052830</v>
      </c>
      <c r="AM131" s="762">
        <v>132166</v>
      </c>
      <c r="AN131" s="762">
        <v>132166</v>
      </c>
      <c r="AO131" s="762">
        <v>0</v>
      </c>
      <c r="AP131" s="762">
        <v>0</v>
      </c>
      <c r="AQ131" s="762">
        <v>0</v>
      </c>
      <c r="AR131" s="762">
        <v>0</v>
      </c>
      <c r="AS131" s="762">
        <v>0</v>
      </c>
      <c r="AT131" s="762">
        <v>0</v>
      </c>
      <c r="AU131" s="762">
        <v>0</v>
      </c>
      <c r="AV131" s="762">
        <v>0</v>
      </c>
      <c r="AW131" s="762">
        <v>0</v>
      </c>
      <c r="AX131" s="762">
        <v>0</v>
      </c>
      <c r="AY131" s="762">
        <v>0</v>
      </c>
      <c r="AZ131" s="762">
        <v>0</v>
      </c>
      <c r="BA131" s="762">
        <v>0</v>
      </c>
      <c r="BB131" s="762">
        <v>0</v>
      </c>
      <c r="BC131" s="762">
        <v>0</v>
      </c>
      <c r="BD131" s="762">
        <v>0</v>
      </c>
      <c r="BE131" s="762">
        <v>0</v>
      </c>
      <c r="BF131" s="762">
        <v>0</v>
      </c>
      <c r="BG131" s="762">
        <v>0</v>
      </c>
      <c r="BH131" s="762">
        <v>0</v>
      </c>
      <c r="BI131" s="762">
        <v>0</v>
      </c>
      <c r="BJ131" s="790">
        <v>0.5</v>
      </c>
      <c r="BK131" s="790">
        <v>0.4</v>
      </c>
      <c r="BL131" s="790">
        <v>0.09</v>
      </c>
      <c r="BM131" s="790">
        <v>0.01</v>
      </c>
      <c r="BN131" s="790">
        <v>1</v>
      </c>
      <c r="BO131" s="762">
        <v>164881</v>
      </c>
      <c r="BP131" s="762">
        <v>131904</v>
      </c>
      <c r="BQ131" s="762">
        <v>29678</v>
      </c>
      <c r="BR131" s="762">
        <v>3298</v>
      </c>
      <c r="BS131" s="762">
        <v>329761</v>
      </c>
      <c r="BT131" s="790">
        <v>0.5</v>
      </c>
      <c r="BU131" s="790">
        <v>0.4</v>
      </c>
      <c r="BV131" s="790">
        <v>0.09</v>
      </c>
      <c r="BW131" s="790">
        <v>0.01</v>
      </c>
      <c r="BX131" s="790">
        <v>1</v>
      </c>
      <c r="BY131" s="762">
        <v>-129652</v>
      </c>
      <c r="BZ131" s="762">
        <v>-103721</v>
      </c>
      <c r="CA131" s="762">
        <v>-23337</v>
      </c>
      <c r="CB131" s="762">
        <v>-2593</v>
      </c>
      <c r="CC131" s="762">
        <v>-259303</v>
      </c>
      <c r="CD131" s="762">
        <v>35229</v>
      </c>
      <c r="CE131" s="762">
        <v>28183</v>
      </c>
      <c r="CF131" s="762">
        <v>6341</v>
      </c>
      <c r="CG131" s="762">
        <v>705</v>
      </c>
      <c r="CH131" s="762">
        <v>70458</v>
      </c>
      <c r="CI131" s="762">
        <v>5298436</v>
      </c>
      <c r="CJ131" s="762">
        <v>9423594</v>
      </c>
      <c r="CK131" s="762">
        <v>5480077</v>
      </c>
      <c r="CL131" s="762">
        <v>1053347</v>
      </c>
      <c r="CM131" s="762">
        <v>21255454</v>
      </c>
      <c r="CN131" s="762">
        <v>301857</v>
      </c>
      <c r="CO131" s="762">
        <v>178370</v>
      </c>
      <c r="CP131" s="762">
        <v>34302</v>
      </c>
      <c r="CQ131" s="762">
        <v>514529</v>
      </c>
      <c r="CR131" s="762">
        <v>1033318</v>
      </c>
      <c r="CS131" s="762">
        <v>610596</v>
      </c>
      <c r="CT131" s="762">
        <v>117422</v>
      </c>
      <c r="CU131" s="762">
        <v>1761336</v>
      </c>
      <c r="CV131" s="762">
        <v>56734</v>
      </c>
      <c r="CW131" s="762">
        <v>33525</v>
      </c>
      <c r="CX131" s="762">
        <v>6447</v>
      </c>
      <c r="CY131" s="762">
        <v>96706</v>
      </c>
      <c r="CZ131" s="762">
        <v>0</v>
      </c>
      <c r="DA131" s="762">
        <v>0</v>
      </c>
      <c r="DB131" s="762">
        <v>0</v>
      </c>
      <c r="DC131" s="762">
        <v>0</v>
      </c>
      <c r="DD131" s="762">
        <v>0</v>
      </c>
      <c r="DE131" s="762">
        <v>0</v>
      </c>
      <c r="DF131" s="762">
        <v>0</v>
      </c>
      <c r="DG131" s="762">
        <v>0</v>
      </c>
      <c r="DH131" s="762">
        <v>0</v>
      </c>
      <c r="DI131" s="762">
        <v>0</v>
      </c>
      <c r="DJ131" s="762">
        <v>0</v>
      </c>
      <c r="DK131" s="762">
        <v>0</v>
      </c>
      <c r="DL131" s="762">
        <v>17701</v>
      </c>
      <c r="DM131" s="762">
        <v>10459</v>
      </c>
      <c r="DN131" s="762">
        <v>2011</v>
      </c>
      <c r="DO131" s="762">
        <v>30171</v>
      </c>
      <c r="DP131" s="762">
        <v>20918</v>
      </c>
      <c r="DQ131" s="762">
        <v>12360</v>
      </c>
      <c r="DR131" s="762">
        <v>2377</v>
      </c>
      <c r="DS131" s="762">
        <v>35655</v>
      </c>
      <c r="DT131" s="762">
        <v>0</v>
      </c>
      <c r="DU131" s="762">
        <v>0</v>
      </c>
      <c r="DV131" s="762">
        <v>0</v>
      </c>
      <c r="DW131" s="762">
        <v>0</v>
      </c>
      <c r="DX131" s="762">
        <v>16715</v>
      </c>
      <c r="DY131" s="762">
        <v>9878</v>
      </c>
      <c r="DZ131" s="762">
        <v>1900</v>
      </c>
      <c r="EA131" s="762">
        <v>28493</v>
      </c>
      <c r="EB131" s="762">
        <v>301611</v>
      </c>
      <c r="EC131" s="762">
        <v>178225</v>
      </c>
      <c r="ED131" s="762">
        <v>34274</v>
      </c>
      <c r="EE131" s="762">
        <v>514110</v>
      </c>
      <c r="EF131" s="762">
        <v>1748854</v>
      </c>
      <c r="EG131" s="762">
        <v>1033413</v>
      </c>
      <c r="EH131" s="762">
        <v>198733</v>
      </c>
      <c r="EI131" s="799">
        <v>2981000</v>
      </c>
      <c r="EJ131" s="763" t="s">
        <v>133</v>
      </c>
      <c r="EK131" s="607" t="s">
        <v>571</v>
      </c>
      <c r="EL131" s="805" t="s">
        <v>570</v>
      </c>
      <c r="EM131" t="s">
        <v>1697</v>
      </c>
    </row>
    <row r="132" spans="1:143" ht="12.75" x14ac:dyDescent="0.2">
      <c r="A132" s="764">
        <v>125</v>
      </c>
      <c r="B132" s="765" t="s">
        <v>136</v>
      </c>
      <c r="C132" s="766" t="s">
        <v>1217</v>
      </c>
      <c r="D132" s="767" t="s">
        <v>1218</v>
      </c>
      <c r="E132" s="768" t="s">
        <v>135</v>
      </c>
      <c r="F132" s="761">
        <v>34997191</v>
      </c>
      <c r="G132" s="762">
        <v>0</v>
      </c>
      <c r="H132" s="762">
        <v>570234</v>
      </c>
      <c r="I132" s="762">
        <v>134514</v>
      </c>
      <c r="J132" s="762">
        <v>0</v>
      </c>
      <c r="K132" s="762">
        <v>134514</v>
      </c>
      <c r="L132" s="762">
        <v>0</v>
      </c>
      <c r="M132" s="762">
        <v>0</v>
      </c>
      <c r="N132" s="762">
        <v>0</v>
      </c>
      <c r="O132" s="762">
        <v>0</v>
      </c>
      <c r="P132" s="762">
        <v>0</v>
      </c>
      <c r="Q132" s="762">
        <v>0</v>
      </c>
      <c r="R132" s="762">
        <v>34292443</v>
      </c>
      <c r="S132" s="790">
        <v>0.5</v>
      </c>
      <c r="T132" s="790">
        <v>0.4</v>
      </c>
      <c r="U132" s="790">
        <v>0.09</v>
      </c>
      <c r="V132" s="790">
        <v>0.01</v>
      </c>
      <c r="W132" s="790">
        <v>1</v>
      </c>
      <c r="X132" s="762">
        <v>17146222</v>
      </c>
      <c r="Y132" s="762">
        <v>13716977</v>
      </c>
      <c r="Z132" s="762">
        <v>3086320</v>
      </c>
      <c r="AA132" s="762">
        <v>342924</v>
      </c>
      <c r="AB132" s="762">
        <v>34292443</v>
      </c>
      <c r="AC132" s="762">
        <v>0</v>
      </c>
      <c r="AD132" s="762">
        <v>0</v>
      </c>
      <c r="AE132" s="762">
        <v>0</v>
      </c>
      <c r="AF132" s="762">
        <v>0</v>
      </c>
      <c r="AG132" s="762">
        <v>0</v>
      </c>
      <c r="AH132" s="762">
        <v>17146222</v>
      </c>
      <c r="AI132" s="762">
        <v>13716977</v>
      </c>
      <c r="AJ132" s="762">
        <v>3086320</v>
      </c>
      <c r="AK132" s="762">
        <v>342924</v>
      </c>
      <c r="AL132" s="762">
        <v>34292443</v>
      </c>
      <c r="AM132" s="762">
        <v>134514</v>
      </c>
      <c r="AN132" s="762">
        <v>134514</v>
      </c>
      <c r="AO132" s="762">
        <v>0</v>
      </c>
      <c r="AP132" s="762">
        <v>0</v>
      </c>
      <c r="AQ132" s="762">
        <v>0</v>
      </c>
      <c r="AR132" s="762">
        <v>0</v>
      </c>
      <c r="AS132" s="762">
        <v>0</v>
      </c>
      <c r="AT132" s="762">
        <v>0</v>
      </c>
      <c r="AU132" s="762">
        <v>0</v>
      </c>
      <c r="AV132" s="762">
        <v>0</v>
      </c>
      <c r="AW132" s="762">
        <v>0</v>
      </c>
      <c r="AX132" s="762">
        <v>0</v>
      </c>
      <c r="AY132" s="762">
        <v>0</v>
      </c>
      <c r="AZ132" s="762">
        <v>0</v>
      </c>
      <c r="BA132" s="762">
        <v>0</v>
      </c>
      <c r="BB132" s="762">
        <v>0</v>
      </c>
      <c r="BC132" s="762">
        <v>0</v>
      </c>
      <c r="BD132" s="762">
        <v>0</v>
      </c>
      <c r="BE132" s="762">
        <v>0</v>
      </c>
      <c r="BF132" s="762">
        <v>0</v>
      </c>
      <c r="BG132" s="762">
        <v>0</v>
      </c>
      <c r="BH132" s="762">
        <v>0</v>
      </c>
      <c r="BI132" s="762">
        <v>0</v>
      </c>
      <c r="BJ132" s="790">
        <v>0.5</v>
      </c>
      <c r="BK132" s="790">
        <v>0.4</v>
      </c>
      <c r="BL132" s="790">
        <v>0.09</v>
      </c>
      <c r="BM132" s="790">
        <v>0.01</v>
      </c>
      <c r="BN132" s="790">
        <v>1</v>
      </c>
      <c r="BO132" s="762">
        <v>-150051</v>
      </c>
      <c r="BP132" s="762">
        <v>-120040</v>
      </c>
      <c r="BQ132" s="762">
        <v>-27009</v>
      </c>
      <c r="BR132" s="762">
        <v>-3001</v>
      </c>
      <c r="BS132" s="762">
        <v>-300101</v>
      </c>
      <c r="BT132" s="790">
        <v>0.5</v>
      </c>
      <c r="BU132" s="790">
        <v>0.4</v>
      </c>
      <c r="BV132" s="790">
        <v>0.09</v>
      </c>
      <c r="BW132" s="790">
        <v>0.01</v>
      </c>
      <c r="BX132" s="790">
        <v>1</v>
      </c>
      <c r="BY132" s="762">
        <v>-107386</v>
      </c>
      <c r="BZ132" s="762">
        <v>-85909</v>
      </c>
      <c r="CA132" s="762">
        <v>-19330</v>
      </c>
      <c r="CB132" s="762">
        <v>-2148</v>
      </c>
      <c r="CC132" s="762">
        <v>-214773</v>
      </c>
      <c r="CD132" s="762">
        <v>-257436</v>
      </c>
      <c r="CE132" s="762">
        <v>-205950</v>
      </c>
      <c r="CF132" s="762">
        <v>-46339</v>
      </c>
      <c r="CG132" s="762">
        <v>-5149</v>
      </c>
      <c r="CH132" s="762">
        <v>-514874</v>
      </c>
      <c r="CI132" s="762">
        <v>16888786</v>
      </c>
      <c r="CJ132" s="762">
        <v>13645541</v>
      </c>
      <c r="CK132" s="762">
        <v>3039981</v>
      </c>
      <c r="CL132" s="762">
        <v>337775</v>
      </c>
      <c r="CM132" s="762">
        <v>33912083</v>
      </c>
      <c r="CN132" s="762">
        <v>446989</v>
      </c>
      <c r="CO132" s="762">
        <v>100573</v>
      </c>
      <c r="CP132" s="762">
        <v>11175</v>
      </c>
      <c r="CQ132" s="762">
        <v>558737</v>
      </c>
      <c r="CR132" s="762">
        <v>949571</v>
      </c>
      <c r="CS132" s="762">
        <v>213653</v>
      </c>
      <c r="CT132" s="762">
        <v>23739</v>
      </c>
      <c r="CU132" s="762">
        <v>1186963</v>
      </c>
      <c r="CV132" s="762">
        <v>69886</v>
      </c>
      <c r="CW132" s="762">
        <v>15724</v>
      </c>
      <c r="CX132" s="762">
        <v>1747</v>
      </c>
      <c r="CY132" s="762">
        <v>87357</v>
      </c>
      <c r="CZ132" s="762">
        <v>1765</v>
      </c>
      <c r="DA132" s="762">
        <v>397</v>
      </c>
      <c r="DB132" s="762">
        <v>44</v>
      </c>
      <c r="DC132" s="762">
        <v>2206</v>
      </c>
      <c r="DD132" s="762">
        <v>951</v>
      </c>
      <c r="DE132" s="762">
        <v>214</v>
      </c>
      <c r="DF132" s="762">
        <v>24</v>
      </c>
      <c r="DG132" s="762">
        <v>1189</v>
      </c>
      <c r="DH132" s="762">
        <v>0</v>
      </c>
      <c r="DI132" s="762">
        <v>0</v>
      </c>
      <c r="DJ132" s="762">
        <v>0</v>
      </c>
      <c r="DK132" s="762">
        <v>0</v>
      </c>
      <c r="DL132" s="762">
        <v>1567</v>
      </c>
      <c r="DM132" s="762">
        <v>352</v>
      </c>
      <c r="DN132" s="762">
        <v>39</v>
      </c>
      <c r="DO132" s="762">
        <v>1958</v>
      </c>
      <c r="DP132" s="762">
        <v>14440</v>
      </c>
      <c r="DQ132" s="762">
        <v>3249</v>
      </c>
      <c r="DR132" s="762">
        <v>361</v>
      </c>
      <c r="DS132" s="762">
        <v>18050</v>
      </c>
      <c r="DT132" s="762">
        <v>0</v>
      </c>
      <c r="DU132" s="762">
        <v>0</v>
      </c>
      <c r="DV132" s="762">
        <v>0</v>
      </c>
      <c r="DW132" s="762">
        <v>0</v>
      </c>
      <c r="DX132" s="762">
        <v>0</v>
      </c>
      <c r="DY132" s="762">
        <v>0</v>
      </c>
      <c r="DZ132" s="762">
        <v>0</v>
      </c>
      <c r="EA132" s="762">
        <v>0</v>
      </c>
      <c r="EB132" s="762">
        <v>302842</v>
      </c>
      <c r="EC132" s="762">
        <v>68140</v>
      </c>
      <c r="ED132" s="762">
        <v>7571</v>
      </c>
      <c r="EE132" s="762">
        <v>378553</v>
      </c>
      <c r="EF132" s="762">
        <v>1788011</v>
      </c>
      <c r="EG132" s="762">
        <v>402302</v>
      </c>
      <c r="EH132" s="762">
        <v>44700</v>
      </c>
      <c r="EI132" s="799">
        <v>2235013</v>
      </c>
      <c r="EJ132" s="763" t="s">
        <v>135</v>
      </c>
      <c r="EK132" s="607" t="s">
        <v>580</v>
      </c>
      <c r="EL132" s="805" t="s">
        <v>578</v>
      </c>
      <c r="EM132" t="s">
        <v>1698</v>
      </c>
    </row>
    <row r="133" spans="1:143" ht="12.75" x14ac:dyDescent="0.2">
      <c r="A133" s="764">
        <v>126</v>
      </c>
      <c r="B133" s="765" t="s">
        <v>138</v>
      </c>
      <c r="C133" s="766" t="s">
        <v>1222</v>
      </c>
      <c r="D133" s="767" t="s">
        <v>1223</v>
      </c>
      <c r="E133" s="768" t="s">
        <v>137</v>
      </c>
      <c r="F133" s="761">
        <v>78673047</v>
      </c>
      <c r="G133" s="762">
        <v>920781</v>
      </c>
      <c r="H133" s="762">
        <v>0</v>
      </c>
      <c r="I133" s="762">
        <v>271673</v>
      </c>
      <c r="J133" s="762">
        <v>0</v>
      </c>
      <c r="K133" s="762">
        <v>271673</v>
      </c>
      <c r="L133" s="762">
        <v>0</v>
      </c>
      <c r="M133" s="762">
        <v>0</v>
      </c>
      <c r="N133" s="762">
        <v>0</v>
      </c>
      <c r="O133" s="762">
        <v>0</v>
      </c>
      <c r="P133" s="762">
        <v>0</v>
      </c>
      <c r="Q133" s="762">
        <v>0</v>
      </c>
      <c r="R133" s="762">
        <v>79322155</v>
      </c>
      <c r="S133" s="790">
        <v>0.25</v>
      </c>
      <c r="T133" s="790">
        <v>0.48</v>
      </c>
      <c r="U133" s="790">
        <v>0.27</v>
      </c>
      <c r="V133" s="790">
        <v>0</v>
      </c>
      <c r="W133" s="790">
        <v>1</v>
      </c>
      <c r="X133" s="762">
        <v>19830539</v>
      </c>
      <c r="Y133" s="762">
        <v>38074634</v>
      </c>
      <c r="Z133" s="762">
        <v>21416982</v>
      </c>
      <c r="AA133" s="762">
        <v>0</v>
      </c>
      <c r="AB133" s="762">
        <v>79322155</v>
      </c>
      <c r="AC133" s="762">
        <v>0</v>
      </c>
      <c r="AD133" s="762">
        <v>0</v>
      </c>
      <c r="AE133" s="762">
        <v>0</v>
      </c>
      <c r="AF133" s="762">
        <v>0</v>
      </c>
      <c r="AG133" s="762">
        <v>0</v>
      </c>
      <c r="AH133" s="762">
        <v>19830539</v>
      </c>
      <c r="AI133" s="762">
        <v>38074634</v>
      </c>
      <c r="AJ133" s="762">
        <v>21416982</v>
      </c>
      <c r="AK133" s="762">
        <v>0</v>
      </c>
      <c r="AL133" s="762">
        <v>79322155</v>
      </c>
      <c r="AM133" s="762">
        <v>271673</v>
      </c>
      <c r="AN133" s="762">
        <v>271673</v>
      </c>
      <c r="AO133" s="762">
        <v>0</v>
      </c>
      <c r="AP133" s="762">
        <v>0</v>
      </c>
      <c r="AQ133" s="762">
        <v>0</v>
      </c>
      <c r="AR133" s="762">
        <v>0</v>
      </c>
      <c r="AS133" s="762">
        <v>0</v>
      </c>
      <c r="AT133" s="762">
        <v>0</v>
      </c>
      <c r="AU133" s="762">
        <v>0</v>
      </c>
      <c r="AV133" s="762">
        <v>0</v>
      </c>
      <c r="AW133" s="762">
        <v>0</v>
      </c>
      <c r="AX133" s="762">
        <v>0</v>
      </c>
      <c r="AY133" s="762">
        <v>0</v>
      </c>
      <c r="AZ133" s="762">
        <v>0</v>
      </c>
      <c r="BA133" s="762">
        <v>0</v>
      </c>
      <c r="BB133" s="762">
        <v>0</v>
      </c>
      <c r="BC133" s="762">
        <v>0</v>
      </c>
      <c r="BD133" s="762">
        <v>0</v>
      </c>
      <c r="BE133" s="762">
        <v>0</v>
      </c>
      <c r="BF133" s="762">
        <v>0</v>
      </c>
      <c r="BG133" s="762">
        <v>0</v>
      </c>
      <c r="BH133" s="762">
        <v>0</v>
      </c>
      <c r="BI133" s="762">
        <v>0</v>
      </c>
      <c r="BJ133" s="790">
        <v>0</v>
      </c>
      <c r="BK133" s="790">
        <v>0.64</v>
      </c>
      <c r="BL133" s="790">
        <v>0.36</v>
      </c>
      <c r="BM133" s="790">
        <v>0</v>
      </c>
      <c r="BN133" s="790">
        <v>1</v>
      </c>
      <c r="BO133" s="762">
        <v>0</v>
      </c>
      <c r="BP133" s="762">
        <v>-810643</v>
      </c>
      <c r="BQ133" s="762">
        <v>-455986</v>
      </c>
      <c r="BR133" s="762">
        <v>0</v>
      </c>
      <c r="BS133" s="762">
        <v>-1266629</v>
      </c>
      <c r="BT133" s="790">
        <v>0.33</v>
      </c>
      <c r="BU133" s="790">
        <v>0.3</v>
      </c>
      <c r="BV133" s="790">
        <v>0.37</v>
      </c>
      <c r="BW133" s="790">
        <v>0</v>
      </c>
      <c r="BX133" s="790">
        <v>1</v>
      </c>
      <c r="BY133" s="762">
        <v>248054.73999999464</v>
      </c>
      <c r="BZ133" s="762">
        <v>225505</v>
      </c>
      <c r="CA133" s="762">
        <v>278122</v>
      </c>
      <c r="CB133" s="762">
        <v>0</v>
      </c>
      <c r="CC133" s="762">
        <v>751681.73999999464</v>
      </c>
      <c r="CD133" s="762">
        <v>248055</v>
      </c>
      <c r="CE133" s="762">
        <v>-585138</v>
      </c>
      <c r="CF133" s="762">
        <v>-177864</v>
      </c>
      <c r="CG133" s="762">
        <v>0</v>
      </c>
      <c r="CH133" s="762">
        <v>-514947.26000000536</v>
      </c>
      <c r="CI133" s="762">
        <v>20078594</v>
      </c>
      <c r="CJ133" s="762">
        <v>37761169</v>
      </c>
      <c r="CK133" s="762">
        <v>21239118</v>
      </c>
      <c r="CL133" s="762">
        <v>0</v>
      </c>
      <c r="CM133" s="762">
        <v>79078881</v>
      </c>
      <c r="CN133" s="762">
        <v>1240721</v>
      </c>
      <c r="CO133" s="762">
        <v>697906</v>
      </c>
      <c r="CP133" s="762">
        <v>0</v>
      </c>
      <c r="CQ133" s="762">
        <v>1938627</v>
      </c>
      <c r="CR133" s="762">
        <v>2446398</v>
      </c>
      <c r="CS133" s="762">
        <v>1376099</v>
      </c>
      <c r="CT133" s="762">
        <v>0</v>
      </c>
      <c r="CU133" s="762">
        <v>3822497</v>
      </c>
      <c r="CV133" s="762">
        <v>140022</v>
      </c>
      <c r="CW133" s="762">
        <v>78762</v>
      </c>
      <c r="CX133" s="762">
        <v>0</v>
      </c>
      <c r="CY133" s="762">
        <v>218784</v>
      </c>
      <c r="CZ133" s="762">
        <v>0</v>
      </c>
      <c r="DA133" s="762">
        <v>0</v>
      </c>
      <c r="DB133" s="762">
        <v>0</v>
      </c>
      <c r="DC133" s="762">
        <v>0</v>
      </c>
      <c r="DD133" s="762">
        <v>0</v>
      </c>
      <c r="DE133" s="762">
        <v>0</v>
      </c>
      <c r="DF133" s="762">
        <v>0</v>
      </c>
      <c r="DG133" s="762">
        <v>0</v>
      </c>
      <c r="DH133" s="762">
        <v>0</v>
      </c>
      <c r="DI133" s="762">
        <v>0</v>
      </c>
      <c r="DJ133" s="762">
        <v>0</v>
      </c>
      <c r="DK133" s="762">
        <v>0</v>
      </c>
      <c r="DL133" s="762">
        <v>51660</v>
      </c>
      <c r="DM133" s="762">
        <v>29058</v>
      </c>
      <c r="DN133" s="762">
        <v>0</v>
      </c>
      <c r="DO133" s="762">
        <v>80718</v>
      </c>
      <c r="DP133" s="762">
        <v>98077</v>
      </c>
      <c r="DQ133" s="762">
        <v>55168</v>
      </c>
      <c r="DR133" s="762">
        <v>0</v>
      </c>
      <c r="DS133" s="762">
        <v>153245</v>
      </c>
      <c r="DT133" s="762">
        <v>0</v>
      </c>
      <c r="DU133" s="762">
        <v>0</v>
      </c>
      <c r="DV133" s="762">
        <v>0</v>
      </c>
      <c r="DW133" s="762">
        <v>0</v>
      </c>
      <c r="DX133" s="762">
        <v>0</v>
      </c>
      <c r="DY133" s="762">
        <v>0</v>
      </c>
      <c r="DZ133" s="762">
        <v>0</v>
      </c>
      <c r="EA133" s="762">
        <v>0</v>
      </c>
      <c r="EB133" s="762">
        <v>1467825</v>
      </c>
      <c r="EC133" s="762">
        <v>825651</v>
      </c>
      <c r="ED133" s="762">
        <v>0</v>
      </c>
      <c r="EE133" s="762">
        <v>2293476</v>
      </c>
      <c r="EF133" s="762">
        <v>5444703</v>
      </c>
      <c r="EG133" s="762">
        <v>3062644</v>
      </c>
      <c r="EH133" s="762">
        <v>0</v>
      </c>
      <c r="EI133" s="799">
        <v>8507347</v>
      </c>
      <c r="EJ133" s="763" t="s">
        <v>137</v>
      </c>
      <c r="EK133" s="607" t="s">
        <v>628</v>
      </c>
      <c r="EL133" s="272" t="s">
        <v>528</v>
      </c>
      <c r="EM133" t="s">
        <v>1699</v>
      </c>
    </row>
    <row r="134" spans="1:143" ht="12.75" x14ac:dyDescent="0.2">
      <c r="A134" s="764">
        <v>127</v>
      </c>
      <c r="B134" s="765" t="s">
        <v>140</v>
      </c>
      <c r="C134" s="766" t="s">
        <v>529</v>
      </c>
      <c r="D134" s="767" t="s">
        <v>1227</v>
      </c>
      <c r="E134" s="768" t="s">
        <v>581</v>
      </c>
      <c r="F134" s="761">
        <v>45747732</v>
      </c>
      <c r="G134" s="762">
        <v>760000</v>
      </c>
      <c r="H134" s="762">
        <v>0</v>
      </c>
      <c r="I134" s="762">
        <v>300739</v>
      </c>
      <c r="J134" s="762">
        <v>0</v>
      </c>
      <c r="K134" s="762">
        <v>300739</v>
      </c>
      <c r="L134" s="762">
        <v>0</v>
      </c>
      <c r="M134" s="762">
        <v>177833</v>
      </c>
      <c r="N134" s="762">
        <v>175000</v>
      </c>
      <c r="O134" s="762">
        <v>175000</v>
      </c>
      <c r="P134" s="762">
        <v>0</v>
      </c>
      <c r="Q134" s="762">
        <v>0</v>
      </c>
      <c r="R134" s="762">
        <v>45854160</v>
      </c>
      <c r="S134" s="790">
        <v>0.5</v>
      </c>
      <c r="T134" s="790">
        <v>0.49</v>
      </c>
      <c r="U134" s="790">
        <v>0</v>
      </c>
      <c r="V134" s="790">
        <v>0.01</v>
      </c>
      <c r="W134" s="790">
        <v>1</v>
      </c>
      <c r="X134" s="762">
        <v>22927080</v>
      </c>
      <c r="Y134" s="762">
        <v>22468538</v>
      </c>
      <c r="Z134" s="762">
        <v>0</v>
      </c>
      <c r="AA134" s="762">
        <v>458542</v>
      </c>
      <c r="AB134" s="762">
        <v>45854160</v>
      </c>
      <c r="AC134" s="762">
        <v>340840</v>
      </c>
      <c r="AD134" s="762">
        <v>0</v>
      </c>
      <c r="AE134" s="762">
        <v>0</v>
      </c>
      <c r="AF134" s="762">
        <v>0</v>
      </c>
      <c r="AG134" s="762">
        <v>340840</v>
      </c>
      <c r="AH134" s="762">
        <v>22586240</v>
      </c>
      <c r="AI134" s="762">
        <v>22468538</v>
      </c>
      <c r="AJ134" s="762">
        <v>0</v>
      </c>
      <c r="AK134" s="762">
        <v>458542</v>
      </c>
      <c r="AL134" s="762">
        <v>45513320</v>
      </c>
      <c r="AM134" s="762">
        <v>300739</v>
      </c>
      <c r="AN134" s="762">
        <v>300739</v>
      </c>
      <c r="AO134" s="762">
        <v>177833</v>
      </c>
      <c r="AP134" s="762">
        <v>177833</v>
      </c>
      <c r="AQ134" s="762">
        <v>175000</v>
      </c>
      <c r="AR134" s="762">
        <v>0</v>
      </c>
      <c r="AS134" s="762">
        <v>175000</v>
      </c>
      <c r="AT134" s="762">
        <v>0</v>
      </c>
      <c r="AU134" s="762">
        <v>0</v>
      </c>
      <c r="AV134" s="762">
        <v>0</v>
      </c>
      <c r="AW134" s="762">
        <v>0</v>
      </c>
      <c r="AX134" s="762">
        <v>340840</v>
      </c>
      <c r="AY134" s="762">
        <v>0</v>
      </c>
      <c r="AZ134" s="762">
        <v>0</v>
      </c>
      <c r="BA134" s="762">
        <v>340840</v>
      </c>
      <c r="BB134" s="762">
        <v>0</v>
      </c>
      <c r="BC134" s="762">
        <v>0</v>
      </c>
      <c r="BD134" s="762">
        <v>0</v>
      </c>
      <c r="BE134" s="762">
        <v>0</v>
      </c>
      <c r="BF134" s="762">
        <v>0</v>
      </c>
      <c r="BG134" s="762">
        <v>0</v>
      </c>
      <c r="BH134" s="762">
        <v>0</v>
      </c>
      <c r="BI134" s="762">
        <v>0</v>
      </c>
      <c r="BJ134" s="790">
        <v>0.5</v>
      </c>
      <c r="BK134" s="790">
        <v>0.49</v>
      </c>
      <c r="BL134" s="790">
        <v>0</v>
      </c>
      <c r="BM134" s="790">
        <v>0.01</v>
      </c>
      <c r="BN134" s="790">
        <v>1</v>
      </c>
      <c r="BO134" s="762">
        <v>-1423289</v>
      </c>
      <c r="BP134" s="762">
        <v>-1394823</v>
      </c>
      <c r="BQ134" s="762">
        <v>0</v>
      </c>
      <c r="BR134" s="762">
        <v>-28466</v>
      </c>
      <c r="BS134" s="762">
        <v>-2846578</v>
      </c>
      <c r="BT134" s="790">
        <v>0.5</v>
      </c>
      <c r="BU134" s="790">
        <v>0.49</v>
      </c>
      <c r="BV134" s="790">
        <v>0</v>
      </c>
      <c r="BW134" s="790">
        <v>0.01</v>
      </c>
      <c r="BX134" s="790">
        <v>1</v>
      </c>
      <c r="BY134" s="762">
        <v>485030</v>
      </c>
      <c r="BZ134" s="762">
        <v>475330</v>
      </c>
      <c r="CA134" s="762">
        <v>0</v>
      </c>
      <c r="CB134" s="762">
        <v>9701</v>
      </c>
      <c r="CC134" s="762">
        <v>970061</v>
      </c>
      <c r="CD134" s="762">
        <v>-938259</v>
      </c>
      <c r="CE134" s="762">
        <v>-919493</v>
      </c>
      <c r="CF134" s="762">
        <v>0</v>
      </c>
      <c r="CG134" s="762">
        <v>-18765</v>
      </c>
      <c r="CH134" s="762">
        <v>-1876517</v>
      </c>
      <c r="CI134" s="762">
        <v>21647981</v>
      </c>
      <c r="CJ134" s="762">
        <v>22543457</v>
      </c>
      <c r="CK134" s="762">
        <v>0</v>
      </c>
      <c r="CL134" s="762">
        <v>439777</v>
      </c>
      <c r="CM134" s="762">
        <v>44631215</v>
      </c>
      <c r="CN134" s="762">
        <v>754777</v>
      </c>
      <c r="CO134" s="762">
        <v>0</v>
      </c>
      <c r="CP134" s="762">
        <v>14942</v>
      </c>
      <c r="CQ134" s="762">
        <v>769719</v>
      </c>
      <c r="CR134" s="762">
        <v>2912548</v>
      </c>
      <c r="CS134" s="762">
        <v>0</v>
      </c>
      <c r="CT134" s="762">
        <v>58272</v>
      </c>
      <c r="CU134" s="762">
        <v>2970820</v>
      </c>
      <c r="CV134" s="762">
        <v>160660</v>
      </c>
      <c r="CW134" s="762">
        <v>0</v>
      </c>
      <c r="CX134" s="762">
        <v>3175</v>
      </c>
      <c r="CY134" s="762">
        <v>163835</v>
      </c>
      <c r="CZ134" s="762">
        <v>0</v>
      </c>
      <c r="DA134" s="762">
        <v>0</v>
      </c>
      <c r="DB134" s="762">
        <v>0</v>
      </c>
      <c r="DC134" s="762">
        <v>0</v>
      </c>
      <c r="DD134" s="762">
        <v>41411</v>
      </c>
      <c r="DE134" s="762">
        <v>0</v>
      </c>
      <c r="DF134" s="762">
        <v>845</v>
      </c>
      <c r="DG134" s="762">
        <v>42256</v>
      </c>
      <c r="DH134" s="762">
        <v>759</v>
      </c>
      <c r="DI134" s="762">
        <v>0</v>
      </c>
      <c r="DJ134" s="762">
        <v>15</v>
      </c>
      <c r="DK134" s="762">
        <v>774</v>
      </c>
      <c r="DL134" s="762">
        <v>50596</v>
      </c>
      <c r="DM134" s="762">
        <v>0</v>
      </c>
      <c r="DN134" s="762">
        <v>1033</v>
      </c>
      <c r="DO134" s="762">
        <v>51629</v>
      </c>
      <c r="DP134" s="762">
        <v>40477</v>
      </c>
      <c r="DQ134" s="762">
        <v>0</v>
      </c>
      <c r="DR134" s="762">
        <v>826</v>
      </c>
      <c r="DS134" s="762">
        <v>41303</v>
      </c>
      <c r="DT134" s="762">
        <v>0</v>
      </c>
      <c r="DU134" s="762">
        <v>0</v>
      </c>
      <c r="DV134" s="762">
        <v>0</v>
      </c>
      <c r="DW134" s="762">
        <v>0</v>
      </c>
      <c r="DX134" s="762">
        <v>0</v>
      </c>
      <c r="DY134" s="762">
        <v>0</v>
      </c>
      <c r="DZ134" s="762">
        <v>0</v>
      </c>
      <c r="EA134" s="762">
        <v>0</v>
      </c>
      <c r="EB134" s="762">
        <v>857581</v>
      </c>
      <c r="EC134" s="762">
        <v>0</v>
      </c>
      <c r="ED134" s="762">
        <v>17502</v>
      </c>
      <c r="EE134" s="762">
        <v>875083</v>
      </c>
      <c r="EF134" s="762">
        <v>4818809</v>
      </c>
      <c r="EG134" s="762">
        <v>0</v>
      </c>
      <c r="EH134" s="762">
        <v>96610</v>
      </c>
      <c r="EI134" s="799">
        <v>4915419</v>
      </c>
      <c r="EJ134" s="763" t="s">
        <v>581</v>
      </c>
      <c r="EK134" s="607" t="s">
        <v>529</v>
      </c>
      <c r="EL134" s="805" t="s">
        <v>582</v>
      </c>
      <c r="EM134" t="s">
        <v>1700</v>
      </c>
    </row>
    <row r="135" spans="1:143" ht="12.75" x14ac:dyDescent="0.2">
      <c r="A135" s="764">
        <v>128</v>
      </c>
      <c r="B135" s="765" t="s">
        <v>142</v>
      </c>
      <c r="C135" s="766" t="s">
        <v>1217</v>
      </c>
      <c r="D135" s="767" t="s">
        <v>1221</v>
      </c>
      <c r="E135" s="768" t="s">
        <v>141</v>
      </c>
      <c r="F135" s="761">
        <v>45539807.590000004</v>
      </c>
      <c r="G135" s="762">
        <v>0</v>
      </c>
      <c r="H135" s="762">
        <v>71987.5</v>
      </c>
      <c r="I135" s="762">
        <v>147134</v>
      </c>
      <c r="J135" s="762">
        <v>0</v>
      </c>
      <c r="K135" s="762">
        <v>147134</v>
      </c>
      <c r="L135" s="762">
        <v>0</v>
      </c>
      <c r="M135" s="762">
        <v>0</v>
      </c>
      <c r="N135" s="762">
        <v>0</v>
      </c>
      <c r="O135" s="762">
        <v>0</v>
      </c>
      <c r="P135" s="762">
        <v>0</v>
      </c>
      <c r="Q135" s="762">
        <v>0</v>
      </c>
      <c r="R135" s="762">
        <v>45320686</v>
      </c>
      <c r="S135" s="790">
        <v>0.25</v>
      </c>
      <c r="T135" s="790">
        <v>0.35</v>
      </c>
      <c r="U135" s="790">
        <v>0.4</v>
      </c>
      <c r="V135" s="790">
        <v>0</v>
      </c>
      <c r="W135" s="790">
        <v>1</v>
      </c>
      <c r="X135" s="762">
        <v>11330172</v>
      </c>
      <c r="Y135" s="762">
        <v>15862240</v>
      </c>
      <c r="Z135" s="762">
        <v>18128274</v>
      </c>
      <c r="AA135" s="762">
        <v>0</v>
      </c>
      <c r="AB135" s="762">
        <v>45320686</v>
      </c>
      <c r="AC135" s="762">
        <v>0</v>
      </c>
      <c r="AD135" s="762">
        <v>0</v>
      </c>
      <c r="AE135" s="762">
        <v>0</v>
      </c>
      <c r="AF135" s="762">
        <v>0</v>
      </c>
      <c r="AG135" s="762">
        <v>0</v>
      </c>
      <c r="AH135" s="762">
        <v>11330172</v>
      </c>
      <c r="AI135" s="762">
        <v>15862240</v>
      </c>
      <c r="AJ135" s="762">
        <v>18128274</v>
      </c>
      <c r="AK135" s="762">
        <v>0</v>
      </c>
      <c r="AL135" s="762">
        <v>45320686</v>
      </c>
      <c r="AM135" s="762">
        <v>147134</v>
      </c>
      <c r="AN135" s="762">
        <v>147134</v>
      </c>
      <c r="AO135" s="762">
        <v>0</v>
      </c>
      <c r="AP135" s="762">
        <v>0</v>
      </c>
      <c r="AQ135" s="762">
        <v>0</v>
      </c>
      <c r="AR135" s="762">
        <v>0</v>
      </c>
      <c r="AS135" s="762">
        <v>0</v>
      </c>
      <c r="AT135" s="762">
        <v>0</v>
      </c>
      <c r="AU135" s="762">
        <v>0</v>
      </c>
      <c r="AV135" s="762">
        <v>0</v>
      </c>
      <c r="AW135" s="762">
        <v>0</v>
      </c>
      <c r="AX135" s="762">
        <v>0</v>
      </c>
      <c r="AY135" s="762">
        <v>0</v>
      </c>
      <c r="AZ135" s="762">
        <v>0</v>
      </c>
      <c r="BA135" s="762">
        <v>0</v>
      </c>
      <c r="BB135" s="762">
        <v>0</v>
      </c>
      <c r="BC135" s="762">
        <v>0</v>
      </c>
      <c r="BD135" s="762">
        <v>0</v>
      </c>
      <c r="BE135" s="762">
        <v>0</v>
      </c>
      <c r="BF135" s="762">
        <v>0</v>
      </c>
      <c r="BG135" s="762">
        <v>0</v>
      </c>
      <c r="BH135" s="762">
        <v>0</v>
      </c>
      <c r="BI135" s="762">
        <v>0</v>
      </c>
      <c r="BJ135" s="790">
        <v>0.5</v>
      </c>
      <c r="BK135" s="790">
        <v>0.4</v>
      </c>
      <c r="BL135" s="790">
        <v>0.1</v>
      </c>
      <c r="BM135" s="790">
        <v>0</v>
      </c>
      <c r="BN135" s="790">
        <v>1</v>
      </c>
      <c r="BO135" s="762">
        <v>-185274</v>
      </c>
      <c r="BP135" s="762">
        <v>-148220</v>
      </c>
      <c r="BQ135" s="762">
        <v>-37055</v>
      </c>
      <c r="BR135" s="762">
        <v>0</v>
      </c>
      <c r="BS135" s="762">
        <v>-370549</v>
      </c>
      <c r="BT135" s="790">
        <v>0.5</v>
      </c>
      <c r="BU135" s="790">
        <v>0.4</v>
      </c>
      <c r="BV135" s="790">
        <v>0.1</v>
      </c>
      <c r="BW135" s="790">
        <v>0</v>
      </c>
      <c r="BX135" s="790">
        <v>1</v>
      </c>
      <c r="BY135" s="762">
        <v>-427262</v>
      </c>
      <c r="BZ135" s="762">
        <v>-341810</v>
      </c>
      <c r="CA135" s="762">
        <v>-85452</v>
      </c>
      <c r="CB135" s="762">
        <v>0</v>
      </c>
      <c r="CC135" s="762">
        <v>-854524</v>
      </c>
      <c r="CD135" s="762">
        <v>-612537</v>
      </c>
      <c r="CE135" s="762">
        <v>-490029</v>
      </c>
      <c r="CF135" s="762">
        <v>-122507</v>
      </c>
      <c r="CG135" s="762">
        <v>0</v>
      </c>
      <c r="CH135" s="762">
        <v>-1225073</v>
      </c>
      <c r="CI135" s="762">
        <v>10717635</v>
      </c>
      <c r="CJ135" s="762">
        <v>15519345</v>
      </c>
      <c r="CK135" s="762">
        <v>18005767</v>
      </c>
      <c r="CL135" s="762">
        <v>0</v>
      </c>
      <c r="CM135" s="762">
        <v>44242747</v>
      </c>
      <c r="CN135" s="762">
        <v>516896</v>
      </c>
      <c r="CO135" s="762">
        <v>590738</v>
      </c>
      <c r="CP135" s="762">
        <v>0</v>
      </c>
      <c r="CQ135" s="762">
        <v>1107634</v>
      </c>
      <c r="CR135" s="762">
        <v>830255</v>
      </c>
      <c r="CS135" s="762">
        <v>948864</v>
      </c>
      <c r="CT135" s="762">
        <v>0</v>
      </c>
      <c r="CU135" s="762">
        <v>1779119</v>
      </c>
      <c r="CV135" s="762">
        <v>88090</v>
      </c>
      <c r="CW135" s="762">
        <v>100674</v>
      </c>
      <c r="CX135" s="762">
        <v>0</v>
      </c>
      <c r="CY135" s="762">
        <v>188764</v>
      </c>
      <c r="CZ135" s="762">
        <v>0</v>
      </c>
      <c r="DA135" s="762">
        <v>0</v>
      </c>
      <c r="DB135" s="762">
        <v>0</v>
      </c>
      <c r="DC135" s="762">
        <v>0</v>
      </c>
      <c r="DD135" s="762">
        <v>0</v>
      </c>
      <c r="DE135" s="762">
        <v>0</v>
      </c>
      <c r="DF135" s="762">
        <v>0</v>
      </c>
      <c r="DG135" s="762">
        <v>0</v>
      </c>
      <c r="DH135" s="762">
        <v>0</v>
      </c>
      <c r="DI135" s="762">
        <v>0</v>
      </c>
      <c r="DJ135" s="762">
        <v>0</v>
      </c>
      <c r="DK135" s="762">
        <v>0</v>
      </c>
      <c r="DL135" s="762">
        <v>3257</v>
      </c>
      <c r="DM135" s="762">
        <v>3723</v>
      </c>
      <c r="DN135" s="762">
        <v>0</v>
      </c>
      <c r="DO135" s="762">
        <v>6980</v>
      </c>
      <c r="DP135" s="762">
        <v>15901</v>
      </c>
      <c r="DQ135" s="762">
        <v>18174</v>
      </c>
      <c r="DR135" s="762">
        <v>0</v>
      </c>
      <c r="DS135" s="762">
        <v>34075</v>
      </c>
      <c r="DT135" s="762">
        <v>0</v>
      </c>
      <c r="DU135" s="762">
        <v>0</v>
      </c>
      <c r="DV135" s="762">
        <v>0</v>
      </c>
      <c r="DW135" s="762">
        <v>0</v>
      </c>
      <c r="DX135" s="762">
        <v>3257</v>
      </c>
      <c r="DY135" s="762">
        <v>3723</v>
      </c>
      <c r="DZ135" s="762">
        <v>0</v>
      </c>
      <c r="EA135" s="762">
        <v>6980</v>
      </c>
      <c r="EB135" s="762">
        <v>327853</v>
      </c>
      <c r="EC135" s="762">
        <v>374689</v>
      </c>
      <c r="ED135" s="762">
        <v>0</v>
      </c>
      <c r="EE135" s="762">
        <v>702542</v>
      </c>
      <c r="EF135" s="762">
        <v>1785509</v>
      </c>
      <c r="EG135" s="762">
        <v>2040585</v>
      </c>
      <c r="EH135" s="762">
        <v>0</v>
      </c>
      <c r="EI135" s="799">
        <v>3826094</v>
      </c>
      <c r="EJ135" s="763" t="s">
        <v>141</v>
      </c>
      <c r="EK135" s="607" t="s">
        <v>584</v>
      </c>
      <c r="EL135" s="805" t="s">
        <v>556</v>
      </c>
      <c r="EM135" t="s">
        <v>1701</v>
      </c>
    </row>
    <row r="136" spans="1:143" ht="12.75" x14ac:dyDescent="0.2">
      <c r="A136" s="764">
        <v>129</v>
      </c>
      <c r="B136" s="765" t="s">
        <v>144</v>
      </c>
      <c r="C136" s="766" t="s">
        <v>1217</v>
      </c>
      <c r="D136" s="767" t="s">
        <v>1220</v>
      </c>
      <c r="E136" s="768" t="s">
        <v>143</v>
      </c>
      <c r="F136" s="761">
        <v>24966122</v>
      </c>
      <c r="G136" s="762">
        <v>823950</v>
      </c>
      <c r="H136" s="762">
        <v>0</v>
      </c>
      <c r="I136" s="762">
        <v>133103</v>
      </c>
      <c r="J136" s="762">
        <v>0</v>
      </c>
      <c r="K136" s="762">
        <v>133103</v>
      </c>
      <c r="L136" s="762">
        <v>0</v>
      </c>
      <c r="M136" s="762">
        <v>0</v>
      </c>
      <c r="N136" s="762">
        <v>0</v>
      </c>
      <c r="O136" s="762">
        <v>0</v>
      </c>
      <c r="P136" s="762">
        <v>0</v>
      </c>
      <c r="Q136" s="762">
        <v>0</v>
      </c>
      <c r="R136" s="762">
        <v>25656969</v>
      </c>
      <c r="S136" s="790">
        <v>0.5</v>
      </c>
      <c r="T136" s="790">
        <v>0.4</v>
      </c>
      <c r="U136" s="790">
        <v>0.09</v>
      </c>
      <c r="V136" s="790">
        <v>0.01</v>
      </c>
      <c r="W136" s="790">
        <v>1</v>
      </c>
      <c r="X136" s="762">
        <v>12828484</v>
      </c>
      <c r="Y136" s="762">
        <v>10262788</v>
      </c>
      <c r="Z136" s="762">
        <v>2309127</v>
      </c>
      <c r="AA136" s="762">
        <v>256570</v>
      </c>
      <c r="AB136" s="762">
        <v>25656969</v>
      </c>
      <c r="AC136" s="762">
        <v>0</v>
      </c>
      <c r="AD136" s="762">
        <v>0</v>
      </c>
      <c r="AE136" s="762">
        <v>0</v>
      </c>
      <c r="AF136" s="762">
        <v>0</v>
      </c>
      <c r="AG136" s="762">
        <v>0</v>
      </c>
      <c r="AH136" s="762">
        <v>12828484</v>
      </c>
      <c r="AI136" s="762">
        <v>10262788</v>
      </c>
      <c r="AJ136" s="762">
        <v>2309127</v>
      </c>
      <c r="AK136" s="762">
        <v>256570</v>
      </c>
      <c r="AL136" s="762">
        <v>25656969</v>
      </c>
      <c r="AM136" s="762">
        <v>133103</v>
      </c>
      <c r="AN136" s="762">
        <v>133103</v>
      </c>
      <c r="AO136" s="762">
        <v>0</v>
      </c>
      <c r="AP136" s="762">
        <v>0</v>
      </c>
      <c r="AQ136" s="762">
        <v>0</v>
      </c>
      <c r="AR136" s="762">
        <v>0</v>
      </c>
      <c r="AS136" s="762">
        <v>0</v>
      </c>
      <c r="AT136" s="762">
        <v>0</v>
      </c>
      <c r="AU136" s="762">
        <v>0</v>
      </c>
      <c r="AV136" s="762">
        <v>0</v>
      </c>
      <c r="AW136" s="762">
        <v>0</v>
      </c>
      <c r="AX136" s="762">
        <v>0</v>
      </c>
      <c r="AY136" s="762">
        <v>0</v>
      </c>
      <c r="AZ136" s="762">
        <v>0</v>
      </c>
      <c r="BA136" s="762">
        <v>0</v>
      </c>
      <c r="BB136" s="762">
        <v>0</v>
      </c>
      <c r="BC136" s="762">
        <v>0</v>
      </c>
      <c r="BD136" s="762">
        <v>0</v>
      </c>
      <c r="BE136" s="762">
        <v>0</v>
      </c>
      <c r="BF136" s="762">
        <v>0</v>
      </c>
      <c r="BG136" s="762">
        <v>0</v>
      </c>
      <c r="BH136" s="762">
        <v>0</v>
      </c>
      <c r="BI136" s="762">
        <v>0</v>
      </c>
      <c r="BJ136" s="790">
        <v>0</v>
      </c>
      <c r="BK136" s="790">
        <v>0.5</v>
      </c>
      <c r="BL136" s="790">
        <v>0.49</v>
      </c>
      <c r="BM136" s="790">
        <v>0.01</v>
      </c>
      <c r="BN136" s="790">
        <v>1</v>
      </c>
      <c r="BO136" s="762">
        <v>0</v>
      </c>
      <c r="BP136" s="762">
        <v>-115554</v>
      </c>
      <c r="BQ136" s="762">
        <v>-113242</v>
      </c>
      <c r="BR136" s="762">
        <v>-2311</v>
      </c>
      <c r="BS136" s="762">
        <v>-231107</v>
      </c>
      <c r="BT136" s="790">
        <v>0.5</v>
      </c>
      <c r="BU136" s="790">
        <v>0.4</v>
      </c>
      <c r="BV136" s="790">
        <v>0.09</v>
      </c>
      <c r="BW136" s="790">
        <v>0.01</v>
      </c>
      <c r="BX136" s="790">
        <v>1</v>
      </c>
      <c r="BY136" s="762">
        <v>244602</v>
      </c>
      <c r="BZ136" s="762">
        <v>195682</v>
      </c>
      <c r="CA136" s="762">
        <v>44028</v>
      </c>
      <c r="CB136" s="762">
        <v>4892</v>
      </c>
      <c r="CC136" s="762">
        <v>489204</v>
      </c>
      <c r="CD136" s="762">
        <v>244602</v>
      </c>
      <c r="CE136" s="762">
        <v>80128</v>
      </c>
      <c r="CF136" s="762">
        <v>-69214</v>
      </c>
      <c r="CG136" s="762">
        <v>2581</v>
      </c>
      <c r="CH136" s="762">
        <v>258097</v>
      </c>
      <c r="CI136" s="762">
        <v>13073086</v>
      </c>
      <c r="CJ136" s="762">
        <v>10476019</v>
      </c>
      <c r="CK136" s="762">
        <v>2239913</v>
      </c>
      <c r="CL136" s="762">
        <v>259151</v>
      </c>
      <c r="CM136" s="762">
        <v>26048169</v>
      </c>
      <c r="CN136" s="762">
        <v>334429</v>
      </c>
      <c r="CO136" s="762">
        <v>75247</v>
      </c>
      <c r="CP136" s="762">
        <v>8361</v>
      </c>
      <c r="CQ136" s="762">
        <v>418037</v>
      </c>
      <c r="CR136" s="762">
        <v>1148931</v>
      </c>
      <c r="CS136" s="762">
        <v>258510</v>
      </c>
      <c r="CT136" s="762">
        <v>28723</v>
      </c>
      <c r="CU136" s="762">
        <v>1436164</v>
      </c>
      <c r="CV136" s="762">
        <v>62511</v>
      </c>
      <c r="CW136" s="762">
        <v>14065</v>
      </c>
      <c r="CX136" s="762">
        <v>1563</v>
      </c>
      <c r="CY136" s="762">
        <v>78139</v>
      </c>
      <c r="CZ136" s="762">
        <v>0</v>
      </c>
      <c r="DA136" s="762">
        <v>0</v>
      </c>
      <c r="DB136" s="762">
        <v>0</v>
      </c>
      <c r="DC136" s="762">
        <v>0</v>
      </c>
      <c r="DD136" s="762">
        <v>4051</v>
      </c>
      <c r="DE136" s="762">
        <v>911</v>
      </c>
      <c r="DF136" s="762">
        <v>101</v>
      </c>
      <c r="DG136" s="762">
        <v>5063</v>
      </c>
      <c r="DH136" s="762">
        <v>0</v>
      </c>
      <c r="DI136" s="762">
        <v>0</v>
      </c>
      <c r="DJ136" s="762">
        <v>0</v>
      </c>
      <c r="DK136" s="762">
        <v>0</v>
      </c>
      <c r="DL136" s="762">
        <v>21417</v>
      </c>
      <c r="DM136" s="762">
        <v>4819</v>
      </c>
      <c r="DN136" s="762">
        <v>535</v>
      </c>
      <c r="DO136" s="762">
        <v>26771</v>
      </c>
      <c r="DP136" s="762">
        <v>29645</v>
      </c>
      <c r="DQ136" s="762">
        <v>6670</v>
      </c>
      <c r="DR136" s="762">
        <v>741</v>
      </c>
      <c r="DS136" s="762">
        <v>37056</v>
      </c>
      <c r="DT136" s="762">
        <v>0</v>
      </c>
      <c r="DU136" s="762">
        <v>0</v>
      </c>
      <c r="DV136" s="762">
        <v>0</v>
      </c>
      <c r="DW136" s="762">
        <v>0</v>
      </c>
      <c r="DX136" s="762">
        <v>0</v>
      </c>
      <c r="DY136" s="762">
        <v>0</v>
      </c>
      <c r="DZ136" s="762">
        <v>0</v>
      </c>
      <c r="EA136" s="762">
        <v>0</v>
      </c>
      <c r="EB136" s="762">
        <v>671020</v>
      </c>
      <c r="EC136" s="762">
        <v>150979</v>
      </c>
      <c r="ED136" s="762">
        <v>16775</v>
      </c>
      <c r="EE136" s="762">
        <v>838774</v>
      </c>
      <c r="EF136" s="762">
        <v>2272004</v>
      </c>
      <c r="EG136" s="762">
        <v>511201</v>
      </c>
      <c r="EH136" s="762">
        <v>56799</v>
      </c>
      <c r="EI136" s="799">
        <v>2840004</v>
      </c>
      <c r="EJ136" s="763" t="s">
        <v>143</v>
      </c>
      <c r="EK136" s="607" t="s">
        <v>560</v>
      </c>
      <c r="EL136" s="805" t="s">
        <v>559</v>
      </c>
      <c r="EM136" t="s">
        <v>1702</v>
      </c>
    </row>
    <row r="137" spans="1:143" ht="12.75" x14ac:dyDescent="0.2">
      <c r="A137" s="764">
        <v>130</v>
      </c>
      <c r="B137" s="765" t="s">
        <v>146</v>
      </c>
      <c r="C137" s="766" t="s">
        <v>1222</v>
      </c>
      <c r="D137" s="767" t="s">
        <v>1223</v>
      </c>
      <c r="E137" s="768" t="s">
        <v>145</v>
      </c>
      <c r="F137" s="761">
        <v>384376732</v>
      </c>
      <c r="G137" s="762">
        <v>0</v>
      </c>
      <c r="H137" s="762">
        <v>15030000</v>
      </c>
      <c r="I137" s="762">
        <v>571919</v>
      </c>
      <c r="J137" s="762">
        <v>0</v>
      </c>
      <c r="K137" s="762">
        <v>571919</v>
      </c>
      <c r="L137" s="762">
        <v>0</v>
      </c>
      <c r="M137" s="762">
        <v>0</v>
      </c>
      <c r="N137" s="762">
        <v>0</v>
      </c>
      <c r="O137" s="762">
        <v>0</v>
      </c>
      <c r="P137" s="762">
        <v>0</v>
      </c>
      <c r="Q137" s="762">
        <v>0</v>
      </c>
      <c r="R137" s="762">
        <v>368774813</v>
      </c>
      <c r="S137" s="790">
        <v>0.25</v>
      </c>
      <c r="T137" s="790">
        <v>0.48</v>
      </c>
      <c r="U137" s="790">
        <v>0.27</v>
      </c>
      <c r="V137" s="790">
        <v>0</v>
      </c>
      <c r="W137" s="790">
        <v>1</v>
      </c>
      <c r="X137" s="762">
        <v>92193703</v>
      </c>
      <c r="Y137" s="762">
        <v>177011910</v>
      </c>
      <c r="Z137" s="762">
        <v>99569200</v>
      </c>
      <c r="AA137" s="762">
        <v>0</v>
      </c>
      <c r="AB137" s="762">
        <v>368774813</v>
      </c>
      <c r="AC137" s="762">
        <v>0</v>
      </c>
      <c r="AD137" s="762">
        <v>0</v>
      </c>
      <c r="AE137" s="762">
        <v>0</v>
      </c>
      <c r="AF137" s="762">
        <v>0</v>
      </c>
      <c r="AG137" s="762">
        <v>0</v>
      </c>
      <c r="AH137" s="762">
        <v>92193703</v>
      </c>
      <c r="AI137" s="762">
        <v>177011910</v>
      </c>
      <c r="AJ137" s="762">
        <v>99569200</v>
      </c>
      <c r="AK137" s="762">
        <v>0</v>
      </c>
      <c r="AL137" s="762">
        <v>368774813</v>
      </c>
      <c r="AM137" s="762">
        <v>571919</v>
      </c>
      <c r="AN137" s="762">
        <v>571919</v>
      </c>
      <c r="AO137" s="762">
        <v>0</v>
      </c>
      <c r="AP137" s="762">
        <v>0</v>
      </c>
      <c r="AQ137" s="762">
        <v>0</v>
      </c>
      <c r="AR137" s="762">
        <v>0</v>
      </c>
      <c r="AS137" s="762">
        <v>0</v>
      </c>
      <c r="AT137" s="762">
        <v>0</v>
      </c>
      <c r="AU137" s="762">
        <v>0</v>
      </c>
      <c r="AV137" s="762">
        <v>0</v>
      </c>
      <c r="AW137" s="762">
        <v>0</v>
      </c>
      <c r="AX137" s="762">
        <v>0</v>
      </c>
      <c r="AY137" s="762">
        <v>0</v>
      </c>
      <c r="AZ137" s="762">
        <v>0</v>
      </c>
      <c r="BA137" s="762">
        <v>0</v>
      </c>
      <c r="BB137" s="762">
        <v>0</v>
      </c>
      <c r="BC137" s="762">
        <v>0</v>
      </c>
      <c r="BD137" s="762">
        <v>0</v>
      </c>
      <c r="BE137" s="762">
        <v>0</v>
      </c>
      <c r="BF137" s="762">
        <v>0</v>
      </c>
      <c r="BG137" s="762">
        <v>0</v>
      </c>
      <c r="BH137" s="762">
        <v>0</v>
      </c>
      <c r="BI137" s="762">
        <v>0</v>
      </c>
      <c r="BJ137" s="790">
        <v>0</v>
      </c>
      <c r="BK137" s="790">
        <v>0.64</v>
      </c>
      <c r="BL137" s="790">
        <v>0.36</v>
      </c>
      <c r="BM137" s="790">
        <v>0</v>
      </c>
      <c r="BN137" s="790">
        <v>1</v>
      </c>
      <c r="BO137" s="762">
        <v>0</v>
      </c>
      <c r="BP137" s="762">
        <v>2231040</v>
      </c>
      <c r="BQ137" s="762">
        <v>1254960</v>
      </c>
      <c r="BR137" s="762">
        <v>0</v>
      </c>
      <c r="BS137" s="762">
        <v>3486000</v>
      </c>
      <c r="BT137" s="790">
        <v>0.33</v>
      </c>
      <c r="BU137" s="790">
        <v>0.3</v>
      </c>
      <c r="BV137" s="790">
        <v>0.37</v>
      </c>
      <c r="BW137" s="790">
        <v>0</v>
      </c>
      <c r="BX137" s="790">
        <v>1</v>
      </c>
      <c r="BY137" s="762">
        <v>-958199</v>
      </c>
      <c r="BZ137" s="762">
        <v>-871090</v>
      </c>
      <c r="CA137" s="762">
        <v>-1074344</v>
      </c>
      <c r="CB137" s="762">
        <v>0</v>
      </c>
      <c r="CC137" s="762">
        <v>-2903633</v>
      </c>
      <c r="CD137" s="762">
        <v>-958199</v>
      </c>
      <c r="CE137" s="762">
        <v>1359950</v>
      </c>
      <c r="CF137" s="762">
        <v>180616</v>
      </c>
      <c r="CG137" s="762">
        <v>0</v>
      </c>
      <c r="CH137" s="762">
        <v>582367</v>
      </c>
      <c r="CI137" s="762">
        <v>91235504</v>
      </c>
      <c r="CJ137" s="762">
        <v>178943779</v>
      </c>
      <c r="CK137" s="762">
        <v>99749816</v>
      </c>
      <c r="CL137" s="762">
        <v>0</v>
      </c>
      <c r="CM137" s="762">
        <v>369929099</v>
      </c>
      <c r="CN137" s="762">
        <v>5768209</v>
      </c>
      <c r="CO137" s="762">
        <v>3244618</v>
      </c>
      <c r="CP137" s="762">
        <v>0</v>
      </c>
      <c r="CQ137" s="762">
        <v>9012827</v>
      </c>
      <c r="CR137" s="762">
        <v>2426290</v>
      </c>
      <c r="CS137" s="762">
        <v>1364789</v>
      </c>
      <c r="CT137" s="762">
        <v>0</v>
      </c>
      <c r="CU137" s="762">
        <v>3791079</v>
      </c>
      <c r="CV137" s="762">
        <v>152554</v>
      </c>
      <c r="CW137" s="762">
        <v>85812</v>
      </c>
      <c r="CX137" s="762">
        <v>0</v>
      </c>
      <c r="CY137" s="762">
        <v>238366</v>
      </c>
      <c r="CZ137" s="762">
        <v>0</v>
      </c>
      <c r="DA137" s="762">
        <v>0</v>
      </c>
      <c r="DB137" s="762">
        <v>0</v>
      </c>
      <c r="DC137" s="762">
        <v>0</v>
      </c>
      <c r="DD137" s="762">
        <v>0</v>
      </c>
      <c r="DE137" s="762">
        <v>0</v>
      </c>
      <c r="DF137" s="762">
        <v>0</v>
      </c>
      <c r="DG137" s="762">
        <v>0</v>
      </c>
      <c r="DH137" s="762">
        <v>0</v>
      </c>
      <c r="DI137" s="762">
        <v>0</v>
      </c>
      <c r="DJ137" s="762">
        <v>0</v>
      </c>
      <c r="DK137" s="762">
        <v>0</v>
      </c>
      <c r="DL137" s="762">
        <v>18338</v>
      </c>
      <c r="DM137" s="762">
        <v>10316</v>
      </c>
      <c r="DN137" s="762">
        <v>0</v>
      </c>
      <c r="DO137" s="762">
        <v>28654</v>
      </c>
      <c r="DP137" s="762">
        <v>84174</v>
      </c>
      <c r="DQ137" s="762">
        <v>47347</v>
      </c>
      <c r="DR137" s="762">
        <v>0</v>
      </c>
      <c r="DS137" s="762">
        <v>131521</v>
      </c>
      <c r="DT137" s="762">
        <v>0</v>
      </c>
      <c r="DU137" s="762">
        <v>0</v>
      </c>
      <c r="DV137" s="762">
        <v>0</v>
      </c>
      <c r="DW137" s="762">
        <v>0</v>
      </c>
      <c r="DX137" s="762">
        <v>0</v>
      </c>
      <c r="DY137" s="762">
        <v>0</v>
      </c>
      <c r="DZ137" s="762">
        <v>0</v>
      </c>
      <c r="EA137" s="762">
        <v>0</v>
      </c>
      <c r="EB137" s="762">
        <v>743462</v>
      </c>
      <c r="EC137" s="762">
        <v>418198</v>
      </c>
      <c r="ED137" s="762">
        <v>0</v>
      </c>
      <c r="EE137" s="762">
        <v>1161660</v>
      </c>
      <c r="EF137" s="762">
        <v>9193027</v>
      </c>
      <c r="EG137" s="762">
        <v>5171080</v>
      </c>
      <c r="EH137" s="762">
        <v>0</v>
      </c>
      <c r="EI137" s="799">
        <v>14364107</v>
      </c>
      <c r="EJ137" s="763" t="s">
        <v>145</v>
      </c>
      <c r="EK137" s="607" t="s">
        <v>628</v>
      </c>
      <c r="EL137" s="272" t="s">
        <v>528</v>
      </c>
      <c r="EM137" t="s">
        <v>1703</v>
      </c>
    </row>
    <row r="138" spans="1:143" ht="12.75" x14ac:dyDescent="0.2">
      <c r="A138" s="764">
        <v>131</v>
      </c>
      <c r="B138" s="765" t="s">
        <v>148</v>
      </c>
      <c r="C138" s="766" t="s">
        <v>1217</v>
      </c>
      <c r="D138" s="767" t="s">
        <v>1220</v>
      </c>
      <c r="E138" s="768" t="s">
        <v>147</v>
      </c>
      <c r="F138" s="761">
        <v>32838829</v>
      </c>
      <c r="G138" s="762">
        <v>538768</v>
      </c>
      <c r="H138" s="762">
        <v>0</v>
      </c>
      <c r="I138" s="762">
        <v>124824</v>
      </c>
      <c r="J138" s="762">
        <v>0</v>
      </c>
      <c r="K138" s="762">
        <v>124824</v>
      </c>
      <c r="L138" s="762">
        <v>0</v>
      </c>
      <c r="M138" s="762">
        <v>147044</v>
      </c>
      <c r="N138" s="762">
        <v>81951</v>
      </c>
      <c r="O138" s="762">
        <v>81951</v>
      </c>
      <c r="P138" s="762">
        <v>0</v>
      </c>
      <c r="Q138" s="762">
        <v>0</v>
      </c>
      <c r="R138" s="762">
        <v>33023778</v>
      </c>
      <c r="S138" s="790">
        <v>0.25</v>
      </c>
      <c r="T138" s="790">
        <v>0.375</v>
      </c>
      <c r="U138" s="790">
        <v>0.36499999999999999</v>
      </c>
      <c r="V138" s="790">
        <v>0.01</v>
      </c>
      <c r="W138" s="790">
        <v>1</v>
      </c>
      <c r="X138" s="762">
        <v>8255944</v>
      </c>
      <c r="Y138" s="762">
        <v>12383917</v>
      </c>
      <c r="Z138" s="762">
        <v>12053679</v>
      </c>
      <c r="AA138" s="762">
        <v>330238</v>
      </c>
      <c r="AB138" s="762">
        <v>33023778</v>
      </c>
      <c r="AC138" s="762">
        <v>193704</v>
      </c>
      <c r="AD138" s="762">
        <v>0</v>
      </c>
      <c r="AE138" s="762">
        <v>0</v>
      </c>
      <c r="AF138" s="762">
        <v>0</v>
      </c>
      <c r="AG138" s="762">
        <v>193704</v>
      </c>
      <c r="AH138" s="762">
        <v>8062240</v>
      </c>
      <c r="AI138" s="762">
        <v>12383917</v>
      </c>
      <c r="AJ138" s="762">
        <v>12053679</v>
      </c>
      <c r="AK138" s="762">
        <v>330238</v>
      </c>
      <c r="AL138" s="762">
        <v>32830074</v>
      </c>
      <c r="AM138" s="762">
        <v>124824</v>
      </c>
      <c r="AN138" s="762">
        <v>124824</v>
      </c>
      <c r="AO138" s="762">
        <v>147044</v>
      </c>
      <c r="AP138" s="762">
        <v>147044</v>
      </c>
      <c r="AQ138" s="762">
        <v>81951</v>
      </c>
      <c r="AR138" s="762">
        <v>0</v>
      </c>
      <c r="AS138" s="762">
        <v>81951</v>
      </c>
      <c r="AT138" s="762">
        <v>0</v>
      </c>
      <c r="AU138" s="762">
        <v>0</v>
      </c>
      <c r="AV138" s="762">
        <v>0</v>
      </c>
      <c r="AW138" s="762">
        <v>0</v>
      </c>
      <c r="AX138" s="762">
        <v>193704</v>
      </c>
      <c r="AY138" s="762">
        <v>0</v>
      </c>
      <c r="AZ138" s="762">
        <v>0</v>
      </c>
      <c r="BA138" s="762">
        <v>193704</v>
      </c>
      <c r="BB138" s="762">
        <v>0</v>
      </c>
      <c r="BC138" s="762">
        <v>0</v>
      </c>
      <c r="BD138" s="762">
        <v>0</v>
      </c>
      <c r="BE138" s="762">
        <v>0</v>
      </c>
      <c r="BF138" s="762">
        <v>0</v>
      </c>
      <c r="BG138" s="762">
        <v>0</v>
      </c>
      <c r="BH138" s="762">
        <v>0</v>
      </c>
      <c r="BI138" s="762">
        <v>0</v>
      </c>
      <c r="BJ138" s="790">
        <v>0.5</v>
      </c>
      <c r="BK138" s="790">
        <v>0.4</v>
      </c>
      <c r="BL138" s="790">
        <v>0.09</v>
      </c>
      <c r="BM138" s="790">
        <v>0.01</v>
      </c>
      <c r="BN138" s="790">
        <v>1</v>
      </c>
      <c r="BO138" s="762">
        <v>-509086</v>
      </c>
      <c r="BP138" s="762">
        <v>-407268</v>
      </c>
      <c r="BQ138" s="762">
        <v>-91635</v>
      </c>
      <c r="BR138" s="762">
        <v>-10182</v>
      </c>
      <c r="BS138" s="762">
        <v>-1018171</v>
      </c>
      <c r="BT138" s="790">
        <v>0.5</v>
      </c>
      <c r="BU138" s="790">
        <v>0.4</v>
      </c>
      <c r="BV138" s="790">
        <v>0.09</v>
      </c>
      <c r="BW138" s="790">
        <v>0.01</v>
      </c>
      <c r="BX138" s="790">
        <v>1</v>
      </c>
      <c r="BY138" s="762">
        <v>187922</v>
      </c>
      <c r="BZ138" s="762">
        <v>150338</v>
      </c>
      <c r="CA138" s="762">
        <v>33826</v>
      </c>
      <c r="CB138" s="762">
        <v>3758</v>
      </c>
      <c r="CC138" s="762">
        <v>375844</v>
      </c>
      <c r="CD138" s="762">
        <v>-321164</v>
      </c>
      <c r="CE138" s="762">
        <v>-256931</v>
      </c>
      <c r="CF138" s="762">
        <v>-57809</v>
      </c>
      <c r="CG138" s="762">
        <v>-6423</v>
      </c>
      <c r="CH138" s="762">
        <v>-642327</v>
      </c>
      <c r="CI138" s="762">
        <v>7741076</v>
      </c>
      <c r="CJ138" s="762">
        <v>12674509</v>
      </c>
      <c r="CK138" s="762">
        <v>11995870</v>
      </c>
      <c r="CL138" s="762">
        <v>323815</v>
      </c>
      <c r="CM138" s="762">
        <v>32735270</v>
      </c>
      <c r="CN138" s="762">
        <v>417324</v>
      </c>
      <c r="CO138" s="762">
        <v>392788</v>
      </c>
      <c r="CP138" s="762">
        <v>10761</v>
      </c>
      <c r="CQ138" s="762">
        <v>820873</v>
      </c>
      <c r="CR138" s="762">
        <v>1047606</v>
      </c>
      <c r="CS138" s="762">
        <v>1019670</v>
      </c>
      <c r="CT138" s="762">
        <v>27936</v>
      </c>
      <c r="CU138" s="762">
        <v>2095212</v>
      </c>
      <c r="CV138" s="762">
        <v>62200</v>
      </c>
      <c r="CW138" s="762">
        <v>58855</v>
      </c>
      <c r="CX138" s="762">
        <v>1612</v>
      </c>
      <c r="CY138" s="762">
        <v>122667</v>
      </c>
      <c r="CZ138" s="762">
        <v>2789</v>
      </c>
      <c r="DA138" s="762">
        <v>2714</v>
      </c>
      <c r="DB138" s="762">
        <v>74</v>
      </c>
      <c r="DC138" s="762">
        <v>5577</v>
      </c>
      <c r="DD138" s="762">
        <v>1404</v>
      </c>
      <c r="DE138" s="762">
        <v>1367</v>
      </c>
      <c r="DF138" s="762">
        <v>37</v>
      </c>
      <c r="DG138" s="762">
        <v>2808</v>
      </c>
      <c r="DH138" s="762">
        <v>225</v>
      </c>
      <c r="DI138" s="762">
        <v>219</v>
      </c>
      <c r="DJ138" s="762">
        <v>6</v>
      </c>
      <c r="DK138" s="762">
        <v>450</v>
      </c>
      <c r="DL138" s="762">
        <v>18225</v>
      </c>
      <c r="DM138" s="762">
        <v>17740</v>
      </c>
      <c r="DN138" s="762">
        <v>486</v>
      </c>
      <c r="DO138" s="762">
        <v>36451</v>
      </c>
      <c r="DP138" s="762">
        <v>21608</v>
      </c>
      <c r="DQ138" s="762">
        <v>21031</v>
      </c>
      <c r="DR138" s="762">
        <v>576</v>
      </c>
      <c r="DS138" s="762">
        <v>43215</v>
      </c>
      <c r="DT138" s="762">
        <v>0</v>
      </c>
      <c r="DU138" s="762">
        <v>0</v>
      </c>
      <c r="DV138" s="762">
        <v>0</v>
      </c>
      <c r="DW138" s="762">
        <v>0</v>
      </c>
      <c r="DX138" s="762">
        <v>0</v>
      </c>
      <c r="DY138" s="762">
        <v>0</v>
      </c>
      <c r="DZ138" s="762">
        <v>0</v>
      </c>
      <c r="EA138" s="762">
        <v>0</v>
      </c>
      <c r="EB138" s="762">
        <v>195443</v>
      </c>
      <c r="EC138" s="762">
        <v>190231</v>
      </c>
      <c r="ED138" s="762">
        <v>5212</v>
      </c>
      <c r="EE138" s="762">
        <v>390886</v>
      </c>
      <c r="EF138" s="762">
        <v>1766824</v>
      </c>
      <c r="EG138" s="762">
        <v>1704615</v>
      </c>
      <c r="EH138" s="762">
        <v>46700</v>
      </c>
      <c r="EI138" s="799">
        <v>3518139</v>
      </c>
      <c r="EJ138" s="763" t="s">
        <v>147</v>
      </c>
      <c r="EK138" s="607" t="s">
        <v>599</v>
      </c>
      <c r="EL138" s="805" t="s">
        <v>597</v>
      </c>
      <c r="EM138" t="s">
        <v>1704</v>
      </c>
    </row>
    <row r="139" spans="1:143" ht="12.75" x14ac:dyDescent="0.2">
      <c r="A139" s="764">
        <v>132</v>
      </c>
      <c r="B139" s="765" t="s">
        <v>150</v>
      </c>
      <c r="C139" s="766" t="s">
        <v>1217</v>
      </c>
      <c r="D139" s="767" t="s">
        <v>1218</v>
      </c>
      <c r="E139" s="768" t="s">
        <v>149</v>
      </c>
      <c r="F139" s="761">
        <v>42729085</v>
      </c>
      <c r="G139" s="762">
        <v>492129</v>
      </c>
      <c r="H139" s="762">
        <v>0</v>
      </c>
      <c r="I139" s="762">
        <v>184780</v>
      </c>
      <c r="J139" s="762">
        <v>0</v>
      </c>
      <c r="K139" s="762">
        <v>184780</v>
      </c>
      <c r="L139" s="762">
        <v>0</v>
      </c>
      <c r="M139" s="762">
        <v>0</v>
      </c>
      <c r="N139" s="762">
        <v>0</v>
      </c>
      <c r="O139" s="762">
        <v>0</v>
      </c>
      <c r="P139" s="762">
        <v>0</v>
      </c>
      <c r="Q139" s="762">
        <v>0</v>
      </c>
      <c r="R139" s="762">
        <v>43036434</v>
      </c>
      <c r="S139" s="790">
        <v>0.24999999999999994</v>
      </c>
      <c r="T139" s="790">
        <v>0.2</v>
      </c>
      <c r="U139" s="790">
        <v>0.55000000000000004</v>
      </c>
      <c r="V139" s="790">
        <v>0</v>
      </c>
      <c r="W139" s="790">
        <v>1</v>
      </c>
      <c r="X139" s="762">
        <v>10759108</v>
      </c>
      <c r="Y139" s="762">
        <v>8607287</v>
      </c>
      <c r="Z139" s="762">
        <v>23670039</v>
      </c>
      <c r="AA139" s="762">
        <v>0</v>
      </c>
      <c r="AB139" s="762">
        <v>43036434</v>
      </c>
      <c r="AC139" s="762">
        <v>0</v>
      </c>
      <c r="AD139" s="762">
        <v>0</v>
      </c>
      <c r="AE139" s="762">
        <v>0</v>
      </c>
      <c r="AF139" s="762">
        <v>0</v>
      </c>
      <c r="AG139" s="762">
        <v>0</v>
      </c>
      <c r="AH139" s="762">
        <v>10759108</v>
      </c>
      <c r="AI139" s="762">
        <v>8607287</v>
      </c>
      <c r="AJ139" s="762">
        <v>23670039</v>
      </c>
      <c r="AK139" s="762">
        <v>0</v>
      </c>
      <c r="AL139" s="762">
        <v>43036434</v>
      </c>
      <c r="AM139" s="762">
        <v>184780</v>
      </c>
      <c r="AN139" s="762">
        <v>184780</v>
      </c>
      <c r="AO139" s="762">
        <v>0</v>
      </c>
      <c r="AP139" s="762">
        <v>0</v>
      </c>
      <c r="AQ139" s="762">
        <v>0</v>
      </c>
      <c r="AR139" s="762">
        <v>0</v>
      </c>
      <c r="AS139" s="762">
        <v>0</v>
      </c>
      <c r="AT139" s="762">
        <v>0</v>
      </c>
      <c r="AU139" s="762">
        <v>0</v>
      </c>
      <c r="AV139" s="762">
        <v>0</v>
      </c>
      <c r="AW139" s="762">
        <v>0</v>
      </c>
      <c r="AX139" s="762">
        <v>0</v>
      </c>
      <c r="AY139" s="762">
        <v>0</v>
      </c>
      <c r="AZ139" s="762">
        <v>0</v>
      </c>
      <c r="BA139" s="762">
        <v>0</v>
      </c>
      <c r="BB139" s="762">
        <v>0</v>
      </c>
      <c r="BC139" s="762">
        <v>0</v>
      </c>
      <c r="BD139" s="762">
        <v>0</v>
      </c>
      <c r="BE139" s="762">
        <v>0</v>
      </c>
      <c r="BF139" s="762">
        <v>0</v>
      </c>
      <c r="BG139" s="762">
        <v>0</v>
      </c>
      <c r="BH139" s="762">
        <v>0</v>
      </c>
      <c r="BI139" s="762">
        <v>0</v>
      </c>
      <c r="BJ139" s="790">
        <v>0.5</v>
      </c>
      <c r="BK139" s="790">
        <v>0.4</v>
      </c>
      <c r="BL139" s="790">
        <v>0.1</v>
      </c>
      <c r="BM139" s="790">
        <v>0</v>
      </c>
      <c r="BN139" s="790">
        <v>1</v>
      </c>
      <c r="BO139" s="762">
        <v>841784</v>
      </c>
      <c r="BP139" s="762">
        <v>673427</v>
      </c>
      <c r="BQ139" s="762">
        <v>168357</v>
      </c>
      <c r="BR139" s="762">
        <v>0</v>
      </c>
      <c r="BS139" s="762">
        <v>1683568</v>
      </c>
      <c r="BT139" s="790">
        <v>0.5</v>
      </c>
      <c r="BU139" s="790">
        <v>0.4</v>
      </c>
      <c r="BV139" s="790">
        <v>0.1</v>
      </c>
      <c r="BW139" s="790">
        <v>0</v>
      </c>
      <c r="BX139" s="790">
        <v>1</v>
      </c>
      <c r="BY139" s="762">
        <v>-858885</v>
      </c>
      <c r="BZ139" s="762">
        <v>-687108</v>
      </c>
      <c r="CA139" s="762">
        <v>-171777</v>
      </c>
      <c r="CB139" s="762">
        <v>0</v>
      </c>
      <c r="CC139" s="762">
        <v>-1717770</v>
      </c>
      <c r="CD139" s="762">
        <v>-17101</v>
      </c>
      <c r="CE139" s="762">
        <v>-13681</v>
      </c>
      <c r="CF139" s="762">
        <v>-3420</v>
      </c>
      <c r="CG139" s="762">
        <v>0</v>
      </c>
      <c r="CH139" s="762">
        <v>-34202</v>
      </c>
      <c r="CI139" s="762">
        <v>10742007</v>
      </c>
      <c r="CJ139" s="762">
        <v>8778386</v>
      </c>
      <c r="CK139" s="762">
        <v>23666619</v>
      </c>
      <c r="CL139" s="762">
        <v>0</v>
      </c>
      <c r="CM139" s="762">
        <v>43187012</v>
      </c>
      <c r="CN139" s="762">
        <v>280482</v>
      </c>
      <c r="CO139" s="762">
        <v>771325</v>
      </c>
      <c r="CP139" s="762">
        <v>0</v>
      </c>
      <c r="CQ139" s="762">
        <v>1051807</v>
      </c>
      <c r="CR139" s="762">
        <v>729554</v>
      </c>
      <c r="CS139" s="762">
        <v>2006275</v>
      </c>
      <c r="CT139" s="762">
        <v>0</v>
      </c>
      <c r="CU139" s="762">
        <v>2735829</v>
      </c>
      <c r="CV139" s="762">
        <v>60856</v>
      </c>
      <c r="CW139" s="762">
        <v>167355</v>
      </c>
      <c r="CX139" s="762">
        <v>0</v>
      </c>
      <c r="CY139" s="762">
        <v>228211</v>
      </c>
      <c r="CZ139" s="762">
        <v>0</v>
      </c>
      <c r="DA139" s="762">
        <v>0</v>
      </c>
      <c r="DB139" s="762">
        <v>0</v>
      </c>
      <c r="DC139" s="762">
        <v>0</v>
      </c>
      <c r="DD139" s="762">
        <v>1958</v>
      </c>
      <c r="DE139" s="762">
        <v>5384</v>
      </c>
      <c r="DF139" s="762">
        <v>0</v>
      </c>
      <c r="DG139" s="762">
        <v>7342</v>
      </c>
      <c r="DH139" s="762">
        <v>0</v>
      </c>
      <c r="DI139" s="762">
        <v>0</v>
      </c>
      <c r="DJ139" s="762">
        <v>0</v>
      </c>
      <c r="DK139" s="762">
        <v>0</v>
      </c>
      <c r="DL139" s="762">
        <v>7677</v>
      </c>
      <c r="DM139" s="762">
        <v>21113</v>
      </c>
      <c r="DN139" s="762">
        <v>0</v>
      </c>
      <c r="DO139" s="762">
        <v>28790</v>
      </c>
      <c r="DP139" s="762">
        <v>17983</v>
      </c>
      <c r="DQ139" s="762">
        <v>49454</v>
      </c>
      <c r="DR139" s="762">
        <v>0</v>
      </c>
      <c r="DS139" s="762">
        <v>67437</v>
      </c>
      <c r="DT139" s="762">
        <v>0</v>
      </c>
      <c r="DU139" s="762">
        <v>0</v>
      </c>
      <c r="DV139" s="762">
        <v>0</v>
      </c>
      <c r="DW139" s="762">
        <v>0</v>
      </c>
      <c r="DX139" s="762">
        <v>0</v>
      </c>
      <c r="DY139" s="762">
        <v>0</v>
      </c>
      <c r="DZ139" s="762">
        <v>0</v>
      </c>
      <c r="EA139" s="762">
        <v>0</v>
      </c>
      <c r="EB139" s="762">
        <v>147414</v>
      </c>
      <c r="EC139" s="762">
        <v>405388</v>
      </c>
      <c r="ED139" s="762">
        <v>0</v>
      </c>
      <c r="EE139" s="762">
        <v>552802</v>
      </c>
      <c r="EF139" s="762">
        <v>1245924</v>
      </c>
      <c r="EG139" s="762">
        <v>3426294</v>
      </c>
      <c r="EH139" s="762">
        <v>0</v>
      </c>
      <c r="EI139" s="799">
        <v>4672218</v>
      </c>
      <c r="EJ139" s="763" t="s">
        <v>149</v>
      </c>
      <c r="EK139" s="607" t="s">
        <v>618</v>
      </c>
      <c r="EL139" s="805" t="s">
        <v>556</v>
      </c>
      <c r="EM139" t="s">
        <v>1705</v>
      </c>
    </row>
    <row r="140" spans="1:143" ht="12.75" x14ac:dyDescent="0.2">
      <c r="A140" s="764">
        <v>133</v>
      </c>
      <c r="B140" s="765" t="s">
        <v>152</v>
      </c>
      <c r="C140" s="766" t="s">
        <v>1222</v>
      </c>
      <c r="D140" s="767" t="s">
        <v>1223</v>
      </c>
      <c r="E140" s="768" t="s">
        <v>151</v>
      </c>
      <c r="F140" s="761">
        <v>203413785</v>
      </c>
      <c r="G140" s="762">
        <v>1068305</v>
      </c>
      <c r="H140" s="762">
        <v>0</v>
      </c>
      <c r="I140" s="762">
        <v>411597</v>
      </c>
      <c r="J140" s="762">
        <v>0</v>
      </c>
      <c r="K140" s="762">
        <v>411597</v>
      </c>
      <c r="L140" s="762">
        <v>0</v>
      </c>
      <c r="M140" s="762">
        <v>0</v>
      </c>
      <c r="N140" s="762">
        <v>0</v>
      </c>
      <c r="O140" s="762">
        <v>0</v>
      </c>
      <c r="P140" s="762">
        <v>0</v>
      </c>
      <c r="Q140" s="762">
        <v>0</v>
      </c>
      <c r="R140" s="762">
        <v>204070493</v>
      </c>
      <c r="S140" s="790">
        <v>0.25</v>
      </c>
      <c r="T140" s="790">
        <v>0.48</v>
      </c>
      <c r="U140" s="790">
        <v>0.27</v>
      </c>
      <c r="V140" s="790">
        <v>0</v>
      </c>
      <c r="W140" s="790">
        <v>1</v>
      </c>
      <c r="X140" s="762">
        <v>51017623</v>
      </c>
      <c r="Y140" s="762">
        <v>97953837</v>
      </c>
      <c r="Z140" s="762">
        <v>55099033</v>
      </c>
      <c r="AA140" s="762">
        <v>0</v>
      </c>
      <c r="AB140" s="762">
        <v>204070493</v>
      </c>
      <c r="AC140" s="762">
        <v>0</v>
      </c>
      <c r="AD140" s="762">
        <v>0</v>
      </c>
      <c r="AE140" s="762">
        <v>0</v>
      </c>
      <c r="AF140" s="762">
        <v>0</v>
      </c>
      <c r="AG140" s="762">
        <v>0</v>
      </c>
      <c r="AH140" s="762">
        <v>51017623</v>
      </c>
      <c r="AI140" s="762">
        <v>97953837</v>
      </c>
      <c r="AJ140" s="762">
        <v>55099033</v>
      </c>
      <c r="AK140" s="762">
        <v>0</v>
      </c>
      <c r="AL140" s="762">
        <v>204070493</v>
      </c>
      <c r="AM140" s="762">
        <v>411597</v>
      </c>
      <c r="AN140" s="762">
        <v>411597</v>
      </c>
      <c r="AO140" s="762">
        <v>0</v>
      </c>
      <c r="AP140" s="762">
        <v>0</v>
      </c>
      <c r="AQ140" s="762">
        <v>0</v>
      </c>
      <c r="AR140" s="762">
        <v>0</v>
      </c>
      <c r="AS140" s="762">
        <v>0</v>
      </c>
      <c r="AT140" s="762">
        <v>0</v>
      </c>
      <c r="AU140" s="762">
        <v>0</v>
      </c>
      <c r="AV140" s="762">
        <v>0</v>
      </c>
      <c r="AW140" s="762">
        <v>0</v>
      </c>
      <c r="AX140" s="762">
        <v>0</v>
      </c>
      <c r="AY140" s="762">
        <v>0</v>
      </c>
      <c r="AZ140" s="762">
        <v>0</v>
      </c>
      <c r="BA140" s="762">
        <v>0</v>
      </c>
      <c r="BB140" s="762">
        <v>0</v>
      </c>
      <c r="BC140" s="762">
        <v>0</v>
      </c>
      <c r="BD140" s="762">
        <v>0</v>
      </c>
      <c r="BE140" s="762">
        <v>0</v>
      </c>
      <c r="BF140" s="762">
        <v>0</v>
      </c>
      <c r="BG140" s="762">
        <v>0</v>
      </c>
      <c r="BH140" s="762">
        <v>0</v>
      </c>
      <c r="BI140" s="762">
        <v>0</v>
      </c>
      <c r="BJ140" s="790">
        <v>0</v>
      </c>
      <c r="BK140" s="790">
        <v>0.64</v>
      </c>
      <c r="BL140" s="790">
        <v>0.36</v>
      </c>
      <c r="BM140" s="790">
        <v>0</v>
      </c>
      <c r="BN140" s="790">
        <v>1</v>
      </c>
      <c r="BO140" s="762">
        <v>-0.25999999046325684</v>
      </c>
      <c r="BP140" s="762">
        <v>-11201409</v>
      </c>
      <c r="BQ140" s="762">
        <v>-6300793</v>
      </c>
      <c r="BR140" s="762">
        <v>0</v>
      </c>
      <c r="BS140" s="762">
        <v>-17502202.25999999</v>
      </c>
      <c r="BT140" s="790">
        <v>0.33</v>
      </c>
      <c r="BU140" s="790">
        <v>0.3</v>
      </c>
      <c r="BV140" s="790">
        <v>0.37</v>
      </c>
      <c r="BW140" s="790">
        <v>0</v>
      </c>
      <c r="BX140" s="790">
        <v>1</v>
      </c>
      <c r="BY140" s="762">
        <v>-869980</v>
      </c>
      <c r="BZ140" s="762">
        <v>-790890</v>
      </c>
      <c r="CA140" s="762">
        <v>-975431</v>
      </c>
      <c r="CB140" s="762">
        <v>0</v>
      </c>
      <c r="CC140" s="762">
        <v>-2636301</v>
      </c>
      <c r="CD140" s="762">
        <v>-869980</v>
      </c>
      <c r="CE140" s="762">
        <v>-11992299</v>
      </c>
      <c r="CF140" s="762">
        <v>-7276224</v>
      </c>
      <c r="CG140" s="762">
        <v>0</v>
      </c>
      <c r="CH140" s="762">
        <v>-20138503.25999999</v>
      </c>
      <c r="CI140" s="762">
        <v>50147643</v>
      </c>
      <c r="CJ140" s="762">
        <v>86373135</v>
      </c>
      <c r="CK140" s="762">
        <v>47822809</v>
      </c>
      <c r="CL140" s="762">
        <v>0</v>
      </c>
      <c r="CM140" s="762">
        <v>184343587</v>
      </c>
      <c r="CN140" s="762">
        <v>3191978</v>
      </c>
      <c r="CO140" s="762">
        <v>1795488</v>
      </c>
      <c r="CP140" s="762">
        <v>0</v>
      </c>
      <c r="CQ140" s="762">
        <v>4987466</v>
      </c>
      <c r="CR140" s="762">
        <v>2007951</v>
      </c>
      <c r="CS140" s="762">
        <v>1129473</v>
      </c>
      <c r="CT140" s="762">
        <v>0</v>
      </c>
      <c r="CU140" s="762">
        <v>3137424</v>
      </c>
      <c r="CV140" s="762">
        <v>206363</v>
      </c>
      <c r="CW140" s="762">
        <v>116079</v>
      </c>
      <c r="CX140" s="762">
        <v>0</v>
      </c>
      <c r="CY140" s="762">
        <v>322442</v>
      </c>
      <c r="CZ140" s="762">
        <v>0</v>
      </c>
      <c r="DA140" s="762">
        <v>0</v>
      </c>
      <c r="DB140" s="762">
        <v>0</v>
      </c>
      <c r="DC140" s="762">
        <v>0</v>
      </c>
      <c r="DD140" s="762">
        <v>0</v>
      </c>
      <c r="DE140" s="762">
        <v>0</v>
      </c>
      <c r="DF140" s="762">
        <v>0</v>
      </c>
      <c r="DG140" s="762">
        <v>0</v>
      </c>
      <c r="DH140" s="762">
        <v>0</v>
      </c>
      <c r="DI140" s="762">
        <v>0</v>
      </c>
      <c r="DJ140" s="762">
        <v>0</v>
      </c>
      <c r="DK140" s="762">
        <v>0</v>
      </c>
      <c r="DL140" s="762">
        <v>10325</v>
      </c>
      <c r="DM140" s="762">
        <v>5807</v>
      </c>
      <c r="DN140" s="762">
        <v>0</v>
      </c>
      <c r="DO140" s="762">
        <v>16132</v>
      </c>
      <c r="DP140" s="762">
        <v>141545</v>
      </c>
      <c r="DQ140" s="762">
        <v>79619</v>
      </c>
      <c r="DR140" s="762">
        <v>0</v>
      </c>
      <c r="DS140" s="762">
        <v>221164</v>
      </c>
      <c r="DT140" s="762">
        <v>0</v>
      </c>
      <c r="DU140" s="762">
        <v>0</v>
      </c>
      <c r="DV140" s="762">
        <v>0</v>
      </c>
      <c r="DW140" s="762">
        <v>0</v>
      </c>
      <c r="DX140" s="762">
        <v>0</v>
      </c>
      <c r="DY140" s="762">
        <v>0</v>
      </c>
      <c r="DZ140" s="762">
        <v>0</v>
      </c>
      <c r="EA140" s="762">
        <v>0</v>
      </c>
      <c r="EB140" s="762">
        <v>1500886</v>
      </c>
      <c r="EC140" s="762">
        <v>844249</v>
      </c>
      <c r="ED140" s="762">
        <v>0</v>
      </c>
      <c r="EE140" s="762">
        <v>2345135</v>
      </c>
      <c r="EF140" s="762">
        <v>7059048</v>
      </c>
      <c r="EG140" s="762">
        <v>3970715</v>
      </c>
      <c r="EH140" s="762">
        <v>0</v>
      </c>
      <c r="EI140" s="799">
        <v>11029763</v>
      </c>
      <c r="EJ140" s="763" t="s">
        <v>151</v>
      </c>
      <c r="EK140" s="607" t="s">
        <v>628</v>
      </c>
      <c r="EL140" s="272" t="s">
        <v>528</v>
      </c>
      <c r="EM140" t="s">
        <v>1706</v>
      </c>
    </row>
    <row r="141" spans="1:143" ht="12.75" x14ac:dyDescent="0.2">
      <c r="A141" s="764">
        <v>134</v>
      </c>
      <c r="B141" s="765" t="s">
        <v>154</v>
      </c>
      <c r="C141" s="766" t="s">
        <v>1217</v>
      </c>
      <c r="D141" s="767" t="s">
        <v>1221</v>
      </c>
      <c r="E141" s="768" t="s">
        <v>153</v>
      </c>
      <c r="F141" s="761">
        <v>60333236</v>
      </c>
      <c r="G141" s="762">
        <v>0</v>
      </c>
      <c r="H141" s="762">
        <v>431836</v>
      </c>
      <c r="I141" s="762">
        <v>216658</v>
      </c>
      <c r="J141" s="762">
        <v>0</v>
      </c>
      <c r="K141" s="762">
        <v>216658</v>
      </c>
      <c r="L141" s="762">
        <v>0</v>
      </c>
      <c r="M141" s="762">
        <v>1183916</v>
      </c>
      <c r="N141" s="762">
        <v>908873</v>
      </c>
      <c r="O141" s="762">
        <v>908873</v>
      </c>
      <c r="P141" s="762">
        <v>0</v>
      </c>
      <c r="Q141" s="762">
        <v>0</v>
      </c>
      <c r="R141" s="762">
        <v>57591953</v>
      </c>
      <c r="S141" s="790">
        <v>0.5</v>
      </c>
      <c r="T141" s="790">
        <v>0.4</v>
      </c>
      <c r="U141" s="790">
        <v>0.09</v>
      </c>
      <c r="V141" s="790">
        <v>0.01</v>
      </c>
      <c r="W141" s="790">
        <v>1</v>
      </c>
      <c r="X141" s="762">
        <v>28795976</v>
      </c>
      <c r="Y141" s="762">
        <v>23036781</v>
      </c>
      <c r="Z141" s="762">
        <v>5183276</v>
      </c>
      <c r="AA141" s="762">
        <v>575920</v>
      </c>
      <c r="AB141" s="762">
        <v>57591953</v>
      </c>
      <c r="AC141" s="762">
        <v>209234</v>
      </c>
      <c r="AD141" s="762">
        <v>0</v>
      </c>
      <c r="AE141" s="762">
        <v>0</v>
      </c>
      <c r="AF141" s="762">
        <v>0</v>
      </c>
      <c r="AG141" s="762">
        <v>209234</v>
      </c>
      <c r="AH141" s="762">
        <v>28586742</v>
      </c>
      <c r="AI141" s="762">
        <v>23036781</v>
      </c>
      <c r="AJ141" s="762">
        <v>5183276</v>
      </c>
      <c r="AK141" s="762">
        <v>575920</v>
      </c>
      <c r="AL141" s="762">
        <v>57382719</v>
      </c>
      <c r="AM141" s="762">
        <v>216658</v>
      </c>
      <c r="AN141" s="762">
        <v>216658</v>
      </c>
      <c r="AO141" s="762">
        <v>1183916</v>
      </c>
      <c r="AP141" s="762">
        <v>1183916</v>
      </c>
      <c r="AQ141" s="762">
        <v>908873</v>
      </c>
      <c r="AR141" s="762">
        <v>0</v>
      </c>
      <c r="AS141" s="762">
        <v>908873</v>
      </c>
      <c r="AT141" s="762">
        <v>0</v>
      </c>
      <c r="AU141" s="762">
        <v>0</v>
      </c>
      <c r="AV141" s="762">
        <v>0</v>
      </c>
      <c r="AW141" s="762">
        <v>0</v>
      </c>
      <c r="AX141" s="762">
        <v>209234</v>
      </c>
      <c r="AY141" s="762">
        <v>0</v>
      </c>
      <c r="AZ141" s="762">
        <v>0</v>
      </c>
      <c r="BA141" s="762">
        <v>209234</v>
      </c>
      <c r="BB141" s="762">
        <v>0</v>
      </c>
      <c r="BC141" s="762">
        <v>0</v>
      </c>
      <c r="BD141" s="762">
        <v>0</v>
      </c>
      <c r="BE141" s="762">
        <v>0</v>
      </c>
      <c r="BF141" s="762">
        <v>0</v>
      </c>
      <c r="BG141" s="762">
        <v>0</v>
      </c>
      <c r="BH141" s="762">
        <v>0</v>
      </c>
      <c r="BI141" s="762">
        <v>0</v>
      </c>
      <c r="BJ141" s="790">
        <v>0.5</v>
      </c>
      <c r="BK141" s="790">
        <v>0.4</v>
      </c>
      <c r="BL141" s="790">
        <v>0.09</v>
      </c>
      <c r="BM141" s="790">
        <v>0.01</v>
      </c>
      <c r="BN141" s="790">
        <v>1</v>
      </c>
      <c r="BO141" s="762">
        <v>2410659</v>
      </c>
      <c r="BP141" s="762">
        <v>1928526</v>
      </c>
      <c r="BQ141" s="762">
        <v>433918</v>
      </c>
      <c r="BR141" s="762">
        <v>48213</v>
      </c>
      <c r="BS141" s="762">
        <v>4821316</v>
      </c>
      <c r="BT141" s="790">
        <v>0.5</v>
      </c>
      <c r="BU141" s="790">
        <v>0.4</v>
      </c>
      <c r="BV141" s="790">
        <v>0.09</v>
      </c>
      <c r="BW141" s="790">
        <v>0.01</v>
      </c>
      <c r="BX141" s="790">
        <v>1</v>
      </c>
      <c r="BY141" s="762">
        <v>-1616674</v>
      </c>
      <c r="BZ141" s="762">
        <v>-1293339</v>
      </c>
      <c r="CA141" s="762">
        <v>-291001</v>
      </c>
      <c r="CB141" s="762">
        <v>-32333</v>
      </c>
      <c r="CC141" s="762">
        <v>-3233347</v>
      </c>
      <c r="CD141" s="762">
        <v>793984</v>
      </c>
      <c r="CE141" s="762">
        <v>635188</v>
      </c>
      <c r="CF141" s="762">
        <v>142917</v>
      </c>
      <c r="CG141" s="762">
        <v>15880</v>
      </c>
      <c r="CH141" s="762">
        <v>1587969</v>
      </c>
      <c r="CI141" s="762">
        <v>29380726</v>
      </c>
      <c r="CJ141" s="762">
        <v>26190650</v>
      </c>
      <c r="CK141" s="762">
        <v>5326193</v>
      </c>
      <c r="CL141" s="762">
        <v>591800</v>
      </c>
      <c r="CM141" s="762">
        <v>61489369</v>
      </c>
      <c r="CN141" s="762">
        <v>825704</v>
      </c>
      <c r="CO141" s="762">
        <v>168905</v>
      </c>
      <c r="CP141" s="762">
        <v>18767</v>
      </c>
      <c r="CQ141" s="762">
        <v>1013376</v>
      </c>
      <c r="CR141" s="762">
        <v>1543725</v>
      </c>
      <c r="CS141" s="762">
        <v>346403</v>
      </c>
      <c r="CT141" s="762">
        <v>38489</v>
      </c>
      <c r="CU141" s="762">
        <v>1928617</v>
      </c>
      <c r="CV141" s="762">
        <v>142419</v>
      </c>
      <c r="CW141" s="762">
        <v>31474</v>
      </c>
      <c r="CX141" s="762">
        <v>3497</v>
      </c>
      <c r="CY141" s="762">
        <v>177390</v>
      </c>
      <c r="CZ141" s="762">
        <v>5983</v>
      </c>
      <c r="DA141" s="762">
        <v>1346</v>
      </c>
      <c r="DB141" s="762">
        <v>150</v>
      </c>
      <c r="DC141" s="762">
        <v>7479</v>
      </c>
      <c r="DD141" s="762">
        <v>13510</v>
      </c>
      <c r="DE141" s="762">
        <v>3040</v>
      </c>
      <c r="DF141" s="762">
        <v>338</v>
      </c>
      <c r="DG141" s="762">
        <v>16888</v>
      </c>
      <c r="DH141" s="762">
        <v>0</v>
      </c>
      <c r="DI141" s="762">
        <v>0</v>
      </c>
      <c r="DJ141" s="762">
        <v>0</v>
      </c>
      <c r="DK141" s="762">
        <v>0</v>
      </c>
      <c r="DL141" s="762">
        <v>14541</v>
      </c>
      <c r="DM141" s="762">
        <v>3271</v>
      </c>
      <c r="DN141" s="762">
        <v>363</v>
      </c>
      <c r="DO141" s="762">
        <v>18175</v>
      </c>
      <c r="DP141" s="762">
        <v>28500</v>
      </c>
      <c r="DQ141" s="762">
        <v>6412</v>
      </c>
      <c r="DR141" s="762">
        <v>712</v>
      </c>
      <c r="DS141" s="762">
        <v>35624</v>
      </c>
      <c r="DT141" s="762">
        <v>0</v>
      </c>
      <c r="DU141" s="762">
        <v>0</v>
      </c>
      <c r="DV141" s="762">
        <v>0</v>
      </c>
      <c r="DW141" s="762">
        <v>0</v>
      </c>
      <c r="DX141" s="762">
        <v>0</v>
      </c>
      <c r="DY141" s="762">
        <v>0</v>
      </c>
      <c r="DZ141" s="762">
        <v>0</v>
      </c>
      <c r="EA141" s="762">
        <v>0</v>
      </c>
      <c r="EB141" s="762">
        <v>646816</v>
      </c>
      <c r="EC141" s="762">
        <v>145534</v>
      </c>
      <c r="ED141" s="762">
        <v>16170</v>
      </c>
      <c r="EE141" s="762">
        <v>808520</v>
      </c>
      <c r="EF141" s="762">
        <v>3221198</v>
      </c>
      <c r="EG141" s="762">
        <v>706385</v>
      </c>
      <c r="EH141" s="762">
        <v>78486</v>
      </c>
      <c r="EI141" s="799">
        <v>4006069</v>
      </c>
      <c r="EJ141" s="763" t="s">
        <v>153</v>
      </c>
      <c r="EK141" s="607" t="s">
        <v>547</v>
      </c>
      <c r="EL141" s="805" t="s">
        <v>546</v>
      </c>
      <c r="EM141" t="s">
        <v>1707</v>
      </c>
    </row>
    <row r="142" spans="1:143" ht="12.75" x14ac:dyDescent="0.2">
      <c r="A142" s="764">
        <v>135</v>
      </c>
      <c r="B142" s="765" t="s">
        <v>156</v>
      </c>
      <c r="C142" s="766" t="s">
        <v>1217</v>
      </c>
      <c r="D142" s="767" t="s">
        <v>1219</v>
      </c>
      <c r="E142" s="768" t="s">
        <v>155</v>
      </c>
      <c r="F142" s="761">
        <v>16804905</v>
      </c>
      <c r="G142" s="762">
        <v>0</v>
      </c>
      <c r="H142" s="762">
        <v>769210</v>
      </c>
      <c r="I142" s="762">
        <v>121292</v>
      </c>
      <c r="J142" s="762">
        <v>0</v>
      </c>
      <c r="K142" s="762">
        <v>121292</v>
      </c>
      <c r="L142" s="762">
        <v>0</v>
      </c>
      <c r="M142" s="762">
        <v>0</v>
      </c>
      <c r="N142" s="762">
        <v>0</v>
      </c>
      <c r="O142" s="762">
        <v>0</v>
      </c>
      <c r="P142" s="762">
        <v>0</v>
      </c>
      <c r="Q142" s="762">
        <v>0</v>
      </c>
      <c r="R142" s="762">
        <v>15914403</v>
      </c>
      <c r="S142" s="790">
        <v>0.25</v>
      </c>
      <c r="T142" s="790">
        <v>0.56000000000000005</v>
      </c>
      <c r="U142" s="790">
        <v>0.17499999999999999</v>
      </c>
      <c r="V142" s="790">
        <v>1.4999999999999999E-2</v>
      </c>
      <c r="W142" s="790">
        <v>1</v>
      </c>
      <c r="X142" s="762">
        <v>3978600</v>
      </c>
      <c r="Y142" s="762">
        <v>8912066</v>
      </c>
      <c r="Z142" s="762">
        <v>2785021</v>
      </c>
      <c r="AA142" s="762">
        <v>238716</v>
      </c>
      <c r="AB142" s="762">
        <v>15914403</v>
      </c>
      <c r="AC142" s="762">
        <v>0</v>
      </c>
      <c r="AD142" s="762">
        <v>0</v>
      </c>
      <c r="AE142" s="762">
        <v>0</v>
      </c>
      <c r="AF142" s="762">
        <v>0</v>
      </c>
      <c r="AG142" s="762">
        <v>0</v>
      </c>
      <c r="AH142" s="762">
        <v>3978600</v>
      </c>
      <c r="AI142" s="762">
        <v>8912066</v>
      </c>
      <c r="AJ142" s="762">
        <v>2785021</v>
      </c>
      <c r="AK142" s="762">
        <v>238716</v>
      </c>
      <c r="AL142" s="762">
        <v>15914403</v>
      </c>
      <c r="AM142" s="762">
        <v>121292</v>
      </c>
      <c r="AN142" s="762">
        <v>121292</v>
      </c>
      <c r="AO142" s="762">
        <v>0</v>
      </c>
      <c r="AP142" s="762">
        <v>0</v>
      </c>
      <c r="AQ142" s="762">
        <v>0</v>
      </c>
      <c r="AR142" s="762">
        <v>0</v>
      </c>
      <c r="AS142" s="762">
        <v>0</v>
      </c>
      <c r="AT142" s="762">
        <v>0</v>
      </c>
      <c r="AU142" s="762">
        <v>0</v>
      </c>
      <c r="AV142" s="762">
        <v>0</v>
      </c>
      <c r="AW142" s="762">
        <v>0</v>
      </c>
      <c r="AX142" s="762">
        <v>0</v>
      </c>
      <c r="AY142" s="762">
        <v>0</v>
      </c>
      <c r="AZ142" s="762">
        <v>0</v>
      </c>
      <c r="BA142" s="762">
        <v>0</v>
      </c>
      <c r="BB142" s="762">
        <v>0</v>
      </c>
      <c r="BC142" s="762">
        <v>0</v>
      </c>
      <c r="BD142" s="762">
        <v>0</v>
      </c>
      <c r="BE142" s="762">
        <v>0</v>
      </c>
      <c r="BF142" s="762">
        <v>0</v>
      </c>
      <c r="BG142" s="762">
        <v>0</v>
      </c>
      <c r="BH142" s="762">
        <v>0</v>
      </c>
      <c r="BI142" s="762">
        <v>0</v>
      </c>
      <c r="BJ142" s="790">
        <v>0.5</v>
      </c>
      <c r="BK142" s="790">
        <v>0.4</v>
      </c>
      <c r="BL142" s="790">
        <v>0.09</v>
      </c>
      <c r="BM142" s="790">
        <v>0.01</v>
      </c>
      <c r="BN142" s="790">
        <v>1</v>
      </c>
      <c r="BO142" s="762">
        <v>665630</v>
      </c>
      <c r="BP142" s="762">
        <v>532504</v>
      </c>
      <c r="BQ142" s="762">
        <v>119813</v>
      </c>
      <c r="BR142" s="762">
        <v>13313</v>
      </c>
      <c r="BS142" s="762">
        <v>1331260</v>
      </c>
      <c r="BT142" s="790">
        <v>0.5</v>
      </c>
      <c r="BU142" s="790">
        <v>0.4</v>
      </c>
      <c r="BV142" s="790">
        <v>0.09</v>
      </c>
      <c r="BW142" s="790">
        <v>0.01</v>
      </c>
      <c r="BX142" s="790">
        <v>1</v>
      </c>
      <c r="BY142" s="762">
        <v>-437881</v>
      </c>
      <c r="BZ142" s="762">
        <v>-350306</v>
      </c>
      <c r="CA142" s="762">
        <v>-78819</v>
      </c>
      <c r="CB142" s="762">
        <v>-8758</v>
      </c>
      <c r="CC142" s="762">
        <v>-875764</v>
      </c>
      <c r="CD142" s="762">
        <v>227748</v>
      </c>
      <c r="CE142" s="762">
        <v>182198</v>
      </c>
      <c r="CF142" s="762">
        <v>40995</v>
      </c>
      <c r="CG142" s="762">
        <v>4555</v>
      </c>
      <c r="CH142" s="762">
        <v>455496</v>
      </c>
      <c r="CI142" s="762">
        <v>4206348</v>
      </c>
      <c r="CJ142" s="762">
        <v>9215556</v>
      </c>
      <c r="CK142" s="762">
        <v>2826016</v>
      </c>
      <c r="CL142" s="762">
        <v>243271</v>
      </c>
      <c r="CM142" s="762">
        <v>16491191</v>
      </c>
      <c r="CN142" s="762">
        <v>290414</v>
      </c>
      <c r="CO142" s="762">
        <v>90754</v>
      </c>
      <c r="CP142" s="762">
        <v>7779</v>
      </c>
      <c r="CQ142" s="762">
        <v>388947</v>
      </c>
      <c r="CR142" s="762">
        <v>1425662</v>
      </c>
      <c r="CS142" s="762">
        <v>445519</v>
      </c>
      <c r="CT142" s="762">
        <v>38187</v>
      </c>
      <c r="CU142" s="762">
        <v>1909368</v>
      </c>
      <c r="CV142" s="762">
        <v>55535</v>
      </c>
      <c r="CW142" s="762">
        <v>17355</v>
      </c>
      <c r="CX142" s="762">
        <v>1488</v>
      </c>
      <c r="CY142" s="762">
        <v>74378</v>
      </c>
      <c r="CZ142" s="762">
        <v>678</v>
      </c>
      <c r="DA142" s="762">
        <v>212</v>
      </c>
      <c r="DB142" s="762">
        <v>18</v>
      </c>
      <c r="DC142" s="762">
        <v>908</v>
      </c>
      <c r="DD142" s="762">
        <v>0</v>
      </c>
      <c r="DE142" s="762">
        <v>0</v>
      </c>
      <c r="DF142" s="762">
        <v>0</v>
      </c>
      <c r="DG142" s="762">
        <v>0</v>
      </c>
      <c r="DH142" s="762">
        <v>0</v>
      </c>
      <c r="DI142" s="762">
        <v>0</v>
      </c>
      <c r="DJ142" s="762">
        <v>0</v>
      </c>
      <c r="DK142" s="762">
        <v>0</v>
      </c>
      <c r="DL142" s="762">
        <v>4160</v>
      </c>
      <c r="DM142" s="762">
        <v>1300</v>
      </c>
      <c r="DN142" s="762">
        <v>111</v>
      </c>
      <c r="DO142" s="762">
        <v>5571</v>
      </c>
      <c r="DP142" s="762">
        <v>9099</v>
      </c>
      <c r="DQ142" s="762">
        <v>2844</v>
      </c>
      <c r="DR142" s="762">
        <v>244</v>
      </c>
      <c r="DS142" s="762">
        <v>12187</v>
      </c>
      <c r="DT142" s="762">
        <v>0</v>
      </c>
      <c r="DU142" s="762">
        <v>0</v>
      </c>
      <c r="DV142" s="762">
        <v>0</v>
      </c>
      <c r="DW142" s="762">
        <v>0</v>
      </c>
      <c r="DX142" s="762">
        <v>0</v>
      </c>
      <c r="DY142" s="762">
        <v>0</v>
      </c>
      <c r="DZ142" s="762">
        <v>0</v>
      </c>
      <c r="EA142" s="762">
        <v>0</v>
      </c>
      <c r="EB142" s="762">
        <v>296063</v>
      </c>
      <c r="EC142" s="762">
        <v>92520</v>
      </c>
      <c r="ED142" s="762">
        <v>7930</v>
      </c>
      <c r="EE142" s="762">
        <v>396513</v>
      </c>
      <c r="EF142" s="762">
        <v>2081611</v>
      </c>
      <c r="EG142" s="762">
        <v>650504</v>
      </c>
      <c r="EH142" s="762">
        <v>55757</v>
      </c>
      <c r="EI142" s="799">
        <v>2787872</v>
      </c>
      <c r="EJ142" s="763" t="s">
        <v>155</v>
      </c>
      <c r="EK142" s="607" t="s">
        <v>595</v>
      </c>
      <c r="EL142" s="805" t="s">
        <v>593</v>
      </c>
      <c r="EM142" t="s">
        <v>1708</v>
      </c>
    </row>
    <row r="143" spans="1:143" ht="12.75" x14ac:dyDescent="0.2">
      <c r="A143" s="764">
        <v>136</v>
      </c>
      <c r="B143" s="765" t="s">
        <v>158</v>
      </c>
      <c r="C143" s="766" t="s">
        <v>1217</v>
      </c>
      <c r="D143" s="767" t="s">
        <v>1221</v>
      </c>
      <c r="E143" s="768" t="s">
        <v>157</v>
      </c>
      <c r="F143" s="761">
        <v>54890200</v>
      </c>
      <c r="G143" s="762">
        <v>0</v>
      </c>
      <c r="H143" s="762">
        <v>502681</v>
      </c>
      <c r="I143" s="762">
        <v>188841</v>
      </c>
      <c r="J143" s="762">
        <v>0</v>
      </c>
      <c r="K143" s="762">
        <v>188841</v>
      </c>
      <c r="L143" s="762">
        <v>0</v>
      </c>
      <c r="M143" s="762">
        <v>1037010</v>
      </c>
      <c r="N143" s="762">
        <v>2858</v>
      </c>
      <c r="O143" s="762">
        <v>2748</v>
      </c>
      <c r="P143" s="762">
        <v>110</v>
      </c>
      <c r="Q143" s="762">
        <v>0</v>
      </c>
      <c r="R143" s="762">
        <v>53158810</v>
      </c>
      <c r="S143" s="790">
        <v>0.5</v>
      </c>
      <c r="T143" s="790">
        <v>0.4</v>
      </c>
      <c r="U143" s="790">
        <v>0.1</v>
      </c>
      <c r="V143" s="790">
        <v>0</v>
      </c>
      <c r="W143" s="790">
        <v>1</v>
      </c>
      <c r="X143" s="762">
        <v>26579405</v>
      </c>
      <c r="Y143" s="762">
        <v>21263524</v>
      </c>
      <c r="Z143" s="762">
        <v>5315881</v>
      </c>
      <c r="AA143" s="762">
        <v>0</v>
      </c>
      <c r="AB143" s="762">
        <v>53158810</v>
      </c>
      <c r="AC143" s="762">
        <v>149938</v>
      </c>
      <c r="AD143" s="762">
        <v>0</v>
      </c>
      <c r="AE143" s="762">
        <v>0</v>
      </c>
      <c r="AF143" s="762">
        <v>0</v>
      </c>
      <c r="AG143" s="762">
        <v>149938</v>
      </c>
      <c r="AH143" s="762">
        <v>26429467</v>
      </c>
      <c r="AI143" s="762">
        <v>21263524</v>
      </c>
      <c r="AJ143" s="762">
        <v>5315881</v>
      </c>
      <c r="AK143" s="762">
        <v>0</v>
      </c>
      <c r="AL143" s="762">
        <v>53008872</v>
      </c>
      <c r="AM143" s="762">
        <v>188841</v>
      </c>
      <c r="AN143" s="762">
        <v>188841</v>
      </c>
      <c r="AO143" s="762">
        <v>1037010</v>
      </c>
      <c r="AP143" s="762">
        <v>1037010</v>
      </c>
      <c r="AQ143" s="762">
        <v>2748</v>
      </c>
      <c r="AR143" s="762">
        <v>110</v>
      </c>
      <c r="AS143" s="762">
        <v>2858</v>
      </c>
      <c r="AT143" s="762">
        <v>0</v>
      </c>
      <c r="AU143" s="762">
        <v>0</v>
      </c>
      <c r="AV143" s="762">
        <v>0</v>
      </c>
      <c r="AW143" s="762">
        <v>0</v>
      </c>
      <c r="AX143" s="762">
        <v>149938</v>
      </c>
      <c r="AY143" s="762">
        <v>0</v>
      </c>
      <c r="AZ143" s="762">
        <v>0</v>
      </c>
      <c r="BA143" s="762">
        <v>149938</v>
      </c>
      <c r="BB143" s="762">
        <v>0</v>
      </c>
      <c r="BC143" s="762">
        <v>0</v>
      </c>
      <c r="BD143" s="762">
        <v>0</v>
      </c>
      <c r="BE143" s="762">
        <v>0</v>
      </c>
      <c r="BF143" s="762">
        <v>0</v>
      </c>
      <c r="BG143" s="762">
        <v>0</v>
      </c>
      <c r="BH143" s="762">
        <v>0</v>
      </c>
      <c r="BI143" s="762">
        <v>0</v>
      </c>
      <c r="BJ143" s="790">
        <v>0</v>
      </c>
      <c r="BK143" s="790">
        <v>0.8</v>
      </c>
      <c r="BL143" s="790">
        <v>0.2</v>
      </c>
      <c r="BM143" s="790">
        <v>0</v>
      </c>
      <c r="BN143" s="790">
        <v>1</v>
      </c>
      <c r="BO143" s="762">
        <v>0</v>
      </c>
      <c r="BP143" s="762">
        <v>37415</v>
      </c>
      <c r="BQ143" s="762">
        <v>9354</v>
      </c>
      <c r="BR143" s="762">
        <v>0</v>
      </c>
      <c r="BS143" s="762">
        <v>46769</v>
      </c>
      <c r="BT143" s="790">
        <v>0.5</v>
      </c>
      <c r="BU143" s="790">
        <v>0.4</v>
      </c>
      <c r="BV143" s="790">
        <v>0.1</v>
      </c>
      <c r="BW143" s="790">
        <v>0</v>
      </c>
      <c r="BX143" s="790">
        <v>1</v>
      </c>
      <c r="BY143" s="762">
        <v>-976671</v>
      </c>
      <c r="BZ143" s="762">
        <v>-781337</v>
      </c>
      <c r="CA143" s="762">
        <v>-195334</v>
      </c>
      <c r="CB143" s="762">
        <v>0</v>
      </c>
      <c r="CC143" s="762">
        <v>-1953342</v>
      </c>
      <c r="CD143" s="762">
        <v>-976671</v>
      </c>
      <c r="CE143" s="762">
        <v>-743922</v>
      </c>
      <c r="CF143" s="762">
        <v>-185980</v>
      </c>
      <c r="CG143" s="762">
        <v>0</v>
      </c>
      <c r="CH143" s="762">
        <v>-1906573</v>
      </c>
      <c r="CI143" s="762">
        <v>25452796</v>
      </c>
      <c r="CJ143" s="762">
        <v>21898139</v>
      </c>
      <c r="CK143" s="762">
        <v>5130011</v>
      </c>
      <c r="CL143" s="762">
        <v>0</v>
      </c>
      <c r="CM143" s="762">
        <v>52480946</v>
      </c>
      <c r="CN143" s="762">
        <v>731673</v>
      </c>
      <c r="CO143" s="762">
        <v>173230</v>
      </c>
      <c r="CP143" s="762">
        <v>0</v>
      </c>
      <c r="CQ143" s="762">
        <v>904903</v>
      </c>
      <c r="CR143" s="762">
        <v>1228270</v>
      </c>
      <c r="CS143" s="762">
        <v>306265</v>
      </c>
      <c r="CT143" s="762">
        <v>0</v>
      </c>
      <c r="CU143" s="762">
        <v>1534535</v>
      </c>
      <c r="CV143" s="762">
        <v>98683</v>
      </c>
      <c r="CW143" s="762">
        <v>24177</v>
      </c>
      <c r="CX143" s="762">
        <v>0</v>
      </c>
      <c r="CY143" s="762">
        <v>122860</v>
      </c>
      <c r="CZ143" s="762">
        <v>10656</v>
      </c>
      <c r="DA143" s="762">
        <v>2664</v>
      </c>
      <c r="DB143" s="762">
        <v>0</v>
      </c>
      <c r="DC143" s="762">
        <v>13320</v>
      </c>
      <c r="DD143" s="762">
        <v>0</v>
      </c>
      <c r="DE143" s="762">
        <v>0</v>
      </c>
      <c r="DF143" s="762">
        <v>0</v>
      </c>
      <c r="DG143" s="762">
        <v>0</v>
      </c>
      <c r="DH143" s="762">
        <v>619</v>
      </c>
      <c r="DI143" s="762">
        <v>155</v>
      </c>
      <c r="DJ143" s="762">
        <v>0</v>
      </c>
      <c r="DK143" s="762">
        <v>774</v>
      </c>
      <c r="DL143" s="762">
        <v>2174</v>
      </c>
      <c r="DM143" s="762">
        <v>543</v>
      </c>
      <c r="DN143" s="762">
        <v>0</v>
      </c>
      <c r="DO143" s="762">
        <v>2717</v>
      </c>
      <c r="DP143" s="762">
        <v>0</v>
      </c>
      <c r="DQ143" s="762">
        <v>0</v>
      </c>
      <c r="DR143" s="762">
        <v>0</v>
      </c>
      <c r="DS143" s="762">
        <v>0</v>
      </c>
      <c r="DT143" s="762">
        <v>0</v>
      </c>
      <c r="DU143" s="762">
        <v>0</v>
      </c>
      <c r="DV143" s="762">
        <v>0</v>
      </c>
      <c r="DW143" s="762">
        <v>0</v>
      </c>
      <c r="DX143" s="762">
        <v>0</v>
      </c>
      <c r="DY143" s="762">
        <v>0</v>
      </c>
      <c r="DZ143" s="762">
        <v>0</v>
      </c>
      <c r="EA143" s="762">
        <v>0</v>
      </c>
      <c r="EB143" s="762">
        <v>396171</v>
      </c>
      <c r="EC143" s="762">
        <v>99043</v>
      </c>
      <c r="ED143" s="762">
        <v>0</v>
      </c>
      <c r="EE143" s="762">
        <v>495214</v>
      </c>
      <c r="EF143" s="762">
        <v>2468246</v>
      </c>
      <c r="EG143" s="762">
        <v>606077</v>
      </c>
      <c r="EH143" s="762">
        <v>0</v>
      </c>
      <c r="EI143" s="799">
        <v>3074323</v>
      </c>
      <c r="EJ143" s="763" t="s">
        <v>157</v>
      </c>
      <c r="EK143" s="607" t="s">
        <v>615</v>
      </c>
      <c r="EL143" s="805" t="s">
        <v>556</v>
      </c>
      <c r="EM143" t="s">
        <v>1709</v>
      </c>
    </row>
    <row r="144" spans="1:143" ht="12.75" x14ac:dyDescent="0.2">
      <c r="A144" s="764">
        <v>137</v>
      </c>
      <c r="B144" s="765" t="s">
        <v>160</v>
      </c>
      <c r="C144" s="766" t="s">
        <v>529</v>
      </c>
      <c r="D144" s="767" t="s">
        <v>1218</v>
      </c>
      <c r="E144" s="768" t="s">
        <v>898</v>
      </c>
      <c r="F144" s="761">
        <v>38152122</v>
      </c>
      <c r="G144" s="762">
        <v>893090</v>
      </c>
      <c r="H144" s="762">
        <v>0</v>
      </c>
      <c r="I144" s="762">
        <v>264699</v>
      </c>
      <c r="J144" s="762">
        <v>0</v>
      </c>
      <c r="K144" s="762">
        <v>264699</v>
      </c>
      <c r="L144" s="762">
        <v>0</v>
      </c>
      <c r="M144" s="762">
        <v>0</v>
      </c>
      <c r="N144" s="762">
        <v>282332</v>
      </c>
      <c r="O144" s="762">
        <v>282332</v>
      </c>
      <c r="P144" s="762">
        <v>0</v>
      </c>
      <c r="Q144" s="762">
        <v>0</v>
      </c>
      <c r="R144" s="762">
        <v>38498181</v>
      </c>
      <c r="S144" s="790">
        <v>0.25</v>
      </c>
      <c r="T144" s="790">
        <v>0.75</v>
      </c>
      <c r="U144" s="790">
        <v>0</v>
      </c>
      <c r="V144" s="790">
        <v>0</v>
      </c>
      <c r="W144" s="790">
        <v>1</v>
      </c>
      <c r="X144" s="762">
        <v>9624545</v>
      </c>
      <c r="Y144" s="762">
        <v>28873636</v>
      </c>
      <c r="Z144" s="762">
        <v>0</v>
      </c>
      <c r="AA144" s="762">
        <v>0</v>
      </c>
      <c r="AB144" s="762">
        <v>38498181</v>
      </c>
      <c r="AC144" s="762">
        <v>0</v>
      </c>
      <c r="AD144" s="762">
        <v>0</v>
      </c>
      <c r="AE144" s="762">
        <v>0</v>
      </c>
      <c r="AF144" s="762">
        <v>0</v>
      </c>
      <c r="AG144" s="762">
        <v>0</v>
      </c>
      <c r="AH144" s="762">
        <v>9624545</v>
      </c>
      <c r="AI144" s="762">
        <v>28873636</v>
      </c>
      <c r="AJ144" s="762">
        <v>0</v>
      </c>
      <c r="AK144" s="762">
        <v>0</v>
      </c>
      <c r="AL144" s="762">
        <v>38498181</v>
      </c>
      <c r="AM144" s="762">
        <v>264699</v>
      </c>
      <c r="AN144" s="762">
        <v>264699</v>
      </c>
      <c r="AO144" s="762">
        <v>0</v>
      </c>
      <c r="AP144" s="762">
        <v>0</v>
      </c>
      <c r="AQ144" s="762">
        <v>282332</v>
      </c>
      <c r="AR144" s="762">
        <v>0</v>
      </c>
      <c r="AS144" s="762">
        <v>282332</v>
      </c>
      <c r="AT144" s="762">
        <v>0</v>
      </c>
      <c r="AU144" s="762">
        <v>0</v>
      </c>
      <c r="AV144" s="762">
        <v>0</v>
      </c>
      <c r="AW144" s="762">
        <v>0</v>
      </c>
      <c r="AX144" s="762">
        <v>0</v>
      </c>
      <c r="AY144" s="762">
        <v>0</v>
      </c>
      <c r="AZ144" s="762">
        <v>0</v>
      </c>
      <c r="BA144" s="762">
        <v>0</v>
      </c>
      <c r="BB144" s="762">
        <v>0</v>
      </c>
      <c r="BC144" s="762">
        <v>0</v>
      </c>
      <c r="BD144" s="762">
        <v>0</v>
      </c>
      <c r="BE144" s="762">
        <v>0</v>
      </c>
      <c r="BF144" s="762">
        <v>0</v>
      </c>
      <c r="BG144" s="762">
        <v>0</v>
      </c>
      <c r="BH144" s="762">
        <v>0</v>
      </c>
      <c r="BI144" s="762">
        <v>0</v>
      </c>
      <c r="BJ144" s="790">
        <v>0</v>
      </c>
      <c r="BK144" s="790">
        <v>1</v>
      </c>
      <c r="BL144" s="790">
        <v>0</v>
      </c>
      <c r="BM144" s="790">
        <v>0</v>
      </c>
      <c r="BN144" s="790">
        <v>1</v>
      </c>
      <c r="BO144" s="762">
        <v>0</v>
      </c>
      <c r="BP144" s="762">
        <v>-130688</v>
      </c>
      <c r="BQ144" s="762">
        <v>0</v>
      </c>
      <c r="BR144" s="762">
        <v>0</v>
      </c>
      <c r="BS144" s="762">
        <v>-130688</v>
      </c>
      <c r="BT144" s="790">
        <v>0.5</v>
      </c>
      <c r="BU144" s="790">
        <v>0.5</v>
      </c>
      <c r="BV144" s="790">
        <v>0</v>
      </c>
      <c r="BW144" s="790">
        <v>0</v>
      </c>
      <c r="BX144" s="790">
        <v>1</v>
      </c>
      <c r="BY144" s="762">
        <v>-369312</v>
      </c>
      <c r="BZ144" s="762">
        <v>-369312</v>
      </c>
      <c r="CA144" s="762">
        <v>0</v>
      </c>
      <c r="CB144" s="762">
        <v>0</v>
      </c>
      <c r="CC144" s="762">
        <v>-738624</v>
      </c>
      <c r="CD144" s="762">
        <v>-369312</v>
      </c>
      <c r="CE144" s="762">
        <v>-500000</v>
      </c>
      <c r="CF144" s="762">
        <v>0</v>
      </c>
      <c r="CG144" s="762">
        <v>0</v>
      </c>
      <c r="CH144" s="762">
        <v>-869312</v>
      </c>
      <c r="CI144" s="762">
        <v>9255233</v>
      </c>
      <c r="CJ144" s="762">
        <v>28920667</v>
      </c>
      <c r="CK144" s="762">
        <v>0</v>
      </c>
      <c r="CL144" s="762">
        <v>0</v>
      </c>
      <c r="CM144" s="762">
        <v>38175900</v>
      </c>
      <c r="CN144" s="762">
        <v>950093</v>
      </c>
      <c r="CO144" s="762">
        <v>0</v>
      </c>
      <c r="CP144" s="762">
        <v>0</v>
      </c>
      <c r="CQ144" s="762">
        <v>950093</v>
      </c>
      <c r="CR144" s="762">
        <v>4081822</v>
      </c>
      <c r="CS144" s="762">
        <v>0</v>
      </c>
      <c r="CT144" s="762">
        <v>0</v>
      </c>
      <c r="CU144" s="762">
        <v>4081822</v>
      </c>
      <c r="CV144" s="762">
        <v>166225</v>
      </c>
      <c r="CW144" s="762">
        <v>0</v>
      </c>
      <c r="CX144" s="762">
        <v>0</v>
      </c>
      <c r="CY144" s="762">
        <v>166225</v>
      </c>
      <c r="CZ144" s="762">
        <v>20954</v>
      </c>
      <c r="DA144" s="762">
        <v>0</v>
      </c>
      <c r="DB144" s="762">
        <v>0</v>
      </c>
      <c r="DC144" s="762">
        <v>20954</v>
      </c>
      <c r="DD144" s="762">
        <v>482</v>
      </c>
      <c r="DE144" s="762">
        <v>0</v>
      </c>
      <c r="DF144" s="762">
        <v>0</v>
      </c>
      <c r="DG144" s="762">
        <v>482</v>
      </c>
      <c r="DH144" s="762">
        <v>1162</v>
      </c>
      <c r="DI144" s="762">
        <v>0</v>
      </c>
      <c r="DJ144" s="762">
        <v>0</v>
      </c>
      <c r="DK144" s="762">
        <v>1162</v>
      </c>
      <c r="DL144" s="762">
        <v>25297</v>
      </c>
      <c r="DM144" s="762">
        <v>0</v>
      </c>
      <c r="DN144" s="762">
        <v>0</v>
      </c>
      <c r="DO144" s="762">
        <v>25297</v>
      </c>
      <c r="DP144" s="762">
        <v>77998</v>
      </c>
      <c r="DQ144" s="762">
        <v>0</v>
      </c>
      <c r="DR144" s="762">
        <v>0</v>
      </c>
      <c r="DS144" s="762">
        <v>77998</v>
      </c>
      <c r="DT144" s="762">
        <v>0</v>
      </c>
      <c r="DU144" s="762">
        <v>0</v>
      </c>
      <c r="DV144" s="762">
        <v>0</v>
      </c>
      <c r="DW144" s="762">
        <v>0</v>
      </c>
      <c r="DX144" s="762">
        <v>0</v>
      </c>
      <c r="DY144" s="762">
        <v>0</v>
      </c>
      <c r="DZ144" s="762">
        <v>0</v>
      </c>
      <c r="EA144" s="762">
        <v>0</v>
      </c>
      <c r="EB144" s="762">
        <v>592327</v>
      </c>
      <c r="EC144" s="762">
        <v>0</v>
      </c>
      <c r="ED144" s="762">
        <v>0</v>
      </c>
      <c r="EE144" s="762">
        <v>592327</v>
      </c>
      <c r="EF144" s="762">
        <v>5916360</v>
      </c>
      <c r="EG144" s="762">
        <v>0</v>
      </c>
      <c r="EH144" s="762">
        <v>0</v>
      </c>
      <c r="EI144" s="799">
        <v>5916360</v>
      </c>
      <c r="EJ144" s="763" t="s">
        <v>898</v>
      </c>
      <c r="EK144" s="607" t="s">
        <v>529</v>
      </c>
      <c r="EL144" s="805" t="s">
        <v>556</v>
      </c>
      <c r="EM144" t="s">
        <v>1710</v>
      </c>
    </row>
    <row r="145" spans="1:143" ht="12.75" x14ac:dyDescent="0.2">
      <c r="A145" s="764">
        <v>138</v>
      </c>
      <c r="B145" s="765" t="s">
        <v>162</v>
      </c>
      <c r="C145" s="766" t="s">
        <v>529</v>
      </c>
      <c r="D145" s="767" t="s">
        <v>1226</v>
      </c>
      <c r="E145" s="768" t="s">
        <v>899</v>
      </c>
      <c r="F145" s="761">
        <v>1386114</v>
      </c>
      <c r="G145" s="762">
        <v>5948</v>
      </c>
      <c r="H145" s="762">
        <v>0</v>
      </c>
      <c r="I145" s="762">
        <v>23703</v>
      </c>
      <c r="J145" s="762">
        <v>0</v>
      </c>
      <c r="K145" s="762">
        <v>23703</v>
      </c>
      <c r="L145" s="762">
        <v>0</v>
      </c>
      <c r="M145" s="762">
        <v>0</v>
      </c>
      <c r="N145" s="762">
        <v>0</v>
      </c>
      <c r="O145" s="762">
        <v>0</v>
      </c>
      <c r="P145" s="762">
        <v>0</v>
      </c>
      <c r="Q145" s="762">
        <v>0</v>
      </c>
      <c r="R145" s="762">
        <v>1368359</v>
      </c>
      <c r="S145" s="790">
        <v>0.5</v>
      </c>
      <c r="T145" s="790">
        <v>0.5</v>
      </c>
      <c r="U145" s="790">
        <v>0</v>
      </c>
      <c r="V145" s="790">
        <v>0</v>
      </c>
      <c r="W145" s="790">
        <v>1</v>
      </c>
      <c r="X145" s="762">
        <v>684179</v>
      </c>
      <c r="Y145" s="762">
        <v>684180</v>
      </c>
      <c r="Z145" s="762">
        <v>0</v>
      </c>
      <c r="AA145" s="762">
        <v>0</v>
      </c>
      <c r="AB145" s="762">
        <v>1368359</v>
      </c>
      <c r="AC145" s="762">
        <v>0</v>
      </c>
      <c r="AD145" s="762">
        <v>0</v>
      </c>
      <c r="AE145" s="762">
        <v>0</v>
      </c>
      <c r="AF145" s="762">
        <v>0</v>
      </c>
      <c r="AG145" s="762">
        <v>0</v>
      </c>
      <c r="AH145" s="762">
        <v>684179</v>
      </c>
      <c r="AI145" s="762">
        <v>684180</v>
      </c>
      <c r="AJ145" s="762">
        <v>0</v>
      </c>
      <c r="AK145" s="762">
        <v>0</v>
      </c>
      <c r="AL145" s="762">
        <v>1368359</v>
      </c>
      <c r="AM145" s="762">
        <v>23703</v>
      </c>
      <c r="AN145" s="762">
        <v>23703</v>
      </c>
      <c r="AO145" s="762">
        <v>0</v>
      </c>
      <c r="AP145" s="762">
        <v>0</v>
      </c>
      <c r="AQ145" s="762">
        <v>0</v>
      </c>
      <c r="AR145" s="762">
        <v>0</v>
      </c>
      <c r="AS145" s="762">
        <v>0</v>
      </c>
      <c r="AT145" s="762">
        <v>0</v>
      </c>
      <c r="AU145" s="762">
        <v>0</v>
      </c>
      <c r="AV145" s="762">
        <v>0</v>
      </c>
      <c r="AW145" s="762">
        <v>0</v>
      </c>
      <c r="AX145" s="762">
        <v>0</v>
      </c>
      <c r="AY145" s="762">
        <v>0</v>
      </c>
      <c r="AZ145" s="762">
        <v>0</v>
      </c>
      <c r="BA145" s="762">
        <v>0</v>
      </c>
      <c r="BB145" s="762">
        <v>0</v>
      </c>
      <c r="BC145" s="762">
        <v>0</v>
      </c>
      <c r="BD145" s="762">
        <v>0</v>
      </c>
      <c r="BE145" s="762">
        <v>0</v>
      </c>
      <c r="BF145" s="762">
        <v>0</v>
      </c>
      <c r="BG145" s="762">
        <v>0</v>
      </c>
      <c r="BH145" s="762">
        <v>0</v>
      </c>
      <c r="BI145" s="762">
        <v>0</v>
      </c>
      <c r="BJ145" s="790">
        <v>0.5</v>
      </c>
      <c r="BK145" s="790">
        <v>0.5</v>
      </c>
      <c r="BL145" s="790">
        <v>0</v>
      </c>
      <c r="BM145" s="790">
        <v>0</v>
      </c>
      <c r="BN145" s="790">
        <v>1</v>
      </c>
      <c r="BO145" s="762">
        <v>-6</v>
      </c>
      <c r="BP145" s="762">
        <v>-7</v>
      </c>
      <c r="BQ145" s="762">
        <v>0</v>
      </c>
      <c r="BR145" s="762">
        <v>0</v>
      </c>
      <c r="BS145" s="762">
        <v>-13</v>
      </c>
      <c r="BT145" s="790">
        <v>0.5</v>
      </c>
      <c r="BU145" s="790">
        <v>0.5</v>
      </c>
      <c r="BV145" s="790">
        <v>0</v>
      </c>
      <c r="BW145" s="790">
        <v>0</v>
      </c>
      <c r="BX145" s="790">
        <v>1</v>
      </c>
      <c r="BY145" s="762">
        <v>6</v>
      </c>
      <c r="BZ145" s="762">
        <v>7</v>
      </c>
      <c r="CA145" s="762">
        <v>0</v>
      </c>
      <c r="CB145" s="762">
        <v>0</v>
      </c>
      <c r="CC145" s="762">
        <v>13</v>
      </c>
      <c r="CD145" s="762">
        <v>0</v>
      </c>
      <c r="CE145" s="762">
        <v>0</v>
      </c>
      <c r="CF145" s="762">
        <v>0</v>
      </c>
      <c r="CG145" s="762">
        <v>0</v>
      </c>
      <c r="CH145" s="762">
        <v>0</v>
      </c>
      <c r="CI145" s="762">
        <v>684179</v>
      </c>
      <c r="CJ145" s="762">
        <v>707883</v>
      </c>
      <c r="CK145" s="762">
        <v>0</v>
      </c>
      <c r="CL145" s="762">
        <v>0</v>
      </c>
      <c r="CM145" s="762">
        <v>1392062</v>
      </c>
      <c r="CN145" s="762">
        <v>22295</v>
      </c>
      <c r="CO145" s="762">
        <v>0</v>
      </c>
      <c r="CP145" s="762">
        <v>0</v>
      </c>
      <c r="CQ145" s="762">
        <v>22295</v>
      </c>
      <c r="CR145" s="762">
        <v>192253</v>
      </c>
      <c r="CS145" s="762">
        <v>0</v>
      </c>
      <c r="CT145" s="762">
        <v>0</v>
      </c>
      <c r="CU145" s="762">
        <v>192253</v>
      </c>
      <c r="CV145" s="762">
        <v>4717</v>
      </c>
      <c r="CW145" s="762">
        <v>0</v>
      </c>
      <c r="CX145" s="762">
        <v>0</v>
      </c>
      <c r="CY145" s="762">
        <v>4717</v>
      </c>
      <c r="CZ145" s="762">
        <v>0</v>
      </c>
      <c r="DA145" s="762">
        <v>0</v>
      </c>
      <c r="DB145" s="762">
        <v>0</v>
      </c>
      <c r="DC145" s="762">
        <v>0</v>
      </c>
      <c r="DD145" s="762">
        <v>1043</v>
      </c>
      <c r="DE145" s="762">
        <v>0</v>
      </c>
      <c r="DF145" s="762">
        <v>0</v>
      </c>
      <c r="DG145" s="762">
        <v>1043</v>
      </c>
      <c r="DH145" s="762">
        <v>0</v>
      </c>
      <c r="DI145" s="762">
        <v>0</v>
      </c>
      <c r="DJ145" s="762">
        <v>0</v>
      </c>
      <c r="DK145" s="762">
        <v>0</v>
      </c>
      <c r="DL145" s="762">
        <v>0</v>
      </c>
      <c r="DM145" s="762">
        <v>0</v>
      </c>
      <c r="DN145" s="762">
        <v>0</v>
      </c>
      <c r="DO145" s="762">
        <v>0</v>
      </c>
      <c r="DP145" s="762">
        <v>1539</v>
      </c>
      <c r="DQ145" s="762">
        <v>0</v>
      </c>
      <c r="DR145" s="762">
        <v>0</v>
      </c>
      <c r="DS145" s="762">
        <v>1539</v>
      </c>
      <c r="DT145" s="762">
        <v>0</v>
      </c>
      <c r="DU145" s="762">
        <v>0</v>
      </c>
      <c r="DV145" s="762">
        <v>0</v>
      </c>
      <c r="DW145" s="762">
        <v>0</v>
      </c>
      <c r="DX145" s="762">
        <v>0</v>
      </c>
      <c r="DY145" s="762">
        <v>0</v>
      </c>
      <c r="DZ145" s="762">
        <v>0</v>
      </c>
      <c r="EA145" s="762">
        <v>0</v>
      </c>
      <c r="EB145" s="762">
        <v>32010</v>
      </c>
      <c r="EC145" s="762">
        <v>0</v>
      </c>
      <c r="ED145" s="762">
        <v>0</v>
      </c>
      <c r="EE145" s="762">
        <v>32010</v>
      </c>
      <c r="EF145" s="762">
        <v>253857</v>
      </c>
      <c r="EG145" s="762">
        <v>0</v>
      </c>
      <c r="EH145" s="762">
        <v>0</v>
      </c>
      <c r="EI145" s="799">
        <v>253857</v>
      </c>
      <c r="EJ145" s="763" t="s">
        <v>899</v>
      </c>
      <c r="EK145" s="607" t="s">
        <v>529</v>
      </c>
      <c r="EL145" s="805" t="s">
        <v>556</v>
      </c>
      <c r="EM145" t="s">
        <v>1711</v>
      </c>
    </row>
    <row r="146" spans="1:143" ht="12.75" x14ac:dyDescent="0.2">
      <c r="A146" s="764">
        <v>139</v>
      </c>
      <c r="B146" s="765" t="s">
        <v>164</v>
      </c>
      <c r="C146" s="766" t="s">
        <v>1228</v>
      </c>
      <c r="D146" s="767" t="s">
        <v>1223</v>
      </c>
      <c r="E146" s="768" t="s">
        <v>163</v>
      </c>
      <c r="F146" s="761">
        <v>275083822</v>
      </c>
      <c r="G146" s="762">
        <v>7944873</v>
      </c>
      <c r="H146" s="762">
        <v>0</v>
      </c>
      <c r="I146" s="762">
        <v>711439</v>
      </c>
      <c r="J146" s="762">
        <v>0</v>
      </c>
      <c r="K146" s="762">
        <v>711439</v>
      </c>
      <c r="L146" s="762">
        <v>0</v>
      </c>
      <c r="M146" s="762">
        <v>0</v>
      </c>
      <c r="N146" s="762">
        <v>76437</v>
      </c>
      <c r="O146" s="762">
        <v>76437</v>
      </c>
      <c r="P146" s="762">
        <v>0</v>
      </c>
      <c r="Q146" s="762">
        <v>0</v>
      </c>
      <c r="R146" s="762">
        <v>282240819</v>
      </c>
      <c r="S146" s="790">
        <v>0.25</v>
      </c>
      <c r="T146" s="790">
        <v>0.48</v>
      </c>
      <c r="U146" s="790">
        <v>0.27</v>
      </c>
      <c r="V146" s="790">
        <v>0</v>
      </c>
      <c r="W146" s="790">
        <v>1</v>
      </c>
      <c r="X146" s="762">
        <v>70560205</v>
      </c>
      <c r="Y146" s="762">
        <v>135475593</v>
      </c>
      <c r="Z146" s="762">
        <v>76205021</v>
      </c>
      <c r="AA146" s="762">
        <v>0</v>
      </c>
      <c r="AB146" s="762">
        <v>282240819</v>
      </c>
      <c r="AC146" s="762">
        <v>0</v>
      </c>
      <c r="AD146" s="762">
        <v>0</v>
      </c>
      <c r="AE146" s="762">
        <v>0</v>
      </c>
      <c r="AF146" s="762">
        <v>0</v>
      </c>
      <c r="AG146" s="762">
        <v>0</v>
      </c>
      <c r="AH146" s="762">
        <v>70560205</v>
      </c>
      <c r="AI146" s="762">
        <v>135475593</v>
      </c>
      <c r="AJ146" s="762">
        <v>76205021</v>
      </c>
      <c r="AK146" s="762">
        <v>0</v>
      </c>
      <c r="AL146" s="762">
        <v>282240819</v>
      </c>
      <c r="AM146" s="762">
        <v>711439</v>
      </c>
      <c r="AN146" s="762">
        <v>711439</v>
      </c>
      <c r="AO146" s="762">
        <v>0</v>
      </c>
      <c r="AP146" s="762">
        <v>0</v>
      </c>
      <c r="AQ146" s="762">
        <v>76437</v>
      </c>
      <c r="AR146" s="762">
        <v>0</v>
      </c>
      <c r="AS146" s="762">
        <v>76437</v>
      </c>
      <c r="AT146" s="762">
        <v>0</v>
      </c>
      <c r="AU146" s="762">
        <v>0</v>
      </c>
      <c r="AV146" s="762">
        <v>0</v>
      </c>
      <c r="AW146" s="762">
        <v>0</v>
      </c>
      <c r="AX146" s="762">
        <v>0</v>
      </c>
      <c r="AY146" s="762">
        <v>0</v>
      </c>
      <c r="AZ146" s="762">
        <v>0</v>
      </c>
      <c r="BA146" s="762">
        <v>0</v>
      </c>
      <c r="BB146" s="762">
        <v>0</v>
      </c>
      <c r="BC146" s="762">
        <v>0</v>
      </c>
      <c r="BD146" s="762">
        <v>0</v>
      </c>
      <c r="BE146" s="762">
        <v>0</v>
      </c>
      <c r="BF146" s="762">
        <v>0</v>
      </c>
      <c r="BG146" s="762">
        <v>0</v>
      </c>
      <c r="BH146" s="762">
        <v>0</v>
      </c>
      <c r="BI146" s="762">
        <v>0</v>
      </c>
      <c r="BJ146" s="790">
        <v>0</v>
      </c>
      <c r="BK146" s="790">
        <v>0.64</v>
      </c>
      <c r="BL146" s="790">
        <v>0.36</v>
      </c>
      <c r="BM146" s="790">
        <v>0</v>
      </c>
      <c r="BN146" s="790">
        <v>1</v>
      </c>
      <c r="BO146" s="762">
        <v>0</v>
      </c>
      <c r="BP146" s="762">
        <v>1736822</v>
      </c>
      <c r="BQ146" s="762">
        <v>976962</v>
      </c>
      <c r="BR146" s="762">
        <v>0</v>
      </c>
      <c r="BS146" s="762">
        <v>2713784</v>
      </c>
      <c r="BT146" s="790">
        <v>0.33</v>
      </c>
      <c r="BU146" s="790">
        <v>0.3</v>
      </c>
      <c r="BV146" s="790">
        <v>0.37</v>
      </c>
      <c r="BW146" s="790">
        <v>0</v>
      </c>
      <c r="BX146" s="790">
        <v>1</v>
      </c>
      <c r="BY146" s="762">
        <v>1066949</v>
      </c>
      <c r="BZ146" s="762">
        <v>969953</v>
      </c>
      <c r="CA146" s="762">
        <v>1196276</v>
      </c>
      <c r="CB146" s="762">
        <v>0</v>
      </c>
      <c r="CC146" s="762">
        <v>3233178</v>
      </c>
      <c r="CD146" s="762">
        <v>1066949</v>
      </c>
      <c r="CE146" s="762">
        <v>2706775</v>
      </c>
      <c r="CF146" s="762">
        <v>2173238</v>
      </c>
      <c r="CG146" s="762">
        <v>0</v>
      </c>
      <c r="CH146" s="762">
        <v>5946962</v>
      </c>
      <c r="CI146" s="762">
        <v>71627154</v>
      </c>
      <c r="CJ146" s="762">
        <v>138970244</v>
      </c>
      <c r="CK146" s="762">
        <v>78378259</v>
      </c>
      <c r="CL146" s="762">
        <v>0</v>
      </c>
      <c r="CM146" s="762">
        <v>288975657</v>
      </c>
      <c r="CN146" s="762">
        <v>4417174</v>
      </c>
      <c r="CO146" s="762">
        <v>2483259</v>
      </c>
      <c r="CP146" s="762">
        <v>0</v>
      </c>
      <c r="CQ146" s="762">
        <v>6900433</v>
      </c>
      <c r="CR146" s="762">
        <v>2213641</v>
      </c>
      <c r="CS146" s="762">
        <v>1245173</v>
      </c>
      <c r="CT146" s="762">
        <v>0</v>
      </c>
      <c r="CU146" s="762">
        <v>3458814</v>
      </c>
      <c r="CV146" s="762">
        <v>238518</v>
      </c>
      <c r="CW146" s="762">
        <v>134166</v>
      </c>
      <c r="CX146" s="762">
        <v>0</v>
      </c>
      <c r="CY146" s="762">
        <v>372684</v>
      </c>
      <c r="CZ146" s="762">
        <v>0</v>
      </c>
      <c r="DA146" s="762">
        <v>0</v>
      </c>
      <c r="DB146" s="762">
        <v>0</v>
      </c>
      <c r="DC146" s="762">
        <v>0</v>
      </c>
      <c r="DD146" s="762">
        <v>0</v>
      </c>
      <c r="DE146" s="762">
        <v>0</v>
      </c>
      <c r="DF146" s="762">
        <v>0</v>
      </c>
      <c r="DG146" s="762">
        <v>0</v>
      </c>
      <c r="DH146" s="762">
        <v>0</v>
      </c>
      <c r="DI146" s="762">
        <v>0</v>
      </c>
      <c r="DJ146" s="762">
        <v>0</v>
      </c>
      <c r="DK146" s="762">
        <v>0</v>
      </c>
      <c r="DL146" s="762">
        <v>127220</v>
      </c>
      <c r="DM146" s="762">
        <v>71562</v>
      </c>
      <c r="DN146" s="762">
        <v>0</v>
      </c>
      <c r="DO146" s="762">
        <v>198782</v>
      </c>
      <c r="DP146" s="762">
        <v>496633</v>
      </c>
      <c r="DQ146" s="762">
        <v>279356</v>
      </c>
      <c r="DR146" s="762">
        <v>0</v>
      </c>
      <c r="DS146" s="762">
        <v>775989</v>
      </c>
      <c r="DT146" s="762">
        <v>0</v>
      </c>
      <c r="DU146" s="762">
        <v>0</v>
      </c>
      <c r="DV146" s="762">
        <v>0</v>
      </c>
      <c r="DW146" s="762">
        <v>0</v>
      </c>
      <c r="DX146" s="762">
        <v>0</v>
      </c>
      <c r="DY146" s="762">
        <v>0</v>
      </c>
      <c r="DZ146" s="762">
        <v>0</v>
      </c>
      <c r="EA146" s="762">
        <v>0</v>
      </c>
      <c r="EB146" s="762">
        <v>3778756</v>
      </c>
      <c r="EC146" s="762">
        <v>2125551</v>
      </c>
      <c r="ED146" s="762">
        <v>0</v>
      </c>
      <c r="EE146" s="762">
        <v>5904307</v>
      </c>
      <c r="EF146" s="762">
        <v>11271942</v>
      </c>
      <c r="EG146" s="762">
        <v>6339067</v>
      </c>
      <c r="EH146" s="762">
        <v>0</v>
      </c>
      <c r="EI146" s="799">
        <v>17611009</v>
      </c>
      <c r="EJ146" s="763" t="s">
        <v>163</v>
      </c>
      <c r="EK146" s="607" t="s">
        <v>628</v>
      </c>
      <c r="EL146" s="272" t="s">
        <v>528</v>
      </c>
      <c r="EM146" t="s">
        <v>1712</v>
      </c>
    </row>
    <row r="147" spans="1:143" ht="12.75" x14ac:dyDescent="0.2">
      <c r="A147" s="764">
        <v>140</v>
      </c>
      <c r="B147" s="765" t="s">
        <v>166</v>
      </c>
      <c r="C147" s="766" t="s">
        <v>1228</v>
      </c>
      <c r="D147" s="767" t="s">
        <v>1223</v>
      </c>
      <c r="E147" s="768" t="s">
        <v>165</v>
      </c>
      <c r="F147" s="761">
        <v>331909817</v>
      </c>
      <c r="G147" s="762">
        <v>2249669</v>
      </c>
      <c r="H147" s="762">
        <v>0</v>
      </c>
      <c r="I147" s="762">
        <v>643432</v>
      </c>
      <c r="J147" s="762">
        <v>0</v>
      </c>
      <c r="K147" s="762">
        <v>643432</v>
      </c>
      <c r="L147" s="762">
        <v>0</v>
      </c>
      <c r="M147" s="762">
        <v>0</v>
      </c>
      <c r="N147" s="762">
        <v>0</v>
      </c>
      <c r="O147" s="762">
        <v>0</v>
      </c>
      <c r="P147" s="762">
        <v>0</v>
      </c>
      <c r="Q147" s="762">
        <v>0</v>
      </c>
      <c r="R147" s="762">
        <v>333516054</v>
      </c>
      <c r="S147" s="790">
        <v>0.25</v>
      </c>
      <c r="T147" s="790">
        <v>0.48</v>
      </c>
      <c r="U147" s="790">
        <v>0.27</v>
      </c>
      <c r="V147" s="790">
        <v>0</v>
      </c>
      <c r="W147" s="790">
        <v>1</v>
      </c>
      <c r="X147" s="762">
        <v>83379013</v>
      </c>
      <c r="Y147" s="762">
        <v>160087706</v>
      </c>
      <c r="Z147" s="762">
        <v>90049335</v>
      </c>
      <c r="AA147" s="762">
        <v>0</v>
      </c>
      <c r="AB147" s="762">
        <v>333516054</v>
      </c>
      <c r="AC147" s="762">
        <v>0</v>
      </c>
      <c r="AD147" s="762">
        <v>0</v>
      </c>
      <c r="AE147" s="762">
        <v>0</v>
      </c>
      <c r="AF147" s="762">
        <v>0</v>
      </c>
      <c r="AG147" s="762">
        <v>0</v>
      </c>
      <c r="AH147" s="762">
        <v>83379013</v>
      </c>
      <c r="AI147" s="762">
        <v>160087706</v>
      </c>
      <c r="AJ147" s="762">
        <v>90049335</v>
      </c>
      <c r="AK147" s="762">
        <v>0</v>
      </c>
      <c r="AL147" s="762">
        <v>333516054</v>
      </c>
      <c r="AM147" s="762">
        <v>643432</v>
      </c>
      <c r="AN147" s="762">
        <v>643432</v>
      </c>
      <c r="AO147" s="762">
        <v>0</v>
      </c>
      <c r="AP147" s="762">
        <v>0</v>
      </c>
      <c r="AQ147" s="762">
        <v>0</v>
      </c>
      <c r="AR147" s="762">
        <v>0</v>
      </c>
      <c r="AS147" s="762">
        <v>0</v>
      </c>
      <c r="AT147" s="762">
        <v>0</v>
      </c>
      <c r="AU147" s="762">
        <v>0</v>
      </c>
      <c r="AV147" s="762">
        <v>0</v>
      </c>
      <c r="AW147" s="762">
        <v>0</v>
      </c>
      <c r="AX147" s="762">
        <v>0</v>
      </c>
      <c r="AY147" s="762">
        <v>0</v>
      </c>
      <c r="AZ147" s="762">
        <v>0</v>
      </c>
      <c r="BA147" s="762">
        <v>0</v>
      </c>
      <c r="BB147" s="762">
        <v>0</v>
      </c>
      <c r="BC147" s="762">
        <v>0</v>
      </c>
      <c r="BD147" s="762">
        <v>0</v>
      </c>
      <c r="BE147" s="762">
        <v>0</v>
      </c>
      <c r="BF147" s="762">
        <v>0</v>
      </c>
      <c r="BG147" s="762">
        <v>0</v>
      </c>
      <c r="BH147" s="762">
        <v>0</v>
      </c>
      <c r="BI147" s="762">
        <v>0</v>
      </c>
      <c r="BJ147" s="790">
        <v>0</v>
      </c>
      <c r="BK147" s="790">
        <v>0.64</v>
      </c>
      <c r="BL147" s="790">
        <v>0.36</v>
      </c>
      <c r="BM147" s="790">
        <v>0</v>
      </c>
      <c r="BN147" s="790">
        <v>1</v>
      </c>
      <c r="BO147" s="762">
        <v>0</v>
      </c>
      <c r="BP147" s="762">
        <v>4511958</v>
      </c>
      <c r="BQ147" s="762">
        <v>2537977</v>
      </c>
      <c r="BR147" s="762">
        <v>0</v>
      </c>
      <c r="BS147" s="762">
        <v>7049935</v>
      </c>
      <c r="BT147" s="790">
        <v>0.33</v>
      </c>
      <c r="BU147" s="790">
        <v>0.3</v>
      </c>
      <c r="BV147" s="790">
        <v>0.37</v>
      </c>
      <c r="BW147" s="790">
        <v>0</v>
      </c>
      <c r="BX147" s="790">
        <v>1</v>
      </c>
      <c r="BY147" s="762">
        <v>-1203915</v>
      </c>
      <c r="BZ147" s="762">
        <v>-1094468</v>
      </c>
      <c r="CA147" s="762">
        <v>-1349844</v>
      </c>
      <c r="CB147" s="762">
        <v>0</v>
      </c>
      <c r="CC147" s="762">
        <v>-3648227</v>
      </c>
      <c r="CD147" s="762">
        <v>-1203915</v>
      </c>
      <c r="CE147" s="762">
        <v>3417490</v>
      </c>
      <c r="CF147" s="762">
        <v>1188133</v>
      </c>
      <c r="CG147" s="762">
        <v>0</v>
      </c>
      <c r="CH147" s="762">
        <v>3401708</v>
      </c>
      <c r="CI147" s="762">
        <v>82175098</v>
      </c>
      <c r="CJ147" s="762">
        <v>164148628</v>
      </c>
      <c r="CK147" s="762">
        <v>91237468</v>
      </c>
      <c r="CL147" s="762">
        <v>0</v>
      </c>
      <c r="CM147" s="762">
        <v>337561194</v>
      </c>
      <c r="CN147" s="762">
        <v>5216707</v>
      </c>
      <c r="CO147" s="762">
        <v>2934398</v>
      </c>
      <c r="CP147" s="762">
        <v>0</v>
      </c>
      <c r="CQ147" s="762">
        <v>8151105</v>
      </c>
      <c r="CR147" s="762">
        <v>1374197</v>
      </c>
      <c r="CS147" s="762">
        <v>772985</v>
      </c>
      <c r="CT147" s="762">
        <v>0</v>
      </c>
      <c r="CU147" s="762">
        <v>2147182</v>
      </c>
      <c r="CV147" s="762">
        <v>0</v>
      </c>
      <c r="CW147" s="762">
        <v>0</v>
      </c>
      <c r="CX147" s="762">
        <v>0</v>
      </c>
      <c r="CY147" s="762">
        <v>0</v>
      </c>
      <c r="CZ147" s="762">
        <v>1025</v>
      </c>
      <c r="DA147" s="762">
        <v>576</v>
      </c>
      <c r="DB147" s="762">
        <v>0</v>
      </c>
      <c r="DC147" s="762">
        <v>1601</v>
      </c>
      <c r="DD147" s="762">
        <v>0</v>
      </c>
      <c r="DE147" s="762">
        <v>0</v>
      </c>
      <c r="DF147" s="762">
        <v>0</v>
      </c>
      <c r="DG147" s="762">
        <v>0</v>
      </c>
      <c r="DH147" s="762">
        <v>0</v>
      </c>
      <c r="DI147" s="762">
        <v>0</v>
      </c>
      <c r="DJ147" s="762">
        <v>0</v>
      </c>
      <c r="DK147" s="762">
        <v>0</v>
      </c>
      <c r="DL147" s="762">
        <v>31088</v>
      </c>
      <c r="DM147" s="762">
        <v>17487</v>
      </c>
      <c r="DN147" s="762">
        <v>0</v>
      </c>
      <c r="DO147" s="762">
        <v>48575</v>
      </c>
      <c r="DP147" s="762">
        <v>279202</v>
      </c>
      <c r="DQ147" s="762">
        <v>157052</v>
      </c>
      <c r="DR147" s="762">
        <v>0</v>
      </c>
      <c r="DS147" s="762">
        <v>436254</v>
      </c>
      <c r="DT147" s="762">
        <v>0</v>
      </c>
      <c r="DU147" s="762">
        <v>0</v>
      </c>
      <c r="DV147" s="762">
        <v>0</v>
      </c>
      <c r="DW147" s="762">
        <v>0</v>
      </c>
      <c r="DX147" s="762">
        <v>0</v>
      </c>
      <c r="DY147" s="762">
        <v>0</v>
      </c>
      <c r="DZ147" s="762">
        <v>0</v>
      </c>
      <c r="EA147" s="762">
        <v>0</v>
      </c>
      <c r="EB147" s="762">
        <v>3185974</v>
      </c>
      <c r="EC147" s="762">
        <v>1792110</v>
      </c>
      <c r="ED147" s="762">
        <v>0</v>
      </c>
      <c r="EE147" s="762">
        <v>4978084</v>
      </c>
      <c r="EF147" s="762">
        <v>10088193</v>
      </c>
      <c r="EG147" s="762">
        <v>5674608</v>
      </c>
      <c r="EH147" s="762">
        <v>0</v>
      </c>
      <c r="EI147" s="799">
        <v>15762801</v>
      </c>
      <c r="EJ147" s="763" t="s">
        <v>165</v>
      </c>
      <c r="EK147" s="607" t="s">
        <v>628</v>
      </c>
      <c r="EL147" s="272" t="s">
        <v>528</v>
      </c>
      <c r="EM147" t="s">
        <v>1713</v>
      </c>
    </row>
    <row r="148" spans="1:143" ht="12.75" x14ac:dyDescent="0.2">
      <c r="A148" s="764">
        <v>141</v>
      </c>
      <c r="B148" s="765" t="s">
        <v>168</v>
      </c>
      <c r="C148" s="766" t="s">
        <v>1217</v>
      </c>
      <c r="D148" s="767" t="s">
        <v>1220</v>
      </c>
      <c r="E148" s="768" t="s">
        <v>1898</v>
      </c>
      <c r="F148" s="761">
        <v>32524851.078000002</v>
      </c>
      <c r="G148" s="762">
        <v>0</v>
      </c>
      <c r="H148" s="762">
        <v>71028.134999999995</v>
      </c>
      <c r="I148" s="762">
        <v>112109</v>
      </c>
      <c r="J148" s="762">
        <v>0</v>
      </c>
      <c r="K148" s="762">
        <v>112109</v>
      </c>
      <c r="L148" s="762">
        <v>0</v>
      </c>
      <c r="M148" s="762">
        <v>0</v>
      </c>
      <c r="N148" s="762">
        <v>349360</v>
      </c>
      <c r="O148" s="762">
        <v>349360</v>
      </c>
      <c r="P148" s="762">
        <v>0</v>
      </c>
      <c r="Q148" s="762">
        <v>0</v>
      </c>
      <c r="R148" s="762">
        <v>31992354</v>
      </c>
      <c r="S148" s="790">
        <v>0.25</v>
      </c>
      <c r="T148" s="790">
        <v>0.4</v>
      </c>
      <c r="U148" s="790">
        <v>0.33999999999999997</v>
      </c>
      <c r="V148" s="790">
        <v>0.01</v>
      </c>
      <c r="W148" s="790">
        <v>1</v>
      </c>
      <c r="X148" s="762">
        <v>7998088</v>
      </c>
      <c r="Y148" s="762">
        <v>12796942</v>
      </c>
      <c r="Z148" s="762">
        <v>10877400</v>
      </c>
      <c r="AA148" s="762">
        <v>319924</v>
      </c>
      <c r="AB148" s="762">
        <v>31992354</v>
      </c>
      <c r="AC148" s="762">
        <v>0</v>
      </c>
      <c r="AD148" s="762">
        <v>0</v>
      </c>
      <c r="AE148" s="762">
        <v>0</v>
      </c>
      <c r="AF148" s="762">
        <v>0</v>
      </c>
      <c r="AG148" s="762">
        <v>0</v>
      </c>
      <c r="AH148" s="762">
        <v>7998088</v>
      </c>
      <c r="AI148" s="762">
        <v>12796942</v>
      </c>
      <c r="AJ148" s="762">
        <v>10877400</v>
      </c>
      <c r="AK148" s="762">
        <v>319924</v>
      </c>
      <c r="AL148" s="762">
        <v>31992354</v>
      </c>
      <c r="AM148" s="762">
        <v>112109</v>
      </c>
      <c r="AN148" s="762">
        <v>112109</v>
      </c>
      <c r="AO148" s="762">
        <v>0</v>
      </c>
      <c r="AP148" s="762">
        <v>0</v>
      </c>
      <c r="AQ148" s="762">
        <v>349360</v>
      </c>
      <c r="AR148" s="762">
        <v>0</v>
      </c>
      <c r="AS148" s="762">
        <v>349360</v>
      </c>
      <c r="AT148" s="762">
        <v>0</v>
      </c>
      <c r="AU148" s="762">
        <v>0</v>
      </c>
      <c r="AV148" s="762">
        <v>0</v>
      </c>
      <c r="AW148" s="762">
        <v>0</v>
      </c>
      <c r="AX148" s="762">
        <v>0</v>
      </c>
      <c r="AY148" s="762">
        <v>0</v>
      </c>
      <c r="AZ148" s="762">
        <v>0</v>
      </c>
      <c r="BA148" s="762">
        <v>0</v>
      </c>
      <c r="BB148" s="762">
        <v>0</v>
      </c>
      <c r="BC148" s="762">
        <v>0</v>
      </c>
      <c r="BD148" s="762">
        <v>0</v>
      </c>
      <c r="BE148" s="762">
        <v>0</v>
      </c>
      <c r="BF148" s="762">
        <v>0</v>
      </c>
      <c r="BG148" s="762">
        <v>0</v>
      </c>
      <c r="BH148" s="762">
        <v>0</v>
      </c>
      <c r="BI148" s="762">
        <v>0</v>
      </c>
      <c r="BJ148" s="790">
        <v>0.5</v>
      </c>
      <c r="BK148" s="790">
        <v>0.4</v>
      </c>
      <c r="BL148" s="790">
        <v>0.1</v>
      </c>
      <c r="BM148" s="790">
        <v>0</v>
      </c>
      <c r="BN148" s="790">
        <v>1</v>
      </c>
      <c r="BO148" s="762">
        <v>771734</v>
      </c>
      <c r="BP148" s="762">
        <v>617387</v>
      </c>
      <c r="BQ148" s="762">
        <v>154347</v>
      </c>
      <c r="BR148" s="762">
        <v>0</v>
      </c>
      <c r="BS148" s="762">
        <v>1543468</v>
      </c>
      <c r="BT148" s="790">
        <v>0.5</v>
      </c>
      <c r="BU148" s="790">
        <v>0.4</v>
      </c>
      <c r="BV148" s="790">
        <v>0.1</v>
      </c>
      <c r="BW148" s="790">
        <v>0</v>
      </c>
      <c r="BX148" s="790">
        <v>1</v>
      </c>
      <c r="BY148" s="762">
        <v>-94538</v>
      </c>
      <c r="BZ148" s="762">
        <v>-75631</v>
      </c>
      <c r="CA148" s="762">
        <v>-18908</v>
      </c>
      <c r="CB148" s="762">
        <v>0</v>
      </c>
      <c r="CC148" s="762">
        <v>-189077</v>
      </c>
      <c r="CD148" s="762">
        <v>677196</v>
      </c>
      <c r="CE148" s="762">
        <v>541756</v>
      </c>
      <c r="CF148" s="762">
        <v>135439</v>
      </c>
      <c r="CG148" s="762">
        <v>0</v>
      </c>
      <c r="CH148" s="762">
        <v>1354391</v>
      </c>
      <c r="CI148" s="762">
        <v>8675284</v>
      </c>
      <c r="CJ148" s="762">
        <v>13800167</v>
      </c>
      <c r="CK148" s="762">
        <v>11012839</v>
      </c>
      <c r="CL148" s="762">
        <v>319924</v>
      </c>
      <c r="CM148" s="762">
        <v>33808214</v>
      </c>
      <c r="CN148" s="762">
        <v>428393</v>
      </c>
      <c r="CO148" s="762">
        <v>354457</v>
      </c>
      <c r="CP148" s="762">
        <v>10425</v>
      </c>
      <c r="CQ148" s="762">
        <v>793275</v>
      </c>
      <c r="CR148" s="762">
        <v>841347</v>
      </c>
      <c r="CS148" s="762">
        <v>715146</v>
      </c>
      <c r="CT148" s="762">
        <v>21034</v>
      </c>
      <c r="CU148" s="762">
        <v>1577527</v>
      </c>
      <c r="CV148" s="762">
        <v>56655</v>
      </c>
      <c r="CW148" s="762">
        <v>48157</v>
      </c>
      <c r="CX148" s="762">
        <v>1416</v>
      </c>
      <c r="CY148" s="762">
        <v>106228</v>
      </c>
      <c r="CZ148" s="762">
        <v>4974</v>
      </c>
      <c r="DA148" s="762">
        <v>4228</v>
      </c>
      <c r="DB148" s="762">
        <v>124</v>
      </c>
      <c r="DC148" s="762">
        <v>9326</v>
      </c>
      <c r="DD148" s="762">
        <v>1660</v>
      </c>
      <c r="DE148" s="762">
        <v>1410</v>
      </c>
      <c r="DF148" s="762">
        <v>41</v>
      </c>
      <c r="DG148" s="762">
        <v>3111</v>
      </c>
      <c r="DH148" s="762">
        <v>0</v>
      </c>
      <c r="DI148" s="762">
        <v>0</v>
      </c>
      <c r="DJ148" s="762">
        <v>0</v>
      </c>
      <c r="DK148" s="762">
        <v>0</v>
      </c>
      <c r="DL148" s="762">
        <v>413</v>
      </c>
      <c r="DM148" s="762">
        <v>351</v>
      </c>
      <c r="DN148" s="762">
        <v>10</v>
      </c>
      <c r="DO148" s="762">
        <v>774</v>
      </c>
      <c r="DP148" s="762">
        <v>6944</v>
      </c>
      <c r="DQ148" s="762">
        <v>5902</v>
      </c>
      <c r="DR148" s="762">
        <v>174</v>
      </c>
      <c r="DS148" s="762">
        <v>13020</v>
      </c>
      <c r="DT148" s="762">
        <v>0</v>
      </c>
      <c r="DU148" s="762">
        <v>0</v>
      </c>
      <c r="DV148" s="762">
        <v>0</v>
      </c>
      <c r="DW148" s="762">
        <v>0</v>
      </c>
      <c r="DX148" s="762">
        <v>0</v>
      </c>
      <c r="DY148" s="762">
        <v>0</v>
      </c>
      <c r="DZ148" s="762">
        <v>0</v>
      </c>
      <c r="EA148" s="762">
        <v>0</v>
      </c>
      <c r="EB148" s="762">
        <v>227169</v>
      </c>
      <c r="EC148" s="762">
        <v>193094</v>
      </c>
      <c r="ED148" s="762">
        <v>5679</v>
      </c>
      <c r="EE148" s="762">
        <v>425942</v>
      </c>
      <c r="EF148" s="762">
        <v>1567555</v>
      </c>
      <c r="EG148" s="762">
        <v>1322745</v>
      </c>
      <c r="EH148" s="762">
        <v>38903</v>
      </c>
      <c r="EI148" s="799">
        <v>2929203</v>
      </c>
      <c r="EJ148" s="763" t="s">
        <v>167</v>
      </c>
      <c r="EK148" s="607" t="s">
        <v>605</v>
      </c>
      <c r="EL148" s="805" t="s">
        <v>556</v>
      </c>
      <c r="EM148" t="s">
        <v>1714</v>
      </c>
    </row>
    <row r="149" spans="1:143" ht="12.75" x14ac:dyDescent="0.2">
      <c r="A149" s="764">
        <v>142</v>
      </c>
      <c r="B149" s="765" t="s">
        <v>170</v>
      </c>
      <c r="C149" s="766" t="s">
        <v>1217</v>
      </c>
      <c r="D149" s="767" t="s">
        <v>1221</v>
      </c>
      <c r="E149" s="768" t="s">
        <v>901</v>
      </c>
      <c r="F149" s="761">
        <v>46522101</v>
      </c>
      <c r="G149" s="762">
        <v>252696</v>
      </c>
      <c r="H149" s="762">
        <v>0</v>
      </c>
      <c r="I149" s="762">
        <v>223618</v>
      </c>
      <c r="J149" s="762">
        <v>0</v>
      </c>
      <c r="K149" s="762">
        <v>223618</v>
      </c>
      <c r="L149" s="762">
        <v>0</v>
      </c>
      <c r="M149" s="762">
        <v>0</v>
      </c>
      <c r="N149" s="762">
        <v>2614400</v>
      </c>
      <c r="O149" s="762">
        <v>2614400</v>
      </c>
      <c r="P149" s="762">
        <v>0</v>
      </c>
      <c r="Q149" s="762">
        <v>0</v>
      </c>
      <c r="R149" s="762">
        <v>43936779</v>
      </c>
      <c r="S149" s="790">
        <v>0.25000000000000006</v>
      </c>
      <c r="T149" s="790">
        <v>0.42499999999999999</v>
      </c>
      <c r="U149" s="790">
        <v>0.32500000000000001</v>
      </c>
      <c r="V149" s="790">
        <v>0</v>
      </c>
      <c r="W149" s="790">
        <v>1</v>
      </c>
      <c r="X149" s="762">
        <v>10984195</v>
      </c>
      <c r="Y149" s="762">
        <v>18673131</v>
      </c>
      <c r="Z149" s="762">
        <v>14279453</v>
      </c>
      <c r="AA149" s="762">
        <v>0</v>
      </c>
      <c r="AB149" s="762">
        <v>43936779</v>
      </c>
      <c r="AC149" s="762">
        <v>79701</v>
      </c>
      <c r="AD149" s="762">
        <v>0</v>
      </c>
      <c r="AE149" s="762">
        <v>0</v>
      </c>
      <c r="AF149" s="762">
        <v>0</v>
      </c>
      <c r="AG149" s="762">
        <v>79701</v>
      </c>
      <c r="AH149" s="762">
        <v>10904494</v>
      </c>
      <c r="AI149" s="762">
        <v>18673131</v>
      </c>
      <c r="AJ149" s="762">
        <v>14279453</v>
      </c>
      <c r="AK149" s="762">
        <v>0</v>
      </c>
      <c r="AL149" s="762">
        <v>43857078</v>
      </c>
      <c r="AM149" s="762">
        <v>223618</v>
      </c>
      <c r="AN149" s="762">
        <v>223618</v>
      </c>
      <c r="AO149" s="762">
        <v>0</v>
      </c>
      <c r="AP149" s="762">
        <v>0</v>
      </c>
      <c r="AQ149" s="762">
        <v>2614400</v>
      </c>
      <c r="AR149" s="762">
        <v>0</v>
      </c>
      <c r="AS149" s="762">
        <v>2614400</v>
      </c>
      <c r="AT149" s="762">
        <v>0</v>
      </c>
      <c r="AU149" s="762">
        <v>0</v>
      </c>
      <c r="AV149" s="762">
        <v>0</v>
      </c>
      <c r="AW149" s="762">
        <v>0</v>
      </c>
      <c r="AX149" s="762">
        <v>79701</v>
      </c>
      <c r="AY149" s="762">
        <v>0</v>
      </c>
      <c r="AZ149" s="762">
        <v>0</v>
      </c>
      <c r="BA149" s="762">
        <v>79701</v>
      </c>
      <c r="BB149" s="762">
        <v>0</v>
      </c>
      <c r="BC149" s="762">
        <v>0</v>
      </c>
      <c r="BD149" s="762">
        <v>0</v>
      </c>
      <c r="BE149" s="762">
        <v>0</v>
      </c>
      <c r="BF149" s="762">
        <v>0</v>
      </c>
      <c r="BG149" s="762">
        <v>0</v>
      </c>
      <c r="BH149" s="762">
        <v>0</v>
      </c>
      <c r="BI149" s="762">
        <v>0</v>
      </c>
      <c r="BJ149" s="790">
        <v>0.5</v>
      </c>
      <c r="BK149" s="790">
        <v>0.4</v>
      </c>
      <c r="BL149" s="790">
        <v>0.1</v>
      </c>
      <c r="BM149" s="790">
        <v>0</v>
      </c>
      <c r="BN149" s="790">
        <v>1</v>
      </c>
      <c r="BO149" s="762">
        <v>106012</v>
      </c>
      <c r="BP149" s="762">
        <v>84809</v>
      </c>
      <c r="BQ149" s="762">
        <v>21202</v>
      </c>
      <c r="BR149" s="762">
        <v>0</v>
      </c>
      <c r="BS149" s="762">
        <v>212023</v>
      </c>
      <c r="BT149" s="790">
        <v>0.5</v>
      </c>
      <c r="BU149" s="790">
        <v>0.4</v>
      </c>
      <c r="BV149" s="790">
        <v>0.1</v>
      </c>
      <c r="BW149" s="790">
        <v>0</v>
      </c>
      <c r="BX149" s="790">
        <v>1</v>
      </c>
      <c r="BY149" s="762">
        <v>-278626</v>
      </c>
      <c r="BZ149" s="762">
        <v>-222901</v>
      </c>
      <c r="CA149" s="762">
        <v>-55725</v>
      </c>
      <c r="CB149" s="762">
        <v>0</v>
      </c>
      <c r="CC149" s="762">
        <v>-557252</v>
      </c>
      <c r="CD149" s="762">
        <v>-172614</v>
      </c>
      <c r="CE149" s="762">
        <v>-138092</v>
      </c>
      <c r="CF149" s="762">
        <v>-34523</v>
      </c>
      <c r="CG149" s="762">
        <v>0</v>
      </c>
      <c r="CH149" s="762">
        <v>-345229</v>
      </c>
      <c r="CI149" s="762">
        <v>10731880</v>
      </c>
      <c r="CJ149" s="762">
        <v>21452758</v>
      </c>
      <c r="CK149" s="762">
        <v>14244930</v>
      </c>
      <c r="CL149" s="762">
        <v>0</v>
      </c>
      <c r="CM149" s="762">
        <v>46429568</v>
      </c>
      <c r="CN149" s="762">
        <v>696285</v>
      </c>
      <c r="CO149" s="762">
        <v>465318</v>
      </c>
      <c r="CP149" s="762">
        <v>0</v>
      </c>
      <c r="CQ149" s="762">
        <v>1161603</v>
      </c>
      <c r="CR149" s="762">
        <v>1737253</v>
      </c>
      <c r="CS149" s="762">
        <v>1323976</v>
      </c>
      <c r="CT149" s="762">
        <v>0</v>
      </c>
      <c r="CU149" s="762">
        <v>3061229</v>
      </c>
      <c r="CV149" s="762">
        <v>103573</v>
      </c>
      <c r="CW149" s="762">
        <v>79203</v>
      </c>
      <c r="CX149" s="762">
        <v>0</v>
      </c>
      <c r="CY149" s="762">
        <v>182776</v>
      </c>
      <c r="CZ149" s="762">
        <v>701</v>
      </c>
      <c r="DA149" s="762">
        <v>537</v>
      </c>
      <c r="DB149" s="762">
        <v>0</v>
      </c>
      <c r="DC149" s="762">
        <v>1238</v>
      </c>
      <c r="DD149" s="762">
        <v>28714</v>
      </c>
      <c r="DE149" s="762">
        <v>21958</v>
      </c>
      <c r="DF149" s="762">
        <v>0</v>
      </c>
      <c r="DG149" s="762">
        <v>50672</v>
      </c>
      <c r="DH149" s="762">
        <v>659</v>
      </c>
      <c r="DI149" s="762">
        <v>503</v>
      </c>
      <c r="DJ149" s="762">
        <v>0</v>
      </c>
      <c r="DK149" s="762">
        <v>1162</v>
      </c>
      <c r="DL149" s="762">
        <v>29756</v>
      </c>
      <c r="DM149" s="762">
        <v>22754</v>
      </c>
      <c r="DN149" s="762">
        <v>0</v>
      </c>
      <c r="DO149" s="762">
        <v>52510</v>
      </c>
      <c r="DP149" s="762">
        <v>36244</v>
      </c>
      <c r="DQ149" s="762">
        <v>27715</v>
      </c>
      <c r="DR149" s="762">
        <v>0</v>
      </c>
      <c r="DS149" s="762">
        <v>63959</v>
      </c>
      <c r="DT149" s="762">
        <v>0</v>
      </c>
      <c r="DU149" s="762">
        <v>0</v>
      </c>
      <c r="DV149" s="762">
        <v>0</v>
      </c>
      <c r="DW149" s="762">
        <v>0</v>
      </c>
      <c r="DX149" s="762">
        <v>0</v>
      </c>
      <c r="DY149" s="762">
        <v>0</v>
      </c>
      <c r="DZ149" s="762">
        <v>0</v>
      </c>
      <c r="EA149" s="762">
        <v>0</v>
      </c>
      <c r="EB149" s="762">
        <v>304341</v>
      </c>
      <c r="EC149" s="762">
        <v>232731</v>
      </c>
      <c r="ED149" s="762">
        <v>0</v>
      </c>
      <c r="EE149" s="762">
        <v>537072</v>
      </c>
      <c r="EF149" s="762">
        <v>2937526</v>
      </c>
      <c r="EG149" s="762">
        <v>2174695</v>
      </c>
      <c r="EH149" s="762">
        <v>0</v>
      </c>
      <c r="EI149" s="799">
        <v>5112221</v>
      </c>
      <c r="EJ149" s="763" t="s">
        <v>901</v>
      </c>
      <c r="EK149" s="607" t="s">
        <v>601</v>
      </c>
      <c r="EL149" s="805" t="s">
        <v>556</v>
      </c>
      <c r="EM149" t="s">
        <v>1715</v>
      </c>
    </row>
    <row r="150" spans="1:143" ht="12.75" x14ac:dyDescent="0.2">
      <c r="A150" s="764">
        <v>143</v>
      </c>
      <c r="B150" s="765" t="s">
        <v>172</v>
      </c>
      <c r="C150" s="766" t="s">
        <v>529</v>
      </c>
      <c r="D150" s="767" t="s">
        <v>1225</v>
      </c>
      <c r="E150" s="768" t="s">
        <v>897</v>
      </c>
      <c r="F150" s="761">
        <v>90629358</v>
      </c>
      <c r="G150" s="762">
        <v>0</v>
      </c>
      <c r="H150" s="762">
        <v>1881159</v>
      </c>
      <c r="I150" s="762">
        <v>356423</v>
      </c>
      <c r="J150" s="762">
        <v>0</v>
      </c>
      <c r="K150" s="762">
        <v>356423</v>
      </c>
      <c r="L150" s="762">
        <v>0</v>
      </c>
      <c r="M150" s="762">
        <v>2983259</v>
      </c>
      <c r="N150" s="762">
        <v>1314600</v>
      </c>
      <c r="O150" s="762">
        <v>1314600</v>
      </c>
      <c r="P150" s="762">
        <v>0</v>
      </c>
      <c r="Q150" s="762">
        <v>0</v>
      </c>
      <c r="R150" s="762">
        <v>84093917</v>
      </c>
      <c r="S150" s="790">
        <v>0.5</v>
      </c>
      <c r="T150" s="790">
        <v>0.49</v>
      </c>
      <c r="U150" s="790">
        <v>0</v>
      </c>
      <c r="V150" s="790">
        <v>0.01</v>
      </c>
      <c r="W150" s="790">
        <v>1</v>
      </c>
      <c r="X150" s="762">
        <v>42046959</v>
      </c>
      <c r="Y150" s="762">
        <v>41206019</v>
      </c>
      <c r="Z150" s="762">
        <v>0</v>
      </c>
      <c r="AA150" s="762">
        <v>840939</v>
      </c>
      <c r="AB150" s="762">
        <v>84093917</v>
      </c>
      <c r="AC150" s="762">
        <v>63660</v>
      </c>
      <c r="AD150" s="762">
        <v>0</v>
      </c>
      <c r="AE150" s="762">
        <v>0</v>
      </c>
      <c r="AF150" s="762">
        <v>0</v>
      </c>
      <c r="AG150" s="762">
        <v>63660</v>
      </c>
      <c r="AH150" s="762">
        <v>41983299</v>
      </c>
      <c r="AI150" s="762">
        <v>41206019</v>
      </c>
      <c r="AJ150" s="762">
        <v>0</v>
      </c>
      <c r="AK150" s="762">
        <v>840939</v>
      </c>
      <c r="AL150" s="762">
        <v>84030257</v>
      </c>
      <c r="AM150" s="762">
        <v>356423</v>
      </c>
      <c r="AN150" s="762">
        <v>356423</v>
      </c>
      <c r="AO150" s="762">
        <v>2983259</v>
      </c>
      <c r="AP150" s="762">
        <v>2983259</v>
      </c>
      <c r="AQ150" s="762">
        <v>1314600</v>
      </c>
      <c r="AR150" s="762">
        <v>0</v>
      </c>
      <c r="AS150" s="762">
        <v>1314600</v>
      </c>
      <c r="AT150" s="762">
        <v>0</v>
      </c>
      <c r="AU150" s="762">
        <v>0</v>
      </c>
      <c r="AV150" s="762">
        <v>0</v>
      </c>
      <c r="AW150" s="762">
        <v>0</v>
      </c>
      <c r="AX150" s="762">
        <v>63660</v>
      </c>
      <c r="AY150" s="762">
        <v>0</v>
      </c>
      <c r="AZ150" s="762">
        <v>0</v>
      </c>
      <c r="BA150" s="762">
        <v>63660</v>
      </c>
      <c r="BB150" s="762">
        <v>0</v>
      </c>
      <c r="BC150" s="762">
        <v>0</v>
      </c>
      <c r="BD150" s="762">
        <v>0</v>
      </c>
      <c r="BE150" s="762">
        <v>0</v>
      </c>
      <c r="BF150" s="762">
        <v>0</v>
      </c>
      <c r="BG150" s="762">
        <v>0</v>
      </c>
      <c r="BH150" s="762">
        <v>0</v>
      </c>
      <c r="BI150" s="762">
        <v>0</v>
      </c>
      <c r="BJ150" s="790">
        <v>0.5</v>
      </c>
      <c r="BK150" s="790">
        <v>0.49</v>
      </c>
      <c r="BL150" s="790">
        <v>0</v>
      </c>
      <c r="BM150" s="790">
        <v>0.01</v>
      </c>
      <c r="BN150" s="790">
        <v>1</v>
      </c>
      <c r="BO150" s="762">
        <v>-1118992</v>
      </c>
      <c r="BP150" s="762">
        <v>-1096613</v>
      </c>
      <c r="BQ150" s="762">
        <v>0</v>
      </c>
      <c r="BR150" s="762">
        <v>-22380</v>
      </c>
      <c r="BS150" s="762">
        <v>-2237985</v>
      </c>
      <c r="BT150" s="790">
        <v>0.5</v>
      </c>
      <c r="BU150" s="790">
        <v>0.49</v>
      </c>
      <c r="BV150" s="790">
        <v>0</v>
      </c>
      <c r="BW150" s="790">
        <v>0.01</v>
      </c>
      <c r="BX150" s="790">
        <v>1</v>
      </c>
      <c r="BY150" s="762">
        <v>-977261</v>
      </c>
      <c r="BZ150" s="762">
        <v>-957716</v>
      </c>
      <c r="CA150" s="762">
        <v>0</v>
      </c>
      <c r="CB150" s="762">
        <v>-19545</v>
      </c>
      <c r="CC150" s="762">
        <v>-1954522</v>
      </c>
      <c r="CD150" s="762">
        <v>-2096254</v>
      </c>
      <c r="CE150" s="762">
        <v>-2054328</v>
      </c>
      <c r="CF150" s="762">
        <v>0</v>
      </c>
      <c r="CG150" s="762">
        <v>-41925</v>
      </c>
      <c r="CH150" s="762">
        <v>-4192507</v>
      </c>
      <c r="CI150" s="762">
        <v>39887045</v>
      </c>
      <c r="CJ150" s="762">
        <v>43869633</v>
      </c>
      <c r="CK150" s="762">
        <v>0</v>
      </c>
      <c r="CL150" s="762">
        <v>799014</v>
      </c>
      <c r="CM150" s="762">
        <v>84555692</v>
      </c>
      <c r="CN150" s="762">
        <v>1484889</v>
      </c>
      <c r="CO150" s="762">
        <v>0</v>
      </c>
      <c r="CP150" s="762">
        <v>27403</v>
      </c>
      <c r="CQ150" s="762">
        <v>1512292</v>
      </c>
      <c r="CR150" s="762">
        <v>3168816</v>
      </c>
      <c r="CS150" s="762">
        <v>0</v>
      </c>
      <c r="CT150" s="762">
        <v>64670</v>
      </c>
      <c r="CU150" s="762">
        <v>3233486</v>
      </c>
      <c r="CV150" s="762">
        <v>212060</v>
      </c>
      <c r="CW150" s="762">
        <v>0</v>
      </c>
      <c r="CX150" s="762">
        <v>4264</v>
      </c>
      <c r="CY150" s="762">
        <v>216324</v>
      </c>
      <c r="CZ150" s="762">
        <v>0</v>
      </c>
      <c r="DA150" s="762">
        <v>0</v>
      </c>
      <c r="DB150" s="762">
        <v>0</v>
      </c>
      <c r="DC150" s="762">
        <v>0</v>
      </c>
      <c r="DD150" s="762">
        <v>0</v>
      </c>
      <c r="DE150" s="762">
        <v>0</v>
      </c>
      <c r="DF150" s="762">
        <v>0</v>
      </c>
      <c r="DG150" s="762">
        <v>0</v>
      </c>
      <c r="DH150" s="762">
        <v>759</v>
      </c>
      <c r="DI150" s="762">
        <v>0</v>
      </c>
      <c r="DJ150" s="762">
        <v>15</v>
      </c>
      <c r="DK150" s="762">
        <v>774</v>
      </c>
      <c r="DL150" s="762">
        <v>9277</v>
      </c>
      <c r="DM150" s="762">
        <v>0</v>
      </c>
      <c r="DN150" s="762">
        <v>189</v>
      </c>
      <c r="DO150" s="762">
        <v>9466</v>
      </c>
      <c r="DP150" s="762">
        <v>31135</v>
      </c>
      <c r="DQ150" s="762">
        <v>0</v>
      </c>
      <c r="DR150" s="762">
        <v>635</v>
      </c>
      <c r="DS150" s="762">
        <v>31770</v>
      </c>
      <c r="DT150" s="762">
        <v>0</v>
      </c>
      <c r="DU150" s="762">
        <v>0</v>
      </c>
      <c r="DV150" s="762">
        <v>0</v>
      </c>
      <c r="DW150" s="762">
        <v>0</v>
      </c>
      <c r="DX150" s="762">
        <v>0</v>
      </c>
      <c r="DY150" s="762">
        <v>0</v>
      </c>
      <c r="DZ150" s="762">
        <v>0</v>
      </c>
      <c r="EA150" s="762">
        <v>0</v>
      </c>
      <c r="EB150" s="762">
        <v>640011</v>
      </c>
      <c r="EC150" s="762">
        <v>0</v>
      </c>
      <c r="ED150" s="762">
        <v>13061</v>
      </c>
      <c r="EE150" s="762">
        <v>653072</v>
      </c>
      <c r="EF150" s="762">
        <v>5546947</v>
      </c>
      <c r="EG150" s="762">
        <v>0</v>
      </c>
      <c r="EH150" s="762">
        <v>110237</v>
      </c>
      <c r="EI150" s="799">
        <v>5657184</v>
      </c>
      <c r="EJ150" s="763" t="s">
        <v>897</v>
      </c>
      <c r="EK150" s="607" t="s">
        <v>529</v>
      </c>
      <c r="EL150" s="805" t="s">
        <v>586</v>
      </c>
      <c r="EM150" t="s">
        <v>1716</v>
      </c>
    </row>
    <row r="151" spans="1:143" ht="12.75" x14ac:dyDescent="0.2">
      <c r="A151" s="764">
        <v>144</v>
      </c>
      <c r="B151" s="765" t="s">
        <v>174</v>
      </c>
      <c r="C151" s="766" t="s">
        <v>1222</v>
      </c>
      <c r="D151" s="767" t="s">
        <v>1223</v>
      </c>
      <c r="E151" s="768" t="s">
        <v>173</v>
      </c>
      <c r="F151" s="761">
        <v>86575439</v>
      </c>
      <c r="G151" s="762">
        <v>225525</v>
      </c>
      <c r="H151" s="762">
        <v>0</v>
      </c>
      <c r="I151" s="762">
        <v>238803</v>
      </c>
      <c r="J151" s="762">
        <v>0</v>
      </c>
      <c r="K151" s="762">
        <v>238803</v>
      </c>
      <c r="L151" s="762">
        <v>0</v>
      </c>
      <c r="M151" s="762">
        <v>0</v>
      </c>
      <c r="N151" s="762">
        <v>0</v>
      </c>
      <c r="O151" s="762">
        <v>0</v>
      </c>
      <c r="P151" s="762">
        <v>0</v>
      </c>
      <c r="Q151" s="762">
        <v>0</v>
      </c>
      <c r="R151" s="762">
        <v>86562161</v>
      </c>
      <c r="S151" s="790">
        <v>0.25</v>
      </c>
      <c r="T151" s="790">
        <v>0.48</v>
      </c>
      <c r="U151" s="790">
        <v>0.27</v>
      </c>
      <c r="V151" s="790">
        <v>0</v>
      </c>
      <c r="W151" s="790">
        <v>1</v>
      </c>
      <c r="X151" s="762">
        <v>21640541</v>
      </c>
      <c r="Y151" s="762">
        <v>41549837</v>
      </c>
      <c r="Z151" s="762">
        <v>23371783</v>
      </c>
      <c r="AA151" s="762">
        <v>0</v>
      </c>
      <c r="AB151" s="762">
        <v>86562161</v>
      </c>
      <c r="AC151" s="762">
        <v>0</v>
      </c>
      <c r="AD151" s="762">
        <v>0</v>
      </c>
      <c r="AE151" s="762">
        <v>0</v>
      </c>
      <c r="AF151" s="762">
        <v>0</v>
      </c>
      <c r="AG151" s="762">
        <v>0</v>
      </c>
      <c r="AH151" s="762">
        <v>21640541</v>
      </c>
      <c r="AI151" s="762">
        <v>41549837</v>
      </c>
      <c r="AJ151" s="762">
        <v>23371783</v>
      </c>
      <c r="AK151" s="762">
        <v>0</v>
      </c>
      <c r="AL151" s="762">
        <v>86562161</v>
      </c>
      <c r="AM151" s="762">
        <v>238803</v>
      </c>
      <c r="AN151" s="762">
        <v>238803</v>
      </c>
      <c r="AO151" s="762">
        <v>0</v>
      </c>
      <c r="AP151" s="762">
        <v>0</v>
      </c>
      <c r="AQ151" s="762">
        <v>0</v>
      </c>
      <c r="AR151" s="762">
        <v>0</v>
      </c>
      <c r="AS151" s="762">
        <v>0</v>
      </c>
      <c r="AT151" s="762">
        <v>0</v>
      </c>
      <c r="AU151" s="762">
        <v>0</v>
      </c>
      <c r="AV151" s="762">
        <v>0</v>
      </c>
      <c r="AW151" s="762">
        <v>0</v>
      </c>
      <c r="AX151" s="762">
        <v>0</v>
      </c>
      <c r="AY151" s="762">
        <v>0</v>
      </c>
      <c r="AZ151" s="762">
        <v>0</v>
      </c>
      <c r="BA151" s="762">
        <v>0</v>
      </c>
      <c r="BB151" s="762">
        <v>0</v>
      </c>
      <c r="BC151" s="762">
        <v>0</v>
      </c>
      <c r="BD151" s="762">
        <v>0</v>
      </c>
      <c r="BE151" s="762">
        <v>0</v>
      </c>
      <c r="BF151" s="762">
        <v>0</v>
      </c>
      <c r="BG151" s="762">
        <v>0</v>
      </c>
      <c r="BH151" s="762">
        <v>0</v>
      </c>
      <c r="BI151" s="762">
        <v>0</v>
      </c>
      <c r="BJ151" s="790">
        <v>0</v>
      </c>
      <c r="BK151" s="790">
        <v>0.64</v>
      </c>
      <c r="BL151" s="790">
        <v>0.36</v>
      </c>
      <c r="BM151" s="790">
        <v>0</v>
      </c>
      <c r="BN151" s="790">
        <v>1</v>
      </c>
      <c r="BO151" s="762">
        <v>0</v>
      </c>
      <c r="BP151" s="762">
        <v>-447717</v>
      </c>
      <c r="BQ151" s="762">
        <v>-251841</v>
      </c>
      <c r="BR151" s="762">
        <v>0</v>
      </c>
      <c r="BS151" s="762">
        <v>-699558</v>
      </c>
      <c r="BT151" s="790">
        <v>0.33</v>
      </c>
      <c r="BU151" s="790">
        <v>0.3</v>
      </c>
      <c r="BV151" s="790">
        <v>0.37</v>
      </c>
      <c r="BW151" s="790">
        <v>0</v>
      </c>
      <c r="BX151" s="790">
        <v>1</v>
      </c>
      <c r="BY151" s="762">
        <v>1629972</v>
      </c>
      <c r="BZ151" s="762">
        <v>1481793</v>
      </c>
      <c r="CA151" s="762">
        <v>1827544</v>
      </c>
      <c r="CB151" s="762">
        <v>0</v>
      </c>
      <c r="CC151" s="762">
        <v>4939309</v>
      </c>
      <c r="CD151" s="762">
        <v>1629972</v>
      </c>
      <c r="CE151" s="762">
        <v>1034076</v>
      </c>
      <c r="CF151" s="762">
        <v>1575703</v>
      </c>
      <c r="CG151" s="762">
        <v>0</v>
      </c>
      <c r="CH151" s="762">
        <v>4239751</v>
      </c>
      <c r="CI151" s="762">
        <v>23270513</v>
      </c>
      <c r="CJ151" s="762">
        <v>42822716</v>
      </c>
      <c r="CK151" s="762">
        <v>24947486</v>
      </c>
      <c r="CL151" s="762">
        <v>0</v>
      </c>
      <c r="CM151" s="762">
        <v>91040715</v>
      </c>
      <c r="CN151" s="762">
        <v>1353966</v>
      </c>
      <c r="CO151" s="762">
        <v>761606</v>
      </c>
      <c r="CP151" s="762">
        <v>0</v>
      </c>
      <c r="CQ151" s="762">
        <v>2115572</v>
      </c>
      <c r="CR151" s="762">
        <v>1489511</v>
      </c>
      <c r="CS151" s="762">
        <v>837850</v>
      </c>
      <c r="CT151" s="762">
        <v>0</v>
      </c>
      <c r="CU151" s="762">
        <v>2327361</v>
      </c>
      <c r="CV151" s="762">
        <v>116657</v>
      </c>
      <c r="CW151" s="762">
        <v>65619</v>
      </c>
      <c r="CX151" s="762">
        <v>0</v>
      </c>
      <c r="CY151" s="762">
        <v>182276</v>
      </c>
      <c r="CZ151" s="762">
        <v>6011</v>
      </c>
      <c r="DA151" s="762">
        <v>3381</v>
      </c>
      <c r="DB151" s="762">
        <v>0</v>
      </c>
      <c r="DC151" s="762">
        <v>9392</v>
      </c>
      <c r="DD151" s="762">
        <v>0</v>
      </c>
      <c r="DE151" s="762">
        <v>0</v>
      </c>
      <c r="DF151" s="762">
        <v>0</v>
      </c>
      <c r="DG151" s="762">
        <v>0</v>
      </c>
      <c r="DH151" s="762">
        <v>0</v>
      </c>
      <c r="DI151" s="762">
        <v>0</v>
      </c>
      <c r="DJ151" s="762">
        <v>0</v>
      </c>
      <c r="DK151" s="762">
        <v>0</v>
      </c>
      <c r="DL151" s="762">
        <v>5947</v>
      </c>
      <c r="DM151" s="762">
        <v>3346</v>
      </c>
      <c r="DN151" s="762">
        <v>0</v>
      </c>
      <c r="DO151" s="762">
        <v>9293</v>
      </c>
      <c r="DP151" s="762">
        <v>41634</v>
      </c>
      <c r="DQ151" s="762">
        <v>23419</v>
      </c>
      <c r="DR151" s="762">
        <v>0</v>
      </c>
      <c r="DS151" s="762">
        <v>65053</v>
      </c>
      <c r="DT151" s="762">
        <v>0</v>
      </c>
      <c r="DU151" s="762">
        <v>0</v>
      </c>
      <c r="DV151" s="762">
        <v>0</v>
      </c>
      <c r="DW151" s="762">
        <v>0</v>
      </c>
      <c r="DX151" s="762">
        <v>0</v>
      </c>
      <c r="DY151" s="762">
        <v>0</v>
      </c>
      <c r="DZ151" s="762">
        <v>0</v>
      </c>
      <c r="EA151" s="762">
        <v>0</v>
      </c>
      <c r="EB151" s="762">
        <v>1189540</v>
      </c>
      <c r="EC151" s="762">
        <v>669116</v>
      </c>
      <c r="ED151" s="762">
        <v>0</v>
      </c>
      <c r="EE151" s="762">
        <v>1858656</v>
      </c>
      <c r="EF151" s="762">
        <v>4203266</v>
      </c>
      <c r="EG151" s="762">
        <v>2364337</v>
      </c>
      <c r="EH151" s="762">
        <v>0</v>
      </c>
      <c r="EI151" s="799">
        <v>6567603</v>
      </c>
      <c r="EJ151" s="763" t="s">
        <v>173</v>
      </c>
      <c r="EK151" s="607" t="s">
        <v>628</v>
      </c>
      <c r="EL151" s="272" t="s">
        <v>528</v>
      </c>
      <c r="EM151" t="s">
        <v>1717</v>
      </c>
    </row>
    <row r="152" spans="1:143" ht="12.75" x14ac:dyDescent="0.2">
      <c r="A152" s="764">
        <v>145</v>
      </c>
      <c r="B152" s="765" t="s">
        <v>176</v>
      </c>
      <c r="C152" s="766" t="s">
        <v>1224</v>
      </c>
      <c r="D152" s="767" t="s">
        <v>1225</v>
      </c>
      <c r="E152" s="768" t="s">
        <v>175</v>
      </c>
      <c r="F152" s="761">
        <v>103425843</v>
      </c>
      <c r="G152" s="762">
        <v>0</v>
      </c>
      <c r="H152" s="762">
        <v>683527</v>
      </c>
      <c r="I152" s="762">
        <v>590235</v>
      </c>
      <c r="J152" s="762">
        <v>0</v>
      </c>
      <c r="K152" s="762">
        <v>590235</v>
      </c>
      <c r="L152" s="762">
        <v>0</v>
      </c>
      <c r="M152" s="762">
        <v>87390</v>
      </c>
      <c r="N152" s="762">
        <v>0</v>
      </c>
      <c r="O152" s="762">
        <v>0</v>
      </c>
      <c r="P152" s="762">
        <v>0</v>
      </c>
      <c r="Q152" s="762">
        <v>0</v>
      </c>
      <c r="R152" s="762">
        <v>102064691</v>
      </c>
      <c r="S152" s="790">
        <v>0.25</v>
      </c>
      <c r="T152" s="790">
        <v>0.74</v>
      </c>
      <c r="U152" s="790">
        <v>0</v>
      </c>
      <c r="V152" s="790">
        <v>0.01</v>
      </c>
      <c r="W152" s="790">
        <v>1</v>
      </c>
      <c r="X152" s="762">
        <v>25516173</v>
      </c>
      <c r="Y152" s="762">
        <v>75527871</v>
      </c>
      <c r="Z152" s="762">
        <v>0</v>
      </c>
      <c r="AA152" s="762">
        <v>1020647</v>
      </c>
      <c r="AB152" s="762">
        <v>102064691</v>
      </c>
      <c r="AC152" s="762">
        <v>101891</v>
      </c>
      <c r="AD152" s="762">
        <v>0</v>
      </c>
      <c r="AE152" s="762">
        <v>0</v>
      </c>
      <c r="AF152" s="762">
        <v>0</v>
      </c>
      <c r="AG152" s="762">
        <v>101891</v>
      </c>
      <c r="AH152" s="762">
        <v>25414282</v>
      </c>
      <c r="AI152" s="762">
        <v>75527871</v>
      </c>
      <c r="AJ152" s="762">
        <v>0</v>
      </c>
      <c r="AK152" s="762">
        <v>1020647</v>
      </c>
      <c r="AL152" s="762">
        <v>101962800</v>
      </c>
      <c r="AM152" s="762">
        <v>590235</v>
      </c>
      <c r="AN152" s="762">
        <v>590235</v>
      </c>
      <c r="AO152" s="762">
        <v>87390</v>
      </c>
      <c r="AP152" s="762">
        <v>87390</v>
      </c>
      <c r="AQ152" s="762">
        <v>0</v>
      </c>
      <c r="AR152" s="762">
        <v>0</v>
      </c>
      <c r="AS152" s="762">
        <v>0</v>
      </c>
      <c r="AT152" s="762">
        <v>0</v>
      </c>
      <c r="AU152" s="762">
        <v>0</v>
      </c>
      <c r="AV152" s="762">
        <v>0</v>
      </c>
      <c r="AW152" s="762">
        <v>0</v>
      </c>
      <c r="AX152" s="762">
        <v>101891</v>
      </c>
      <c r="AY152" s="762">
        <v>0</v>
      </c>
      <c r="AZ152" s="762">
        <v>0</v>
      </c>
      <c r="BA152" s="762">
        <v>101891</v>
      </c>
      <c r="BB152" s="762">
        <v>0</v>
      </c>
      <c r="BC152" s="762">
        <v>0</v>
      </c>
      <c r="BD152" s="762">
        <v>0</v>
      </c>
      <c r="BE152" s="762">
        <v>0</v>
      </c>
      <c r="BF152" s="762">
        <v>0</v>
      </c>
      <c r="BG152" s="762">
        <v>0</v>
      </c>
      <c r="BH152" s="762">
        <v>0</v>
      </c>
      <c r="BI152" s="762">
        <v>0</v>
      </c>
      <c r="BJ152" s="790">
        <v>0</v>
      </c>
      <c r="BK152" s="790">
        <v>0.99</v>
      </c>
      <c r="BL152" s="790">
        <v>0</v>
      </c>
      <c r="BM152" s="790">
        <v>0.01</v>
      </c>
      <c r="BN152" s="790">
        <v>1</v>
      </c>
      <c r="BO152" s="762">
        <v>0</v>
      </c>
      <c r="BP152" s="762">
        <v>6917812</v>
      </c>
      <c r="BQ152" s="762">
        <v>0</v>
      </c>
      <c r="BR152" s="762">
        <v>69877</v>
      </c>
      <c r="BS152" s="762">
        <v>6987689</v>
      </c>
      <c r="BT152" s="790">
        <v>0.5</v>
      </c>
      <c r="BU152" s="790">
        <v>0.49</v>
      </c>
      <c r="BV152" s="790">
        <v>0</v>
      </c>
      <c r="BW152" s="790">
        <v>0.01</v>
      </c>
      <c r="BX152" s="790">
        <v>1</v>
      </c>
      <c r="BY152" s="762">
        <v>5655.8781110048294</v>
      </c>
      <c r="BZ152" s="762">
        <v>5542</v>
      </c>
      <c r="CA152" s="762">
        <v>0</v>
      </c>
      <c r="CB152" s="762">
        <v>113</v>
      </c>
      <c r="CC152" s="762">
        <v>11310.878111004829</v>
      </c>
      <c r="CD152" s="762">
        <v>5656</v>
      </c>
      <c r="CE152" s="762">
        <v>6923354</v>
      </c>
      <c r="CF152" s="762">
        <v>0</v>
      </c>
      <c r="CG152" s="762">
        <v>69990</v>
      </c>
      <c r="CH152" s="762">
        <v>6998999.8781110048</v>
      </c>
      <c r="CI152" s="762">
        <v>25419938</v>
      </c>
      <c r="CJ152" s="762">
        <v>83230741</v>
      </c>
      <c r="CK152" s="762">
        <v>0</v>
      </c>
      <c r="CL152" s="762">
        <v>1090637</v>
      </c>
      <c r="CM152" s="762">
        <v>109741316</v>
      </c>
      <c r="CN152" s="762">
        <v>2467361</v>
      </c>
      <c r="CO152" s="762">
        <v>0</v>
      </c>
      <c r="CP152" s="762">
        <v>33259</v>
      </c>
      <c r="CQ152" s="762">
        <v>2500620</v>
      </c>
      <c r="CR152" s="762">
        <v>9811079</v>
      </c>
      <c r="CS152" s="762">
        <v>0</v>
      </c>
      <c r="CT152" s="762">
        <v>132582</v>
      </c>
      <c r="CU152" s="762">
        <v>9943661</v>
      </c>
      <c r="CV152" s="762">
        <v>386070</v>
      </c>
      <c r="CW152" s="762">
        <v>0</v>
      </c>
      <c r="CX152" s="762">
        <v>5217</v>
      </c>
      <c r="CY152" s="762">
        <v>391287</v>
      </c>
      <c r="CZ152" s="762">
        <v>45075</v>
      </c>
      <c r="DA152" s="762">
        <v>0</v>
      </c>
      <c r="DB152" s="762">
        <v>609</v>
      </c>
      <c r="DC152" s="762">
        <v>45684</v>
      </c>
      <c r="DD152" s="762">
        <v>0</v>
      </c>
      <c r="DE152" s="762">
        <v>0</v>
      </c>
      <c r="DF152" s="762">
        <v>0</v>
      </c>
      <c r="DG152" s="762">
        <v>0</v>
      </c>
      <c r="DH152" s="762">
        <v>1147</v>
      </c>
      <c r="DI152" s="762">
        <v>0</v>
      </c>
      <c r="DJ152" s="762">
        <v>15</v>
      </c>
      <c r="DK152" s="762">
        <v>1162</v>
      </c>
      <c r="DL152" s="762">
        <v>48044</v>
      </c>
      <c r="DM152" s="762">
        <v>0</v>
      </c>
      <c r="DN152" s="762">
        <v>649</v>
      </c>
      <c r="DO152" s="762">
        <v>48693</v>
      </c>
      <c r="DP152" s="762">
        <v>88164</v>
      </c>
      <c r="DQ152" s="762">
        <v>0</v>
      </c>
      <c r="DR152" s="762">
        <v>1191</v>
      </c>
      <c r="DS152" s="762">
        <v>89355</v>
      </c>
      <c r="DT152" s="762">
        <v>0</v>
      </c>
      <c r="DU152" s="762">
        <v>0</v>
      </c>
      <c r="DV152" s="762">
        <v>0</v>
      </c>
      <c r="DW152" s="762">
        <v>0</v>
      </c>
      <c r="DX152" s="762">
        <v>0</v>
      </c>
      <c r="DY152" s="762">
        <v>0</v>
      </c>
      <c r="DZ152" s="762">
        <v>0</v>
      </c>
      <c r="EA152" s="762">
        <v>0</v>
      </c>
      <c r="EB152" s="762">
        <v>1501769</v>
      </c>
      <c r="EC152" s="762">
        <v>0</v>
      </c>
      <c r="ED152" s="762">
        <v>20294</v>
      </c>
      <c r="EE152" s="762">
        <v>1522063</v>
      </c>
      <c r="EF152" s="762">
        <v>14348709</v>
      </c>
      <c r="EG152" s="762">
        <v>0</v>
      </c>
      <c r="EH152" s="762">
        <v>193816</v>
      </c>
      <c r="EI152" s="799">
        <v>14542525</v>
      </c>
      <c r="EJ152" s="763" t="s">
        <v>175</v>
      </c>
      <c r="EK152" s="607" t="s">
        <v>621</v>
      </c>
      <c r="EL152" s="805" t="s">
        <v>627</v>
      </c>
      <c r="EM152" t="s">
        <v>1718</v>
      </c>
    </row>
    <row r="153" spans="1:143" ht="12.75" x14ac:dyDescent="0.2">
      <c r="A153" s="764">
        <v>146</v>
      </c>
      <c r="B153" s="765" t="s">
        <v>178</v>
      </c>
      <c r="C153" s="766" t="s">
        <v>1224</v>
      </c>
      <c r="D153" s="767" t="s">
        <v>1219</v>
      </c>
      <c r="E153" s="768" t="s">
        <v>177</v>
      </c>
      <c r="F153" s="761">
        <v>46181258</v>
      </c>
      <c r="G153" s="762">
        <v>150970</v>
      </c>
      <c r="H153" s="762">
        <v>0</v>
      </c>
      <c r="I153" s="762">
        <v>138289</v>
      </c>
      <c r="J153" s="762">
        <v>0</v>
      </c>
      <c r="K153" s="762">
        <v>138289</v>
      </c>
      <c r="L153" s="762">
        <v>0</v>
      </c>
      <c r="M153" s="762">
        <v>0</v>
      </c>
      <c r="N153" s="762">
        <v>0</v>
      </c>
      <c r="O153" s="762">
        <v>0</v>
      </c>
      <c r="P153" s="762">
        <v>0</v>
      </c>
      <c r="Q153" s="762">
        <v>0</v>
      </c>
      <c r="R153" s="762">
        <v>46193939</v>
      </c>
      <c r="S153" s="790">
        <v>0</v>
      </c>
      <c r="T153" s="790">
        <v>0.99</v>
      </c>
      <c r="U153" s="790">
        <v>0</v>
      </c>
      <c r="V153" s="790">
        <v>0.01</v>
      </c>
      <c r="W153" s="790">
        <v>1</v>
      </c>
      <c r="X153" s="762">
        <v>0</v>
      </c>
      <c r="Y153" s="762">
        <v>45732000</v>
      </c>
      <c r="Z153" s="762">
        <v>0</v>
      </c>
      <c r="AA153" s="762">
        <v>461939</v>
      </c>
      <c r="AB153" s="762">
        <v>46193939</v>
      </c>
      <c r="AC153" s="762">
        <v>0</v>
      </c>
      <c r="AD153" s="762">
        <v>0</v>
      </c>
      <c r="AE153" s="762">
        <v>0</v>
      </c>
      <c r="AF153" s="762">
        <v>0</v>
      </c>
      <c r="AG153" s="762">
        <v>0</v>
      </c>
      <c r="AH153" s="762">
        <v>0</v>
      </c>
      <c r="AI153" s="762">
        <v>45732000</v>
      </c>
      <c r="AJ153" s="762">
        <v>0</v>
      </c>
      <c r="AK153" s="762">
        <v>461939</v>
      </c>
      <c r="AL153" s="762">
        <v>46193939</v>
      </c>
      <c r="AM153" s="762">
        <v>138289</v>
      </c>
      <c r="AN153" s="762">
        <v>138289</v>
      </c>
      <c r="AO153" s="762">
        <v>0</v>
      </c>
      <c r="AP153" s="762">
        <v>0</v>
      </c>
      <c r="AQ153" s="762">
        <v>0</v>
      </c>
      <c r="AR153" s="762">
        <v>0</v>
      </c>
      <c r="AS153" s="762">
        <v>0</v>
      </c>
      <c r="AT153" s="762">
        <v>0</v>
      </c>
      <c r="AU153" s="762">
        <v>0</v>
      </c>
      <c r="AV153" s="762">
        <v>0</v>
      </c>
      <c r="AW153" s="762">
        <v>0</v>
      </c>
      <c r="AX153" s="762">
        <v>0</v>
      </c>
      <c r="AY153" s="762">
        <v>0</v>
      </c>
      <c r="AZ153" s="762">
        <v>0</v>
      </c>
      <c r="BA153" s="762">
        <v>0</v>
      </c>
      <c r="BB153" s="762">
        <v>0</v>
      </c>
      <c r="BC153" s="762">
        <v>0</v>
      </c>
      <c r="BD153" s="762">
        <v>0</v>
      </c>
      <c r="BE153" s="762">
        <v>0</v>
      </c>
      <c r="BF153" s="762">
        <v>0</v>
      </c>
      <c r="BG153" s="762">
        <v>0</v>
      </c>
      <c r="BH153" s="762">
        <v>0</v>
      </c>
      <c r="BI153" s="762">
        <v>0</v>
      </c>
      <c r="BJ153" s="790">
        <v>0</v>
      </c>
      <c r="BK153" s="790">
        <v>0.99</v>
      </c>
      <c r="BL153" s="790">
        <v>0</v>
      </c>
      <c r="BM153" s="790">
        <v>0.01</v>
      </c>
      <c r="BN153" s="790">
        <v>1</v>
      </c>
      <c r="BO153" s="762">
        <v>0</v>
      </c>
      <c r="BP153" s="762">
        <v>784966</v>
      </c>
      <c r="BQ153" s="762">
        <v>0</v>
      </c>
      <c r="BR153" s="762">
        <v>7929</v>
      </c>
      <c r="BS153" s="762">
        <v>792895</v>
      </c>
      <c r="BT153" s="790">
        <v>0</v>
      </c>
      <c r="BU153" s="790">
        <v>0.99</v>
      </c>
      <c r="BV153" s="790">
        <v>0</v>
      </c>
      <c r="BW153" s="790">
        <v>0.01</v>
      </c>
      <c r="BX153" s="790">
        <v>1</v>
      </c>
      <c r="BY153" s="762">
        <v>0</v>
      </c>
      <c r="BZ153" s="762">
        <v>-2618</v>
      </c>
      <c r="CA153" s="762">
        <v>0</v>
      </c>
      <c r="CB153" s="762">
        <v>-26</v>
      </c>
      <c r="CC153" s="762">
        <v>-2644</v>
      </c>
      <c r="CD153" s="762">
        <v>0</v>
      </c>
      <c r="CE153" s="762">
        <v>782348</v>
      </c>
      <c r="CF153" s="762">
        <v>0</v>
      </c>
      <c r="CG153" s="762">
        <v>7903</v>
      </c>
      <c r="CH153" s="762">
        <v>790251</v>
      </c>
      <c r="CI153" s="762">
        <v>0</v>
      </c>
      <c r="CJ153" s="762">
        <v>46652637</v>
      </c>
      <c r="CK153" s="762">
        <v>0</v>
      </c>
      <c r="CL153" s="762">
        <v>469842</v>
      </c>
      <c r="CM153" s="762">
        <v>47122479</v>
      </c>
      <c r="CN153" s="762">
        <v>1490248</v>
      </c>
      <c r="CO153" s="762">
        <v>0</v>
      </c>
      <c r="CP153" s="762">
        <v>15053</v>
      </c>
      <c r="CQ153" s="762">
        <v>1505301</v>
      </c>
      <c r="CR153" s="762">
        <v>2306566</v>
      </c>
      <c r="CS153" s="762">
        <v>0</v>
      </c>
      <c r="CT153" s="762">
        <v>23299</v>
      </c>
      <c r="CU153" s="762">
        <v>2329865</v>
      </c>
      <c r="CV153" s="762">
        <v>171193</v>
      </c>
      <c r="CW153" s="762">
        <v>0</v>
      </c>
      <c r="CX153" s="762">
        <v>1729</v>
      </c>
      <c r="CY153" s="762">
        <v>172922</v>
      </c>
      <c r="CZ153" s="762">
        <v>10164</v>
      </c>
      <c r="DA153" s="762">
        <v>0</v>
      </c>
      <c r="DB153" s="762">
        <v>103</v>
      </c>
      <c r="DC153" s="762">
        <v>10267</v>
      </c>
      <c r="DD153" s="762">
        <v>0</v>
      </c>
      <c r="DE153" s="762">
        <v>0</v>
      </c>
      <c r="DF153" s="762">
        <v>0</v>
      </c>
      <c r="DG153" s="762">
        <v>0</v>
      </c>
      <c r="DH153" s="762">
        <v>0</v>
      </c>
      <c r="DI153" s="762">
        <v>0</v>
      </c>
      <c r="DJ153" s="762">
        <v>0</v>
      </c>
      <c r="DK153" s="762">
        <v>0</v>
      </c>
      <c r="DL153" s="762">
        <v>7723</v>
      </c>
      <c r="DM153" s="762">
        <v>0</v>
      </c>
      <c r="DN153" s="762">
        <v>78</v>
      </c>
      <c r="DO153" s="762">
        <v>7801</v>
      </c>
      <c r="DP153" s="762">
        <v>40474</v>
      </c>
      <c r="DQ153" s="762">
        <v>0</v>
      </c>
      <c r="DR153" s="762">
        <v>409</v>
      </c>
      <c r="DS153" s="762">
        <v>40883</v>
      </c>
      <c r="DT153" s="762">
        <v>0</v>
      </c>
      <c r="DU153" s="762">
        <v>0</v>
      </c>
      <c r="DV153" s="762">
        <v>0</v>
      </c>
      <c r="DW153" s="762">
        <v>0</v>
      </c>
      <c r="DX153" s="762">
        <v>0</v>
      </c>
      <c r="DY153" s="762">
        <v>0</v>
      </c>
      <c r="DZ153" s="762">
        <v>0</v>
      </c>
      <c r="EA153" s="762">
        <v>0</v>
      </c>
      <c r="EB153" s="762">
        <v>511130</v>
      </c>
      <c r="EC153" s="762">
        <v>0</v>
      </c>
      <c r="ED153" s="762">
        <v>5163</v>
      </c>
      <c r="EE153" s="762">
        <v>516293</v>
      </c>
      <c r="EF153" s="762">
        <v>4537498</v>
      </c>
      <c r="EG153" s="762">
        <v>0</v>
      </c>
      <c r="EH153" s="762">
        <v>45834</v>
      </c>
      <c r="EI153" s="799">
        <v>4583332</v>
      </c>
      <c r="EJ153" s="763" t="s">
        <v>177</v>
      </c>
      <c r="EK153" s="607" t="s">
        <v>621</v>
      </c>
      <c r="EL153" s="805" t="s">
        <v>623</v>
      </c>
      <c r="EM153" t="s">
        <v>1719</v>
      </c>
    </row>
    <row r="154" spans="1:143" ht="12.75" x14ac:dyDescent="0.2">
      <c r="A154" s="764">
        <v>147</v>
      </c>
      <c r="B154" s="765" t="s">
        <v>180</v>
      </c>
      <c r="C154" s="766" t="s">
        <v>1228</v>
      </c>
      <c r="D154" s="767" t="s">
        <v>1223</v>
      </c>
      <c r="E154" s="768" t="s">
        <v>179</v>
      </c>
      <c r="F154" s="761">
        <v>161761487</v>
      </c>
      <c r="G154" s="762">
        <v>6734191</v>
      </c>
      <c r="H154" s="762">
        <v>0</v>
      </c>
      <c r="I154" s="762">
        <v>495121</v>
      </c>
      <c r="J154" s="762">
        <v>0</v>
      </c>
      <c r="K154" s="762">
        <v>495121</v>
      </c>
      <c r="L154" s="762">
        <v>0</v>
      </c>
      <c r="M154" s="762">
        <v>0</v>
      </c>
      <c r="N154" s="762">
        <v>0</v>
      </c>
      <c r="O154" s="762">
        <v>0</v>
      </c>
      <c r="P154" s="762">
        <v>0</v>
      </c>
      <c r="Q154" s="762">
        <v>0</v>
      </c>
      <c r="R154" s="762">
        <v>168000557</v>
      </c>
      <c r="S154" s="790">
        <v>0.25</v>
      </c>
      <c r="T154" s="790">
        <v>0.48</v>
      </c>
      <c r="U154" s="790">
        <v>0.27</v>
      </c>
      <c r="V154" s="790">
        <v>0</v>
      </c>
      <c r="W154" s="790">
        <v>1</v>
      </c>
      <c r="X154" s="762">
        <v>42000140</v>
      </c>
      <c r="Y154" s="762">
        <v>80640267</v>
      </c>
      <c r="Z154" s="762">
        <v>45360150</v>
      </c>
      <c r="AA154" s="762">
        <v>0</v>
      </c>
      <c r="AB154" s="762">
        <v>168000557</v>
      </c>
      <c r="AC154" s="762">
        <v>0</v>
      </c>
      <c r="AD154" s="762">
        <v>0</v>
      </c>
      <c r="AE154" s="762">
        <v>0</v>
      </c>
      <c r="AF154" s="762">
        <v>0</v>
      </c>
      <c r="AG154" s="762">
        <v>0</v>
      </c>
      <c r="AH154" s="762">
        <v>42000140</v>
      </c>
      <c r="AI154" s="762">
        <v>80640267</v>
      </c>
      <c r="AJ154" s="762">
        <v>45360150</v>
      </c>
      <c r="AK154" s="762">
        <v>0</v>
      </c>
      <c r="AL154" s="762">
        <v>168000557</v>
      </c>
      <c r="AM154" s="762">
        <v>495121</v>
      </c>
      <c r="AN154" s="762">
        <v>495121</v>
      </c>
      <c r="AO154" s="762">
        <v>0</v>
      </c>
      <c r="AP154" s="762">
        <v>0</v>
      </c>
      <c r="AQ154" s="762">
        <v>0</v>
      </c>
      <c r="AR154" s="762">
        <v>0</v>
      </c>
      <c r="AS154" s="762">
        <v>0</v>
      </c>
      <c r="AT154" s="762">
        <v>0</v>
      </c>
      <c r="AU154" s="762">
        <v>0</v>
      </c>
      <c r="AV154" s="762">
        <v>0</v>
      </c>
      <c r="AW154" s="762">
        <v>0</v>
      </c>
      <c r="AX154" s="762">
        <v>0</v>
      </c>
      <c r="AY154" s="762">
        <v>0</v>
      </c>
      <c r="AZ154" s="762">
        <v>0</v>
      </c>
      <c r="BA154" s="762">
        <v>0</v>
      </c>
      <c r="BB154" s="762">
        <v>0</v>
      </c>
      <c r="BC154" s="762">
        <v>0</v>
      </c>
      <c r="BD154" s="762">
        <v>0</v>
      </c>
      <c r="BE154" s="762">
        <v>0</v>
      </c>
      <c r="BF154" s="762">
        <v>0</v>
      </c>
      <c r="BG154" s="762">
        <v>0</v>
      </c>
      <c r="BH154" s="762">
        <v>0</v>
      </c>
      <c r="BI154" s="762">
        <v>0</v>
      </c>
      <c r="BJ154" s="790">
        <v>0</v>
      </c>
      <c r="BK154" s="790">
        <v>0.64</v>
      </c>
      <c r="BL154" s="790">
        <v>0.36</v>
      </c>
      <c r="BM154" s="790">
        <v>0</v>
      </c>
      <c r="BN154" s="790">
        <v>1</v>
      </c>
      <c r="BO154" s="762">
        <v>0</v>
      </c>
      <c r="BP154" s="762">
        <v>5581770</v>
      </c>
      <c r="BQ154" s="762">
        <v>3139746</v>
      </c>
      <c r="BR154" s="762">
        <v>0</v>
      </c>
      <c r="BS154" s="762">
        <v>8721516</v>
      </c>
      <c r="BT154" s="790">
        <v>0.33</v>
      </c>
      <c r="BU154" s="790">
        <v>0.3</v>
      </c>
      <c r="BV154" s="790">
        <v>0.37</v>
      </c>
      <c r="BW154" s="790">
        <v>0</v>
      </c>
      <c r="BX154" s="790">
        <v>1</v>
      </c>
      <c r="BY154" s="762">
        <v>1929765</v>
      </c>
      <c r="BZ154" s="762">
        <v>1754332</v>
      </c>
      <c r="CA154" s="762">
        <v>2163676</v>
      </c>
      <c r="CB154" s="762">
        <v>0</v>
      </c>
      <c r="CC154" s="762">
        <v>5847773</v>
      </c>
      <c r="CD154" s="762">
        <v>1929765</v>
      </c>
      <c r="CE154" s="762">
        <v>7336102</v>
      </c>
      <c r="CF154" s="762">
        <v>5303422</v>
      </c>
      <c r="CG154" s="762">
        <v>0</v>
      </c>
      <c r="CH154" s="762">
        <v>14569289</v>
      </c>
      <c r="CI154" s="762">
        <v>43929905</v>
      </c>
      <c r="CJ154" s="762">
        <v>88471490</v>
      </c>
      <c r="CK154" s="762">
        <v>50663572</v>
      </c>
      <c r="CL154" s="762">
        <v>0</v>
      </c>
      <c r="CM154" s="762">
        <v>183064967</v>
      </c>
      <c r="CN154" s="762">
        <v>2627789</v>
      </c>
      <c r="CO154" s="762">
        <v>1478131</v>
      </c>
      <c r="CP154" s="762">
        <v>0</v>
      </c>
      <c r="CQ154" s="762">
        <v>4105920</v>
      </c>
      <c r="CR154" s="762">
        <v>3095362</v>
      </c>
      <c r="CS154" s="762">
        <v>1741141</v>
      </c>
      <c r="CT154" s="762">
        <v>0</v>
      </c>
      <c r="CU154" s="762">
        <v>4836503</v>
      </c>
      <c r="CV154" s="762">
        <v>219940</v>
      </c>
      <c r="CW154" s="762">
        <v>123716</v>
      </c>
      <c r="CX154" s="762">
        <v>0</v>
      </c>
      <c r="CY154" s="762">
        <v>343656</v>
      </c>
      <c r="CZ154" s="762">
        <v>0</v>
      </c>
      <c r="DA154" s="762">
        <v>0</v>
      </c>
      <c r="DB154" s="762">
        <v>0</v>
      </c>
      <c r="DC154" s="762">
        <v>0</v>
      </c>
      <c r="DD154" s="762">
        <v>0</v>
      </c>
      <c r="DE154" s="762">
        <v>0</v>
      </c>
      <c r="DF154" s="762">
        <v>0</v>
      </c>
      <c r="DG154" s="762">
        <v>0</v>
      </c>
      <c r="DH154" s="762">
        <v>0</v>
      </c>
      <c r="DI154" s="762">
        <v>0</v>
      </c>
      <c r="DJ154" s="762">
        <v>0</v>
      </c>
      <c r="DK154" s="762">
        <v>0</v>
      </c>
      <c r="DL154" s="762">
        <v>163790</v>
      </c>
      <c r="DM154" s="762">
        <v>92132</v>
      </c>
      <c r="DN154" s="762">
        <v>0</v>
      </c>
      <c r="DO154" s="762">
        <v>255922</v>
      </c>
      <c r="DP154" s="762">
        <v>290203</v>
      </c>
      <c r="DQ154" s="762">
        <v>163240</v>
      </c>
      <c r="DR154" s="762">
        <v>0</v>
      </c>
      <c r="DS154" s="762">
        <v>453443</v>
      </c>
      <c r="DT154" s="762">
        <v>0</v>
      </c>
      <c r="DU154" s="762">
        <v>0</v>
      </c>
      <c r="DV154" s="762">
        <v>0</v>
      </c>
      <c r="DW154" s="762">
        <v>0</v>
      </c>
      <c r="DX154" s="762">
        <v>0</v>
      </c>
      <c r="DY154" s="762">
        <v>0</v>
      </c>
      <c r="DZ154" s="762">
        <v>0</v>
      </c>
      <c r="EA154" s="762">
        <v>0</v>
      </c>
      <c r="EB154" s="762">
        <v>1806213</v>
      </c>
      <c r="EC154" s="762">
        <v>1015995</v>
      </c>
      <c r="ED154" s="762">
        <v>0</v>
      </c>
      <c r="EE154" s="762">
        <v>2822208</v>
      </c>
      <c r="EF154" s="762">
        <v>8203297</v>
      </c>
      <c r="EG154" s="762">
        <v>4614355</v>
      </c>
      <c r="EH154" s="762">
        <v>0</v>
      </c>
      <c r="EI154" s="799">
        <v>12817652</v>
      </c>
      <c r="EJ154" s="763" t="s">
        <v>179</v>
      </c>
      <c r="EK154" s="607" t="s">
        <v>628</v>
      </c>
      <c r="EL154" s="272" t="s">
        <v>528</v>
      </c>
      <c r="EM154" t="s">
        <v>1720</v>
      </c>
    </row>
    <row r="155" spans="1:143" ht="12.75" x14ac:dyDescent="0.2">
      <c r="A155" s="764">
        <v>148</v>
      </c>
      <c r="B155" s="765" t="s">
        <v>182</v>
      </c>
      <c r="C155" s="766" t="s">
        <v>1217</v>
      </c>
      <c r="D155" s="767" t="s">
        <v>1219</v>
      </c>
      <c r="E155" s="768" t="s">
        <v>181</v>
      </c>
      <c r="F155" s="761">
        <v>63347613</v>
      </c>
      <c r="G155" s="762">
        <v>0</v>
      </c>
      <c r="H155" s="762">
        <v>32527</v>
      </c>
      <c r="I155" s="762">
        <v>212740</v>
      </c>
      <c r="J155" s="762">
        <v>0</v>
      </c>
      <c r="K155" s="762">
        <v>212740</v>
      </c>
      <c r="L155" s="762">
        <v>0</v>
      </c>
      <c r="M155" s="762">
        <v>0</v>
      </c>
      <c r="N155" s="762">
        <v>918926</v>
      </c>
      <c r="O155" s="762">
        <v>906729</v>
      </c>
      <c r="P155" s="762">
        <v>12197</v>
      </c>
      <c r="Q155" s="762">
        <v>0</v>
      </c>
      <c r="R155" s="762">
        <v>62183420</v>
      </c>
      <c r="S155" s="790">
        <v>0.5</v>
      </c>
      <c r="T155" s="790">
        <v>0.4</v>
      </c>
      <c r="U155" s="790">
        <v>0.09</v>
      </c>
      <c r="V155" s="790">
        <v>0.01</v>
      </c>
      <c r="W155" s="790">
        <v>1</v>
      </c>
      <c r="X155" s="762">
        <v>31091710</v>
      </c>
      <c r="Y155" s="762">
        <v>24873368</v>
      </c>
      <c r="Z155" s="762">
        <v>5596508</v>
      </c>
      <c r="AA155" s="762">
        <v>621834</v>
      </c>
      <c r="AB155" s="762">
        <v>62183420</v>
      </c>
      <c r="AC155" s="762">
        <v>0</v>
      </c>
      <c r="AD155" s="762">
        <v>0</v>
      </c>
      <c r="AE155" s="762">
        <v>0</v>
      </c>
      <c r="AF155" s="762">
        <v>0</v>
      </c>
      <c r="AG155" s="762">
        <v>0</v>
      </c>
      <c r="AH155" s="762">
        <v>31091710</v>
      </c>
      <c r="AI155" s="762">
        <v>24873368</v>
      </c>
      <c r="AJ155" s="762">
        <v>5596508</v>
      </c>
      <c r="AK155" s="762">
        <v>621834</v>
      </c>
      <c r="AL155" s="762">
        <v>62183420</v>
      </c>
      <c r="AM155" s="762">
        <v>212740</v>
      </c>
      <c r="AN155" s="762">
        <v>212740</v>
      </c>
      <c r="AO155" s="762">
        <v>0</v>
      </c>
      <c r="AP155" s="762">
        <v>0</v>
      </c>
      <c r="AQ155" s="762">
        <v>906729</v>
      </c>
      <c r="AR155" s="762">
        <v>12197</v>
      </c>
      <c r="AS155" s="762">
        <v>918926</v>
      </c>
      <c r="AT155" s="762">
        <v>0</v>
      </c>
      <c r="AU155" s="762">
        <v>0</v>
      </c>
      <c r="AV155" s="762">
        <v>0</v>
      </c>
      <c r="AW155" s="762">
        <v>0</v>
      </c>
      <c r="AX155" s="762">
        <v>0</v>
      </c>
      <c r="AY155" s="762">
        <v>0</v>
      </c>
      <c r="AZ155" s="762">
        <v>0</v>
      </c>
      <c r="BA155" s="762">
        <v>0</v>
      </c>
      <c r="BB155" s="762">
        <v>0</v>
      </c>
      <c r="BC155" s="762">
        <v>0</v>
      </c>
      <c r="BD155" s="762">
        <v>0</v>
      </c>
      <c r="BE155" s="762">
        <v>0</v>
      </c>
      <c r="BF155" s="762">
        <v>0</v>
      </c>
      <c r="BG155" s="762">
        <v>0</v>
      </c>
      <c r="BH155" s="762">
        <v>0</v>
      </c>
      <c r="BI155" s="762">
        <v>0</v>
      </c>
      <c r="BJ155" s="790">
        <v>0.5</v>
      </c>
      <c r="BK155" s="790">
        <v>0.4</v>
      </c>
      <c r="BL155" s="790">
        <v>0.09</v>
      </c>
      <c r="BM155" s="790">
        <v>0.01</v>
      </c>
      <c r="BN155" s="790">
        <v>1</v>
      </c>
      <c r="BO155" s="762">
        <v>-580693</v>
      </c>
      <c r="BP155" s="762">
        <v>-464554</v>
      </c>
      <c r="BQ155" s="762">
        <v>-104525</v>
      </c>
      <c r="BR155" s="762">
        <v>-11614</v>
      </c>
      <c r="BS155" s="762">
        <v>-1161386</v>
      </c>
      <c r="BT155" s="790">
        <v>0.5</v>
      </c>
      <c r="BU155" s="790">
        <v>0.4</v>
      </c>
      <c r="BV155" s="790">
        <v>0.09</v>
      </c>
      <c r="BW155" s="790">
        <v>0.01</v>
      </c>
      <c r="BX155" s="790">
        <v>1</v>
      </c>
      <c r="BY155" s="762">
        <v>950233</v>
      </c>
      <c r="BZ155" s="762">
        <v>760187</v>
      </c>
      <c r="CA155" s="762">
        <v>171042</v>
      </c>
      <c r="CB155" s="762">
        <v>19005</v>
      </c>
      <c r="CC155" s="762">
        <v>1900467</v>
      </c>
      <c r="CD155" s="762">
        <v>369541</v>
      </c>
      <c r="CE155" s="762">
        <v>295632</v>
      </c>
      <c r="CF155" s="762">
        <v>66517</v>
      </c>
      <c r="CG155" s="762">
        <v>7391</v>
      </c>
      <c r="CH155" s="762">
        <v>739081</v>
      </c>
      <c r="CI155" s="762">
        <v>31461251</v>
      </c>
      <c r="CJ155" s="762">
        <v>26288469</v>
      </c>
      <c r="CK155" s="762">
        <v>5675222</v>
      </c>
      <c r="CL155" s="762">
        <v>629225</v>
      </c>
      <c r="CM155" s="762">
        <v>64054167</v>
      </c>
      <c r="CN155" s="762">
        <v>840085</v>
      </c>
      <c r="CO155" s="762">
        <v>182768</v>
      </c>
      <c r="CP155" s="762">
        <v>20263</v>
      </c>
      <c r="CQ155" s="762">
        <v>1043116</v>
      </c>
      <c r="CR155" s="762">
        <v>1341523</v>
      </c>
      <c r="CS155" s="762">
        <v>301843</v>
      </c>
      <c r="CT155" s="762">
        <v>33538</v>
      </c>
      <c r="CU155" s="762">
        <v>1676904</v>
      </c>
      <c r="CV155" s="762">
        <v>84142</v>
      </c>
      <c r="CW155" s="762">
        <v>18932</v>
      </c>
      <c r="CX155" s="762">
        <v>2104</v>
      </c>
      <c r="CY155" s="762">
        <v>105178</v>
      </c>
      <c r="CZ155" s="762">
        <v>21644</v>
      </c>
      <c r="DA155" s="762">
        <v>4870</v>
      </c>
      <c r="DB155" s="762">
        <v>541</v>
      </c>
      <c r="DC155" s="762">
        <v>27055</v>
      </c>
      <c r="DD155" s="762">
        <v>11196</v>
      </c>
      <c r="DE155" s="762">
        <v>2519</v>
      </c>
      <c r="DF155" s="762">
        <v>280</v>
      </c>
      <c r="DG155" s="762">
        <v>13995</v>
      </c>
      <c r="DH155" s="762">
        <v>0</v>
      </c>
      <c r="DI155" s="762">
        <v>0</v>
      </c>
      <c r="DJ155" s="762">
        <v>0</v>
      </c>
      <c r="DK155" s="762">
        <v>0</v>
      </c>
      <c r="DL155" s="762">
        <v>12826</v>
      </c>
      <c r="DM155" s="762">
        <v>2886</v>
      </c>
      <c r="DN155" s="762">
        <v>321</v>
      </c>
      <c r="DO155" s="762">
        <v>16033</v>
      </c>
      <c r="DP155" s="762">
        <v>20238</v>
      </c>
      <c r="DQ155" s="762">
        <v>4554</v>
      </c>
      <c r="DR155" s="762">
        <v>506</v>
      </c>
      <c r="DS155" s="762">
        <v>25298</v>
      </c>
      <c r="DT155" s="762">
        <v>0</v>
      </c>
      <c r="DU155" s="762">
        <v>0</v>
      </c>
      <c r="DV155" s="762">
        <v>0</v>
      </c>
      <c r="DW155" s="762">
        <v>0</v>
      </c>
      <c r="DX155" s="762">
        <v>0</v>
      </c>
      <c r="DY155" s="762">
        <v>0</v>
      </c>
      <c r="DZ155" s="762">
        <v>0</v>
      </c>
      <c r="EA155" s="762">
        <v>0</v>
      </c>
      <c r="EB155" s="762">
        <v>545417</v>
      </c>
      <c r="EC155" s="762">
        <v>122719</v>
      </c>
      <c r="ED155" s="762">
        <v>13635</v>
      </c>
      <c r="EE155" s="762">
        <v>681771</v>
      </c>
      <c r="EF155" s="762">
        <v>2877071</v>
      </c>
      <c r="EG155" s="762">
        <v>641091</v>
      </c>
      <c r="EH155" s="762">
        <v>71188</v>
      </c>
      <c r="EI155" s="799">
        <v>3589350</v>
      </c>
      <c r="EJ155" s="763" t="s">
        <v>181</v>
      </c>
      <c r="EK155" s="607" t="s">
        <v>595</v>
      </c>
      <c r="EL155" s="805" t="s">
        <v>593</v>
      </c>
      <c r="EM155" t="s">
        <v>1721</v>
      </c>
    </row>
    <row r="156" spans="1:143" ht="12.75" x14ac:dyDescent="0.2">
      <c r="A156" s="764">
        <v>149</v>
      </c>
      <c r="B156" s="765" t="s">
        <v>184</v>
      </c>
      <c r="C156" s="766" t="s">
        <v>1224</v>
      </c>
      <c r="D156" s="767" t="s">
        <v>1225</v>
      </c>
      <c r="E156" s="768" t="s">
        <v>183</v>
      </c>
      <c r="F156" s="761">
        <v>378460775</v>
      </c>
      <c r="G156" s="762">
        <v>0</v>
      </c>
      <c r="H156" s="762">
        <v>5720306</v>
      </c>
      <c r="I156" s="762">
        <v>1217027</v>
      </c>
      <c r="J156" s="762">
        <v>0</v>
      </c>
      <c r="K156" s="762">
        <v>1217027</v>
      </c>
      <c r="L156" s="762">
        <v>0</v>
      </c>
      <c r="M156" s="762">
        <v>1619158</v>
      </c>
      <c r="N156" s="762">
        <v>245308</v>
      </c>
      <c r="O156" s="762">
        <v>245308</v>
      </c>
      <c r="P156" s="762">
        <v>0</v>
      </c>
      <c r="Q156" s="762">
        <v>0</v>
      </c>
      <c r="R156" s="762">
        <v>369658976</v>
      </c>
      <c r="S156" s="790">
        <v>0.25</v>
      </c>
      <c r="T156" s="790">
        <v>0.74</v>
      </c>
      <c r="U156" s="790">
        <v>0</v>
      </c>
      <c r="V156" s="790">
        <v>0.01</v>
      </c>
      <c r="W156" s="790">
        <v>1</v>
      </c>
      <c r="X156" s="762">
        <v>92414744</v>
      </c>
      <c r="Y156" s="762">
        <v>273547642</v>
      </c>
      <c r="Z156" s="762">
        <v>0</v>
      </c>
      <c r="AA156" s="762">
        <v>3696590</v>
      </c>
      <c r="AB156" s="762">
        <v>369658976</v>
      </c>
      <c r="AC156" s="762">
        <v>468160</v>
      </c>
      <c r="AD156" s="762">
        <v>0</v>
      </c>
      <c r="AE156" s="762">
        <v>0</v>
      </c>
      <c r="AF156" s="762">
        <v>0</v>
      </c>
      <c r="AG156" s="762">
        <v>468160</v>
      </c>
      <c r="AH156" s="762">
        <v>91946584</v>
      </c>
      <c r="AI156" s="762">
        <v>273547642</v>
      </c>
      <c r="AJ156" s="762">
        <v>0</v>
      </c>
      <c r="AK156" s="762">
        <v>3696590</v>
      </c>
      <c r="AL156" s="762">
        <v>369190816</v>
      </c>
      <c r="AM156" s="762">
        <v>1217027</v>
      </c>
      <c r="AN156" s="762">
        <v>1217027</v>
      </c>
      <c r="AO156" s="762">
        <v>1619158</v>
      </c>
      <c r="AP156" s="762">
        <v>1619158</v>
      </c>
      <c r="AQ156" s="762">
        <v>245308</v>
      </c>
      <c r="AR156" s="762">
        <v>0</v>
      </c>
      <c r="AS156" s="762">
        <v>245308</v>
      </c>
      <c r="AT156" s="762">
        <v>0</v>
      </c>
      <c r="AU156" s="762">
        <v>0</v>
      </c>
      <c r="AV156" s="762">
        <v>0</v>
      </c>
      <c r="AW156" s="762">
        <v>0</v>
      </c>
      <c r="AX156" s="762">
        <v>468160</v>
      </c>
      <c r="AY156" s="762">
        <v>0</v>
      </c>
      <c r="AZ156" s="762">
        <v>0</v>
      </c>
      <c r="BA156" s="762">
        <v>468160</v>
      </c>
      <c r="BB156" s="762">
        <v>0</v>
      </c>
      <c r="BC156" s="762">
        <v>0</v>
      </c>
      <c r="BD156" s="762">
        <v>0</v>
      </c>
      <c r="BE156" s="762">
        <v>0</v>
      </c>
      <c r="BF156" s="762">
        <v>0</v>
      </c>
      <c r="BG156" s="762">
        <v>0</v>
      </c>
      <c r="BH156" s="762">
        <v>0</v>
      </c>
      <c r="BI156" s="762">
        <v>0</v>
      </c>
      <c r="BJ156" s="790">
        <v>0</v>
      </c>
      <c r="BK156" s="790">
        <v>0.99</v>
      </c>
      <c r="BL156" s="790">
        <v>0</v>
      </c>
      <c r="BM156" s="790">
        <v>0.01</v>
      </c>
      <c r="BN156" s="790">
        <v>1</v>
      </c>
      <c r="BO156" s="762">
        <v>0</v>
      </c>
      <c r="BP156" s="762">
        <v>2098420</v>
      </c>
      <c r="BQ156" s="762">
        <v>0</v>
      </c>
      <c r="BR156" s="762">
        <v>21196</v>
      </c>
      <c r="BS156" s="762">
        <v>2119616</v>
      </c>
      <c r="BT156" s="790">
        <v>0.5</v>
      </c>
      <c r="BU156" s="790">
        <v>0.49</v>
      </c>
      <c r="BV156" s="790">
        <v>0</v>
      </c>
      <c r="BW156" s="790">
        <v>0.01</v>
      </c>
      <c r="BX156" s="790">
        <v>1</v>
      </c>
      <c r="BY156" s="762">
        <v>-2760321</v>
      </c>
      <c r="BZ156" s="762">
        <v>-2705114</v>
      </c>
      <c r="CA156" s="762">
        <v>0</v>
      </c>
      <c r="CB156" s="762">
        <v>-55206</v>
      </c>
      <c r="CC156" s="762">
        <v>-5520641</v>
      </c>
      <c r="CD156" s="762">
        <v>-2760321</v>
      </c>
      <c r="CE156" s="762">
        <v>-606694</v>
      </c>
      <c r="CF156" s="762">
        <v>0</v>
      </c>
      <c r="CG156" s="762">
        <v>-34010</v>
      </c>
      <c r="CH156" s="762">
        <v>-3401025</v>
      </c>
      <c r="CI156" s="762">
        <v>89186263</v>
      </c>
      <c r="CJ156" s="762">
        <v>276490601</v>
      </c>
      <c r="CK156" s="762">
        <v>0</v>
      </c>
      <c r="CL156" s="762">
        <v>3662580</v>
      </c>
      <c r="CM156" s="762">
        <v>369339444</v>
      </c>
      <c r="CN156" s="762">
        <v>8989988</v>
      </c>
      <c r="CO156" s="762">
        <v>0</v>
      </c>
      <c r="CP156" s="762">
        <v>120459</v>
      </c>
      <c r="CQ156" s="762">
        <v>9110447</v>
      </c>
      <c r="CR156" s="762">
        <v>14866914</v>
      </c>
      <c r="CS156" s="762">
        <v>0</v>
      </c>
      <c r="CT156" s="762">
        <v>200904</v>
      </c>
      <c r="CU156" s="762">
        <v>15067818</v>
      </c>
      <c r="CV156" s="762">
        <v>1152918</v>
      </c>
      <c r="CW156" s="762">
        <v>0</v>
      </c>
      <c r="CX156" s="762">
        <v>15573</v>
      </c>
      <c r="CY156" s="762">
        <v>1168491</v>
      </c>
      <c r="CZ156" s="762">
        <v>19103</v>
      </c>
      <c r="DA156" s="762">
        <v>0</v>
      </c>
      <c r="DB156" s="762">
        <v>258</v>
      </c>
      <c r="DC156" s="762">
        <v>19361</v>
      </c>
      <c r="DD156" s="762">
        <v>7077</v>
      </c>
      <c r="DE156" s="762">
        <v>0</v>
      </c>
      <c r="DF156" s="762">
        <v>96</v>
      </c>
      <c r="DG156" s="762">
        <v>7173</v>
      </c>
      <c r="DH156" s="762">
        <v>1147</v>
      </c>
      <c r="DI156" s="762">
        <v>0</v>
      </c>
      <c r="DJ156" s="762">
        <v>15</v>
      </c>
      <c r="DK156" s="762">
        <v>1162</v>
      </c>
      <c r="DL156" s="762">
        <v>80077</v>
      </c>
      <c r="DM156" s="762">
        <v>0</v>
      </c>
      <c r="DN156" s="762">
        <v>1082</v>
      </c>
      <c r="DO156" s="762">
        <v>81159</v>
      </c>
      <c r="DP156" s="762">
        <v>257506</v>
      </c>
      <c r="DQ156" s="762">
        <v>0</v>
      </c>
      <c r="DR156" s="762">
        <v>3480</v>
      </c>
      <c r="DS156" s="762">
        <v>260986</v>
      </c>
      <c r="DT156" s="762">
        <v>0</v>
      </c>
      <c r="DU156" s="762">
        <v>0</v>
      </c>
      <c r="DV156" s="762">
        <v>0</v>
      </c>
      <c r="DW156" s="762">
        <v>0</v>
      </c>
      <c r="DX156" s="762">
        <v>0</v>
      </c>
      <c r="DY156" s="762">
        <v>0</v>
      </c>
      <c r="DZ156" s="762">
        <v>0</v>
      </c>
      <c r="EA156" s="762">
        <v>0</v>
      </c>
      <c r="EB156" s="762">
        <v>3820571</v>
      </c>
      <c r="EC156" s="762">
        <v>0</v>
      </c>
      <c r="ED156" s="762">
        <v>51629</v>
      </c>
      <c r="EE156" s="762">
        <v>3872200</v>
      </c>
      <c r="EF156" s="762">
        <v>29195301</v>
      </c>
      <c r="EG156" s="762">
        <v>0</v>
      </c>
      <c r="EH156" s="762">
        <v>393496</v>
      </c>
      <c r="EI156" s="799">
        <v>29588797</v>
      </c>
      <c r="EJ156" s="763" t="s">
        <v>183</v>
      </c>
      <c r="EK156" s="607" t="s">
        <v>621</v>
      </c>
      <c r="EL156" s="805" t="s">
        <v>627</v>
      </c>
      <c r="EM156" t="s">
        <v>1722</v>
      </c>
    </row>
    <row r="157" spans="1:143" ht="12.75" x14ac:dyDescent="0.2">
      <c r="A157" s="764">
        <v>150</v>
      </c>
      <c r="B157" s="765" t="s">
        <v>186</v>
      </c>
      <c r="C157" s="766" t="s">
        <v>529</v>
      </c>
      <c r="D157" s="767" t="s">
        <v>1220</v>
      </c>
      <c r="E157" s="768" t="s">
        <v>596</v>
      </c>
      <c r="F157" s="761">
        <v>106845634</v>
      </c>
      <c r="G157" s="762">
        <v>3311890</v>
      </c>
      <c r="H157" s="762">
        <v>0</v>
      </c>
      <c r="I157" s="762">
        <v>482569</v>
      </c>
      <c r="J157" s="762">
        <v>0</v>
      </c>
      <c r="K157" s="762">
        <v>482569</v>
      </c>
      <c r="L157" s="762">
        <v>0</v>
      </c>
      <c r="M157" s="762">
        <v>0</v>
      </c>
      <c r="N157" s="762">
        <v>0</v>
      </c>
      <c r="O157" s="762">
        <v>0</v>
      </c>
      <c r="P157" s="762">
        <v>0</v>
      </c>
      <c r="Q157" s="762">
        <v>0</v>
      </c>
      <c r="R157" s="762">
        <v>109674955</v>
      </c>
      <c r="S157" s="790">
        <v>0.25</v>
      </c>
      <c r="T157" s="790">
        <v>0.74</v>
      </c>
      <c r="U157" s="790">
        <v>0</v>
      </c>
      <c r="V157" s="790">
        <v>0.01</v>
      </c>
      <c r="W157" s="790">
        <v>1</v>
      </c>
      <c r="X157" s="762">
        <v>27418738</v>
      </c>
      <c r="Y157" s="762">
        <v>81159467</v>
      </c>
      <c r="Z157" s="762">
        <v>0</v>
      </c>
      <c r="AA157" s="762">
        <v>1096750</v>
      </c>
      <c r="AB157" s="762">
        <v>109674955</v>
      </c>
      <c r="AC157" s="762">
        <v>0</v>
      </c>
      <c r="AD157" s="762">
        <v>0</v>
      </c>
      <c r="AE157" s="762">
        <v>0</v>
      </c>
      <c r="AF157" s="762">
        <v>0</v>
      </c>
      <c r="AG157" s="762">
        <v>0</v>
      </c>
      <c r="AH157" s="762">
        <v>27418738</v>
      </c>
      <c r="AI157" s="762">
        <v>81159467</v>
      </c>
      <c r="AJ157" s="762">
        <v>0</v>
      </c>
      <c r="AK157" s="762">
        <v>1096750</v>
      </c>
      <c r="AL157" s="762">
        <v>109674955</v>
      </c>
      <c r="AM157" s="762">
        <v>482569</v>
      </c>
      <c r="AN157" s="762">
        <v>482569</v>
      </c>
      <c r="AO157" s="762">
        <v>0</v>
      </c>
      <c r="AP157" s="762">
        <v>0</v>
      </c>
      <c r="AQ157" s="762">
        <v>0</v>
      </c>
      <c r="AR157" s="762">
        <v>0</v>
      </c>
      <c r="AS157" s="762">
        <v>0</v>
      </c>
      <c r="AT157" s="762">
        <v>0</v>
      </c>
      <c r="AU157" s="762">
        <v>0</v>
      </c>
      <c r="AV157" s="762">
        <v>0</v>
      </c>
      <c r="AW157" s="762">
        <v>0</v>
      </c>
      <c r="AX157" s="762">
        <v>0</v>
      </c>
      <c r="AY157" s="762">
        <v>0</v>
      </c>
      <c r="AZ157" s="762">
        <v>0</v>
      </c>
      <c r="BA157" s="762">
        <v>0</v>
      </c>
      <c r="BB157" s="762">
        <v>0</v>
      </c>
      <c r="BC157" s="762">
        <v>0</v>
      </c>
      <c r="BD157" s="762">
        <v>0</v>
      </c>
      <c r="BE157" s="762">
        <v>0</v>
      </c>
      <c r="BF157" s="762">
        <v>0</v>
      </c>
      <c r="BG157" s="762">
        <v>0</v>
      </c>
      <c r="BH157" s="762">
        <v>0</v>
      </c>
      <c r="BI157" s="762">
        <v>0</v>
      </c>
      <c r="BJ157" s="790">
        <v>0.5</v>
      </c>
      <c r="BK157" s="790">
        <v>0.49</v>
      </c>
      <c r="BL157" s="790">
        <v>0</v>
      </c>
      <c r="BM157" s="790">
        <v>0.01</v>
      </c>
      <c r="BN157" s="790">
        <v>1</v>
      </c>
      <c r="BO157" s="762">
        <v>-2188427</v>
      </c>
      <c r="BP157" s="762">
        <v>-2144658</v>
      </c>
      <c r="BQ157" s="762">
        <v>0</v>
      </c>
      <c r="BR157" s="762">
        <v>-43769</v>
      </c>
      <c r="BS157" s="762">
        <v>-4376854</v>
      </c>
      <c r="BT157" s="790">
        <v>0.5</v>
      </c>
      <c r="BU157" s="790">
        <v>0.49</v>
      </c>
      <c r="BV157" s="790">
        <v>0</v>
      </c>
      <c r="BW157" s="790">
        <v>0.01</v>
      </c>
      <c r="BX157" s="790">
        <v>1</v>
      </c>
      <c r="BY157" s="762">
        <v>-1490852</v>
      </c>
      <c r="BZ157" s="762">
        <v>-1461034</v>
      </c>
      <c r="CA157" s="762">
        <v>0</v>
      </c>
      <c r="CB157" s="762">
        <v>-29817</v>
      </c>
      <c r="CC157" s="762">
        <v>-2981703</v>
      </c>
      <c r="CD157" s="762">
        <v>-3679278</v>
      </c>
      <c r="CE157" s="762">
        <v>-3605693</v>
      </c>
      <c r="CF157" s="762">
        <v>0</v>
      </c>
      <c r="CG157" s="762">
        <v>-73586</v>
      </c>
      <c r="CH157" s="762">
        <v>-7358557</v>
      </c>
      <c r="CI157" s="762">
        <v>23739460</v>
      </c>
      <c r="CJ157" s="762">
        <v>78036343</v>
      </c>
      <c r="CK157" s="762">
        <v>0</v>
      </c>
      <c r="CL157" s="762">
        <v>1023164</v>
      </c>
      <c r="CM157" s="762">
        <v>102798967</v>
      </c>
      <c r="CN157" s="762">
        <v>2644708</v>
      </c>
      <c r="CO157" s="762">
        <v>0</v>
      </c>
      <c r="CP157" s="762">
        <v>35739</v>
      </c>
      <c r="CQ157" s="762">
        <v>2680447</v>
      </c>
      <c r="CR157" s="762">
        <v>7664333</v>
      </c>
      <c r="CS157" s="762">
        <v>0</v>
      </c>
      <c r="CT157" s="762">
        <v>98366</v>
      </c>
      <c r="CU157" s="762">
        <v>7762699</v>
      </c>
      <c r="CV157" s="762">
        <v>392201</v>
      </c>
      <c r="CW157" s="762">
        <v>0</v>
      </c>
      <c r="CX157" s="762">
        <v>5060</v>
      </c>
      <c r="CY157" s="762">
        <v>397261</v>
      </c>
      <c r="CZ157" s="762">
        <v>23688</v>
      </c>
      <c r="DA157" s="762">
        <v>0</v>
      </c>
      <c r="DB157" s="762">
        <v>320</v>
      </c>
      <c r="DC157" s="762">
        <v>24008</v>
      </c>
      <c r="DD157" s="762">
        <v>0</v>
      </c>
      <c r="DE157" s="762">
        <v>0</v>
      </c>
      <c r="DF157" s="762">
        <v>0</v>
      </c>
      <c r="DG157" s="762">
        <v>0</v>
      </c>
      <c r="DH157" s="762">
        <v>1147</v>
      </c>
      <c r="DI157" s="762">
        <v>0</v>
      </c>
      <c r="DJ157" s="762">
        <v>15</v>
      </c>
      <c r="DK157" s="762">
        <v>1162</v>
      </c>
      <c r="DL157" s="762">
        <v>102075</v>
      </c>
      <c r="DM157" s="762">
        <v>0</v>
      </c>
      <c r="DN157" s="762">
        <v>1368</v>
      </c>
      <c r="DO157" s="762">
        <v>103443</v>
      </c>
      <c r="DP157" s="762">
        <v>203275</v>
      </c>
      <c r="DQ157" s="762">
        <v>0</v>
      </c>
      <c r="DR157" s="762">
        <v>2468</v>
      </c>
      <c r="DS157" s="762">
        <v>205743</v>
      </c>
      <c r="DT157" s="762">
        <v>0</v>
      </c>
      <c r="DU157" s="762">
        <v>0</v>
      </c>
      <c r="DV157" s="762">
        <v>0</v>
      </c>
      <c r="DW157" s="762">
        <v>0</v>
      </c>
      <c r="DX157" s="762">
        <v>0</v>
      </c>
      <c r="DY157" s="762">
        <v>0</v>
      </c>
      <c r="DZ157" s="762">
        <v>0</v>
      </c>
      <c r="EA157" s="762">
        <v>0</v>
      </c>
      <c r="EB157" s="762">
        <v>1656224</v>
      </c>
      <c r="EC157" s="762">
        <v>0</v>
      </c>
      <c r="ED157" s="762">
        <v>22211</v>
      </c>
      <c r="EE157" s="762">
        <v>1678435</v>
      </c>
      <c r="EF157" s="762">
        <v>12687651</v>
      </c>
      <c r="EG157" s="762">
        <v>0</v>
      </c>
      <c r="EH157" s="762">
        <v>165547</v>
      </c>
      <c r="EI157" s="799">
        <v>12853198</v>
      </c>
      <c r="EJ157" s="763" t="s">
        <v>596</v>
      </c>
      <c r="EK157" s="607" t="s">
        <v>529</v>
      </c>
      <c r="EL157" s="805" t="s">
        <v>597</v>
      </c>
      <c r="EM157" t="s">
        <v>1723</v>
      </c>
    </row>
    <row r="158" spans="1:143" ht="12.75" x14ac:dyDescent="0.2">
      <c r="A158" s="764">
        <v>151</v>
      </c>
      <c r="B158" s="765" t="s">
        <v>188</v>
      </c>
      <c r="C158" s="766" t="s">
        <v>1217</v>
      </c>
      <c r="D158" s="767" t="s">
        <v>1218</v>
      </c>
      <c r="E158" s="768" t="s">
        <v>187</v>
      </c>
      <c r="F158" s="761">
        <v>24876057</v>
      </c>
      <c r="G158" s="762">
        <v>383947</v>
      </c>
      <c r="H158" s="762">
        <v>0</v>
      </c>
      <c r="I158" s="762">
        <v>138330</v>
      </c>
      <c r="J158" s="762">
        <v>0</v>
      </c>
      <c r="K158" s="762">
        <v>138330</v>
      </c>
      <c r="L158" s="762">
        <v>0</v>
      </c>
      <c r="M158" s="762">
        <v>266303</v>
      </c>
      <c r="N158" s="762">
        <v>0</v>
      </c>
      <c r="O158" s="762">
        <v>0</v>
      </c>
      <c r="P158" s="762">
        <v>0</v>
      </c>
      <c r="Q158" s="762">
        <v>0</v>
      </c>
      <c r="R158" s="762">
        <v>24855371</v>
      </c>
      <c r="S158" s="790">
        <v>0.24999999999999994</v>
      </c>
      <c r="T158" s="790">
        <v>0.44</v>
      </c>
      <c r="U158" s="790">
        <v>0.26</v>
      </c>
      <c r="V158" s="790">
        <v>0.05</v>
      </c>
      <c r="W158" s="790">
        <v>1</v>
      </c>
      <c r="X158" s="762">
        <v>6213843</v>
      </c>
      <c r="Y158" s="762">
        <v>10936363</v>
      </c>
      <c r="Z158" s="762">
        <v>6462396</v>
      </c>
      <c r="AA158" s="762">
        <v>1242769</v>
      </c>
      <c r="AB158" s="762">
        <v>24855371</v>
      </c>
      <c r="AC158" s="762">
        <v>310492</v>
      </c>
      <c r="AD158" s="762">
        <v>0</v>
      </c>
      <c r="AE158" s="762">
        <v>0</v>
      </c>
      <c r="AF158" s="762">
        <v>0</v>
      </c>
      <c r="AG158" s="762">
        <v>310492</v>
      </c>
      <c r="AH158" s="762">
        <v>5903351</v>
      </c>
      <c r="AI158" s="762">
        <v>10936363</v>
      </c>
      <c r="AJ158" s="762">
        <v>6462396</v>
      </c>
      <c r="AK158" s="762">
        <v>1242769</v>
      </c>
      <c r="AL158" s="762">
        <v>24544879</v>
      </c>
      <c r="AM158" s="762">
        <v>138330</v>
      </c>
      <c r="AN158" s="762">
        <v>138330</v>
      </c>
      <c r="AO158" s="762">
        <v>266303</v>
      </c>
      <c r="AP158" s="762">
        <v>266303</v>
      </c>
      <c r="AQ158" s="762">
        <v>0</v>
      </c>
      <c r="AR158" s="762">
        <v>0</v>
      </c>
      <c r="AS158" s="762">
        <v>0</v>
      </c>
      <c r="AT158" s="762">
        <v>0</v>
      </c>
      <c r="AU158" s="762">
        <v>0</v>
      </c>
      <c r="AV158" s="762">
        <v>0</v>
      </c>
      <c r="AW158" s="762">
        <v>0</v>
      </c>
      <c r="AX158" s="762">
        <v>310492</v>
      </c>
      <c r="AY158" s="762">
        <v>0</v>
      </c>
      <c r="AZ158" s="762">
        <v>0</v>
      </c>
      <c r="BA158" s="762">
        <v>310492</v>
      </c>
      <c r="BB158" s="762">
        <v>0</v>
      </c>
      <c r="BC158" s="762">
        <v>0</v>
      </c>
      <c r="BD158" s="762">
        <v>0</v>
      </c>
      <c r="BE158" s="762">
        <v>0</v>
      </c>
      <c r="BF158" s="762">
        <v>0</v>
      </c>
      <c r="BG158" s="762">
        <v>0</v>
      </c>
      <c r="BH158" s="762">
        <v>0</v>
      </c>
      <c r="BI158" s="762">
        <v>0</v>
      </c>
      <c r="BJ158" s="790">
        <v>0.5</v>
      </c>
      <c r="BK158" s="790">
        <v>0.4</v>
      </c>
      <c r="BL158" s="790">
        <v>0.09</v>
      </c>
      <c r="BM158" s="790">
        <v>0.01</v>
      </c>
      <c r="BN158" s="790">
        <v>1</v>
      </c>
      <c r="BO158" s="762">
        <v>696678</v>
      </c>
      <c r="BP158" s="762">
        <v>557342</v>
      </c>
      <c r="BQ158" s="762">
        <v>125402</v>
      </c>
      <c r="BR158" s="762">
        <v>13934</v>
      </c>
      <c r="BS158" s="762">
        <v>1393356</v>
      </c>
      <c r="BT158" s="790">
        <v>0.5</v>
      </c>
      <c r="BU158" s="790">
        <v>0.4</v>
      </c>
      <c r="BV158" s="790">
        <v>0.09</v>
      </c>
      <c r="BW158" s="790">
        <v>0.01</v>
      </c>
      <c r="BX158" s="790">
        <v>1</v>
      </c>
      <c r="BY158" s="762">
        <v>-584326</v>
      </c>
      <c r="BZ158" s="762">
        <v>-467461</v>
      </c>
      <c r="CA158" s="762">
        <v>-105179</v>
      </c>
      <c r="CB158" s="762">
        <v>-11687</v>
      </c>
      <c r="CC158" s="762">
        <v>-1168653</v>
      </c>
      <c r="CD158" s="762">
        <v>112352</v>
      </c>
      <c r="CE158" s="762">
        <v>89881</v>
      </c>
      <c r="CF158" s="762">
        <v>20223</v>
      </c>
      <c r="CG158" s="762">
        <v>2247</v>
      </c>
      <c r="CH158" s="762">
        <v>224703</v>
      </c>
      <c r="CI158" s="762">
        <v>6015703</v>
      </c>
      <c r="CJ158" s="762">
        <v>11741369</v>
      </c>
      <c r="CK158" s="762">
        <v>6482619</v>
      </c>
      <c r="CL158" s="762">
        <v>1245016</v>
      </c>
      <c r="CM158" s="762">
        <v>25484707</v>
      </c>
      <c r="CN158" s="762">
        <v>375174</v>
      </c>
      <c r="CO158" s="762">
        <v>210587</v>
      </c>
      <c r="CP158" s="762">
        <v>40498</v>
      </c>
      <c r="CQ158" s="762">
        <v>626259</v>
      </c>
      <c r="CR158" s="762">
        <v>1460298</v>
      </c>
      <c r="CS158" s="762">
        <v>696768</v>
      </c>
      <c r="CT158" s="762">
        <v>133994</v>
      </c>
      <c r="CU158" s="762">
        <v>2291060</v>
      </c>
      <c r="CV158" s="762">
        <v>90006</v>
      </c>
      <c r="CW158" s="762">
        <v>42317</v>
      </c>
      <c r="CX158" s="762">
        <v>8138</v>
      </c>
      <c r="CY158" s="762">
        <v>140461</v>
      </c>
      <c r="CZ158" s="762">
        <v>0</v>
      </c>
      <c r="DA158" s="762">
        <v>0</v>
      </c>
      <c r="DB158" s="762">
        <v>0</v>
      </c>
      <c r="DC158" s="762">
        <v>0</v>
      </c>
      <c r="DD158" s="762">
        <v>2428</v>
      </c>
      <c r="DE158" s="762">
        <v>1434</v>
      </c>
      <c r="DF158" s="762">
        <v>276</v>
      </c>
      <c r="DG158" s="762">
        <v>4138</v>
      </c>
      <c r="DH158" s="762">
        <v>0</v>
      </c>
      <c r="DI158" s="762">
        <v>0</v>
      </c>
      <c r="DJ158" s="762">
        <v>0</v>
      </c>
      <c r="DK158" s="762">
        <v>0</v>
      </c>
      <c r="DL158" s="762">
        <v>9647</v>
      </c>
      <c r="DM158" s="762">
        <v>5700</v>
      </c>
      <c r="DN158" s="762">
        <v>1096</v>
      </c>
      <c r="DO158" s="762">
        <v>16443</v>
      </c>
      <c r="DP158" s="762">
        <v>21335</v>
      </c>
      <c r="DQ158" s="762">
        <v>12607</v>
      </c>
      <c r="DR158" s="762">
        <v>2424</v>
      </c>
      <c r="DS158" s="762">
        <v>36366</v>
      </c>
      <c r="DT158" s="762">
        <v>0</v>
      </c>
      <c r="DU158" s="762">
        <v>0</v>
      </c>
      <c r="DV158" s="762">
        <v>0</v>
      </c>
      <c r="DW158" s="762">
        <v>0</v>
      </c>
      <c r="DX158" s="762">
        <v>0</v>
      </c>
      <c r="DY158" s="762">
        <v>0</v>
      </c>
      <c r="DZ158" s="762">
        <v>0</v>
      </c>
      <c r="EA158" s="762">
        <v>0</v>
      </c>
      <c r="EB158" s="762">
        <v>428059</v>
      </c>
      <c r="EC158" s="762">
        <v>252944</v>
      </c>
      <c r="ED158" s="762">
        <v>48643</v>
      </c>
      <c r="EE158" s="762">
        <v>729646</v>
      </c>
      <c r="EF158" s="762">
        <v>2386947</v>
      </c>
      <c r="EG158" s="762">
        <v>1222357</v>
      </c>
      <c r="EH158" s="762">
        <v>235069</v>
      </c>
      <c r="EI158" s="799">
        <v>3844373</v>
      </c>
      <c r="EJ158" s="763" t="s">
        <v>187</v>
      </c>
      <c r="EK158" s="607" t="s">
        <v>571</v>
      </c>
      <c r="EL158" s="805" t="s">
        <v>570</v>
      </c>
      <c r="EM158" t="s">
        <v>1724</v>
      </c>
    </row>
    <row r="159" spans="1:143" ht="12.75" x14ac:dyDescent="0.2">
      <c r="A159" s="764">
        <v>152</v>
      </c>
      <c r="B159" s="765" t="s">
        <v>190</v>
      </c>
      <c r="C159" s="766" t="s">
        <v>1228</v>
      </c>
      <c r="D159" s="767" t="s">
        <v>1223</v>
      </c>
      <c r="E159" s="768" t="s">
        <v>189</v>
      </c>
      <c r="F159" s="761">
        <v>60075919</v>
      </c>
      <c r="G159" s="762">
        <v>3914834</v>
      </c>
      <c r="H159" s="762">
        <v>0</v>
      </c>
      <c r="I159" s="762">
        <v>299726</v>
      </c>
      <c r="J159" s="762">
        <v>0</v>
      </c>
      <c r="K159" s="762">
        <v>299726</v>
      </c>
      <c r="L159" s="762">
        <v>0</v>
      </c>
      <c r="M159" s="762">
        <v>0</v>
      </c>
      <c r="N159" s="762">
        <v>0</v>
      </c>
      <c r="O159" s="762">
        <v>0</v>
      </c>
      <c r="P159" s="762">
        <v>0</v>
      </c>
      <c r="Q159" s="762">
        <v>0</v>
      </c>
      <c r="R159" s="762">
        <v>63691027</v>
      </c>
      <c r="S159" s="790">
        <v>0.25</v>
      </c>
      <c r="T159" s="790">
        <v>0.48</v>
      </c>
      <c r="U159" s="790">
        <v>0.27</v>
      </c>
      <c r="V159" s="790">
        <v>0</v>
      </c>
      <c r="W159" s="790">
        <v>1</v>
      </c>
      <c r="X159" s="762">
        <v>15922757</v>
      </c>
      <c r="Y159" s="762">
        <v>30571693</v>
      </c>
      <c r="Z159" s="762">
        <v>17196577</v>
      </c>
      <c r="AA159" s="762">
        <v>0</v>
      </c>
      <c r="AB159" s="762">
        <v>63691027</v>
      </c>
      <c r="AC159" s="762">
        <v>0</v>
      </c>
      <c r="AD159" s="762">
        <v>0</v>
      </c>
      <c r="AE159" s="762">
        <v>0</v>
      </c>
      <c r="AF159" s="762">
        <v>0</v>
      </c>
      <c r="AG159" s="762">
        <v>0</v>
      </c>
      <c r="AH159" s="762">
        <v>15922757</v>
      </c>
      <c r="AI159" s="762">
        <v>30571693</v>
      </c>
      <c r="AJ159" s="762">
        <v>17196577</v>
      </c>
      <c r="AK159" s="762">
        <v>0</v>
      </c>
      <c r="AL159" s="762">
        <v>63691027</v>
      </c>
      <c r="AM159" s="762">
        <v>299726</v>
      </c>
      <c r="AN159" s="762">
        <v>299726</v>
      </c>
      <c r="AO159" s="762">
        <v>0</v>
      </c>
      <c r="AP159" s="762">
        <v>0</v>
      </c>
      <c r="AQ159" s="762">
        <v>0</v>
      </c>
      <c r="AR159" s="762">
        <v>0</v>
      </c>
      <c r="AS159" s="762">
        <v>0</v>
      </c>
      <c r="AT159" s="762">
        <v>0</v>
      </c>
      <c r="AU159" s="762">
        <v>0</v>
      </c>
      <c r="AV159" s="762">
        <v>0</v>
      </c>
      <c r="AW159" s="762">
        <v>0</v>
      </c>
      <c r="AX159" s="762">
        <v>0</v>
      </c>
      <c r="AY159" s="762">
        <v>0</v>
      </c>
      <c r="AZ159" s="762">
        <v>0</v>
      </c>
      <c r="BA159" s="762">
        <v>0</v>
      </c>
      <c r="BB159" s="762">
        <v>0</v>
      </c>
      <c r="BC159" s="762">
        <v>0</v>
      </c>
      <c r="BD159" s="762">
        <v>0</v>
      </c>
      <c r="BE159" s="762">
        <v>0</v>
      </c>
      <c r="BF159" s="762">
        <v>0</v>
      </c>
      <c r="BG159" s="762">
        <v>0</v>
      </c>
      <c r="BH159" s="762">
        <v>0</v>
      </c>
      <c r="BI159" s="762">
        <v>0</v>
      </c>
      <c r="BJ159" s="790">
        <v>0</v>
      </c>
      <c r="BK159" s="790">
        <v>0.64</v>
      </c>
      <c r="BL159" s="790">
        <v>0.36</v>
      </c>
      <c r="BM159" s="790">
        <v>0</v>
      </c>
      <c r="BN159" s="790">
        <v>1</v>
      </c>
      <c r="BO159" s="762">
        <v>0</v>
      </c>
      <c r="BP159" s="762">
        <v>1048067</v>
      </c>
      <c r="BQ159" s="762">
        <v>589538</v>
      </c>
      <c r="BR159" s="762">
        <v>0</v>
      </c>
      <c r="BS159" s="762">
        <v>1637605</v>
      </c>
      <c r="BT159" s="790">
        <v>0.33</v>
      </c>
      <c r="BU159" s="790">
        <v>0.3</v>
      </c>
      <c r="BV159" s="790">
        <v>0.37</v>
      </c>
      <c r="BW159" s="790">
        <v>0</v>
      </c>
      <c r="BX159" s="790">
        <v>1</v>
      </c>
      <c r="BY159" s="762">
        <v>-91757</v>
      </c>
      <c r="BZ159" s="762">
        <v>-83416</v>
      </c>
      <c r="CA159" s="762">
        <v>-102880</v>
      </c>
      <c r="CB159" s="762">
        <v>0</v>
      </c>
      <c r="CC159" s="762">
        <v>-278053</v>
      </c>
      <c r="CD159" s="762">
        <v>-91757</v>
      </c>
      <c r="CE159" s="762">
        <v>964651</v>
      </c>
      <c r="CF159" s="762">
        <v>486658</v>
      </c>
      <c r="CG159" s="762">
        <v>0</v>
      </c>
      <c r="CH159" s="762">
        <v>1359552</v>
      </c>
      <c r="CI159" s="762">
        <v>15831000</v>
      </c>
      <c r="CJ159" s="762">
        <v>31836070</v>
      </c>
      <c r="CK159" s="762">
        <v>17683235</v>
      </c>
      <c r="CL159" s="762">
        <v>0</v>
      </c>
      <c r="CM159" s="762">
        <v>65350305</v>
      </c>
      <c r="CN159" s="762">
        <v>996226</v>
      </c>
      <c r="CO159" s="762">
        <v>560377</v>
      </c>
      <c r="CP159" s="762">
        <v>0</v>
      </c>
      <c r="CQ159" s="762">
        <v>1556603</v>
      </c>
      <c r="CR159" s="762">
        <v>2843185</v>
      </c>
      <c r="CS159" s="762">
        <v>1599291</v>
      </c>
      <c r="CT159" s="762">
        <v>0</v>
      </c>
      <c r="CU159" s="762">
        <v>4442476</v>
      </c>
      <c r="CV159" s="762">
        <v>116976</v>
      </c>
      <c r="CW159" s="762">
        <v>65799</v>
      </c>
      <c r="CX159" s="762">
        <v>0</v>
      </c>
      <c r="CY159" s="762">
        <v>182775</v>
      </c>
      <c r="CZ159" s="762">
        <v>0</v>
      </c>
      <c r="DA159" s="762">
        <v>0</v>
      </c>
      <c r="DB159" s="762">
        <v>0</v>
      </c>
      <c r="DC159" s="762">
        <v>0</v>
      </c>
      <c r="DD159" s="762">
        <v>0</v>
      </c>
      <c r="DE159" s="762">
        <v>0</v>
      </c>
      <c r="DF159" s="762">
        <v>0</v>
      </c>
      <c r="DG159" s="762">
        <v>0</v>
      </c>
      <c r="DH159" s="762">
        <v>0</v>
      </c>
      <c r="DI159" s="762">
        <v>0</v>
      </c>
      <c r="DJ159" s="762">
        <v>0</v>
      </c>
      <c r="DK159" s="762">
        <v>0</v>
      </c>
      <c r="DL159" s="762">
        <v>71932</v>
      </c>
      <c r="DM159" s="762">
        <v>40462</v>
      </c>
      <c r="DN159" s="762">
        <v>0</v>
      </c>
      <c r="DO159" s="762">
        <v>112394</v>
      </c>
      <c r="DP159" s="762">
        <v>113139</v>
      </c>
      <c r="DQ159" s="762">
        <v>63641</v>
      </c>
      <c r="DR159" s="762">
        <v>0</v>
      </c>
      <c r="DS159" s="762">
        <v>176780</v>
      </c>
      <c r="DT159" s="762">
        <v>0</v>
      </c>
      <c r="DU159" s="762">
        <v>0</v>
      </c>
      <c r="DV159" s="762">
        <v>0</v>
      </c>
      <c r="DW159" s="762">
        <v>0</v>
      </c>
      <c r="DX159" s="762">
        <v>0</v>
      </c>
      <c r="DY159" s="762">
        <v>0</v>
      </c>
      <c r="DZ159" s="762">
        <v>0</v>
      </c>
      <c r="EA159" s="762">
        <v>0</v>
      </c>
      <c r="EB159" s="762">
        <v>1271263</v>
      </c>
      <c r="EC159" s="762">
        <v>715085</v>
      </c>
      <c r="ED159" s="762">
        <v>0</v>
      </c>
      <c r="EE159" s="762">
        <v>1986348</v>
      </c>
      <c r="EF159" s="762">
        <v>5412721</v>
      </c>
      <c r="EG159" s="762">
        <v>3044655</v>
      </c>
      <c r="EH159" s="762">
        <v>0</v>
      </c>
      <c r="EI159" s="799">
        <v>8457376</v>
      </c>
      <c r="EJ159" s="763" t="s">
        <v>189</v>
      </c>
      <c r="EK159" s="607" t="s">
        <v>628</v>
      </c>
      <c r="EL159" s="272" t="s">
        <v>528</v>
      </c>
      <c r="EM159" t="s">
        <v>1725</v>
      </c>
    </row>
    <row r="160" spans="1:143" ht="12.75" x14ac:dyDescent="0.2">
      <c r="A160" s="764">
        <v>153</v>
      </c>
      <c r="B160" s="765" t="s">
        <v>192</v>
      </c>
      <c r="C160" s="766" t="s">
        <v>1217</v>
      </c>
      <c r="D160" s="767" t="s">
        <v>1227</v>
      </c>
      <c r="E160" s="768" t="s">
        <v>191</v>
      </c>
      <c r="F160" s="761">
        <v>33084255</v>
      </c>
      <c r="G160" s="762">
        <v>474954</v>
      </c>
      <c r="H160" s="762">
        <v>0</v>
      </c>
      <c r="I160" s="762">
        <v>122484</v>
      </c>
      <c r="J160" s="762">
        <v>0</v>
      </c>
      <c r="K160" s="762">
        <v>122484</v>
      </c>
      <c r="L160" s="762">
        <v>0</v>
      </c>
      <c r="M160" s="762">
        <v>0</v>
      </c>
      <c r="N160" s="762">
        <v>0</v>
      </c>
      <c r="O160" s="762">
        <v>0</v>
      </c>
      <c r="P160" s="762">
        <v>0</v>
      </c>
      <c r="Q160" s="762">
        <v>0</v>
      </c>
      <c r="R160" s="762">
        <v>33436725</v>
      </c>
      <c r="S160" s="790">
        <v>0.25</v>
      </c>
      <c r="T160" s="790">
        <v>0.4</v>
      </c>
      <c r="U160" s="790">
        <v>0.33999999999999997</v>
      </c>
      <c r="V160" s="790">
        <v>0.01</v>
      </c>
      <c r="W160" s="790">
        <v>1</v>
      </c>
      <c r="X160" s="762">
        <v>8359181</v>
      </c>
      <c r="Y160" s="762">
        <v>13374690</v>
      </c>
      <c r="Z160" s="762">
        <v>11368487</v>
      </c>
      <c r="AA160" s="762">
        <v>334367</v>
      </c>
      <c r="AB160" s="762">
        <v>33436725</v>
      </c>
      <c r="AC160" s="762">
        <v>0</v>
      </c>
      <c r="AD160" s="762">
        <v>0</v>
      </c>
      <c r="AE160" s="762">
        <v>0</v>
      </c>
      <c r="AF160" s="762">
        <v>0</v>
      </c>
      <c r="AG160" s="762">
        <v>0</v>
      </c>
      <c r="AH160" s="762">
        <v>8359181</v>
      </c>
      <c r="AI160" s="762">
        <v>13374690</v>
      </c>
      <c r="AJ160" s="762">
        <v>11368487</v>
      </c>
      <c r="AK160" s="762">
        <v>334367</v>
      </c>
      <c r="AL160" s="762">
        <v>33436725</v>
      </c>
      <c r="AM160" s="762">
        <v>122484</v>
      </c>
      <c r="AN160" s="762">
        <v>122484</v>
      </c>
      <c r="AO160" s="762">
        <v>0</v>
      </c>
      <c r="AP160" s="762">
        <v>0</v>
      </c>
      <c r="AQ160" s="762">
        <v>0</v>
      </c>
      <c r="AR160" s="762">
        <v>0</v>
      </c>
      <c r="AS160" s="762">
        <v>0</v>
      </c>
      <c r="AT160" s="762">
        <v>0</v>
      </c>
      <c r="AU160" s="762">
        <v>0</v>
      </c>
      <c r="AV160" s="762">
        <v>0</v>
      </c>
      <c r="AW160" s="762">
        <v>0</v>
      </c>
      <c r="AX160" s="762">
        <v>0</v>
      </c>
      <c r="AY160" s="762">
        <v>0</v>
      </c>
      <c r="AZ160" s="762">
        <v>0</v>
      </c>
      <c r="BA160" s="762">
        <v>0</v>
      </c>
      <c r="BB160" s="762">
        <v>0</v>
      </c>
      <c r="BC160" s="762">
        <v>0</v>
      </c>
      <c r="BD160" s="762">
        <v>0</v>
      </c>
      <c r="BE160" s="762">
        <v>0</v>
      </c>
      <c r="BF160" s="762">
        <v>0</v>
      </c>
      <c r="BG160" s="762">
        <v>0</v>
      </c>
      <c r="BH160" s="762">
        <v>0</v>
      </c>
      <c r="BI160" s="762">
        <v>0</v>
      </c>
      <c r="BJ160" s="790">
        <v>0.5</v>
      </c>
      <c r="BK160" s="790">
        <v>0.4</v>
      </c>
      <c r="BL160" s="790">
        <v>0.09</v>
      </c>
      <c r="BM160" s="790">
        <v>0.01</v>
      </c>
      <c r="BN160" s="790">
        <v>1</v>
      </c>
      <c r="BO160" s="762">
        <v>296649</v>
      </c>
      <c r="BP160" s="762">
        <v>237319</v>
      </c>
      <c r="BQ160" s="762">
        <v>53397</v>
      </c>
      <c r="BR160" s="762">
        <v>5933</v>
      </c>
      <c r="BS160" s="762">
        <v>593298</v>
      </c>
      <c r="BT160" s="790">
        <v>0.5</v>
      </c>
      <c r="BU160" s="790">
        <v>0.4</v>
      </c>
      <c r="BV160" s="790">
        <v>0.09</v>
      </c>
      <c r="BW160" s="790">
        <v>0.01</v>
      </c>
      <c r="BX160" s="790">
        <v>1</v>
      </c>
      <c r="BY160" s="762">
        <v>-30649</v>
      </c>
      <c r="BZ160" s="762">
        <v>-24519</v>
      </c>
      <c r="CA160" s="762">
        <v>-5517</v>
      </c>
      <c r="CB160" s="762">
        <v>-613</v>
      </c>
      <c r="CC160" s="762">
        <v>-61298</v>
      </c>
      <c r="CD160" s="762">
        <v>266000</v>
      </c>
      <c r="CE160" s="762">
        <v>212800</v>
      </c>
      <c r="CF160" s="762">
        <v>47880</v>
      </c>
      <c r="CG160" s="762">
        <v>5320</v>
      </c>
      <c r="CH160" s="762">
        <v>532000</v>
      </c>
      <c r="CI160" s="762">
        <v>8625181</v>
      </c>
      <c r="CJ160" s="762">
        <v>13709974</v>
      </c>
      <c r="CK160" s="762">
        <v>11416367</v>
      </c>
      <c r="CL160" s="762">
        <v>339687</v>
      </c>
      <c r="CM160" s="762">
        <v>34091209</v>
      </c>
      <c r="CN160" s="762">
        <v>435835</v>
      </c>
      <c r="CO160" s="762">
        <v>370460</v>
      </c>
      <c r="CP160" s="762">
        <v>10896</v>
      </c>
      <c r="CQ160" s="762">
        <v>817191</v>
      </c>
      <c r="CR160" s="762">
        <v>964315</v>
      </c>
      <c r="CS160" s="762">
        <v>819667</v>
      </c>
      <c r="CT160" s="762">
        <v>24108</v>
      </c>
      <c r="CU160" s="762">
        <v>1808090</v>
      </c>
      <c r="CV160" s="762">
        <v>69829</v>
      </c>
      <c r="CW160" s="762">
        <v>59355</v>
      </c>
      <c r="CX160" s="762">
        <v>1746</v>
      </c>
      <c r="CY160" s="762">
        <v>130930</v>
      </c>
      <c r="CZ160" s="762">
        <v>1227</v>
      </c>
      <c r="DA160" s="762">
        <v>1043</v>
      </c>
      <c r="DB160" s="762">
        <v>31</v>
      </c>
      <c r="DC160" s="762">
        <v>2301</v>
      </c>
      <c r="DD160" s="762">
        <v>1489</v>
      </c>
      <c r="DE160" s="762">
        <v>1265</v>
      </c>
      <c r="DF160" s="762">
        <v>37</v>
      </c>
      <c r="DG160" s="762">
        <v>2791</v>
      </c>
      <c r="DH160" s="762">
        <v>0</v>
      </c>
      <c r="DI160" s="762">
        <v>0</v>
      </c>
      <c r="DJ160" s="762">
        <v>0</v>
      </c>
      <c r="DK160" s="762">
        <v>0</v>
      </c>
      <c r="DL160" s="762">
        <v>12810</v>
      </c>
      <c r="DM160" s="762">
        <v>10888</v>
      </c>
      <c r="DN160" s="762">
        <v>320</v>
      </c>
      <c r="DO160" s="762">
        <v>24018</v>
      </c>
      <c r="DP160" s="762">
        <v>21482</v>
      </c>
      <c r="DQ160" s="762">
        <v>18260</v>
      </c>
      <c r="DR160" s="762">
        <v>537</v>
      </c>
      <c r="DS160" s="762">
        <v>40279</v>
      </c>
      <c r="DT160" s="762">
        <v>0</v>
      </c>
      <c r="DU160" s="762">
        <v>0</v>
      </c>
      <c r="DV160" s="762">
        <v>0</v>
      </c>
      <c r="DW160" s="762">
        <v>0</v>
      </c>
      <c r="DX160" s="762">
        <v>0</v>
      </c>
      <c r="DY160" s="762">
        <v>0</v>
      </c>
      <c r="DZ160" s="762">
        <v>0</v>
      </c>
      <c r="EA160" s="762">
        <v>0</v>
      </c>
      <c r="EB160" s="762">
        <v>542892</v>
      </c>
      <c r="EC160" s="762">
        <v>461457</v>
      </c>
      <c r="ED160" s="762">
        <v>13572</v>
      </c>
      <c r="EE160" s="762">
        <v>1017921</v>
      </c>
      <c r="EF160" s="762">
        <v>2049879</v>
      </c>
      <c r="EG160" s="762">
        <v>1742395</v>
      </c>
      <c r="EH160" s="762">
        <v>51247</v>
      </c>
      <c r="EI160" s="799">
        <v>3843521</v>
      </c>
      <c r="EJ160" s="763" t="s">
        <v>191</v>
      </c>
      <c r="EK160" s="607" t="s">
        <v>614</v>
      </c>
      <c r="EL160" s="805" t="s">
        <v>613</v>
      </c>
      <c r="EM160" t="s">
        <v>1726</v>
      </c>
    </row>
    <row r="161" spans="1:143" ht="12.75" x14ac:dyDescent="0.2">
      <c r="A161" s="764">
        <v>154</v>
      </c>
      <c r="B161" s="765" t="s">
        <v>194</v>
      </c>
      <c r="C161" s="766" t="s">
        <v>1217</v>
      </c>
      <c r="D161" s="767" t="s">
        <v>1220</v>
      </c>
      <c r="E161" s="768" t="s">
        <v>193</v>
      </c>
      <c r="F161" s="761">
        <v>42107273</v>
      </c>
      <c r="G161" s="762">
        <v>15458</v>
      </c>
      <c r="H161" s="762">
        <v>0</v>
      </c>
      <c r="I161" s="762">
        <v>145322</v>
      </c>
      <c r="J161" s="762">
        <v>0</v>
      </c>
      <c r="K161" s="762">
        <v>145322</v>
      </c>
      <c r="L161" s="762">
        <v>0</v>
      </c>
      <c r="M161" s="762">
        <v>0</v>
      </c>
      <c r="N161" s="762">
        <v>364</v>
      </c>
      <c r="O161" s="762">
        <v>364</v>
      </c>
      <c r="P161" s="762">
        <v>0</v>
      </c>
      <c r="Q161" s="762">
        <v>0</v>
      </c>
      <c r="R161" s="762">
        <v>41977045</v>
      </c>
      <c r="S161" s="790">
        <v>0.5</v>
      </c>
      <c r="T161" s="790">
        <v>0.4</v>
      </c>
      <c r="U161" s="790">
        <v>0.1</v>
      </c>
      <c r="V161" s="790">
        <v>0</v>
      </c>
      <c r="W161" s="790">
        <v>1</v>
      </c>
      <c r="X161" s="762">
        <v>20988522</v>
      </c>
      <c r="Y161" s="762">
        <v>16790818</v>
      </c>
      <c r="Z161" s="762">
        <v>4197705</v>
      </c>
      <c r="AA161" s="762">
        <v>0</v>
      </c>
      <c r="AB161" s="762">
        <v>41977045</v>
      </c>
      <c r="AC161" s="762">
        <v>0</v>
      </c>
      <c r="AD161" s="762">
        <v>0</v>
      </c>
      <c r="AE161" s="762">
        <v>0</v>
      </c>
      <c r="AF161" s="762">
        <v>0</v>
      </c>
      <c r="AG161" s="762">
        <v>0</v>
      </c>
      <c r="AH161" s="762">
        <v>20988522</v>
      </c>
      <c r="AI161" s="762">
        <v>16790818</v>
      </c>
      <c r="AJ161" s="762">
        <v>4197705</v>
      </c>
      <c r="AK161" s="762">
        <v>0</v>
      </c>
      <c r="AL161" s="762">
        <v>41977045</v>
      </c>
      <c r="AM161" s="762">
        <v>145322</v>
      </c>
      <c r="AN161" s="762">
        <v>145322</v>
      </c>
      <c r="AO161" s="762">
        <v>0</v>
      </c>
      <c r="AP161" s="762">
        <v>0</v>
      </c>
      <c r="AQ161" s="762">
        <v>364</v>
      </c>
      <c r="AR161" s="762">
        <v>0</v>
      </c>
      <c r="AS161" s="762">
        <v>364</v>
      </c>
      <c r="AT161" s="762">
        <v>0</v>
      </c>
      <c r="AU161" s="762">
        <v>0</v>
      </c>
      <c r="AV161" s="762">
        <v>0</v>
      </c>
      <c r="AW161" s="762">
        <v>0</v>
      </c>
      <c r="AX161" s="762">
        <v>0</v>
      </c>
      <c r="AY161" s="762">
        <v>0</v>
      </c>
      <c r="AZ161" s="762">
        <v>0</v>
      </c>
      <c r="BA161" s="762">
        <v>0</v>
      </c>
      <c r="BB161" s="762">
        <v>0</v>
      </c>
      <c r="BC161" s="762">
        <v>0</v>
      </c>
      <c r="BD161" s="762">
        <v>0</v>
      </c>
      <c r="BE161" s="762">
        <v>0</v>
      </c>
      <c r="BF161" s="762">
        <v>0</v>
      </c>
      <c r="BG161" s="762">
        <v>0</v>
      </c>
      <c r="BH161" s="762">
        <v>0</v>
      </c>
      <c r="BI161" s="762">
        <v>0</v>
      </c>
      <c r="BJ161" s="790">
        <v>0</v>
      </c>
      <c r="BK161" s="790">
        <v>0.6</v>
      </c>
      <c r="BL161" s="790">
        <v>0.4</v>
      </c>
      <c r="BM161" s="790">
        <v>0</v>
      </c>
      <c r="BN161" s="790">
        <v>1</v>
      </c>
      <c r="BO161" s="762">
        <v>0</v>
      </c>
      <c r="BP161" s="762">
        <v>1681355</v>
      </c>
      <c r="BQ161" s="762">
        <v>1120903</v>
      </c>
      <c r="BR161" s="762">
        <v>0</v>
      </c>
      <c r="BS161" s="762">
        <v>2802258</v>
      </c>
      <c r="BT161" s="790">
        <v>0.5</v>
      </c>
      <c r="BU161" s="790">
        <v>0.4</v>
      </c>
      <c r="BV161" s="790">
        <v>0.1</v>
      </c>
      <c r="BW161" s="790">
        <v>0</v>
      </c>
      <c r="BX161" s="790">
        <v>1</v>
      </c>
      <c r="BY161" s="762">
        <v>-169261</v>
      </c>
      <c r="BZ161" s="762">
        <v>-135409</v>
      </c>
      <c r="CA161" s="762">
        <v>-33852</v>
      </c>
      <c r="CB161" s="762">
        <v>0</v>
      </c>
      <c r="CC161" s="762">
        <v>-338522</v>
      </c>
      <c r="CD161" s="762">
        <v>-169261</v>
      </c>
      <c r="CE161" s="762">
        <v>1545946</v>
      </c>
      <c r="CF161" s="762">
        <v>1087051</v>
      </c>
      <c r="CG161" s="762">
        <v>0</v>
      </c>
      <c r="CH161" s="762">
        <v>2463736</v>
      </c>
      <c r="CI161" s="762">
        <v>20819261</v>
      </c>
      <c r="CJ161" s="762">
        <v>18482450</v>
      </c>
      <c r="CK161" s="762">
        <v>5284756</v>
      </c>
      <c r="CL161" s="762">
        <v>0</v>
      </c>
      <c r="CM161" s="762">
        <v>44586467</v>
      </c>
      <c r="CN161" s="762">
        <v>547167</v>
      </c>
      <c r="CO161" s="762">
        <v>136789</v>
      </c>
      <c r="CP161" s="762">
        <v>0</v>
      </c>
      <c r="CQ161" s="762">
        <v>683956</v>
      </c>
      <c r="CR161" s="762">
        <v>950350</v>
      </c>
      <c r="CS161" s="762">
        <v>237588</v>
      </c>
      <c r="CT161" s="762">
        <v>0</v>
      </c>
      <c r="CU161" s="762">
        <v>1187938</v>
      </c>
      <c r="CV161" s="762">
        <v>74861</v>
      </c>
      <c r="CW161" s="762">
        <v>18715</v>
      </c>
      <c r="CX161" s="762">
        <v>0</v>
      </c>
      <c r="CY161" s="762">
        <v>93576</v>
      </c>
      <c r="CZ161" s="762">
        <v>9694</v>
      </c>
      <c r="DA161" s="762">
        <v>2423</v>
      </c>
      <c r="DB161" s="762">
        <v>0</v>
      </c>
      <c r="DC161" s="762">
        <v>12117</v>
      </c>
      <c r="DD161" s="762">
        <v>0</v>
      </c>
      <c r="DE161" s="762">
        <v>0</v>
      </c>
      <c r="DF161" s="762">
        <v>0</v>
      </c>
      <c r="DG161" s="762">
        <v>0</v>
      </c>
      <c r="DH161" s="762">
        <v>619</v>
      </c>
      <c r="DI161" s="762">
        <v>155</v>
      </c>
      <c r="DJ161" s="762">
        <v>0</v>
      </c>
      <c r="DK161" s="762">
        <v>774</v>
      </c>
      <c r="DL161" s="762">
        <v>2758</v>
      </c>
      <c r="DM161" s="762">
        <v>690</v>
      </c>
      <c r="DN161" s="762">
        <v>0</v>
      </c>
      <c r="DO161" s="762">
        <v>3448</v>
      </c>
      <c r="DP161" s="762">
        <v>16108</v>
      </c>
      <c r="DQ161" s="762">
        <v>4027</v>
      </c>
      <c r="DR161" s="762">
        <v>0</v>
      </c>
      <c r="DS161" s="762">
        <v>20135</v>
      </c>
      <c r="DT161" s="762">
        <v>0</v>
      </c>
      <c r="DU161" s="762">
        <v>0</v>
      </c>
      <c r="DV161" s="762">
        <v>0</v>
      </c>
      <c r="DW161" s="762">
        <v>0</v>
      </c>
      <c r="DX161" s="762">
        <v>0</v>
      </c>
      <c r="DY161" s="762">
        <v>0</v>
      </c>
      <c r="DZ161" s="762">
        <v>0</v>
      </c>
      <c r="EA161" s="762">
        <v>0</v>
      </c>
      <c r="EB161" s="762">
        <v>607297</v>
      </c>
      <c r="EC161" s="762">
        <v>151824</v>
      </c>
      <c r="ED161" s="762">
        <v>0</v>
      </c>
      <c r="EE161" s="762">
        <v>759121</v>
      </c>
      <c r="EF161" s="762">
        <v>2208854</v>
      </c>
      <c r="EG161" s="762">
        <v>552211</v>
      </c>
      <c r="EH161" s="762">
        <v>0</v>
      </c>
      <c r="EI161" s="799">
        <v>2761065</v>
      </c>
      <c r="EJ161" s="763" t="s">
        <v>193</v>
      </c>
      <c r="EK161" s="607" t="s">
        <v>600</v>
      </c>
      <c r="EL161" s="805" t="s">
        <v>556</v>
      </c>
      <c r="EM161" t="s">
        <v>1727</v>
      </c>
    </row>
    <row r="162" spans="1:143" ht="12.75" x14ac:dyDescent="0.2">
      <c r="A162" s="764">
        <v>155</v>
      </c>
      <c r="B162" s="765" t="s">
        <v>196</v>
      </c>
      <c r="C162" s="766" t="s">
        <v>1224</v>
      </c>
      <c r="D162" s="767" t="s">
        <v>1219</v>
      </c>
      <c r="E162" s="768" t="s">
        <v>195</v>
      </c>
      <c r="F162" s="761">
        <v>195815439</v>
      </c>
      <c r="G162" s="762">
        <v>0</v>
      </c>
      <c r="H162" s="762">
        <v>1043195</v>
      </c>
      <c r="I162" s="762">
        <v>766343</v>
      </c>
      <c r="J162" s="762">
        <v>0</v>
      </c>
      <c r="K162" s="762">
        <v>766343</v>
      </c>
      <c r="L162" s="762">
        <v>0</v>
      </c>
      <c r="M162" s="762">
        <v>0</v>
      </c>
      <c r="N162" s="762">
        <v>0</v>
      </c>
      <c r="O162" s="762">
        <v>0</v>
      </c>
      <c r="P162" s="762">
        <v>0</v>
      </c>
      <c r="Q162" s="762">
        <v>0</v>
      </c>
      <c r="R162" s="762">
        <v>194005901</v>
      </c>
      <c r="S162" s="790">
        <v>0</v>
      </c>
      <c r="T162" s="790">
        <v>0.99</v>
      </c>
      <c r="U162" s="790">
        <v>0</v>
      </c>
      <c r="V162" s="790">
        <v>0.01</v>
      </c>
      <c r="W162" s="790">
        <v>1</v>
      </c>
      <c r="X162" s="762">
        <v>0</v>
      </c>
      <c r="Y162" s="762">
        <v>192065842</v>
      </c>
      <c r="Z162" s="762">
        <v>0</v>
      </c>
      <c r="AA162" s="762">
        <v>1940059</v>
      </c>
      <c r="AB162" s="762">
        <v>194005901</v>
      </c>
      <c r="AC162" s="762">
        <v>0</v>
      </c>
      <c r="AD162" s="762">
        <v>0</v>
      </c>
      <c r="AE162" s="762">
        <v>0</v>
      </c>
      <c r="AF162" s="762">
        <v>0</v>
      </c>
      <c r="AG162" s="762">
        <v>0</v>
      </c>
      <c r="AH162" s="762">
        <v>0</v>
      </c>
      <c r="AI162" s="762">
        <v>192065842</v>
      </c>
      <c r="AJ162" s="762">
        <v>0</v>
      </c>
      <c r="AK162" s="762">
        <v>1940059</v>
      </c>
      <c r="AL162" s="762">
        <v>194005901</v>
      </c>
      <c r="AM162" s="762">
        <v>766343</v>
      </c>
      <c r="AN162" s="762">
        <v>766343</v>
      </c>
      <c r="AO162" s="762">
        <v>0</v>
      </c>
      <c r="AP162" s="762">
        <v>0</v>
      </c>
      <c r="AQ162" s="762">
        <v>0</v>
      </c>
      <c r="AR162" s="762">
        <v>0</v>
      </c>
      <c r="AS162" s="762">
        <v>0</v>
      </c>
      <c r="AT162" s="762">
        <v>0</v>
      </c>
      <c r="AU162" s="762">
        <v>0</v>
      </c>
      <c r="AV162" s="762">
        <v>0</v>
      </c>
      <c r="AW162" s="762">
        <v>0</v>
      </c>
      <c r="AX162" s="762">
        <v>0</v>
      </c>
      <c r="AY162" s="762">
        <v>0</v>
      </c>
      <c r="AZ162" s="762">
        <v>0</v>
      </c>
      <c r="BA162" s="762">
        <v>0</v>
      </c>
      <c r="BB162" s="762">
        <v>0</v>
      </c>
      <c r="BC162" s="762">
        <v>0</v>
      </c>
      <c r="BD162" s="762">
        <v>0</v>
      </c>
      <c r="BE162" s="762">
        <v>0</v>
      </c>
      <c r="BF162" s="762">
        <v>0</v>
      </c>
      <c r="BG162" s="762">
        <v>0</v>
      </c>
      <c r="BH162" s="762">
        <v>0</v>
      </c>
      <c r="BI162" s="762">
        <v>0</v>
      </c>
      <c r="BJ162" s="790">
        <v>0</v>
      </c>
      <c r="BK162" s="790">
        <v>0.99</v>
      </c>
      <c r="BL162" s="790">
        <v>0</v>
      </c>
      <c r="BM162" s="790">
        <v>0.01</v>
      </c>
      <c r="BN162" s="790">
        <v>1</v>
      </c>
      <c r="BO162" s="762">
        <v>0</v>
      </c>
      <c r="BP162" s="762">
        <v>3050057</v>
      </c>
      <c r="BQ162" s="762">
        <v>0</v>
      </c>
      <c r="BR162" s="762">
        <v>30809</v>
      </c>
      <c r="BS162" s="762">
        <v>3080866</v>
      </c>
      <c r="BT162" s="790">
        <v>0</v>
      </c>
      <c r="BU162" s="790">
        <v>0.99</v>
      </c>
      <c r="BV162" s="790">
        <v>0</v>
      </c>
      <c r="BW162" s="790">
        <v>0.01</v>
      </c>
      <c r="BX162" s="790">
        <v>1</v>
      </c>
      <c r="BY162" s="762">
        <v>0</v>
      </c>
      <c r="BZ162" s="762">
        <v>599473</v>
      </c>
      <c r="CA162" s="762">
        <v>0</v>
      </c>
      <c r="CB162" s="762">
        <v>6055</v>
      </c>
      <c r="CC162" s="762">
        <v>605528</v>
      </c>
      <c r="CD162" s="762">
        <v>0</v>
      </c>
      <c r="CE162" s="762">
        <v>3649530</v>
      </c>
      <c r="CF162" s="762">
        <v>0</v>
      </c>
      <c r="CG162" s="762">
        <v>36864</v>
      </c>
      <c r="CH162" s="762">
        <v>3686394</v>
      </c>
      <c r="CI162" s="762">
        <v>0</v>
      </c>
      <c r="CJ162" s="762">
        <v>196481715</v>
      </c>
      <c r="CK162" s="762">
        <v>0</v>
      </c>
      <c r="CL162" s="762">
        <v>1976923</v>
      </c>
      <c r="CM162" s="762">
        <v>198458638</v>
      </c>
      <c r="CN162" s="762">
        <v>6258765</v>
      </c>
      <c r="CO162" s="762">
        <v>0</v>
      </c>
      <c r="CP162" s="762">
        <v>63220</v>
      </c>
      <c r="CQ162" s="762">
        <v>6321985</v>
      </c>
      <c r="CR162" s="762">
        <v>10224192</v>
      </c>
      <c r="CS162" s="762">
        <v>0</v>
      </c>
      <c r="CT162" s="762">
        <v>95918</v>
      </c>
      <c r="CU162" s="762">
        <v>10320110</v>
      </c>
      <c r="CV162" s="762">
        <v>764341</v>
      </c>
      <c r="CW162" s="762">
        <v>0</v>
      </c>
      <c r="CX162" s="762">
        <v>6613</v>
      </c>
      <c r="CY162" s="762">
        <v>770954</v>
      </c>
      <c r="CZ162" s="762">
        <v>77784</v>
      </c>
      <c r="DA162" s="762">
        <v>0</v>
      </c>
      <c r="DB162" s="762">
        <v>673</v>
      </c>
      <c r="DC162" s="762">
        <v>78457</v>
      </c>
      <c r="DD162" s="762">
        <v>0</v>
      </c>
      <c r="DE162" s="762">
        <v>0</v>
      </c>
      <c r="DF162" s="762">
        <v>0</v>
      </c>
      <c r="DG162" s="762">
        <v>0</v>
      </c>
      <c r="DH162" s="762">
        <v>1534</v>
      </c>
      <c r="DI162" s="762">
        <v>0</v>
      </c>
      <c r="DJ162" s="762">
        <v>15</v>
      </c>
      <c r="DK162" s="762">
        <v>1549</v>
      </c>
      <c r="DL162" s="762">
        <v>107314</v>
      </c>
      <c r="DM162" s="762">
        <v>0</v>
      </c>
      <c r="DN162" s="762">
        <v>976</v>
      </c>
      <c r="DO162" s="762">
        <v>108290</v>
      </c>
      <c r="DP162" s="762">
        <v>233987</v>
      </c>
      <c r="DQ162" s="762">
        <v>0</v>
      </c>
      <c r="DR162" s="762">
        <v>1992</v>
      </c>
      <c r="DS162" s="762">
        <v>235979</v>
      </c>
      <c r="DT162" s="762">
        <v>414488</v>
      </c>
      <c r="DU162" s="762">
        <v>0</v>
      </c>
      <c r="DV162" s="762">
        <v>0</v>
      </c>
      <c r="DW162" s="762">
        <v>414488</v>
      </c>
      <c r="DX162" s="762">
        <v>0</v>
      </c>
      <c r="DY162" s="762">
        <v>0</v>
      </c>
      <c r="DZ162" s="762">
        <v>0</v>
      </c>
      <c r="EA162" s="762">
        <v>0</v>
      </c>
      <c r="EB162" s="762">
        <v>4928272</v>
      </c>
      <c r="EC162" s="762">
        <v>0</v>
      </c>
      <c r="ED162" s="762">
        <v>41205</v>
      </c>
      <c r="EE162" s="762">
        <v>4969477</v>
      </c>
      <c r="EF162" s="762">
        <v>23010677</v>
      </c>
      <c r="EG162" s="762">
        <v>0</v>
      </c>
      <c r="EH162" s="762">
        <v>210612</v>
      </c>
      <c r="EI162" s="799">
        <v>23221289</v>
      </c>
      <c r="EJ162" s="763" t="s">
        <v>195</v>
      </c>
      <c r="EK162" s="607" t="s">
        <v>621</v>
      </c>
      <c r="EL162" s="805" t="s">
        <v>623</v>
      </c>
      <c r="EM162" t="s">
        <v>1728</v>
      </c>
    </row>
    <row r="163" spans="1:143" ht="12.75" x14ac:dyDescent="0.2">
      <c r="A163" s="764">
        <v>156</v>
      </c>
      <c r="B163" s="765" t="s">
        <v>198</v>
      </c>
      <c r="C163" s="766" t="s">
        <v>529</v>
      </c>
      <c r="D163" s="767" t="s">
        <v>1221</v>
      </c>
      <c r="E163" s="768" t="s">
        <v>534</v>
      </c>
      <c r="F163" s="761">
        <v>65002699</v>
      </c>
      <c r="G163" s="762">
        <v>0</v>
      </c>
      <c r="H163" s="762">
        <v>378575</v>
      </c>
      <c r="I163" s="762">
        <v>240365</v>
      </c>
      <c r="J163" s="762">
        <v>0</v>
      </c>
      <c r="K163" s="762">
        <v>240365</v>
      </c>
      <c r="L163" s="762">
        <v>0</v>
      </c>
      <c r="M163" s="762">
        <v>0</v>
      </c>
      <c r="N163" s="762">
        <v>0</v>
      </c>
      <c r="O163" s="762">
        <v>0</v>
      </c>
      <c r="P163" s="762">
        <v>0</v>
      </c>
      <c r="Q163" s="762">
        <v>0</v>
      </c>
      <c r="R163" s="762">
        <v>64383759</v>
      </c>
      <c r="S163" s="790">
        <v>0.5</v>
      </c>
      <c r="T163" s="790">
        <v>0.49</v>
      </c>
      <c r="U163" s="790">
        <v>0</v>
      </c>
      <c r="V163" s="790">
        <v>0.01</v>
      </c>
      <c r="W163" s="790">
        <v>1</v>
      </c>
      <c r="X163" s="762">
        <v>32191879</v>
      </c>
      <c r="Y163" s="762">
        <v>31548042</v>
      </c>
      <c r="Z163" s="762">
        <v>0</v>
      </c>
      <c r="AA163" s="762">
        <v>643838</v>
      </c>
      <c r="AB163" s="762">
        <v>64383759</v>
      </c>
      <c r="AC163" s="762">
        <v>0</v>
      </c>
      <c r="AD163" s="762">
        <v>0</v>
      </c>
      <c r="AE163" s="762">
        <v>0</v>
      </c>
      <c r="AF163" s="762">
        <v>0</v>
      </c>
      <c r="AG163" s="762">
        <v>0</v>
      </c>
      <c r="AH163" s="762">
        <v>32191879</v>
      </c>
      <c r="AI163" s="762">
        <v>31548042</v>
      </c>
      <c r="AJ163" s="762">
        <v>0</v>
      </c>
      <c r="AK163" s="762">
        <v>643838</v>
      </c>
      <c r="AL163" s="762">
        <v>64383759</v>
      </c>
      <c r="AM163" s="762">
        <v>240365</v>
      </c>
      <c r="AN163" s="762">
        <v>240365</v>
      </c>
      <c r="AO163" s="762">
        <v>0</v>
      </c>
      <c r="AP163" s="762">
        <v>0</v>
      </c>
      <c r="AQ163" s="762">
        <v>0</v>
      </c>
      <c r="AR163" s="762">
        <v>0</v>
      </c>
      <c r="AS163" s="762">
        <v>0</v>
      </c>
      <c r="AT163" s="762">
        <v>0</v>
      </c>
      <c r="AU163" s="762">
        <v>0</v>
      </c>
      <c r="AV163" s="762">
        <v>0</v>
      </c>
      <c r="AW163" s="762">
        <v>0</v>
      </c>
      <c r="AX163" s="762">
        <v>0</v>
      </c>
      <c r="AY163" s="762">
        <v>0</v>
      </c>
      <c r="AZ163" s="762">
        <v>0</v>
      </c>
      <c r="BA163" s="762">
        <v>0</v>
      </c>
      <c r="BB163" s="762">
        <v>0</v>
      </c>
      <c r="BC163" s="762">
        <v>0</v>
      </c>
      <c r="BD163" s="762">
        <v>0</v>
      </c>
      <c r="BE163" s="762">
        <v>0</v>
      </c>
      <c r="BF163" s="762">
        <v>0</v>
      </c>
      <c r="BG163" s="762">
        <v>0</v>
      </c>
      <c r="BH163" s="762">
        <v>0</v>
      </c>
      <c r="BI163" s="762">
        <v>0</v>
      </c>
      <c r="BJ163" s="790">
        <v>0.5</v>
      </c>
      <c r="BK163" s="790">
        <v>0.49</v>
      </c>
      <c r="BL163" s="790">
        <v>0</v>
      </c>
      <c r="BM163" s="790">
        <v>0.01</v>
      </c>
      <c r="BN163" s="790">
        <v>1</v>
      </c>
      <c r="BO163" s="762">
        <v>-2854252</v>
      </c>
      <c r="BP163" s="762">
        <v>-2797167</v>
      </c>
      <c r="BQ163" s="762">
        <v>0</v>
      </c>
      <c r="BR163" s="762">
        <v>-57085</v>
      </c>
      <c r="BS163" s="762">
        <v>-5708504</v>
      </c>
      <c r="BT163" s="790">
        <v>0.5</v>
      </c>
      <c r="BU163" s="790">
        <v>0.49</v>
      </c>
      <c r="BV163" s="790">
        <v>0</v>
      </c>
      <c r="BW163" s="790">
        <v>0.01</v>
      </c>
      <c r="BX163" s="790">
        <v>1</v>
      </c>
      <c r="BY163" s="762">
        <v>1091013</v>
      </c>
      <c r="BZ163" s="762">
        <v>1069193</v>
      </c>
      <c r="CA163" s="762">
        <v>0</v>
      </c>
      <c r="CB163" s="762">
        <v>21820</v>
      </c>
      <c r="CC163" s="762">
        <v>2182026</v>
      </c>
      <c r="CD163" s="762">
        <v>-1763239</v>
      </c>
      <c r="CE163" s="762">
        <v>-1727974</v>
      </c>
      <c r="CF163" s="762">
        <v>0</v>
      </c>
      <c r="CG163" s="762">
        <v>-35265</v>
      </c>
      <c r="CH163" s="762">
        <v>-3526478</v>
      </c>
      <c r="CI163" s="762">
        <v>30428640</v>
      </c>
      <c r="CJ163" s="762">
        <v>30060433</v>
      </c>
      <c r="CK163" s="762">
        <v>0</v>
      </c>
      <c r="CL163" s="762">
        <v>608573</v>
      </c>
      <c r="CM163" s="762">
        <v>61097646</v>
      </c>
      <c r="CN163" s="762">
        <v>1028042</v>
      </c>
      <c r="CO163" s="762">
        <v>0</v>
      </c>
      <c r="CP163" s="762">
        <v>20980</v>
      </c>
      <c r="CQ163" s="762">
        <v>1049022</v>
      </c>
      <c r="CR163" s="762">
        <v>1990798</v>
      </c>
      <c r="CS163" s="762">
        <v>0</v>
      </c>
      <c r="CT163" s="762">
        <v>40462</v>
      </c>
      <c r="CU163" s="762">
        <v>2031260</v>
      </c>
      <c r="CV163" s="762">
        <v>154855</v>
      </c>
      <c r="CW163" s="762">
        <v>0</v>
      </c>
      <c r="CX163" s="762">
        <v>2913</v>
      </c>
      <c r="CY163" s="762">
        <v>157768</v>
      </c>
      <c r="CZ163" s="762">
        <v>2576</v>
      </c>
      <c r="DA163" s="762">
        <v>0</v>
      </c>
      <c r="DB163" s="762">
        <v>53</v>
      </c>
      <c r="DC163" s="762">
        <v>2629</v>
      </c>
      <c r="DD163" s="762">
        <v>0</v>
      </c>
      <c r="DE163" s="762">
        <v>0</v>
      </c>
      <c r="DF163" s="762">
        <v>0</v>
      </c>
      <c r="DG163" s="762">
        <v>0</v>
      </c>
      <c r="DH163" s="762">
        <v>759</v>
      </c>
      <c r="DI163" s="762">
        <v>0</v>
      </c>
      <c r="DJ163" s="762">
        <v>15</v>
      </c>
      <c r="DK163" s="762">
        <v>774</v>
      </c>
      <c r="DL163" s="762">
        <v>43286</v>
      </c>
      <c r="DM163" s="762">
        <v>0</v>
      </c>
      <c r="DN163" s="762">
        <v>883</v>
      </c>
      <c r="DO163" s="762">
        <v>44169</v>
      </c>
      <c r="DP163" s="762">
        <v>29852</v>
      </c>
      <c r="DQ163" s="762">
        <v>0</v>
      </c>
      <c r="DR163" s="762">
        <v>609</v>
      </c>
      <c r="DS163" s="762">
        <v>30461</v>
      </c>
      <c r="DT163" s="762">
        <v>0</v>
      </c>
      <c r="DU163" s="762">
        <v>0</v>
      </c>
      <c r="DV163" s="762">
        <v>0</v>
      </c>
      <c r="DW163" s="762">
        <v>0</v>
      </c>
      <c r="DX163" s="762">
        <v>0</v>
      </c>
      <c r="DY163" s="762">
        <v>0</v>
      </c>
      <c r="DZ163" s="762">
        <v>0</v>
      </c>
      <c r="EA163" s="762">
        <v>0</v>
      </c>
      <c r="EB163" s="762">
        <v>714085</v>
      </c>
      <c r="EC163" s="762">
        <v>0</v>
      </c>
      <c r="ED163" s="762">
        <v>14573</v>
      </c>
      <c r="EE163" s="762">
        <v>728658</v>
      </c>
      <c r="EF163" s="762">
        <v>3964253</v>
      </c>
      <c r="EG163" s="762">
        <v>0</v>
      </c>
      <c r="EH163" s="762">
        <v>80488</v>
      </c>
      <c r="EI163" s="799">
        <v>4044741</v>
      </c>
      <c r="EJ163" s="763" t="s">
        <v>534</v>
      </c>
      <c r="EK163" s="607" t="s">
        <v>529</v>
      </c>
      <c r="EL163" s="805" t="s">
        <v>535</v>
      </c>
      <c r="EM163" t="s">
        <v>1729</v>
      </c>
    </row>
    <row r="164" spans="1:143" ht="12.75" x14ac:dyDescent="0.2">
      <c r="A164" s="764">
        <v>157</v>
      </c>
      <c r="B164" s="765" t="s">
        <v>200</v>
      </c>
      <c r="C164" s="766" t="s">
        <v>1217</v>
      </c>
      <c r="D164" s="767" t="s">
        <v>1218</v>
      </c>
      <c r="E164" s="768" t="s">
        <v>199</v>
      </c>
      <c r="F164" s="761">
        <v>57093207</v>
      </c>
      <c r="G164" s="762">
        <v>0</v>
      </c>
      <c r="H164" s="762">
        <v>920593</v>
      </c>
      <c r="I164" s="762">
        <v>205043</v>
      </c>
      <c r="J164" s="762">
        <v>0</v>
      </c>
      <c r="K164" s="762">
        <v>205043</v>
      </c>
      <c r="L164" s="762">
        <v>0</v>
      </c>
      <c r="M164" s="762">
        <v>69503</v>
      </c>
      <c r="N164" s="762">
        <v>52312</v>
      </c>
      <c r="O164" s="762">
        <v>52312</v>
      </c>
      <c r="P164" s="762">
        <v>0</v>
      </c>
      <c r="Q164" s="762">
        <v>0</v>
      </c>
      <c r="R164" s="762">
        <v>55845756</v>
      </c>
      <c r="S164" s="790">
        <v>0.5</v>
      </c>
      <c r="T164" s="790">
        <v>0.4</v>
      </c>
      <c r="U164" s="790">
        <v>0.09</v>
      </c>
      <c r="V164" s="790">
        <v>0.01</v>
      </c>
      <c r="W164" s="790">
        <v>1</v>
      </c>
      <c r="X164" s="762">
        <v>27922878</v>
      </c>
      <c r="Y164" s="762">
        <v>22338302</v>
      </c>
      <c r="Z164" s="762">
        <v>5026118</v>
      </c>
      <c r="AA164" s="762">
        <v>558458</v>
      </c>
      <c r="AB164" s="762">
        <v>55845756</v>
      </c>
      <c r="AC164" s="762">
        <v>55000</v>
      </c>
      <c r="AD164" s="762">
        <v>0</v>
      </c>
      <c r="AE164" s="762">
        <v>0</v>
      </c>
      <c r="AF164" s="762">
        <v>0</v>
      </c>
      <c r="AG164" s="762">
        <v>55000</v>
      </c>
      <c r="AH164" s="762">
        <v>27867878</v>
      </c>
      <c r="AI164" s="762">
        <v>22338302</v>
      </c>
      <c r="AJ164" s="762">
        <v>5026118</v>
      </c>
      <c r="AK164" s="762">
        <v>558458</v>
      </c>
      <c r="AL164" s="762">
        <v>55790756</v>
      </c>
      <c r="AM164" s="762">
        <v>205043</v>
      </c>
      <c r="AN164" s="762">
        <v>205043</v>
      </c>
      <c r="AO164" s="762">
        <v>69503</v>
      </c>
      <c r="AP164" s="762">
        <v>69503</v>
      </c>
      <c r="AQ164" s="762">
        <v>52312</v>
      </c>
      <c r="AR164" s="762">
        <v>0</v>
      </c>
      <c r="AS164" s="762">
        <v>52312</v>
      </c>
      <c r="AT164" s="762">
        <v>0</v>
      </c>
      <c r="AU164" s="762">
        <v>0</v>
      </c>
      <c r="AV164" s="762">
        <v>0</v>
      </c>
      <c r="AW164" s="762">
        <v>0</v>
      </c>
      <c r="AX164" s="762">
        <v>55000</v>
      </c>
      <c r="AY164" s="762">
        <v>0</v>
      </c>
      <c r="AZ164" s="762">
        <v>0</v>
      </c>
      <c r="BA164" s="762">
        <v>55000</v>
      </c>
      <c r="BB164" s="762">
        <v>0</v>
      </c>
      <c r="BC164" s="762">
        <v>0</v>
      </c>
      <c r="BD164" s="762">
        <v>0</v>
      </c>
      <c r="BE164" s="762">
        <v>0</v>
      </c>
      <c r="BF164" s="762">
        <v>0</v>
      </c>
      <c r="BG164" s="762">
        <v>0</v>
      </c>
      <c r="BH164" s="762">
        <v>0</v>
      </c>
      <c r="BI164" s="762">
        <v>0</v>
      </c>
      <c r="BJ164" s="790">
        <v>0</v>
      </c>
      <c r="BK164" s="790">
        <v>0.4</v>
      </c>
      <c r="BL164" s="790">
        <v>0.59</v>
      </c>
      <c r="BM164" s="790">
        <v>0.01</v>
      </c>
      <c r="BN164" s="790">
        <v>1</v>
      </c>
      <c r="BO164" s="762">
        <v>0</v>
      </c>
      <c r="BP164" s="762">
        <v>1514294</v>
      </c>
      <c r="BQ164" s="762">
        <v>2233584</v>
      </c>
      <c r="BR164" s="762">
        <v>37857</v>
      </c>
      <c r="BS164" s="762">
        <v>3785735</v>
      </c>
      <c r="BT164" s="790">
        <v>0.5</v>
      </c>
      <c r="BU164" s="790">
        <v>0.4</v>
      </c>
      <c r="BV164" s="790">
        <v>0.09</v>
      </c>
      <c r="BW164" s="790">
        <v>0.01</v>
      </c>
      <c r="BX164" s="790">
        <v>1</v>
      </c>
      <c r="BY164" s="762">
        <v>-2511901</v>
      </c>
      <c r="BZ164" s="762">
        <v>-2009521</v>
      </c>
      <c r="CA164" s="762">
        <v>-452142</v>
      </c>
      <c r="CB164" s="762">
        <v>-50238</v>
      </c>
      <c r="CC164" s="762">
        <v>-5023802</v>
      </c>
      <c r="CD164" s="762">
        <v>-2511901</v>
      </c>
      <c r="CE164" s="762">
        <v>-495227</v>
      </c>
      <c r="CF164" s="762">
        <v>1781442</v>
      </c>
      <c r="CG164" s="762">
        <v>-12381</v>
      </c>
      <c r="CH164" s="762">
        <v>-1238067</v>
      </c>
      <c r="CI164" s="762">
        <v>25355977</v>
      </c>
      <c r="CJ164" s="762">
        <v>22224933</v>
      </c>
      <c r="CK164" s="762">
        <v>6807560</v>
      </c>
      <c r="CL164" s="762">
        <v>546077</v>
      </c>
      <c r="CM164" s="762">
        <v>54934547</v>
      </c>
      <c r="CN164" s="762">
        <v>733690</v>
      </c>
      <c r="CO164" s="762">
        <v>163784</v>
      </c>
      <c r="CP164" s="762">
        <v>18198</v>
      </c>
      <c r="CQ164" s="762">
        <v>915672</v>
      </c>
      <c r="CR164" s="762">
        <v>1306940</v>
      </c>
      <c r="CS164" s="762">
        <v>294061</v>
      </c>
      <c r="CT164" s="762">
        <v>32673</v>
      </c>
      <c r="CU164" s="762">
        <v>1633674</v>
      </c>
      <c r="CV164" s="762">
        <v>127595</v>
      </c>
      <c r="CW164" s="762">
        <v>28709</v>
      </c>
      <c r="CX164" s="762">
        <v>3190</v>
      </c>
      <c r="CY164" s="762">
        <v>159494</v>
      </c>
      <c r="CZ164" s="762">
        <v>3433</v>
      </c>
      <c r="DA164" s="762">
        <v>772</v>
      </c>
      <c r="DB164" s="762">
        <v>86</v>
      </c>
      <c r="DC164" s="762">
        <v>4291</v>
      </c>
      <c r="DD164" s="762">
        <v>0</v>
      </c>
      <c r="DE164" s="762">
        <v>0</v>
      </c>
      <c r="DF164" s="762">
        <v>0</v>
      </c>
      <c r="DG164" s="762">
        <v>0</v>
      </c>
      <c r="DH164" s="762">
        <v>826</v>
      </c>
      <c r="DI164" s="762">
        <v>186</v>
      </c>
      <c r="DJ164" s="762">
        <v>21</v>
      </c>
      <c r="DK164" s="762">
        <v>1033</v>
      </c>
      <c r="DL164" s="762">
        <v>21272</v>
      </c>
      <c r="DM164" s="762">
        <v>4786</v>
      </c>
      <c r="DN164" s="762">
        <v>532</v>
      </c>
      <c r="DO164" s="762">
        <v>26590</v>
      </c>
      <c r="DP164" s="762">
        <v>23543</v>
      </c>
      <c r="DQ164" s="762">
        <v>5297</v>
      </c>
      <c r="DR164" s="762">
        <v>589</v>
      </c>
      <c r="DS164" s="762">
        <v>29429</v>
      </c>
      <c r="DT164" s="762">
        <v>0</v>
      </c>
      <c r="DU164" s="762">
        <v>0</v>
      </c>
      <c r="DV164" s="762">
        <v>0</v>
      </c>
      <c r="DW164" s="762">
        <v>0</v>
      </c>
      <c r="DX164" s="762">
        <v>0</v>
      </c>
      <c r="DY164" s="762">
        <v>0</v>
      </c>
      <c r="DZ164" s="762">
        <v>0</v>
      </c>
      <c r="EA164" s="762">
        <v>0</v>
      </c>
      <c r="EB164" s="762">
        <v>769896</v>
      </c>
      <c r="EC164" s="762">
        <v>173227</v>
      </c>
      <c r="ED164" s="762">
        <v>19247</v>
      </c>
      <c r="EE164" s="762">
        <v>962370</v>
      </c>
      <c r="EF164" s="762">
        <v>2987195</v>
      </c>
      <c r="EG164" s="762">
        <v>670822</v>
      </c>
      <c r="EH164" s="762">
        <v>74536</v>
      </c>
      <c r="EI164" s="799">
        <v>3732553</v>
      </c>
      <c r="EJ164" s="763" t="s">
        <v>199</v>
      </c>
      <c r="EK164" s="607" t="s">
        <v>591</v>
      </c>
      <c r="EL164" s="805" t="s">
        <v>590</v>
      </c>
      <c r="EM164" t="s">
        <v>1730</v>
      </c>
    </row>
    <row r="165" spans="1:143" ht="12.75" x14ac:dyDescent="0.2">
      <c r="A165" s="764">
        <v>158</v>
      </c>
      <c r="B165" s="765" t="s">
        <v>202</v>
      </c>
      <c r="C165" s="766" t="s">
        <v>1217</v>
      </c>
      <c r="D165" s="767" t="s">
        <v>1221</v>
      </c>
      <c r="E165" s="768" t="s">
        <v>201</v>
      </c>
      <c r="F165" s="761">
        <v>13696103</v>
      </c>
      <c r="G165" s="762">
        <v>166948</v>
      </c>
      <c r="H165" s="762">
        <v>0</v>
      </c>
      <c r="I165" s="762">
        <v>89723</v>
      </c>
      <c r="J165" s="762">
        <v>0</v>
      </c>
      <c r="K165" s="762">
        <v>89723</v>
      </c>
      <c r="L165" s="762">
        <v>0</v>
      </c>
      <c r="M165" s="762">
        <v>0</v>
      </c>
      <c r="N165" s="762">
        <v>734499</v>
      </c>
      <c r="O165" s="762">
        <v>734499</v>
      </c>
      <c r="P165" s="762">
        <v>0</v>
      </c>
      <c r="Q165" s="762">
        <v>0</v>
      </c>
      <c r="R165" s="762">
        <v>13038829</v>
      </c>
      <c r="S165" s="790">
        <v>0.5</v>
      </c>
      <c r="T165" s="790">
        <v>0.4</v>
      </c>
      <c r="U165" s="790">
        <v>0.09</v>
      </c>
      <c r="V165" s="790">
        <v>0.01</v>
      </c>
      <c r="W165" s="790">
        <v>1</v>
      </c>
      <c r="X165" s="762">
        <v>6519414</v>
      </c>
      <c r="Y165" s="762">
        <v>5215532</v>
      </c>
      <c r="Z165" s="762">
        <v>1173495</v>
      </c>
      <c r="AA165" s="762">
        <v>130388</v>
      </c>
      <c r="AB165" s="762">
        <v>13038829</v>
      </c>
      <c r="AC165" s="762">
        <v>0</v>
      </c>
      <c r="AD165" s="762">
        <v>0</v>
      </c>
      <c r="AE165" s="762">
        <v>0</v>
      </c>
      <c r="AF165" s="762">
        <v>0</v>
      </c>
      <c r="AG165" s="762">
        <v>0</v>
      </c>
      <c r="AH165" s="762">
        <v>6519414</v>
      </c>
      <c r="AI165" s="762">
        <v>5215532</v>
      </c>
      <c r="AJ165" s="762">
        <v>1173495</v>
      </c>
      <c r="AK165" s="762">
        <v>130388</v>
      </c>
      <c r="AL165" s="762">
        <v>13038829</v>
      </c>
      <c r="AM165" s="762">
        <v>89723</v>
      </c>
      <c r="AN165" s="762">
        <v>89723</v>
      </c>
      <c r="AO165" s="762">
        <v>0</v>
      </c>
      <c r="AP165" s="762">
        <v>0</v>
      </c>
      <c r="AQ165" s="762">
        <v>734499</v>
      </c>
      <c r="AR165" s="762">
        <v>0</v>
      </c>
      <c r="AS165" s="762">
        <v>734499</v>
      </c>
      <c r="AT165" s="762">
        <v>0</v>
      </c>
      <c r="AU165" s="762">
        <v>0</v>
      </c>
      <c r="AV165" s="762">
        <v>0</v>
      </c>
      <c r="AW165" s="762">
        <v>0</v>
      </c>
      <c r="AX165" s="762">
        <v>0</v>
      </c>
      <c r="AY165" s="762">
        <v>0</v>
      </c>
      <c r="AZ165" s="762">
        <v>0</v>
      </c>
      <c r="BA165" s="762">
        <v>0</v>
      </c>
      <c r="BB165" s="762">
        <v>0</v>
      </c>
      <c r="BC165" s="762">
        <v>0</v>
      </c>
      <c r="BD165" s="762">
        <v>0</v>
      </c>
      <c r="BE165" s="762">
        <v>0</v>
      </c>
      <c r="BF165" s="762">
        <v>0</v>
      </c>
      <c r="BG165" s="762">
        <v>0</v>
      </c>
      <c r="BH165" s="762">
        <v>0</v>
      </c>
      <c r="BI165" s="762">
        <v>0</v>
      </c>
      <c r="BJ165" s="790">
        <v>0.5</v>
      </c>
      <c r="BK165" s="790">
        <v>0.4</v>
      </c>
      <c r="BL165" s="790">
        <v>0.09</v>
      </c>
      <c r="BM165" s="790">
        <v>0.01</v>
      </c>
      <c r="BN165" s="790">
        <v>1</v>
      </c>
      <c r="BO165" s="762">
        <v>307817</v>
      </c>
      <c r="BP165" s="762">
        <v>246254</v>
      </c>
      <c r="BQ165" s="762">
        <v>55407</v>
      </c>
      <c r="BR165" s="762">
        <v>6156</v>
      </c>
      <c r="BS165" s="762">
        <v>615634</v>
      </c>
      <c r="BT165" s="790">
        <v>0.5</v>
      </c>
      <c r="BU165" s="790">
        <v>0.4</v>
      </c>
      <c r="BV165" s="790">
        <v>0.09</v>
      </c>
      <c r="BW165" s="790">
        <v>0.01</v>
      </c>
      <c r="BX165" s="790">
        <v>1</v>
      </c>
      <c r="BY165" s="762">
        <v>-130506</v>
      </c>
      <c r="BZ165" s="762">
        <v>-104404</v>
      </c>
      <c r="CA165" s="762">
        <v>-23491</v>
      </c>
      <c r="CB165" s="762">
        <v>-2610</v>
      </c>
      <c r="CC165" s="762">
        <v>-261011</v>
      </c>
      <c r="CD165" s="762">
        <v>177312</v>
      </c>
      <c r="CE165" s="762">
        <v>141849</v>
      </c>
      <c r="CF165" s="762">
        <v>31916</v>
      </c>
      <c r="CG165" s="762">
        <v>3546</v>
      </c>
      <c r="CH165" s="762">
        <v>354623</v>
      </c>
      <c r="CI165" s="762">
        <v>6696726</v>
      </c>
      <c r="CJ165" s="762">
        <v>6181603</v>
      </c>
      <c r="CK165" s="762">
        <v>1205411</v>
      </c>
      <c r="CL165" s="762">
        <v>133934</v>
      </c>
      <c r="CM165" s="762">
        <v>14217674</v>
      </c>
      <c r="CN165" s="762">
        <v>193891</v>
      </c>
      <c r="CO165" s="762">
        <v>38240</v>
      </c>
      <c r="CP165" s="762">
        <v>4249</v>
      </c>
      <c r="CQ165" s="762">
        <v>236380</v>
      </c>
      <c r="CR165" s="762">
        <v>826768</v>
      </c>
      <c r="CS165" s="762">
        <v>186023</v>
      </c>
      <c r="CT165" s="762">
        <v>20669</v>
      </c>
      <c r="CU165" s="762">
        <v>1033460</v>
      </c>
      <c r="CV165" s="762">
        <v>40084</v>
      </c>
      <c r="CW165" s="762">
        <v>9019</v>
      </c>
      <c r="CX165" s="762">
        <v>1002</v>
      </c>
      <c r="CY165" s="762">
        <v>50105</v>
      </c>
      <c r="CZ165" s="762">
        <v>17521</v>
      </c>
      <c r="DA165" s="762">
        <v>3942</v>
      </c>
      <c r="DB165" s="762">
        <v>438</v>
      </c>
      <c r="DC165" s="762">
        <v>21901</v>
      </c>
      <c r="DD165" s="762">
        <v>3841</v>
      </c>
      <c r="DE165" s="762">
        <v>864</v>
      </c>
      <c r="DF165" s="762">
        <v>96</v>
      </c>
      <c r="DG165" s="762">
        <v>4801</v>
      </c>
      <c r="DH165" s="762">
        <v>0</v>
      </c>
      <c r="DI165" s="762">
        <v>0</v>
      </c>
      <c r="DJ165" s="762">
        <v>0</v>
      </c>
      <c r="DK165" s="762">
        <v>0</v>
      </c>
      <c r="DL165" s="762">
        <v>13143</v>
      </c>
      <c r="DM165" s="762">
        <v>2957</v>
      </c>
      <c r="DN165" s="762">
        <v>329</v>
      </c>
      <c r="DO165" s="762">
        <v>16429</v>
      </c>
      <c r="DP165" s="762">
        <v>8922</v>
      </c>
      <c r="DQ165" s="762">
        <v>2007</v>
      </c>
      <c r="DR165" s="762">
        <v>223</v>
      </c>
      <c r="DS165" s="762">
        <v>11152</v>
      </c>
      <c r="DT165" s="762">
        <v>0</v>
      </c>
      <c r="DU165" s="762">
        <v>0</v>
      </c>
      <c r="DV165" s="762">
        <v>0</v>
      </c>
      <c r="DW165" s="762">
        <v>0</v>
      </c>
      <c r="DX165" s="762">
        <v>0</v>
      </c>
      <c r="DY165" s="762">
        <v>0</v>
      </c>
      <c r="DZ165" s="762">
        <v>0</v>
      </c>
      <c r="EA165" s="762">
        <v>0</v>
      </c>
      <c r="EB165" s="762">
        <v>165582</v>
      </c>
      <c r="EC165" s="762">
        <v>37256</v>
      </c>
      <c r="ED165" s="762">
        <v>4140</v>
      </c>
      <c r="EE165" s="762">
        <v>206978</v>
      </c>
      <c r="EF165" s="762">
        <v>1269752</v>
      </c>
      <c r="EG165" s="762">
        <v>280308</v>
      </c>
      <c r="EH165" s="762">
        <v>31146</v>
      </c>
      <c r="EI165" s="799">
        <v>1581206</v>
      </c>
      <c r="EJ165" s="763" t="s">
        <v>201</v>
      </c>
      <c r="EK165" s="607" t="s">
        <v>575</v>
      </c>
      <c r="EL165" s="805" t="s">
        <v>573</v>
      </c>
      <c r="EM165" t="s">
        <v>1731</v>
      </c>
    </row>
    <row r="166" spans="1:143" ht="12.75" x14ac:dyDescent="0.2">
      <c r="A166" s="764">
        <v>159</v>
      </c>
      <c r="B166" s="765" t="s">
        <v>204</v>
      </c>
      <c r="C166" s="766" t="s">
        <v>1217</v>
      </c>
      <c r="D166" s="767" t="s">
        <v>1227</v>
      </c>
      <c r="E166" s="768" t="s">
        <v>203</v>
      </c>
      <c r="F166" s="761">
        <v>14152491</v>
      </c>
      <c r="G166" s="762">
        <v>199459</v>
      </c>
      <c r="H166" s="762">
        <v>0</v>
      </c>
      <c r="I166" s="762">
        <v>105408</v>
      </c>
      <c r="J166" s="762">
        <v>0</v>
      </c>
      <c r="K166" s="762">
        <v>105408</v>
      </c>
      <c r="L166" s="762">
        <v>0</v>
      </c>
      <c r="M166" s="762">
        <v>0</v>
      </c>
      <c r="N166" s="762">
        <v>0</v>
      </c>
      <c r="O166" s="762">
        <v>0</v>
      </c>
      <c r="P166" s="762">
        <v>0</v>
      </c>
      <c r="Q166" s="762">
        <v>0</v>
      </c>
      <c r="R166" s="762">
        <v>14246542</v>
      </c>
      <c r="S166" s="790">
        <v>0.25</v>
      </c>
      <c r="T166" s="790">
        <v>0</v>
      </c>
      <c r="U166" s="790">
        <v>0.74</v>
      </c>
      <c r="V166" s="790">
        <v>0.01</v>
      </c>
      <c r="W166" s="790">
        <v>1</v>
      </c>
      <c r="X166" s="762">
        <v>3561636</v>
      </c>
      <c r="Y166" s="762">
        <v>0</v>
      </c>
      <c r="Z166" s="762">
        <v>10542441</v>
      </c>
      <c r="AA166" s="762">
        <v>142465</v>
      </c>
      <c r="AB166" s="762">
        <v>14246542</v>
      </c>
      <c r="AC166" s="762">
        <v>0</v>
      </c>
      <c r="AD166" s="762">
        <v>0</v>
      </c>
      <c r="AE166" s="762">
        <v>0</v>
      </c>
      <c r="AF166" s="762">
        <v>0</v>
      </c>
      <c r="AG166" s="762">
        <v>0</v>
      </c>
      <c r="AH166" s="762">
        <v>3561636</v>
      </c>
      <c r="AI166" s="762">
        <v>0</v>
      </c>
      <c r="AJ166" s="762">
        <v>10542441</v>
      </c>
      <c r="AK166" s="762">
        <v>142465</v>
      </c>
      <c r="AL166" s="762">
        <v>14246542</v>
      </c>
      <c r="AM166" s="762">
        <v>105408</v>
      </c>
      <c r="AN166" s="762">
        <v>105408</v>
      </c>
      <c r="AO166" s="762">
        <v>0</v>
      </c>
      <c r="AP166" s="762">
        <v>0</v>
      </c>
      <c r="AQ166" s="762">
        <v>0</v>
      </c>
      <c r="AR166" s="762">
        <v>0</v>
      </c>
      <c r="AS166" s="762">
        <v>0</v>
      </c>
      <c r="AT166" s="762">
        <v>0</v>
      </c>
      <c r="AU166" s="762">
        <v>0</v>
      </c>
      <c r="AV166" s="762">
        <v>0</v>
      </c>
      <c r="AW166" s="762">
        <v>0</v>
      </c>
      <c r="AX166" s="762">
        <v>0</v>
      </c>
      <c r="AY166" s="762">
        <v>0</v>
      </c>
      <c r="AZ166" s="762">
        <v>0</v>
      </c>
      <c r="BA166" s="762">
        <v>0</v>
      </c>
      <c r="BB166" s="762">
        <v>0</v>
      </c>
      <c r="BC166" s="762">
        <v>0</v>
      </c>
      <c r="BD166" s="762">
        <v>0</v>
      </c>
      <c r="BE166" s="762">
        <v>0</v>
      </c>
      <c r="BF166" s="762">
        <v>0</v>
      </c>
      <c r="BG166" s="762">
        <v>0</v>
      </c>
      <c r="BH166" s="762">
        <v>0</v>
      </c>
      <c r="BI166" s="762">
        <v>0</v>
      </c>
      <c r="BJ166" s="790">
        <v>0.5</v>
      </c>
      <c r="BK166" s="790">
        <v>0.4</v>
      </c>
      <c r="BL166" s="790">
        <v>0.09</v>
      </c>
      <c r="BM166" s="790">
        <v>0.01</v>
      </c>
      <c r="BN166" s="790">
        <v>1</v>
      </c>
      <c r="BO166" s="762">
        <v>-186228</v>
      </c>
      <c r="BP166" s="762">
        <v>-148982</v>
      </c>
      <c r="BQ166" s="762">
        <v>-33521</v>
      </c>
      <c r="BR166" s="762">
        <v>-3725</v>
      </c>
      <c r="BS166" s="762">
        <v>-372456</v>
      </c>
      <c r="BT166" s="790">
        <v>0.5</v>
      </c>
      <c r="BU166" s="790">
        <v>0.4</v>
      </c>
      <c r="BV166" s="790">
        <v>0.09</v>
      </c>
      <c r="BW166" s="790">
        <v>0.01</v>
      </c>
      <c r="BX166" s="790">
        <v>1</v>
      </c>
      <c r="BY166" s="762">
        <v>1312054</v>
      </c>
      <c r="BZ166" s="762">
        <v>1049644</v>
      </c>
      <c r="CA166" s="762">
        <v>236170</v>
      </c>
      <c r="CB166" s="762">
        <v>26241</v>
      </c>
      <c r="CC166" s="762">
        <v>2624109</v>
      </c>
      <c r="CD166" s="762">
        <v>1125826</v>
      </c>
      <c r="CE166" s="762">
        <v>900661</v>
      </c>
      <c r="CF166" s="762">
        <v>202649</v>
      </c>
      <c r="CG166" s="762">
        <v>22517</v>
      </c>
      <c r="CH166" s="762">
        <v>2251653</v>
      </c>
      <c r="CI166" s="762">
        <v>4687462</v>
      </c>
      <c r="CJ166" s="762">
        <v>1006069</v>
      </c>
      <c r="CK166" s="762">
        <v>10745090</v>
      </c>
      <c r="CL166" s="762">
        <v>164982</v>
      </c>
      <c r="CM166" s="762">
        <v>16603603</v>
      </c>
      <c r="CN166" s="762">
        <v>0</v>
      </c>
      <c r="CO166" s="762">
        <v>343542</v>
      </c>
      <c r="CP166" s="762">
        <v>4642</v>
      </c>
      <c r="CQ166" s="762">
        <v>348184</v>
      </c>
      <c r="CR166" s="762">
        <v>0</v>
      </c>
      <c r="CS166" s="762">
        <v>1822828</v>
      </c>
      <c r="CT166" s="762">
        <v>24633</v>
      </c>
      <c r="CU166" s="762">
        <v>1847461</v>
      </c>
      <c r="CV166" s="762">
        <v>0</v>
      </c>
      <c r="CW166" s="762">
        <v>69255</v>
      </c>
      <c r="CX166" s="762">
        <v>936</v>
      </c>
      <c r="CY166" s="762">
        <v>70191</v>
      </c>
      <c r="CZ166" s="762">
        <v>0</v>
      </c>
      <c r="DA166" s="762">
        <v>0</v>
      </c>
      <c r="DB166" s="762">
        <v>0</v>
      </c>
      <c r="DC166" s="762">
        <v>0</v>
      </c>
      <c r="DD166" s="762">
        <v>0</v>
      </c>
      <c r="DE166" s="762">
        <v>29735</v>
      </c>
      <c r="DF166" s="762">
        <v>402</v>
      </c>
      <c r="DG166" s="762">
        <v>30137</v>
      </c>
      <c r="DH166" s="762">
        <v>0</v>
      </c>
      <c r="DI166" s="762">
        <v>0</v>
      </c>
      <c r="DJ166" s="762">
        <v>0</v>
      </c>
      <c r="DK166" s="762">
        <v>0</v>
      </c>
      <c r="DL166" s="762">
        <v>0</v>
      </c>
      <c r="DM166" s="762">
        <v>19159</v>
      </c>
      <c r="DN166" s="762">
        <v>259</v>
      </c>
      <c r="DO166" s="762">
        <v>19418</v>
      </c>
      <c r="DP166" s="762">
        <v>0</v>
      </c>
      <c r="DQ166" s="762">
        <v>18861</v>
      </c>
      <c r="DR166" s="762">
        <v>255</v>
      </c>
      <c r="DS166" s="762">
        <v>19116</v>
      </c>
      <c r="DT166" s="762">
        <v>0</v>
      </c>
      <c r="DU166" s="762">
        <v>0</v>
      </c>
      <c r="DV166" s="762">
        <v>0</v>
      </c>
      <c r="DW166" s="762">
        <v>0</v>
      </c>
      <c r="DX166" s="762">
        <v>0</v>
      </c>
      <c r="DY166" s="762">
        <v>0</v>
      </c>
      <c r="DZ166" s="762">
        <v>0</v>
      </c>
      <c r="EA166" s="762">
        <v>0</v>
      </c>
      <c r="EB166" s="762">
        <v>0</v>
      </c>
      <c r="EC166" s="762">
        <v>609737</v>
      </c>
      <c r="ED166" s="762">
        <v>8240</v>
      </c>
      <c r="EE166" s="762">
        <v>617977</v>
      </c>
      <c r="EF166" s="762">
        <v>0</v>
      </c>
      <c r="EG166" s="762">
        <v>2913117</v>
      </c>
      <c r="EH166" s="762">
        <v>39367</v>
      </c>
      <c r="EI166" s="799">
        <v>2952484</v>
      </c>
      <c r="EJ166" s="763" t="s">
        <v>203</v>
      </c>
      <c r="EK166" s="607" t="s">
        <v>583</v>
      </c>
      <c r="EL166" s="805" t="s">
        <v>582</v>
      </c>
      <c r="EM166" t="s">
        <v>1732</v>
      </c>
    </row>
    <row r="167" spans="1:143" ht="12.75" x14ac:dyDescent="0.2">
      <c r="A167" s="764">
        <v>160</v>
      </c>
      <c r="B167" s="765" t="s">
        <v>206</v>
      </c>
      <c r="C167" s="766" t="s">
        <v>1224</v>
      </c>
      <c r="D167" s="767" t="s">
        <v>1219</v>
      </c>
      <c r="E167" s="768" t="s">
        <v>205</v>
      </c>
      <c r="F167" s="761">
        <v>335339878</v>
      </c>
      <c r="G167" s="762">
        <v>0</v>
      </c>
      <c r="H167" s="762">
        <v>743737</v>
      </c>
      <c r="I167" s="762">
        <v>1123529</v>
      </c>
      <c r="J167" s="762">
        <v>0</v>
      </c>
      <c r="K167" s="762">
        <v>1123529</v>
      </c>
      <c r="L167" s="762">
        <v>0</v>
      </c>
      <c r="M167" s="762">
        <v>576267</v>
      </c>
      <c r="N167" s="762">
        <v>0</v>
      </c>
      <c r="O167" s="762">
        <v>0</v>
      </c>
      <c r="P167" s="762">
        <v>0</v>
      </c>
      <c r="Q167" s="762">
        <v>0</v>
      </c>
      <c r="R167" s="762">
        <v>332896345</v>
      </c>
      <c r="S167" s="790">
        <v>0</v>
      </c>
      <c r="T167" s="790">
        <v>0.99</v>
      </c>
      <c r="U167" s="790">
        <v>0</v>
      </c>
      <c r="V167" s="790">
        <v>0.01</v>
      </c>
      <c r="W167" s="790">
        <v>1</v>
      </c>
      <c r="X167" s="762">
        <v>0</v>
      </c>
      <c r="Y167" s="762">
        <v>329567382</v>
      </c>
      <c r="Z167" s="762">
        <v>0</v>
      </c>
      <c r="AA167" s="762">
        <v>3328963</v>
      </c>
      <c r="AB167" s="762">
        <v>332896345</v>
      </c>
      <c r="AC167" s="762">
        <v>0</v>
      </c>
      <c r="AD167" s="762">
        <v>0</v>
      </c>
      <c r="AE167" s="762">
        <v>0</v>
      </c>
      <c r="AF167" s="762">
        <v>0</v>
      </c>
      <c r="AG167" s="762">
        <v>0</v>
      </c>
      <c r="AH167" s="762">
        <v>0</v>
      </c>
      <c r="AI167" s="762">
        <v>329567382</v>
      </c>
      <c r="AJ167" s="762">
        <v>0</v>
      </c>
      <c r="AK167" s="762">
        <v>3328963</v>
      </c>
      <c r="AL167" s="762">
        <v>332896345</v>
      </c>
      <c r="AM167" s="762">
        <v>1123529</v>
      </c>
      <c r="AN167" s="762">
        <v>1123529</v>
      </c>
      <c r="AO167" s="762">
        <v>576267</v>
      </c>
      <c r="AP167" s="762">
        <v>576267</v>
      </c>
      <c r="AQ167" s="762">
        <v>0</v>
      </c>
      <c r="AR167" s="762">
        <v>0</v>
      </c>
      <c r="AS167" s="762">
        <v>0</v>
      </c>
      <c r="AT167" s="762">
        <v>0</v>
      </c>
      <c r="AU167" s="762">
        <v>0</v>
      </c>
      <c r="AV167" s="762">
        <v>0</v>
      </c>
      <c r="AW167" s="762">
        <v>0</v>
      </c>
      <c r="AX167" s="762">
        <v>0</v>
      </c>
      <c r="AY167" s="762">
        <v>0</v>
      </c>
      <c r="AZ167" s="762">
        <v>0</v>
      </c>
      <c r="BA167" s="762">
        <v>0</v>
      </c>
      <c r="BB167" s="762">
        <v>0</v>
      </c>
      <c r="BC167" s="762">
        <v>0</v>
      </c>
      <c r="BD167" s="762">
        <v>0</v>
      </c>
      <c r="BE167" s="762">
        <v>0</v>
      </c>
      <c r="BF167" s="762">
        <v>0</v>
      </c>
      <c r="BG167" s="762">
        <v>0</v>
      </c>
      <c r="BH167" s="762">
        <v>0</v>
      </c>
      <c r="BI167" s="762">
        <v>0</v>
      </c>
      <c r="BJ167" s="790">
        <v>0</v>
      </c>
      <c r="BK167" s="790">
        <v>0.99</v>
      </c>
      <c r="BL167" s="790">
        <v>0</v>
      </c>
      <c r="BM167" s="790">
        <v>0.01</v>
      </c>
      <c r="BN167" s="790">
        <v>1</v>
      </c>
      <c r="BO167" s="762">
        <v>0</v>
      </c>
      <c r="BP167" s="762">
        <v>15047666</v>
      </c>
      <c r="BQ167" s="762">
        <v>0</v>
      </c>
      <c r="BR167" s="762">
        <v>151997</v>
      </c>
      <c r="BS167" s="762">
        <v>15199663</v>
      </c>
      <c r="BT167" s="790">
        <v>0</v>
      </c>
      <c r="BU167" s="790">
        <v>0.99</v>
      </c>
      <c r="BV167" s="790">
        <v>0</v>
      </c>
      <c r="BW167" s="790">
        <v>0.01</v>
      </c>
      <c r="BX167" s="790">
        <v>1</v>
      </c>
      <c r="BY167" s="762">
        <v>0</v>
      </c>
      <c r="BZ167" s="762">
        <v>-1777023</v>
      </c>
      <c r="CA167" s="762">
        <v>0</v>
      </c>
      <c r="CB167" s="762">
        <v>-17950</v>
      </c>
      <c r="CC167" s="762">
        <v>-1794973</v>
      </c>
      <c r="CD167" s="762">
        <v>0</v>
      </c>
      <c r="CE167" s="762">
        <v>13270643</v>
      </c>
      <c r="CF167" s="762">
        <v>0</v>
      </c>
      <c r="CG167" s="762">
        <v>134047</v>
      </c>
      <c r="CH167" s="762">
        <v>13404690</v>
      </c>
      <c r="CI167" s="762">
        <v>0</v>
      </c>
      <c r="CJ167" s="762">
        <v>344537821</v>
      </c>
      <c r="CK167" s="762">
        <v>0</v>
      </c>
      <c r="CL167" s="762">
        <v>3463010</v>
      </c>
      <c r="CM167" s="762">
        <v>348000831</v>
      </c>
      <c r="CN167" s="762">
        <v>10758245</v>
      </c>
      <c r="CO167" s="762">
        <v>0</v>
      </c>
      <c r="CP167" s="762">
        <v>108479</v>
      </c>
      <c r="CQ167" s="762">
        <v>10866724</v>
      </c>
      <c r="CR167" s="762">
        <v>13330480</v>
      </c>
      <c r="CS167" s="762">
        <v>0</v>
      </c>
      <c r="CT167" s="762">
        <v>133369</v>
      </c>
      <c r="CU167" s="762">
        <v>13463849</v>
      </c>
      <c r="CV167" s="762">
        <v>1286921</v>
      </c>
      <c r="CW167" s="762">
        <v>0</v>
      </c>
      <c r="CX167" s="762">
        <v>12592</v>
      </c>
      <c r="CY167" s="762">
        <v>1299513</v>
      </c>
      <c r="CZ167" s="762">
        <v>0</v>
      </c>
      <c r="DA167" s="762">
        <v>0</v>
      </c>
      <c r="DB167" s="762">
        <v>0</v>
      </c>
      <c r="DC167" s="762">
        <v>0</v>
      </c>
      <c r="DD167" s="762">
        <v>0</v>
      </c>
      <c r="DE167" s="762">
        <v>0</v>
      </c>
      <c r="DF167" s="762">
        <v>0</v>
      </c>
      <c r="DG167" s="762">
        <v>0</v>
      </c>
      <c r="DH167" s="762">
        <v>0</v>
      </c>
      <c r="DI167" s="762">
        <v>0</v>
      </c>
      <c r="DJ167" s="762">
        <v>0</v>
      </c>
      <c r="DK167" s="762">
        <v>0</v>
      </c>
      <c r="DL167" s="762">
        <v>213319</v>
      </c>
      <c r="DM167" s="762">
        <v>0</v>
      </c>
      <c r="DN167" s="762">
        <v>2155</v>
      </c>
      <c r="DO167" s="762">
        <v>215474</v>
      </c>
      <c r="DP167" s="762">
        <v>310174</v>
      </c>
      <c r="DQ167" s="762">
        <v>0</v>
      </c>
      <c r="DR167" s="762">
        <v>3133</v>
      </c>
      <c r="DS167" s="762">
        <v>313307</v>
      </c>
      <c r="DT167" s="762">
        <v>1034015</v>
      </c>
      <c r="DU167" s="762">
        <v>0</v>
      </c>
      <c r="DV167" s="762">
        <v>0</v>
      </c>
      <c r="DW167" s="762">
        <v>1034015</v>
      </c>
      <c r="DX167" s="762">
        <v>0</v>
      </c>
      <c r="DY167" s="762">
        <v>0</v>
      </c>
      <c r="DZ167" s="762">
        <v>0</v>
      </c>
      <c r="EA167" s="762">
        <v>0</v>
      </c>
      <c r="EB167" s="762">
        <v>7605536</v>
      </c>
      <c r="EC167" s="762">
        <v>0</v>
      </c>
      <c r="ED167" s="762">
        <v>76824</v>
      </c>
      <c r="EE167" s="762">
        <v>7682360</v>
      </c>
      <c r="EF167" s="762">
        <v>34538690</v>
      </c>
      <c r="EG167" s="762">
        <v>0</v>
      </c>
      <c r="EH167" s="762">
        <v>336552</v>
      </c>
      <c r="EI167" s="799">
        <v>34875242</v>
      </c>
      <c r="EJ167" s="763" t="s">
        <v>205</v>
      </c>
      <c r="EK167" s="607" t="s">
        <v>621</v>
      </c>
      <c r="EL167" s="805" t="s">
        <v>622</v>
      </c>
      <c r="EM167" t="s">
        <v>1733</v>
      </c>
    </row>
    <row r="168" spans="1:143" ht="12.75" x14ac:dyDescent="0.2">
      <c r="A168" s="764">
        <v>161</v>
      </c>
      <c r="B168" s="765" t="s">
        <v>208</v>
      </c>
      <c r="C168" s="766" t="s">
        <v>1217</v>
      </c>
      <c r="D168" s="767" t="s">
        <v>1220</v>
      </c>
      <c r="E168" s="768" t="s">
        <v>207</v>
      </c>
      <c r="F168" s="761">
        <v>28077450</v>
      </c>
      <c r="G168" s="762">
        <v>208135</v>
      </c>
      <c r="H168" s="762">
        <v>0</v>
      </c>
      <c r="I168" s="762">
        <v>126142</v>
      </c>
      <c r="J168" s="762">
        <v>0</v>
      </c>
      <c r="K168" s="762">
        <v>126142</v>
      </c>
      <c r="L168" s="762">
        <v>0</v>
      </c>
      <c r="M168" s="762">
        <v>0</v>
      </c>
      <c r="N168" s="762">
        <v>77853</v>
      </c>
      <c r="O168" s="762">
        <v>77853</v>
      </c>
      <c r="P168" s="762">
        <v>0</v>
      </c>
      <c r="Q168" s="762">
        <v>0</v>
      </c>
      <c r="R168" s="762">
        <v>28081590</v>
      </c>
      <c r="S168" s="790">
        <v>0.5</v>
      </c>
      <c r="T168" s="790">
        <v>0.4</v>
      </c>
      <c r="U168" s="790">
        <v>0.09</v>
      </c>
      <c r="V168" s="790">
        <v>0.01</v>
      </c>
      <c r="W168" s="790">
        <v>1</v>
      </c>
      <c r="X168" s="762">
        <v>14040795</v>
      </c>
      <c r="Y168" s="762">
        <v>11232636</v>
      </c>
      <c r="Z168" s="762">
        <v>2527343</v>
      </c>
      <c r="AA168" s="762">
        <v>280816</v>
      </c>
      <c r="AB168" s="762">
        <v>28081590</v>
      </c>
      <c r="AC168" s="762">
        <v>0</v>
      </c>
      <c r="AD168" s="762">
        <v>0</v>
      </c>
      <c r="AE168" s="762">
        <v>0</v>
      </c>
      <c r="AF168" s="762">
        <v>0</v>
      </c>
      <c r="AG168" s="762">
        <v>0</v>
      </c>
      <c r="AH168" s="762">
        <v>14040795</v>
      </c>
      <c r="AI168" s="762">
        <v>11232636</v>
      </c>
      <c r="AJ168" s="762">
        <v>2527343</v>
      </c>
      <c r="AK168" s="762">
        <v>280816</v>
      </c>
      <c r="AL168" s="762">
        <v>28081590</v>
      </c>
      <c r="AM168" s="762">
        <v>126142</v>
      </c>
      <c r="AN168" s="762">
        <v>126142</v>
      </c>
      <c r="AO168" s="762">
        <v>0</v>
      </c>
      <c r="AP168" s="762">
        <v>0</v>
      </c>
      <c r="AQ168" s="762">
        <v>77853</v>
      </c>
      <c r="AR168" s="762">
        <v>0</v>
      </c>
      <c r="AS168" s="762">
        <v>77853</v>
      </c>
      <c r="AT168" s="762">
        <v>0</v>
      </c>
      <c r="AU168" s="762">
        <v>0</v>
      </c>
      <c r="AV168" s="762">
        <v>0</v>
      </c>
      <c r="AW168" s="762">
        <v>0</v>
      </c>
      <c r="AX168" s="762">
        <v>0</v>
      </c>
      <c r="AY168" s="762">
        <v>0</v>
      </c>
      <c r="AZ168" s="762">
        <v>0</v>
      </c>
      <c r="BA168" s="762">
        <v>0</v>
      </c>
      <c r="BB168" s="762">
        <v>0</v>
      </c>
      <c r="BC168" s="762">
        <v>0</v>
      </c>
      <c r="BD168" s="762">
        <v>0</v>
      </c>
      <c r="BE168" s="762">
        <v>0</v>
      </c>
      <c r="BF168" s="762">
        <v>0</v>
      </c>
      <c r="BG168" s="762">
        <v>0</v>
      </c>
      <c r="BH168" s="762">
        <v>0</v>
      </c>
      <c r="BI168" s="762">
        <v>0</v>
      </c>
      <c r="BJ168" s="790">
        <v>0.5</v>
      </c>
      <c r="BK168" s="790">
        <v>0.4</v>
      </c>
      <c r="BL168" s="790">
        <v>0.09</v>
      </c>
      <c r="BM168" s="790">
        <v>0.01</v>
      </c>
      <c r="BN168" s="790">
        <v>1</v>
      </c>
      <c r="BO168" s="762">
        <v>-1194148</v>
      </c>
      <c r="BP168" s="762">
        <v>-955319</v>
      </c>
      <c r="BQ168" s="762">
        <v>-214947</v>
      </c>
      <c r="BR168" s="762">
        <v>-23883</v>
      </c>
      <c r="BS168" s="762">
        <v>-2388297</v>
      </c>
      <c r="BT168" s="790">
        <v>0.5</v>
      </c>
      <c r="BU168" s="790">
        <v>0.4</v>
      </c>
      <c r="BV168" s="790">
        <v>0.09</v>
      </c>
      <c r="BW168" s="790">
        <v>0.01</v>
      </c>
      <c r="BX168" s="790">
        <v>1</v>
      </c>
      <c r="BY168" s="762">
        <v>-2214</v>
      </c>
      <c r="BZ168" s="762">
        <v>-1772</v>
      </c>
      <c r="CA168" s="762">
        <v>-399</v>
      </c>
      <c r="CB168" s="762">
        <v>-44</v>
      </c>
      <c r="CC168" s="762">
        <v>-4429</v>
      </c>
      <c r="CD168" s="762">
        <v>-1196364</v>
      </c>
      <c r="CE168" s="762">
        <v>-957090</v>
      </c>
      <c r="CF168" s="762">
        <v>-215345</v>
      </c>
      <c r="CG168" s="762">
        <v>-23927</v>
      </c>
      <c r="CH168" s="762">
        <v>-2392726</v>
      </c>
      <c r="CI168" s="762">
        <v>12844431</v>
      </c>
      <c r="CJ168" s="762">
        <v>10479541</v>
      </c>
      <c r="CK168" s="762">
        <v>2311998</v>
      </c>
      <c r="CL168" s="762">
        <v>256889</v>
      </c>
      <c r="CM168" s="762">
        <v>25892859</v>
      </c>
      <c r="CN168" s="762">
        <v>368570</v>
      </c>
      <c r="CO168" s="762">
        <v>82357</v>
      </c>
      <c r="CP168" s="762">
        <v>9151</v>
      </c>
      <c r="CQ168" s="762">
        <v>460078</v>
      </c>
      <c r="CR168" s="762">
        <v>865751</v>
      </c>
      <c r="CS168" s="762">
        <v>194794</v>
      </c>
      <c r="CT168" s="762">
        <v>21644</v>
      </c>
      <c r="CU168" s="762">
        <v>1082189</v>
      </c>
      <c r="CV168" s="762">
        <v>45177</v>
      </c>
      <c r="CW168" s="762">
        <v>10165</v>
      </c>
      <c r="CX168" s="762">
        <v>1129</v>
      </c>
      <c r="CY168" s="762">
        <v>56471</v>
      </c>
      <c r="CZ168" s="762">
        <v>3498</v>
      </c>
      <c r="DA168" s="762">
        <v>787</v>
      </c>
      <c r="DB168" s="762">
        <v>87</v>
      </c>
      <c r="DC168" s="762">
        <v>4372</v>
      </c>
      <c r="DD168" s="762">
        <v>0</v>
      </c>
      <c r="DE168" s="762">
        <v>0</v>
      </c>
      <c r="DF168" s="762">
        <v>0</v>
      </c>
      <c r="DG168" s="762">
        <v>0</v>
      </c>
      <c r="DH168" s="762">
        <v>620</v>
      </c>
      <c r="DI168" s="762">
        <v>139</v>
      </c>
      <c r="DJ168" s="762">
        <v>15</v>
      </c>
      <c r="DK168" s="762">
        <v>774</v>
      </c>
      <c r="DL168" s="762">
        <v>2732</v>
      </c>
      <c r="DM168" s="762">
        <v>614</v>
      </c>
      <c r="DN168" s="762">
        <v>68</v>
      </c>
      <c r="DO168" s="762">
        <v>3414</v>
      </c>
      <c r="DP168" s="762">
        <v>15983</v>
      </c>
      <c r="DQ168" s="762">
        <v>3596</v>
      </c>
      <c r="DR168" s="762">
        <v>400</v>
      </c>
      <c r="DS168" s="762">
        <v>19979</v>
      </c>
      <c r="DT168" s="762">
        <v>0</v>
      </c>
      <c r="DU168" s="762">
        <v>0</v>
      </c>
      <c r="DV168" s="762">
        <v>0</v>
      </c>
      <c r="DW168" s="762">
        <v>0</v>
      </c>
      <c r="DX168" s="762">
        <v>0</v>
      </c>
      <c r="DY168" s="762">
        <v>0</v>
      </c>
      <c r="DZ168" s="762">
        <v>0</v>
      </c>
      <c r="EA168" s="762">
        <v>0</v>
      </c>
      <c r="EB168" s="762">
        <v>201775</v>
      </c>
      <c r="EC168" s="762">
        <v>45399</v>
      </c>
      <c r="ED168" s="762">
        <v>5044</v>
      </c>
      <c r="EE168" s="762">
        <v>252218</v>
      </c>
      <c r="EF168" s="762">
        <v>1504106</v>
      </c>
      <c r="EG168" s="762">
        <v>337851</v>
      </c>
      <c r="EH168" s="762">
        <v>37538</v>
      </c>
      <c r="EI168" s="799">
        <v>1879495</v>
      </c>
      <c r="EJ168" s="763" t="s">
        <v>207</v>
      </c>
      <c r="EK168" s="607" t="s">
        <v>608</v>
      </c>
      <c r="EL168" s="805" t="s">
        <v>607</v>
      </c>
      <c r="EM168" t="s">
        <v>1734</v>
      </c>
    </row>
    <row r="169" spans="1:143" ht="12.75" x14ac:dyDescent="0.2">
      <c r="A169" s="764">
        <v>162</v>
      </c>
      <c r="B169" s="765" t="s">
        <v>210</v>
      </c>
      <c r="C169" s="766" t="s">
        <v>529</v>
      </c>
      <c r="D169" s="767" t="s">
        <v>1218</v>
      </c>
      <c r="E169" s="768" t="s">
        <v>589</v>
      </c>
      <c r="F169" s="761">
        <v>92168182</v>
      </c>
      <c r="G169" s="762">
        <v>0</v>
      </c>
      <c r="H169" s="762">
        <v>2073969</v>
      </c>
      <c r="I169" s="762">
        <v>266820</v>
      </c>
      <c r="J169" s="762">
        <v>0</v>
      </c>
      <c r="K169" s="762">
        <v>266820</v>
      </c>
      <c r="L169" s="762">
        <v>0</v>
      </c>
      <c r="M169" s="762">
        <v>0</v>
      </c>
      <c r="N169" s="762">
        <v>0</v>
      </c>
      <c r="O169" s="762">
        <v>0</v>
      </c>
      <c r="P169" s="762">
        <v>0</v>
      </c>
      <c r="Q169" s="762">
        <v>0</v>
      </c>
      <c r="R169" s="762">
        <v>89827393</v>
      </c>
      <c r="S169" s="790">
        <v>0.5</v>
      </c>
      <c r="T169" s="790">
        <v>0.49</v>
      </c>
      <c r="U169" s="790">
        <v>0</v>
      </c>
      <c r="V169" s="790">
        <v>0.01</v>
      </c>
      <c r="W169" s="790">
        <v>1</v>
      </c>
      <c r="X169" s="762">
        <v>44913696</v>
      </c>
      <c r="Y169" s="762">
        <v>44015423</v>
      </c>
      <c r="Z169" s="762">
        <v>0</v>
      </c>
      <c r="AA169" s="762">
        <v>898274</v>
      </c>
      <c r="AB169" s="762">
        <v>89827393</v>
      </c>
      <c r="AC169" s="762">
        <v>0</v>
      </c>
      <c r="AD169" s="762">
        <v>0</v>
      </c>
      <c r="AE169" s="762">
        <v>0</v>
      </c>
      <c r="AF169" s="762">
        <v>0</v>
      </c>
      <c r="AG169" s="762">
        <v>0</v>
      </c>
      <c r="AH169" s="762">
        <v>44913696</v>
      </c>
      <c r="AI169" s="762">
        <v>44015423</v>
      </c>
      <c r="AJ169" s="762">
        <v>0</v>
      </c>
      <c r="AK169" s="762">
        <v>898274</v>
      </c>
      <c r="AL169" s="762">
        <v>89827393</v>
      </c>
      <c r="AM169" s="762">
        <v>266820</v>
      </c>
      <c r="AN169" s="762">
        <v>266820</v>
      </c>
      <c r="AO169" s="762">
        <v>0</v>
      </c>
      <c r="AP169" s="762">
        <v>0</v>
      </c>
      <c r="AQ169" s="762">
        <v>0</v>
      </c>
      <c r="AR169" s="762">
        <v>0</v>
      </c>
      <c r="AS169" s="762">
        <v>0</v>
      </c>
      <c r="AT169" s="762">
        <v>0</v>
      </c>
      <c r="AU169" s="762">
        <v>0</v>
      </c>
      <c r="AV169" s="762">
        <v>0</v>
      </c>
      <c r="AW169" s="762">
        <v>0</v>
      </c>
      <c r="AX169" s="762">
        <v>0</v>
      </c>
      <c r="AY169" s="762">
        <v>0</v>
      </c>
      <c r="AZ169" s="762">
        <v>0</v>
      </c>
      <c r="BA169" s="762">
        <v>0</v>
      </c>
      <c r="BB169" s="762">
        <v>0</v>
      </c>
      <c r="BC169" s="762">
        <v>0</v>
      </c>
      <c r="BD169" s="762">
        <v>0</v>
      </c>
      <c r="BE169" s="762">
        <v>0</v>
      </c>
      <c r="BF169" s="762">
        <v>0</v>
      </c>
      <c r="BG169" s="762">
        <v>0</v>
      </c>
      <c r="BH169" s="762">
        <v>0</v>
      </c>
      <c r="BI169" s="762">
        <v>0</v>
      </c>
      <c r="BJ169" s="790">
        <v>0</v>
      </c>
      <c r="BK169" s="790">
        <v>0.99</v>
      </c>
      <c r="BL169" s="790">
        <v>0</v>
      </c>
      <c r="BM169" s="790">
        <v>0.01</v>
      </c>
      <c r="BN169" s="790">
        <v>1</v>
      </c>
      <c r="BO169" s="762">
        <v>0</v>
      </c>
      <c r="BP169" s="762">
        <v>2949896</v>
      </c>
      <c r="BQ169" s="762">
        <v>0</v>
      </c>
      <c r="BR169" s="762">
        <v>29797</v>
      </c>
      <c r="BS169" s="762">
        <v>2979693</v>
      </c>
      <c r="BT169" s="790">
        <v>0.5</v>
      </c>
      <c r="BU169" s="790">
        <v>0.49</v>
      </c>
      <c r="BV169" s="790">
        <v>0</v>
      </c>
      <c r="BW169" s="790">
        <v>0.01</v>
      </c>
      <c r="BX169" s="790">
        <v>1</v>
      </c>
      <c r="BY169" s="762">
        <v>-2926310</v>
      </c>
      <c r="BZ169" s="762">
        <v>-2867784</v>
      </c>
      <c r="CA169" s="762">
        <v>0</v>
      </c>
      <c r="CB169" s="762">
        <v>-58526</v>
      </c>
      <c r="CC169" s="762">
        <v>-5852620</v>
      </c>
      <c r="CD169" s="762">
        <v>-2926310</v>
      </c>
      <c r="CE169" s="762">
        <v>82112</v>
      </c>
      <c r="CF169" s="762">
        <v>0</v>
      </c>
      <c r="CG169" s="762">
        <v>-28729</v>
      </c>
      <c r="CH169" s="762">
        <v>-2872927</v>
      </c>
      <c r="CI169" s="762">
        <v>41987386</v>
      </c>
      <c r="CJ169" s="762">
        <v>44364355</v>
      </c>
      <c r="CK169" s="762">
        <v>0</v>
      </c>
      <c r="CL169" s="762">
        <v>869545</v>
      </c>
      <c r="CM169" s="762">
        <v>87221286</v>
      </c>
      <c r="CN169" s="762">
        <v>1434311</v>
      </c>
      <c r="CO169" s="762">
        <v>0</v>
      </c>
      <c r="CP169" s="762">
        <v>29272</v>
      </c>
      <c r="CQ169" s="762">
        <v>1463583</v>
      </c>
      <c r="CR169" s="762">
        <v>2554664</v>
      </c>
      <c r="CS169" s="762">
        <v>0</v>
      </c>
      <c r="CT169" s="762">
        <v>52136</v>
      </c>
      <c r="CU169" s="762">
        <v>2606800</v>
      </c>
      <c r="CV169" s="762">
        <v>156703</v>
      </c>
      <c r="CW169" s="762">
        <v>0</v>
      </c>
      <c r="CX169" s="762">
        <v>3198</v>
      </c>
      <c r="CY169" s="762">
        <v>159901</v>
      </c>
      <c r="CZ169" s="762">
        <v>5540</v>
      </c>
      <c r="DA169" s="762">
        <v>0</v>
      </c>
      <c r="DB169" s="762">
        <v>113</v>
      </c>
      <c r="DC169" s="762">
        <v>5653</v>
      </c>
      <c r="DD169" s="762">
        <v>0</v>
      </c>
      <c r="DE169" s="762">
        <v>0</v>
      </c>
      <c r="DF169" s="762">
        <v>0</v>
      </c>
      <c r="DG169" s="762">
        <v>0</v>
      </c>
      <c r="DH169" s="762">
        <v>759</v>
      </c>
      <c r="DI169" s="762">
        <v>0</v>
      </c>
      <c r="DJ169" s="762">
        <v>15</v>
      </c>
      <c r="DK169" s="762">
        <v>774</v>
      </c>
      <c r="DL169" s="762">
        <v>18050</v>
      </c>
      <c r="DM169" s="762">
        <v>0</v>
      </c>
      <c r="DN169" s="762">
        <v>368</v>
      </c>
      <c r="DO169" s="762">
        <v>18418</v>
      </c>
      <c r="DP169" s="762">
        <v>55150</v>
      </c>
      <c r="DQ169" s="762">
        <v>0</v>
      </c>
      <c r="DR169" s="762">
        <v>1126</v>
      </c>
      <c r="DS169" s="762">
        <v>56276</v>
      </c>
      <c r="DT169" s="762">
        <v>0</v>
      </c>
      <c r="DU169" s="762">
        <v>0</v>
      </c>
      <c r="DV169" s="762">
        <v>0</v>
      </c>
      <c r="DW169" s="762">
        <v>0</v>
      </c>
      <c r="DX169" s="762">
        <v>0</v>
      </c>
      <c r="DY169" s="762">
        <v>0</v>
      </c>
      <c r="DZ169" s="762">
        <v>0</v>
      </c>
      <c r="EA169" s="762">
        <v>0</v>
      </c>
      <c r="EB169" s="762">
        <v>575342</v>
      </c>
      <c r="EC169" s="762">
        <v>0</v>
      </c>
      <c r="ED169" s="762">
        <v>11742</v>
      </c>
      <c r="EE169" s="762">
        <v>587084</v>
      </c>
      <c r="EF169" s="762">
        <v>4800519</v>
      </c>
      <c r="EG169" s="762">
        <v>0</v>
      </c>
      <c r="EH169" s="762">
        <v>97970</v>
      </c>
      <c r="EI169" s="799">
        <v>4898489</v>
      </c>
      <c r="EJ169" s="763" t="s">
        <v>589</v>
      </c>
      <c r="EK169" s="607" t="s">
        <v>529</v>
      </c>
      <c r="EL169" s="805" t="s">
        <v>590</v>
      </c>
      <c r="EM169" t="s">
        <v>1735</v>
      </c>
    </row>
    <row r="170" spans="1:143" ht="12.75" x14ac:dyDescent="0.2">
      <c r="A170" s="764">
        <v>163</v>
      </c>
      <c r="B170" s="765" t="s">
        <v>212</v>
      </c>
      <c r="C170" s="766" t="s">
        <v>1217</v>
      </c>
      <c r="D170" s="767" t="s">
        <v>1220</v>
      </c>
      <c r="E170" s="768" t="s">
        <v>211</v>
      </c>
      <c r="F170" s="761">
        <v>14849009</v>
      </c>
      <c r="G170" s="762">
        <v>345000</v>
      </c>
      <c r="H170" s="762">
        <v>0</v>
      </c>
      <c r="I170" s="762">
        <v>60848</v>
      </c>
      <c r="J170" s="762">
        <v>0</v>
      </c>
      <c r="K170" s="762">
        <v>60848</v>
      </c>
      <c r="L170" s="762">
        <v>0</v>
      </c>
      <c r="M170" s="762">
        <v>0</v>
      </c>
      <c r="N170" s="762">
        <v>138600</v>
      </c>
      <c r="O170" s="762">
        <v>138600</v>
      </c>
      <c r="P170" s="762">
        <v>0</v>
      </c>
      <c r="Q170" s="762">
        <v>0</v>
      </c>
      <c r="R170" s="762">
        <v>14994561</v>
      </c>
      <c r="S170" s="790">
        <v>0.25</v>
      </c>
      <c r="T170" s="790">
        <v>0.375</v>
      </c>
      <c r="U170" s="790">
        <v>0.36499999999999999</v>
      </c>
      <c r="V170" s="790">
        <v>0.01</v>
      </c>
      <c r="W170" s="790">
        <v>1</v>
      </c>
      <c r="X170" s="762">
        <v>3748640</v>
      </c>
      <c r="Y170" s="762">
        <v>5622960</v>
      </c>
      <c r="Z170" s="762">
        <v>5473015</v>
      </c>
      <c r="AA170" s="762">
        <v>149946</v>
      </c>
      <c r="AB170" s="762">
        <v>14994561</v>
      </c>
      <c r="AC170" s="762">
        <v>0</v>
      </c>
      <c r="AD170" s="762">
        <v>0</v>
      </c>
      <c r="AE170" s="762">
        <v>0</v>
      </c>
      <c r="AF170" s="762">
        <v>0</v>
      </c>
      <c r="AG170" s="762">
        <v>0</v>
      </c>
      <c r="AH170" s="762">
        <v>3748640</v>
      </c>
      <c r="AI170" s="762">
        <v>5622960</v>
      </c>
      <c r="AJ170" s="762">
        <v>5473015</v>
      </c>
      <c r="AK170" s="762">
        <v>149946</v>
      </c>
      <c r="AL170" s="762">
        <v>14994561</v>
      </c>
      <c r="AM170" s="762">
        <v>60848</v>
      </c>
      <c r="AN170" s="762">
        <v>60848</v>
      </c>
      <c r="AO170" s="762">
        <v>0</v>
      </c>
      <c r="AP170" s="762">
        <v>0</v>
      </c>
      <c r="AQ170" s="762">
        <v>138600</v>
      </c>
      <c r="AR170" s="762">
        <v>0</v>
      </c>
      <c r="AS170" s="762">
        <v>138600</v>
      </c>
      <c r="AT170" s="762">
        <v>0</v>
      </c>
      <c r="AU170" s="762">
        <v>0</v>
      </c>
      <c r="AV170" s="762">
        <v>0</v>
      </c>
      <c r="AW170" s="762">
        <v>0</v>
      </c>
      <c r="AX170" s="762">
        <v>0</v>
      </c>
      <c r="AY170" s="762">
        <v>0</v>
      </c>
      <c r="AZ170" s="762">
        <v>0</v>
      </c>
      <c r="BA170" s="762">
        <v>0</v>
      </c>
      <c r="BB170" s="762">
        <v>0</v>
      </c>
      <c r="BC170" s="762">
        <v>0</v>
      </c>
      <c r="BD170" s="762">
        <v>0</v>
      </c>
      <c r="BE170" s="762">
        <v>0</v>
      </c>
      <c r="BF170" s="762">
        <v>0</v>
      </c>
      <c r="BG170" s="762">
        <v>0</v>
      </c>
      <c r="BH170" s="762">
        <v>0</v>
      </c>
      <c r="BI170" s="762">
        <v>0</v>
      </c>
      <c r="BJ170" s="790">
        <v>0.5</v>
      </c>
      <c r="BK170" s="790">
        <v>0.4</v>
      </c>
      <c r="BL170" s="790">
        <v>0.09</v>
      </c>
      <c r="BM170" s="790">
        <v>0.01</v>
      </c>
      <c r="BN170" s="790">
        <v>1</v>
      </c>
      <c r="BO170" s="762">
        <v>160818</v>
      </c>
      <c r="BP170" s="762">
        <v>128654</v>
      </c>
      <c r="BQ170" s="762">
        <v>28947</v>
      </c>
      <c r="BR170" s="762">
        <v>3216</v>
      </c>
      <c r="BS170" s="762">
        <v>321635</v>
      </c>
      <c r="BT170" s="790">
        <v>0.5</v>
      </c>
      <c r="BU170" s="790">
        <v>0.4</v>
      </c>
      <c r="BV170" s="790">
        <v>0.09</v>
      </c>
      <c r="BW170" s="790">
        <v>0.01</v>
      </c>
      <c r="BX170" s="790">
        <v>1</v>
      </c>
      <c r="BY170" s="762">
        <v>-219673.59999999963</v>
      </c>
      <c r="BZ170" s="762">
        <v>-175738</v>
      </c>
      <c r="CA170" s="762">
        <v>-39541</v>
      </c>
      <c r="CB170" s="762">
        <v>-4393</v>
      </c>
      <c r="CC170" s="762">
        <v>-439345.59999999963</v>
      </c>
      <c r="CD170" s="762">
        <v>-58856</v>
      </c>
      <c r="CE170" s="762">
        <v>-47084</v>
      </c>
      <c r="CF170" s="762">
        <v>-10594</v>
      </c>
      <c r="CG170" s="762">
        <v>-1177</v>
      </c>
      <c r="CH170" s="762">
        <v>-117710.59999999963</v>
      </c>
      <c r="CI170" s="762">
        <v>3689784</v>
      </c>
      <c r="CJ170" s="762">
        <v>5775324</v>
      </c>
      <c r="CK170" s="762">
        <v>5462421</v>
      </c>
      <c r="CL170" s="762">
        <v>148769</v>
      </c>
      <c r="CM170" s="762">
        <v>15076298</v>
      </c>
      <c r="CN170" s="762">
        <v>187749</v>
      </c>
      <c r="CO170" s="762">
        <v>178347</v>
      </c>
      <c r="CP170" s="762">
        <v>4886</v>
      </c>
      <c r="CQ170" s="762">
        <v>370982</v>
      </c>
      <c r="CR170" s="762">
        <v>532176</v>
      </c>
      <c r="CS170" s="762">
        <v>517983</v>
      </c>
      <c r="CT170" s="762">
        <v>14191</v>
      </c>
      <c r="CU170" s="762">
        <v>1064350</v>
      </c>
      <c r="CV170" s="762">
        <v>31813</v>
      </c>
      <c r="CW170" s="762">
        <v>30965</v>
      </c>
      <c r="CX170" s="762">
        <v>848</v>
      </c>
      <c r="CY170" s="762">
        <v>63626</v>
      </c>
      <c r="CZ170" s="762">
        <v>2324</v>
      </c>
      <c r="DA170" s="762">
        <v>2261</v>
      </c>
      <c r="DB170" s="762">
        <v>62</v>
      </c>
      <c r="DC170" s="762">
        <v>4647</v>
      </c>
      <c r="DD170" s="762">
        <v>9487</v>
      </c>
      <c r="DE170" s="762">
        <v>9234</v>
      </c>
      <c r="DF170" s="762">
        <v>253</v>
      </c>
      <c r="DG170" s="762">
        <v>18974</v>
      </c>
      <c r="DH170" s="762">
        <v>0</v>
      </c>
      <c r="DI170" s="762">
        <v>0</v>
      </c>
      <c r="DJ170" s="762">
        <v>0</v>
      </c>
      <c r="DK170" s="762">
        <v>0</v>
      </c>
      <c r="DL170" s="762">
        <v>6582</v>
      </c>
      <c r="DM170" s="762">
        <v>6407</v>
      </c>
      <c r="DN170" s="762">
        <v>176</v>
      </c>
      <c r="DO170" s="762">
        <v>13165</v>
      </c>
      <c r="DP170" s="762">
        <v>11230</v>
      </c>
      <c r="DQ170" s="762">
        <v>10930</v>
      </c>
      <c r="DR170" s="762">
        <v>299</v>
      </c>
      <c r="DS170" s="762">
        <v>22459</v>
      </c>
      <c r="DT170" s="762">
        <v>0</v>
      </c>
      <c r="DU170" s="762">
        <v>0</v>
      </c>
      <c r="DV170" s="762">
        <v>0</v>
      </c>
      <c r="DW170" s="762">
        <v>0</v>
      </c>
      <c r="DX170" s="762">
        <v>0</v>
      </c>
      <c r="DY170" s="762">
        <v>0</v>
      </c>
      <c r="DZ170" s="762">
        <v>0</v>
      </c>
      <c r="EA170" s="762">
        <v>0</v>
      </c>
      <c r="EB170" s="762">
        <v>174249</v>
      </c>
      <c r="EC170" s="762">
        <v>169602</v>
      </c>
      <c r="ED170" s="762">
        <v>4647</v>
      </c>
      <c r="EE170" s="762">
        <v>348498</v>
      </c>
      <c r="EF170" s="762">
        <v>955610</v>
      </c>
      <c r="EG170" s="762">
        <v>925729</v>
      </c>
      <c r="EH170" s="762">
        <v>25362</v>
      </c>
      <c r="EI170" s="799">
        <v>1906701</v>
      </c>
      <c r="EJ170" s="763" t="s">
        <v>211</v>
      </c>
      <c r="EK170" s="607" t="s">
        <v>599</v>
      </c>
      <c r="EL170" s="805" t="s">
        <v>597</v>
      </c>
      <c r="EM170" t="s">
        <v>1736</v>
      </c>
    </row>
    <row r="171" spans="1:143" ht="12.75" x14ac:dyDescent="0.2">
      <c r="A171" s="764">
        <v>164</v>
      </c>
      <c r="B171" s="765" t="s">
        <v>214</v>
      </c>
      <c r="C171" s="766" t="s">
        <v>1217</v>
      </c>
      <c r="D171" s="767" t="s">
        <v>1226</v>
      </c>
      <c r="E171" s="768" t="s">
        <v>213</v>
      </c>
      <c r="F171" s="761">
        <v>35302664</v>
      </c>
      <c r="G171" s="762">
        <v>458891</v>
      </c>
      <c r="H171" s="762">
        <v>0</v>
      </c>
      <c r="I171" s="762">
        <v>166507</v>
      </c>
      <c r="J171" s="762">
        <v>0</v>
      </c>
      <c r="K171" s="762">
        <v>166507</v>
      </c>
      <c r="L171" s="762">
        <v>0</v>
      </c>
      <c r="M171" s="762">
        <v>0</v>
      </c>
      <c r="N171" s="762">
        <v>113721</v>
      </c>
      <c r="O171" s="762">
        <v>113721</v>
      </c>
      <c r="P171" s="762">
        <v>0</v>
      </c>
      <c r="Q171" s="762">
        <v>0</v>
      </c>
      <c r="R171" s="762">
        <v>35481327</v>
      </c>
      <c r="S171" s="790">
        <v>0.24999999999999994</v>
      </c>
      <c r="T171" s="790">
        <v>0.44</v>
      </c>
      <c r="U171" s="790">
        <v>0.3</v>
      </c>
      <c r="V171" s="790">
        <v>0.01</v>
      </c>
      <c r="W171" s="790">
        <v>1</v>
      </c>
      <c r="X171" s="762">
        <v>8870332</v>
      </c>
      <c r="Y171" s="762">
        <v>15611784</v>
      </c>
      <c r="Z171" s="762">
        <v>10644398</v>
      </c>
      <c r="AA171" s="762">
        <v>354813</v>
      </c>
      <c r="AB171" s="762">
        <v>35481327</v>
      </c>
      <c r="AC171" s="762">
        <v>0</v>
      </c>
      <c r="AD171" s="762">
        <v>0</v>
      </c>
      <c r="AE171" s="762">
        <v>0</v>
      </c>
      <c r="AF171" s="762">
        <v>0</v>
      </c>
      <c r="AG171" s="762">
        <v>0</v>
      </c>
      <c r="AH171" s="762">
        <v>8870332</v>
      </c>
      <c r="AI171" s="762">
        <v>15611784</v>
      </c>
      <c r="AJ171" s="762">
        <v>10644398</v>
      </c>
      <c r="AK171" s="762">
        <v>354813</v>
      </c>
      <c r="AL171" s="762">
        <v>35481327</v>
      </c>
      <c r="AM171" s="762">
        <v>166507</v>
      </c>
      <c r="AN171" s="762">
        <v>166507</v>
      </c>
      <c r="AO171" s="762">
        <v>0</v>
      </c>
      <c r="AP171" s="762">
        <v>0</v>
      </c>
      <c r="AQ171" s="762">
        <v>113721</v>
      </c>
      <c r="AR171" s="762">
        <v>0</v>
      </c>
      <c r="AS171" s="762">
        <v>113721</v>
      </c>
      <c r="AT171" s="762">
        <v>0</v>
      </c>
      <c r="AU171" s="762">
        <v>0</v>
      </c>
      <c r="AV171" s="762">
        <v>0</v>
      </c>
      <c r="AW171" s="762">
        <v>0</v>
      </c>
      <c r="AX171" s="762">
        <v>0</v>
      </c>
      <c r="AY171" s="762">
        <v>0</v>
      </c>
      <c r="AZ171" s="762">
        <v>0</v>
      </c>
      <c r="BA171" s="762">
        <v>0</v>
      </c>
      <c r="BB171" s="762">
        <v>0</v>
      </c>
      <c r="BC171" s="762">
        <v>0</v>
      </c>
      <c r="BD171" s="762">
        <v>0</v>
      </c>
      <c r="BE171" s="762">
        <v>0</v>
      </c>
      <c r="BF171" s="762">
        <v>0</v>
      </c>
      <c r="BG171" s="762">
        <v>0</v>
      </c>
      <c r="BH171" s="762">
        <v>0</v>
      </c>
      <c r="BI171" s="762">
        <v>0</v>
      </c>
      <c r="BJ171" s="790">
        <v>0.5</v>
      </c>
      <c r="BK171" s="790">
        <v>0.4</v>
      </c>
      <c r="BL171" s="790">
        <v>0.09</v>
      </c>
      <c r="BM171" s="790">
        <v>0.01</v>
      </c>
      <c r="BN171" s="790">
        <v>1</v>
      </c>
      <c r="BO171" s="762">
        <v>-848409</v>
      </c>
      <c r="BP171" s="762">
        <v>-678727</v>
      </c>
      <c r="BQ171" s="762">
        <v>-152714</v>
      </c>
      <c r="BR171" s="762">
        <v>-16968</v>
      </c>
      <c r="BS171" s="762">
        <v>-1696818</v>
      </c>
      <c r="BT171" s="790">
        <v>0.5</v>
      </c>
      <c r="BU171" s="790">
        <v>0.4</v>
      </c>
      <c r="BV171" s="790">
        <v>0.09</v>
      </c>
      <c r="BW171" s="790">
        <v>0.01</v>
      </c>
      <c r="BX171" s="790">
        <v>1</v>
      </c>
      <c r="BY171" s="762">
        <v>-284540</v>
      </c>
      <c r="BZ171" s="762">
        <v>-227632</v>
      </c>
      <c r="CA171" s="762">
        <v>-51217</v>
      </c>
      <c r="CB171" s="762">
        <v>-5691</v>
      </c>
      <c r="CC171" s="762">
        <v>-569080</v>
      </c>
      <c r="CD171" s="762">
        <v>-1132949</v>
      </c>
      <c r="CE171" s="762">
        <v>-906359</v>
      </c>
      <c r="CF171" s="762">
        <v>-203931</v>
      </c>
      <c r="CG171" s="762">
        <v>-22659</v>
      </c>
      <c r="CH171" s="762">
        <v>-2265898</v>
      </c>
      <c r="CI171" s="762">
        <v>7737383</v>
      </c>
      <c r="CJ171" s="762">
        <v>14985653</v>
      </c>
      <c r="CK171" s="762">
        <v>10440467</v>
      </c>
      <c r="CL171" s="762">
        <v>332154</v>
      </c>
      <c r="CM171" s="762">
        <v>33495657</v>
      </c>
      <c r="CN171" s="762">
        <v>512440</v>
      </c>
      <c r="CO171" s="762">
        <v>346864</v>
      </c>
      <c r="CP171" s="762">
        <v>11562</v>
      </c>
      <c r="CQ171" s="762">
        <v>870866</v>
      </c>
      <c r="CR171" s="762">
        <v>1580494</v>
      </c>
      <c r="CS171" s="762">
        <v>1077609</v>
      </c>
      <c r="CT171" s="762">
        <v>35920</v>
      </c>
      <c r="CU171" s="762">
        <v>2694023</v>
      </c>
      <c r="CV171" s="762">
        <v>99123</v>
      </c>
      <c r="CW171" s="762">
        <v>67584</v>
      </c>
      <c r="CX171" s="762">
        <v>2253</v>
      </c>
      <c r="CY171" s="762">
        <v>168960</v>
      </c>
      <c r="CZ171" s="762">
        <v>0</v>
      </c>
      <c r="DA171" s="762">
        <v>0</v>
      </c>
      <c r="DB171" s="762">
        <v>0</v>
      </c>
      <c r="DC171" s="762">
        <v>0</v>
      </c>
      <c r="DD171" s="762">
        <v>8513</v>
      </c>
      <c r="DE171" s="762">
        <v>5804</v>
      </c>
      <c r="DF171" s="762">
        <v>193</v>
      </c>
      <c r="DG171" s="762">
        <v>14510</v>
      </c>
      <c r="DH171" s="762">
        <v>0</v>
      </c>
      <c r="DI171" s="762">
        <v>0</v>
      </c>
      <c r="DJ171" s="762">
        <v>0</v>
      </c>
      <c r="DK171" s="762">
        <v>0</v>
      </c>
      <c r="DL171" s="762">
        <v>24675</v>
      </c>
      <c r="DM171" s="762">
        <v>16825</v>
      </c>
      <c r="DN171" s="762">
        <v>561</v>
      </c>
      <c r="DO171" s="762">
        <v>42061</v>
      </c>
      <c r="DP171" s="762">
        <v>31713</v>
      </c>
      <c r="DQ171" s="762">
        <v>21623</v>
      </c>
      <c r="DR171" s="762">
        <v>721</v>
      </c>
      <c r="DS171" s="762">
        <v>54057</v>
      </c>
      <c r="DT171" s="762">
        <v>0</v>
      </c>
      <c r="DU171" s="762">
        <v>0</v>
      </c>
      <c r="DV171" s="762">
        <v>0</v>
      </c>
      <c r="DW171" s="762">
        <v>0</v>
      </c>
      <c r="DX171" s="762">
        <v>0</v>
      </c>
      <c r="DY171" s="762">
        <v>0</v>
      </c>
      <c r="DZ171" s="762">
        <v>0</v>
      </c>
      <c r="EA171" s="762">
        <v>0</v>
      </c>
      <c r="EB171" s="762">
        <v>495804</v>
      </c>
      <c r="EC171" s="762">
        <v>338048</v>
      </c>
      <c r="ED171" s="762">
        <v>11268</v>
      </c>
      <c r="EE171" s="762">
        <v>845120</v>
      </c>
      <c r="EF171" s="762">
        <v>2752762</v>
      </c>
      <c r="EG171" s="762">
        <v>1874357</v>
      </c>
      <c r="EH171" s="762">
        <v>62478</v>
      </c>
      <c r="EI171" s="799">
        <v>4689597</v>
      </c>
      <c r="EJ171" s="763" t="s">
        <v>213</v>
      </c>
      <c r="EK171" s="607" t="s">
        <v>611</v>
      </c>
      <c r="EL171" s="805" t="s">
        <v>563</v>
      </c>
      <c r="EM171" t="s">
        <v>1737</v>
      </c>
    </row>
    <row r="172" spans="1:143" ht="12.75" x14ac:dyDescent="0.2">
      <c r="A172" s="764">
        <v>165</v>
      </c>
      <c r="B172" s="765" t="s">
        <v>216</v>
      </c>
      <c r="C172" s="766" t="s">
        <v>1222</v>
      </c>
      <c r="D172" s="767" t="s">
        <v>1223</v>
      </c>
      <c r="E172" s="768" t="s">
        <v>215</v>
      </c>
      <c r="F172" s="761">
        <v>88885304.900000006</v>
      </c>
      <c r="G172" s="762">
        <v>0</v>
      </c>
      <c r="H172" s="762">
        <v>513806</v>
      </c>
      <c r="I172" s="762">
        <v>260923</v>
      </c>
      <c r="J172" s="762">
        <v>50000</v>
      </c>
      <c r="K172" s="762">
        <v>310923</v>
      </c>
      <c r="L172" s="762">
        <v>0</v>
      </c>
      <c r="M172" s="762">
        <v>0</v>
      </c>
      <c r="N172" s="762">
        <v>0</v>
      </c>
      <c r="O172" s="762">
        <v>0</v>
      </c>
      <c r="P172" s="762">
        <v>0</v>
      </c>
      <c r="Q172" s="762">
        <v>0</v>
      </c>
      <c r="R172" s="762">
        <v>88060576</v>
      </c>
      <c r="S172" s="790">
        <v>0.25</v>
      </c>
      <c r="T172" s="790">
        <v>0.48</v>
      </c>
      <c r="U172" s="790">
        <v>0.27</v>
      </c>
      <c r="V172" s="790">
        <v>0</v>
      </c>
      <c r="W172" s="790">
        <v>1</v>
      </c>
      <c r="X172" s="762">
        <v>22015144</v>
      </c>
      <c r="Y172" s="762">
        <v>42269076</v>
      </c>
      <c r="Z172" s="762">
        <v>23776356</v>
      </c>
      <c r="AA172" s="762">
        <v>0</v>
      </c>
      <c r="AB172" s="762">
        <v>88060576</v>
      </c>
      <c r="AC172" s="762">
        <v>0</v>
      </c>
      <c r="AD172" s="762">
        <v>0</v>
      </c>
      <c r="AE172" s="762">
        <v>0</v>
      </c>
      <c r="AF172" s="762">
        <v>0</v>
      </c>
      <c r="AG172" s="762">
        <v>0</v>
      </c>
      <c r="AH172" s="762">
        <v>22015144</v>
      </c>
      <c r="AI172" s="762">
        <v>42269076</v>
      </c>
      <c r="AJ172" s="762">
        <v>23776356</v>
      </c>
      <c r="AK172" s="762">
        <v>0</v>
      </c>
      <c r="AL172" s="762">
        <v>88060576</v>
      </c>
      <c r="AM172" s="762">
        <v>310923</v>
      </c>
      <c r="AN172" s="762">
        <v>310923</v>
      </c>
      <c r="AO172" s="762">
        <v>0</v>
      </c>
      <c r="AP172" s="762">
        <v>0</v>
      </c>
      <c r="AQ172" s="762">
        <v>0</v>
      </c>
      <c r="AR172" s="762">
        <v>0</v>
      </c>
      <c r="AS172" s="762">
        <v>0</v>
      </c>
      <c r="AT172" s="762">
        <v>0</v>
      </c>
      <c r="AU172" s="762">
        <v>0</v>
      </c>
      <c r="AV172" s="762">
        <v>0</v>
      </c>
      <c r="AW172" s="762">
        <v>0</v>
      </c>
      <c r="AX172" s="762">
        <v>0</v>
      </c>
      <c r="AY172" s="762">
        <v>0</v>
      </c>
      <c r="AZ172" s="762">
        <v>0</v>
      </c>
      <c r="BA172" s="762">
        <v>0</v>
      </c>
      <c r="BB172" s="762">
        <v>0</v>
      </c>
      <c r="BC172" s="762">
        <v>0</v>
      </c>
      <c r="BD172" s="762">
        <v>0</v>
      </c>
      <c r="BE172" s="762">
        <v>0</v>
      </c>
      <c r="BF172" s="762">
        <v>0</v>
      </c>
      <c r="BG172" s="762">
        <v>0</v>
      </c>
      <c r="BH172" s="762">
        <v>0</v>
      </c>
      <c r="BI172" s="762">
        <v>0</v>
      </c>
      <c r="BJ172" s="790">
        <v>0</v>
      </c>
      <c r="BK172" s="790">
        <v>0.64</v>
      </c>
      <c r="BL172" s="790">
        <v>0.36</v>
      </c>
      <c r="BM172" s="790">
        <v>0</v>
      </c>
      <c r="BN172" s="790">
        <v>1</v>
      </c>
      <c r="BO172" s="762">
        <v>0</v>
      </c>
      <c r="BP172" s="762">
        <v>-3559304</v>
      </c>
      <c r="BQ172" s="762">
        <v>-2002108</v>
      </c>
      <c r="BR172" s="762">
        <v>0</v>
      </c>
      <c r="BS172" s="762">
        <v>-5561412</v>
      </c>
      <c r="BT172" s="790">
        <v>0.33</v>
      </c>
      <c r="BU172" s="790">
        <v>0.3</v>
      </c>
      <c r="BV172" s="790">
        <v>0.37</v>
      </c>
      <c r="BW172" s="790">
        <v>0</v>
      </c>
      <c r="BX172" s="790">
        <v>1</v>
      </c>
      <c r="BY172" s="762">
        <v>340052</v>
      </c>
      <c r="BZ172" s="762">
        <v>309138</v>
      </c>
      <c r="CA172" s="762">
        <v>381271</v>
      </c>
      <c r="CB172" s="762">
        <v>0</v>
      </c>
      <c r="CC172" s="762">
        <v>1030461</v>
      </c>
      <c r="CD172" s="762">
        <v>340052</v>
      </c>
      <c r="CE172" s="762">
        <v>-3250166</v>
      </c>
      <c r="CF172" s="762">
        <v>-1620837</v>
      </c>
      <c r="CG172" s="762">
        <v>0</v>
      </c>
      <c r="CH172" s="762">
        <v>-4530951</v>
      </c>
      <c r="CI172" s="762">
        <v>22355196</v>
      </c>
      <c r="CJ172" s="762">
        <v>39329833</v>
      </c>
      <c r="CK172" s="762">
        <v>22155519</v>
      </c>
      <c r="CL172" s="762">
        <v>0</v>
      </c>
      <c r="CM172" s="762">
        <v>83840548</v>
      </c>
      <c r="CN172" s="762">
        <v>1377404</v>
      </c>
      <c r="CO172" s="762">
        <v>774790</v>
      </c>
      <c r="CP172" s="762">
        <v>0</v>
      </c>
      <c r="CQ172" s="762">
        <v>2152194</v>
      </c>
      <c r="CR172" s="762">
        <v>1753634</v>
      </c>
      <c r="CS172" s="762">
        <v>986419</v>
      </c>
      <c r="CT172" s="762">
        <v>0</v>
      </c>
      <c r="CU172" s="762">
        <v>2740053</v>
      </c>
      <c r="CV172" s="762">
        <v>131194</v>
      </c>
      <c r="CW172" s="762">
        <v>73797</v>
      </c>
      <c r="CX172" s="762">
        <v>0</v>
      </c>
      <c r="CY172" s="762">
        <v>204991</v>
      </c>
      <c r="CZ172" s="762">
        <v>0</v>
      </c>
      <c r="DA172" s="762">
        <v>0</v>
      </c>
      <c r="DB172" s="762">
        <v>0</v>
      </c>
      <c r="DC172" s="762">
        <v>0</v>
      </c>
      <c r="DD172" s="762">
        <v>0</v>
      </c>
      <c r="DE172" s="762">
        <v>0</v>
      </c>
      <c r="DF172" s="762">
        <v>0</v>
      </c>
      <c r="DG172" s="762">
        <v>0</v>
      </c>
      <c r="DH172" s="762">
        <v>0</v>
      </c>
      <c r="DI172" s="762">
        <v>0</v>
      </c>
      <c r="DJ172" s="762">
        <v>0</v>
      </c>
      <c r="DK172" s="762">
        <v>0</v>
      </c>
      <c r="DL172" s="762">
        <v>12190</v>
      </c>
      <c r="DM172" s="762">
        <v>6857</v>
      </c>
      <c r="DN172" s="762">
        <v>0</v>
      </c>
      <c r="DO172" s="762">
        <v>19047</v>
      </c>
      <c r="DP172" s="762">
        <v>45500</v>
      </c>
      <c r="DQ172" s="762">
        <v>25594</v>
      </c>
      <c r="DR172" s="762">
        <v>0</v>
      </c>
      <c r="DS172" s="762">
        <v>71094</v>
      </c>
      <c r="DT172" s="762">
        <v>0</v>
      </c>
      <c r="DU172" s="762">
        <v>0</v>
      </c>
      <c r="DV172" s="762">
        <v>0</v>
      </c>
      <c r="DW172" s="762">
        <v>0</v>
      </c>
      <c r="DX172" s="762">
        <v>0</v>
      </c>
      <c r="DY172" s="762">
        <v>0</v>
      </c>
      <c r="DZ172" s="762">
        <v>0</v>
      </c>
      <c r="EA172" s="762">
        <v>0</v>
      </c>
      <c r="EB172" s="762">
        <v>977306</v>
      </c>
      <c r="EC172" s="762">
        <v>549735</v>
      </c>
      <c r="ED172" s="762">
        <v>0</v>
      </c>
      <c r="EE172" s="762">
        <v>1527041</v>
      </c>
      <c r="EF172" s="762">
        <v>4297228</v>
      </c>
      <c r="EG172" s="762">
        <v>2417192</v>
      </c>
      <c r="EH172" s="762">
        <v>0</v>
      </c>
      <c r="EI172" s="799">
        <v>6714420</v>
      </c>
      <c r="EJ172" s="763" t="s">
        <v>215</v>
      </c>
      <c r="EK172" s="607" t="s">
        <v>628</v>
      </c>
      <c r="EL172" s="272" t="s">
        <v>528</v>
      </c>
      <c r="EM172" t="s">
        <v>1738</v>
      </c>
    </row>
    <row r="173" spans="1:143" ht="12.75" x14ac:dyDescent="0.2">
      <c r="A173" s="764">
        <v>166</v>
      </c>
      <c r="B173" s="765" t="s">
        <v>218</v>
      </c>
      <c r="C173" s="766" t="s">
        <v>1217</v>
      </c>
      <c r="D173" s="767" t="s">
        <v>1226</v>
      </c>
      <c r="E173" s="768" t="s">
        <v>217</v>
      </c>
      <c r="F173" s="761">
        <v>15455364</v>
      </c>
      <c r="G173" s="762">
        <v>279523</v>
      </c>
      <c r="H173" s="762">
        <v>0</v>
      </c>
      <c r="I173" s="762">
        <v>108822</v>
      </c>
      <c r="J173" s="762">
        <v>0</v>
      </c>
      <c r="K173" s="762">
        <v>108822</v>
      </c>
      <c r="L173" s="762">
        <v>0</v>
      </c>
      <c r="M173" s="762">
        <v>0</v>
      </c>
      <c r="N173" s="762">
        <v>126327</v>
      </c>
      <c r="O173" s="762">
        <v>126327</v>
      </c>
      <c r="P173" s="762">
        <v>0</v>
      </c>
      <c r="Q173" s="762">
        <v>0</v>
      </c>
      <c r="R173" s="762">
        <v>15499738</v>
      </c>
      <c r="S173" s="790">
        <v>0.5</v>
      </c>
      <c r="T173" s="790">
        <v>0.4</v>
      </c>
      <c r="U173" s="790">
        <v>0.09</v>
      </c>
      <c r="V173" s="790">
        <v>0.01</v>
      </c>
      <c r="W173" s="790">
        <v>1</v>
      </c>
      <c r="X173" s="762">
        <v>7749870</v>
      </c>
      <c r="Y173" s="762">
        <v>6199895</v>
      </c>
      <c r="Z173" s="762">
        <v>1394976</v>
      </c>
      <c r="AA173" s="762">
        <v>154997</v>
      </c>
      <c r="AB173" s="762">
        <v>15499738</v>
      </c>
      <c r="AC173" s="762">
        <v>0</v>
      </c>
      <c r="AD173" s="762">
        <v>0</v>
      </c>
      <c r="AE173" s="762">
        <v>0</v>
      </c>
      <c r="AF173" s="762">
        <v>0</v>
      </c>
      <c r="AG173" s="762">
        <v>0</v>
      </c>
      <c r="AH173" s="762">
        <v>7749870</v>
      </c>
      <c r="AI173" s="762">
        <v>6199895</v>
      </c>
      <c r="AJ173" s="762">
        <v>1394976</v>
      </c>
      <c r="AK173" s="762">
        <v>154997</v>
      </c>
      <c r="AL173" s="762">
        <v>15499738</v>
      </c>
      <c r="AM173" s="762">
        <v>108822</v>
      </c>
      <c r="AN173" s="762">
        <v>108822</v>
      </c>
      <c r="AO173" s="762">
        <v>0</v>
      </c>
      <c r="AP173" s="762">
        <v>0</v>
      </c>
      <c r="AQ173" s="762">
        <v>126327</v>
      </c>
      <c r="AR173" s="762">
        <v>0</v>
      </c>
      <c r="AS173" s="762">
        <v>126327</v>
      </c>
      <c r="AT173" s="762">
        <v>0</v>
      </c>
      <c r="AU173" s="762">
        <v>0</v>
      </c>
      <c r="AV173" s="762">
        <v>0</v>
      </c>
      <c r="AW173" s="762">
        <v>0</v>
      </c>
      <c r="AX173" s="762">
        <v>0</v>
      </c>
      <c r="AY173" s="762">
        <v>0</v>
      </c>
      <c r="AZ173" s="762">
        <v>0</v>
      </c>
      <c r="BA173" s="762">
        <v>0</v>
      </c>
      <c r="BB173" s="762">
        <v>0</v>
      </c>
      <c r="BC173" s="762">
        <v>0</v>
      </c>
      <c r="BD173" s="762">
        <v>0</v>
      </c>
      <c r="BE173" s="762">
        <v>0</v>
      </c>
      <c r="BF173" s="762">
        <v>0</v>
      </c>
      <c r="BG173" s="762">
        <v>0</v>
      </c>
      <c r="BH173" s="762">
        <v>0</v>
      </c>
      <c r="BI173" s="762">
        <v>0</v>
      </c>
      <c r="BJ173" s="790">
        <v>0</v>
      </c>
      <c r="BK173" s="790">
        <v>0.4</v>
      </c>
      <c r="BL173" s="790">
        <v>0.59</v>
      </c>
      <c r="BM173" s="790">
        <v>0.01</v>
      </c>
      <c r="BN173" s="790">
        <v>1</v>
      </c>
      <c r="BO173" s="762">
        <v>-1</v>
      </c>
      <c r="BP173" s="762">
        <v>-495413</v>
      </c>
      <c r="BQ173" s="762">
        <v>-730734</v>
      </c>
      <c r="BR173" s="762">
        <v>-12385</v>
      </c>
      <c r="BS173" s="762">
        <v>-1238533</v>
      </c>
      <c r="BT173" s="790">
        <v>0.5</v>
      </c>
      <c r="BU173" s="790">
        <v>0.4</v>
      </c>
      <c r="BV173" s="790">
        <v>0.09</v>
      </c>
      <c r="BW173" s="790">
        <v>0.01</v>
      </c>
      <c r="BX173" s="790">
        <v>1</v>
      </c>
      <c r="BY173" s="762">
        <v>-354367</v>
      </c>
      <c r="BZ173" s="762">
        <v>-283493</v>
      </c>
      <c r="CA173" s="762">
        <v>-63786</v>
      </c>
      <c r="CB173" s="762">
        <v>-7087</v>
      </c>
      <c r="CC173" s="762">
        <v>-708733</v>
      </c>
      <c r="CD173" s="762">
        <v>-354368</v>
      </c>
      <c r="CE173" s="762">
        <v>-778906</v>
      </c>
      <c r="CF173" s="762">
        <v>-794520</v>
      </c>
      <c r="CG173" s="762">
        <v>-19472</v>
      </c>
      <c r="CH173" s="762">
        <v>-1947266</v>
      </c>
      <c r="CI173" s="762">
        <v>7395502</v>
      </c>
      <c r="CJ173" s="762">
        <v>5656138</v>
      </c>
      <c r="CK173" s="762">
        <v>600456</v>
      </c>
      <c r="CL173" s="762">
        <v>135525</v>
      </c>
      <c r="CM173" s="762">
        <v>13787621</v>
      </c>
      <c r="CN173" s="762">
        <v>206150</v>
      </c>
      <c r="CO173" s="762">
        <v>45457</v>
      </c>
      <c r="CP173" s="762">
        <v>5051</v>
      </c>
      <c r="CQ173" s="762">
        <v>256658</v>
      </c>
      <c r="CR173" s="762">
        <v>989675</v>
      </c>
      <c r="CS173" s="762">
        <v>222677</v>
      </c>
      <c r="CT173" s="762">
        <v>24742</v>
      </c>
      <c r="CU173" s="762">
        <v>1237094</v>
      </c>
      <c r="CV173" s="762">
        <v>42346</v>
      </c>
      <c r="CW173" s="762">
        <v>9528</v>
      </c>
      <c r="CX173" s="762">
        <v>1059</v>
      </c>
      <c r="CY173" s="762">
        <v>52933</v>
      </c>
      <c r="CZ173" s="762">
        <v>3263</v>
      </c>
      <c r="DA173" s="762">
        <v>734</v>
      </c>
      <c r="DB173" s="762">
        <v>82</v>
      </c>
      <c r="DC173" s="762">
        <v>4079</v>
      </c>
      <c r="DD173" s="762">
        <v>18877</v>
      </c>
      <c r="DE173" s="762">
        <v>4247</v>
      </c>
      <c r="DF173" s="762">
        <v>472</v>
      </c>
      <c r="DG173" s="762">
        <v>23596</v>
      </c>
      <c r="DH173" s="762">
        <v>0</v>
      </c>
      <c r="DI173" s="762">
        <v>0</v>
      </c>
      <c r="DJ173" s="762">
        <v>0</v>
      </c>
      <c r="DK173" s="762">
        <v>0</v>
      </c>
      <c r="DL173" s="762">
        <v>9086</v>
      </c>
      <c r="DM173" s="762">
        <v>2045</v>
      </c>
      <c r="DN173" s="762">
        <v>227</v>
      </c>
      <c r="DO173" s="762">
        <v>11358</v>
      </c>
      <c r="DP173" s="762">
        <v>9751</v>
      </c>
      <c r="DQ173" s="762">
        <v>2194</v>
      </c>
      <c r="DR173" s="762">
        <v>244</v>
      </c>
      <c r="DS173" s="762">
        <v>12189</v>
      </c>
      <c r="DT173" s="762">
        <v>0</v>
      </c>
      <c r="DU173" s="762">
        <v>0</v>
      </c>
      <c r="DV173" s="762">
        <v>0</v>
      </c>
      <c r="DW173" s="762">
        <v>0</v>
      </c>
      <c r="DX173" s="762">
        <v>0</v>
      </c>
      <c r="DY173" s="762">
        <v>0</v>
      </c>
      <c r="DZ173" s="762">
        <v>0</v>
      </c>
      <c r="EA173" s="762">
        <v>0</v>
      </c>
      <c r="EB173" s="762">
        <v>82607</v>
      </c>
      <c r="EC173" s="762">
        <v>18587</v>
      </c>
      <c r="ED173" s="762">
        <v>2065</v>
      </c>
      <c r="EE173" s="762">
        <v>103259</v>
      </c>
      <c r="EF173" s="762">
        <v>1361755</v>
      </c>
      <c r="EG173" s="762">
        <v>305469</v>
      </c>
      <c r="EH173" s="762">
        <v>33942</v>
      </c>
      <c r="EI173" s="799">
        <v>1701166</v>
      </c>
      <c r="EJ173" s="763" t="s">
        <v>217</v>
      </c>
      <c r="EK173" s="607" t="s">
        <v>565</v>
      </c>
      <c r="EL173" s="805" t="s">
        <v>563</v>
      </c>
      <c r="EM173" t="s">
        <v>1739</v>
      </c>
    </row>
    <row r="174" spans="1:143" ht="12.75" x14ac:dyDescent="0.2">
      <c r="A174" s="764">
        <v>167</v>
      </c>
      <c r="B174" s="765" t="s">
        <v>220</v>
      </c>
      <c r="C174" s="766" t="s">
        <v>1217</v>
      </c>
      <c r="D174" s="767" t="s">
        <v>1221</v>
      </c>
      <c r="E174" s="768" t="s">
        <v>219</v>
      </c>
      <c r="F174" s="761">
        <v>22549483</v>
      </c>
      <c r="G174" s="762">
        <v>306688</v>
      </c>
      <c r="H174" s="762">
        <v>0</v>
      </c>
      <c r="I174" s="762">
        <v>125575</v>
      </c>
      <c r="J174" s="762">
        <v>0</v>
      </c>
      <c r="K174" s="762">
        <v>125575</v>
      </c>
      <c r="L174" s="762">
        <v>0</v>
      </c>
      <c r="M174" s="762">
        <v>0</v>
      </c>
      <c r="N174" s="762">
        <v>325483</v>
      </c>
      <c r="O174" s="762">
        <v>153021</v>
      </c>
      <c r="P174" s="762">
        <v>172462</v>
      </c>
      <c r="Q174" s="762">
        <v>0</v>
      </c>
      <c r="R174" s="762">
        <v>22405113</v>
      </c>
      <c r="S174" s="790">
        <v>0.5</v>
      </c>
      <c r="T174" s="790">
        <v>0.4</v>
      </c>
      <c r="U174" s="790">
        <v>0.1</v>
      </c>
      <c r="V174" s="790">
        <v>0</v>
      </c>
      <c r="W174" s="790">
        <v>1</v>
      </c>
      <c r="X174" s="762">
        <v>11202557</v>
      </c>
      <c r="Y174" s="762">
        <v>8962045</v>
      </c>
      <c r="Z174" s="762">
        <v>2240511</v>
      </c>
      <c r="AA174" s="762">
        <v>0</v>
      </c>
      <c r="AB174" s="762">
        <v>22405113</v>
      </c>
      <c r="AC174" s="762">
        <v>0</v>
      </c>
      <c r="AD174" s="762">
        <v>0</v>
      </c>
      <c r="AE174" s="762">
        <v>0</v>
      </c>
      <c r="AF174" s="762">
        <v>0</v>
      </c>
      <c r="AG174" s="762">
        <v>0</v>
      </c>
      <c r="AH174" s="762">
        <v>11202557</v>
      </c>
      <c r="AI174" s="762">
        <v>8962045</v>
      </c>
      <c r="AJ174" s="762">
        <v>2240511</v>
      </c>
      <c r="AK174" s="762">
        <v>0</v>
      </c>
      <c r="AL174" s="762">
        <v>22405113</v>
      </c>
      <c r="AM174" s="762">
        <v>125575</v>
      </c>
      <c r="AN174" s="762">
        <v>125575</v>
      </c>
      <c r="AO174" s="762">
        <v>0</v>
      </c>
      <c r="AP174" s="762">
        <v>0</v>
      </c>
      <c r="AQ174" s="762">
        <v>153021</v>
      </c>
      <c r="AR174" s="762">
        <v>172462</v>
      </c>
      <c r="AS174" s="762">
        <v>325483</v>
      </c>
      <c r="AT174" s="762">
        <v>0</v>
      </c>
      <c r="AU174" s="762">
        <v>0</v>
      </c>
      <c r="AV174" s="762">
        <v>0</v>
      </c>
      <c r="AW174" s="762">
        <v>0</v>
      </c>
      <c r="AX174" s="762">
        <v>0</v>
      </c>
      <c r="AY174" s="762">
        <v>0</v>
      </c>
      <c r="AZ174" s="762">
        <v>0</v>
      </c>
      <c r="BA174" s="762">
        <v>0</v>
      </c>
      <c r="BB174" s="762">
        <v>0</v>
      </c>
      <c r="BC174" s="762">
        <v>0</v>
      </c>
      <c r="BD174" s="762">
        <v>0</v>
      </c>
      <c r="BE174" s="762">
        <v>0</v>
      </c>
      <c r="BF174" s="762">
        <v>0</v>
      </c>
      <c r="BG174" s="762">
        <v>0</v>
      </c>
      <c r="BH174" s="762">
        <v>0</v>
      </c>
      <c r="BI174" s="762">
        <v>0</v>
      </c>
      <c r="BJ174" s="790">
        <v>0</v>
      </c>
      <c r="BK174" s="790">
        <v>0.8</v>
      </c>
      <c r="BL174" s="790">
        <v>0.2</v>
      </c>
      <c r="BM174" s="790">
        <v>0</v>
      </c>
      <c r="BN174" s="790">
        <v>1</v>
      </c>
      <c r="BO174" s="762">
        <v>0</v>
      </c>
      <c r="BP174" s="762">
        <v>-778748</v>
      </c>
      <c r="BQ174" s="762">
        <v>-194687</v>
      </c>
      <c r="BR174" s="762">
        <v>0</v>
      </c>
      <c r="BS174" s="762">
        <v>-973435</v>
      </c>
      <c r="BT174" s="790">
        <v>0.5</v>
      </c>
      <c r="BU174" s="790">
        <v>0.4</v>
      </c>
      <c r="BV174" s="790">
        <v>0.1</v>
      </c>
      <c r="BW174" s="790">
        <v>0</v>
      </c>
      <c r="BX174" s="790">
        <v>1</v>
      </c>
      <c r="BY174" s="762">
        <v>-193862</v>
      </c>
      <c r="BZ174" s="762">
        <v>-155089</v>
      </c>
      <c r="CA174" s="762">
        <v>-38772</v>
      </c>
      <c r="CB174" s="762">
        <v>0</v>
      </c>
      <c r="CC174" s="762">
        <v>-387723</v>
      </c>
      <c r="CD174" s="762">
        <v>-193862</v>
      </c>
      <c r="CE174" s="762">
        <v>-933837</v>
      </c>
      <c r="CF174" s="762">
        <v>-233459</v>
      </c>
      <c r="CG174" s="762">
        <v>0</v>
      </c>
      <c r="CH174" s="762">
        <v>-1361158</v>
      </c>
      <c r="CI174" s="762">
        <v>11008695</v>
      </c>
      <c r="CJ174" s="762">
        <v>8306804</v>
      </c>
      <c r="CK174" s="762">
        <v>2179514</v>
      </c>
      <c r="CL174" s="762">
        <v>0</v>
      </c>
      <c r="CM174" s="762">
        <v>21495013</v>
      </c>
      <c r="CN174" s="762">
        <v>297029</v>
      </c>
      <c r="CO174" s="762">
        <v>78630</v>
      </c>
      <c r="CP174" s="762">
        <v>0</v>
      </c>
      <c r="CQ174" s="762">
        <v>375659</v>
      </c>
      <c r="CR174" s="762">
        <v>939921</v>
      </c>
      <c r="CS174" s="762">
        <v>234980</v>
      </c>
      <c r="CT174" s="762">
        <v>0</v>
      </c>
      <c r="CU174" s="762">
        <v>1174901</v>
      </c>
      <c r="CV174" s="762">
        <v>57333</v>
      </c>
      <c r="CW174" s="762">
        <v>14333</v>
      </c>
      <c r="CX174" s="762">
        <v>0</v>
      </c>
      <c r="CY174" s="762">
        <v>71666</v>
      </c>
      <c r="CZ174" s="762">
        <v>4757</v>
      </c>
      <c r="DA174" s="762">
        <v>1189</v>
      </c>
      <c r="DB174" s="762">
        <v>0</v>
      </c>
      <c r="DC174" s="762">
        <v>5946</v>
      </c>
      <c r="DD174" s="762">
        <v>22341</v>
      </c>
      <c r="DE174" s="762">
        <v>5585</v>
      </c>
      <c r="DF174" s="762">
        <v>0</v>
      </c>
      <c r="DG174" s="762">
        <v>27926</v>
      </c>
      <c r="DH174" s="762">
        <v>0</v>
      </c>
      <c r="DI174" s="762">
        <v>0</v>
      </c>
      <c r="DJ174" s="762">
        <v>0</v>
      </c>
      <c r="DK174" s="762">
        <v>0</v>
      </c>
      <c r="DL174" s="762">
        <v>28798</v>
      </c>
      <c r="DM174" s="762">
        <v>7199</v>
      </c>
      <c r="DN174" s="762">
        <v>0</v>
      </c>
      <c r="DO174" s="762">
        <v>35997</v>
      </c>
      <c r="DP174" s="762">
        <v>17911</v>
      </c>
      <c r="DQ174" s="762">
        <v>4478</v>
      </c>
      <c r="DR174" s="762">
        <v>0</v>
      </c>
      <c r="DS174" s="762">
        <v>22389</v>
      </c>
      <c r="DT174" s="762">
        <v>0</v>
      </c>
      <c r="DU174" s="762">
        <v>0</v>
      </c>
      <c r="DV174" s="762">
        <v>0</v>
      </c>
      <c r="DW174" s="762">
        <v>0</v>
      </c>
      <c r="DX174" s="762">
        <v>0</v>
      </c>
      <c r="DY174" s="762">
        <v>0</v>
      </c>
      <c r="DZ174" s="762">
        <v>0</v>
      </c>
      <c r="EA174" s="762">
        <v>0</v>
      </c>
      <c r="EB174" s="762">
        <v>151420</v>
      </c>
      <c r="EC174" s="762">
        <v>37855</v>
      </c>
      <c r="ED174" s="762">
        <v>0</v>
      </c>
      <c r="EE174" s="762">
        <v>189275</v>
      </c>
      <c r="EF174" s="762">
        <v>1519510</v>
      </c>
      <c r="EG174" s="762">
        <v>384249</v>
      </c>
      <c r="EH174" s="762">
        <v>0</v>
      </c>
      <c r="EI174" s="799">
        <v>1903759</v>
      </c>
      <c r="EJ174" s="763" t="s">
        <v>219</v>
      </c>
      <c r="EK174" s="607" t="s">
        <v>615</v>
      </c>
      <c r="EL174" s="805" t="s">
        <v>556</v>
      </c>
      <c r="EM174" t="s">
        <v>1740</v>
      </c>
    </row>
    <row r="175" spans="1:143" ht="12.75" x14ac:dyDescent="0.2">
      <c r="A175" s="764">
        <v>168</v>
      </c>
      <c r="B175" s="765" t="s">
        <v>222</v>
      </c>
      <c r="C175" s="766" t="s">
        <v>1217</v>
      </c>
      <c r="D175" s="767" t="s">
        <v>1218</v>
      </c>
      <c r="E175" s="768" t="s">
        <v>221</v>
      </c>
      <c r="F175" s="761">
        <v>44243076</v>
      </c>
      <c r="G175" s="762">
        <v>521212</v>
      </c>
      <c r="H175" s="762">
        <v>0</v>
      </c>
      <c r="I175" s="762">
        <v>172026</v>
      </c>
      <c r="J175" s="762">
        <v>0</v>
      </c>
      <c r="K175" s="762">
        <v>172026</v>
      </c>
      <c r="L175" s="762">
        <v>0</v>
      </c>
      <c r="M175" s="762">
        <v>0</v>
      </c>
      <c r="N175" s="762">
        <v>0</v>
      </c>
      <c r="O175" s="762">
        <v>0</v>
      </c>
      <c r="P175" s="762">
        <v>0</v>
      </c>
      <c r="Q175" s="762">
        <v>0</v>
      </c>
      <c r="R175" s="762">
        <v>44592262</v>
      </c>
      <c r="S175" s="790">
        <v>0.24999999999999994</v>
      </c>
      <c r="T175" s="790">
        <v>0.2</v>
      </c>
      <c r="U175" s="790">
        <v>0.55000000000000004</v>
      </c>
      <c r="V175" s="790">
        <v>0</v>
      </c>
      <c r="W175" s="790">
        <v>1</v>
      </c>
      <c r="X175" s="762">
        <v>11148066</v>
      </c>
      <c r="Y175" s="762">
        <v>8918452</v>
      </c>
      <c r="Z175" s="762">
        <v>24525744</v>
      </c>
      <c r="AA175" s="762">
        <v>0</v>
      </c>
      <c r="AB175" s="762">
        <v>44592262</v>
      </c>
      <c r="AC175" s="762">
        <v>0</v>
      </c>
      <c r="AD175" s="762">
        <v>0</v>
      </c>
      <c r="AE175" s="762">
        <v>0</v>
      </c>
      <c r="AF175" s="762">
        <v>0</v>
      </c>
      <c r="AG175" s="762">
        <v>0</v>
      </c>
      <c r="AH175" s="762">
        <v>11148066</v>
      </c>
      <c r="AI175" s="762">
        <v>8918452</v>
      </c>
      <c r="AJ175" s="762">
        <v>24525744</v>
      </c>
      <c r="AK175" s="762">
        <v>0</v>
      </c>
      <c r="AL175" s="762">
        <v>44592262</v>
      </c>
      <c r="AM175" s="762">
        <v>172026</v>
      </c>
      <c r="AN175" s="762">
        <v>172026</v>
      </c>
      <c r="AO175" s="762">
        <v>0</v>
      </c>
      <c r="AP175" s="762">
        <v>0</v>
      </c>
      <c r="AQ175" s="762">
        <v>0</v>
      </c>
      <c r="AR175" s="762">
        <v>0</v>
      </c>
      <c r="AS175" s="762">
        <v>0</v>
      </c>
      <c r="AT175" s="762">
        <v>0</v>
      </c>
      <c r="AU175" s="762">
        <v>0</v>
      </c>
      <c r="AV175" s="762">
        <v>0</v>
      </c>
      <c r="AW175" s="762">
        <v>0</v>
      </c>
      <c r="AX175" s="762">
        <v>0</v>
      </c>
      <c r="AY175" s="762">
        <v>0</v>
      </c>
      <c r="AZ175" s="762">
        <v>0</v>
      </c>
      <c r="BA175" s="762">
        <v>0</v>
      </c>
      <c r="BB175" s="762">
        <v>0</v>
      </c>
      <c r="BC175" s="762">
        <v>0</v>
      </c>
      <c r="BD175" s="762">
        <v>0</v>
      </c>
      <c r="BE175" s="762">
        <v>0</v>
      </c>
      <c r="BF175" s="762">
        <v>0</v>
      </c>
      <c r="BG175" s="762">
        <v>0</v>
      </c>
      <c r="BH175" s="762">
        <v>0</v>
      </c>
      <c r="BI175" s="762">
        <v>0</v>
      </c>
      <c r="BJ175" s="790">
        <v>0.5</v>
      </c>
      <c r="BK175" s="790">
        <v>0.4</v>
      </c>
      <c r="BL175" s="790">
        <v>0.1</v>
      </c>
      <c r="BM175" s="790">
        <v>0</v>
      </c>
      <c r="BN175" s="790">
        <v>1</v>
      </c>
      <c r="BO175" s="762">
        <v>761771</v>
      </c>
      <c r="BP175" s="762">
        <v>609417</v>
      </c>
      <c r="BQ175" s="762">
        <v>152354</v>
      </c>
      <c r="BR175" s="762">
        <v>0</v>
      </c>
      <c r="BS175" s="762">
        <v>1523542</v>
      </c>
      <c r="BT175" s="790">
        <v>0.5</v>
      </c>
      <c r="BU175" s="790">
        <v>0.4</v>
      </c>
      <c r="BV175" s="790">
        <v>0.1</v>
      </c>
      <c r="BW175" s="790">
        <v>0</v>
      </c>
      <c r="BX175" s="790">
        <v>1</v>
      </c>
      <c r="BY175" s="762">
        <v>-203986</v>
      </c>
      <c r="BZ175" s="762">
        <v>-163189</v>
      </c>
      <c r="CA175" s="762">
        <v>-40797</v>
      </c>
      <c r="CB175" s="762">
        <v>0</v>
      </c>
      <c r="CC175" s="762">
        <v>-407972</v>
      </c>
      <c r="CD175" s="762">
        <v>557785</v>
      </c>
      <c r="CE175" s="762">
        <v>446228</v>
      </c>
      <c r="CF175" s="762">
        <v>111557</v>
      </c>
      <c r="CG175" s="762">
        <v>0</v>
      </c>
      <c r="CH175" s="762">
        <v>1115570</v>
      </c>
      <c r="CI175" s="762">
        <v>11705851</v>
      </c>
      <c r="CJ175" s="762">
        <v>9536706</v>
      </c>
      <c r="CK175" s="762">
        <v>24637301</v>
      </c>
      <c r="CL175" s="762">
        <v>0</v>
      </c>
      <c r="CM175" s="762">
        <v>45879858</v>
      </c>
      <c r="CN175" s="762">
        <v>290622</v>
      </c>
      <c r="CO175" s="762">
        <v>799210</v>
      </c>
      <c r="CP175" s="762">
        <v>0</v>
      </c>
      <c r="CQ175" s="762">
        <v>1089832</v>
      </c>
      <c r="CR175" s="762">
        <v>655870</v>
      </c>
      <c r="CS175" s="762">
        <v>1803640</v>
      </c>
      <c r="CT175" s="762">
        <v>0</v>
      </c>
      <c r="CU175" s="762">
        <v>2459510</v>
      </c>
      <c r="CV175" s="762">
        <v>60450</v>
      </c>
      <c r="CW175" s="762">
        <v>166238</v>
      </c>
      <c r="CX175" s="762">
        <v>0</v>
      </c>
      <c r="CY175" s="762">
        <v>226688</v>
      </c>
      <c r="CZ175" s="762">
        <v>0</v>
      </c>
      <c r="DA175" s="762">
        <v>0</v>
      </c>
      <c r="DB175" s="762">
        <v>0</v>
      </c>
      <c r="DC175" s="762">
        <v>0</v>
      </c>
      <c r="DD175" s="762">
        <v>1514</v>
      </c>
      <c r="DE175" s="762">
        <v>4162</v>
      </c>
      <c r="DF175" s="762">
        <v>0</v>
      </c>
      <c r="DG175" s="762">
        <v>5676</v>
      </c>
      <c r="DH175" s="762">
        <v>0</v>
      </c>
      <c r="DI175" s="762">
        <v>0</v>
      </c>
      <c r="DJ175" s="762">
        <v>0</v>
      </c>
      <c r="DK175" s="762">
        <v>0</v>
      </c>
      <c r="DL175" s="762">
        <v>14674</v>
      </c>
      <c r="DM175" s="762">
        <v>40353</v>
      </c>
      <c r="DN175" s="762">
        <v>0</v>
      </c>
      <c r="DO175" s="762">
        <v>55027</v>
      </c>
      <c r="DP175" s="762">
        <v>15644</v>
      </c>
      <c r="DQ175" s="762">
        <v>43020</v>
      </c>
      <c r="DR175" s="762">
        <v>0</v>
      </c>
      <c r="DS175" s="762">
        <v>58664</v>
      </c>
      <c r="DT175" s="762">
        <v>0</v>
      </c>
      <c r="DU175" s="762">
        <v>0</v>
      </c>
      <c r="DV175" s="762">
        <v>0</v>
      </c>
      <c r="DW175" s="762">
        <v>0</v>
      </c>
      <c r="DX175" s="762">
        <v>0</v>
      </c>
      <c r="DY175" s="762">
        <v>0</v>
      </c>
      <c r="DZ175" s="762">
        <v>0</v>
      </c>
      <c r="EA175" s="762">
        <v>0</v>
      </c>
      <c r="EB175" s="762">
        <v>390397</v>
      </c>
      <c r="EC175" s="762">
        <v>1073592</v>
      </c>
      <c r="ED175" s="762">
        <v>0</v>
      </c>
      <c r="EE175" s="762">
        <v>1463989</v>
      </c>
      <c r="EF175" s="762">
        <v>1429171</v>
      </c>
      <c r="EG175" s="762">
        <v>3930215</v>
      </c>
      <c r="EH175" s="762">
        <v>0</v>
      </c>
      <c r="EI175" s="799">
        <v>5359386</v>
      </c>
      <c r="EJ175" s="763" t="s">
        <v>221</v>
      </c>
      <c r="EK175" s="607" t="s">
        <v>618</v>
      </c>
      <c r="EL175" s="805" t="s">
        <v>556</v>
      </c>
      <c r="EM175" t="s">
        <v>1741</v>
      </c>
    </row>
    <row r="176" spans="1:143" ht="12.75" x14ac:dyDescent="0.2">
      <c r="A176" s="764">
        <v>169</v>
      </c>
      <c r="B176" s="765" t="s">
        <v>224</v>
      </c>
      <c r="C176" s="766" t="s">
        <v>529</v>
      </c>
      <c r="D176" s="767" t="s">
        <v>1229</v>
      </c>
      <c r="E176" s="768" t="s">
        <v>554</v>
      </c>
      <c r="F176" s="761">
        <v>38170922</v>
      </c>
      <c r="G176" s="762">
        <v>0</v>
      </c>
      <c r="H176" s="762">
        <v>2370134</v>
      </c>
      <c r="I176" s="762">
        <v>172157</v>
      </c>
      <c r="J176" s="762">
        <v>0</v>
      </c>
      <c r="K176" s="762">
        <v>172157</v>
      </c>
      <c r="L176" s="762">
        <v>0</v>
      </c>
      <c r="M176" s="762">
        <v>14048</v>
      </c>
      <c r="N176" s="762">
        <v>0</v>
      </c>
      <c r="O176" s="762">
        <v>0</v>
      </c>
      <c r="P176" s="762">
        <v>0</v>
      </c>
      <c r="Q176" s="762">
        <v>0</v>
      </c>
      <c r="R176" s="762">
        <v>35614583</v>
      </c>
      <c r="S176" s="790">
        <v>0.5</v>
      </c>
      <c r="T176" s="790">
        <v>0.49</v>
      </c>
      <c r="U176" s="790">
        <v>0</v>
      </c>
      <c r="V176" s="790">
        <v>0.01</v>
      </c>
      <c r="W176" s="790">
        <v>1</v>
      </c>
      <c r="X176" s="762">
        <v>17807291</v>
      </c>
      <c r="Y176" s="762">
        <v>17451146</v>
      </c>
      <c r="Z176" s="762">
        <v>0</v>
      </c>
      <c r="AA176" s="762">
        <v>356146</v>
      </c>
      <c r="AB176" s="762">
        <v>35614583</v>
      </c>
      <c r="AC176" s="762">
        <v>115000</v>
      </c>
      <c r="AD176" s="762">
        <v>0</v>
      </c>
      <c r="AE176" s="762">
        <v>0</v>
      </c>
      <c r="AF176" s="762">
        <v>0</v>
      </c>
      <c r="AG176" s="762">
        <v>115000</v>
      </c>
      <c r="AH176" s="762">
        <v>17692291</v>
      </c>
      <c r="AI176" s="762">
        <v>17451146</v>
      </c>
      <c r="AJ176" s="762">
        <v>0</v>
      </c>
      <c r="AK176" s="762">
        <v>356146</v>
      </c>
      <c r="AL176" s="762">
        <v>35499583</v>
      </c>
      <c r="AM176" s="762">
        <v>172157</v>
      </c>
      <c r="AN176" s="762">
        <v>172157</v>
      </c>
      <c r="AO176" s="762">
        <v>14048</v>
      </c>
      <c r="AP176" s="762">
        <v>14048</v>
      </c>
      <c r="AQ176" s="762">
        <v>0</v>
      </c>
      <c r="AR176" s="762">
        <v>0</v>
      </c>
      <c r="AS176" s="762">
        <v>0</v>
      </c>
      <c r="AT176" s="762">
        <v>0</v>
      </c>
      <c r="AU176" s="762">
        <v>0</v>
      </c>
      <c r="AV176" s="762">
        <v>0</v>
      </c>
      <c r="AW176" s="762">
        <v>0</v>
      </c>
      <c r="AX176" s="762">
        <v>115000</v>
      </c>
      <c r="AY176" s="762">
        <v>0</v>
      </c>
      <c r="AZ176" s="762">
        <v>0</v>
      </c>
      <c r="BA176" s="762">
        <v>115000</v>
      </c>
      <c r="BB176" s="762">
        <v>0</v>
      </c>
      <c r="BC176" s="762">
        <v>0</v>
      </c>
      <c r="BD176" s="762">
        <v>0</v>
      </c>
      <c r="BE176" s="762">
        <v>0</v>
      </c>
      <c r="BF176" s="762">
        <v>0</v>
      </c>
      <c r="BG176" s="762">
        <v>0</v>
      </c>
      <c r="BH176" s="762">
        <v>0</v>
      </c>
      <c r="BI176" s="762">
        <v>0</v>
      </c>
      <c r="BJ176" s="790">
        <v>0.5</v>
      </c>
      <c r="BK176" s="790">
        <v>0.49</v>
      </c>
      <c r="BL176" s="790">
        <v>0</v>
      </c>
      <c r="BM176" s="790">
        <v>0.01</v>
      </c>
      <c r="BN176" s="790">
        <v>1</v>
      </c>
      <c r="BO176" s="762">
        <v>-58382</v>
      </c>
      <c r="BP176" s="762">
        <v>-57215</v>
      </c>
      <c r="BQ176" s="762">
        <v>0</v>
      </c>
      <c r="BR176" s="762">
        <v>-1168</v>
      </c>
      <c r="BS176" s="762">
        <v>-116765</v>
      </c>
      <c r="BT176" s="790">
        <v>0.5</v>
      </c>
      <c r="BU176" s="790">
        <v>0.49</v>
      </c>
      <c r="BV176" s="790">
        <v>0</v>
      </c>
      <c r="BW176" s="790">
        <v>0.01</v>
      </c>
      <c r="BX176" s="790">
        <v>1</v>
      </c>
      <c r="BY176" s="762">
        <v>-186881</v>
      </c>
      <c r="BZ176" s="762">
        <v>-183143</v>
      </c>
      <c r="CA176" s="762">
        <v>0</v>
      </c>
      <c r="CB176" s="762">
        <v>-3738</v>
      </c>
      <c r="CC176" s="762">
        <v>-373762</v>
      </c>
      <c r="CD176" s="762">
        <v>-245264</v>
      </c>
      <c r="CE176" s="762">
        <v>-240358</v>
      </c>
      <c r="CF176" s="762">
        <v>0</v>
      </c>
      <c r="CG176" s="762">
        <v>-4905</v>
      </c>
      <c r="CH176" s="762">
        <v>-490527</v>
      </c>
      <c r="CI176" s="762">
        <v>17447027</v>
      </c>
      <c r="CJ176" s="762">
        <v>17511993</v>
      </c>
      <c r="CK176" s="762">
        <v>0</v>
      </c>
      <c r="CL176" s="762">
        <v>351241</v>
      </c>
      <c r="CM176" s="762">
        <v>35310261</v>
      </c>
      <c r="CN176" s="762">
        <v>572878</v>
      </c>
      <c r="CO176" s="762">
        <v>0</v>
      </c>
      <c r="CP176" s="762">
        <v>11606</v>
      </c>
      <c r="CQ176" s="762">
        <v>584484</v>
      </c>
      <c r="CR176" s="762">
        <v>1367189</v>
      </c>
      <c r="CS176" s="762">
        <v>0</v>
      </c>
      <c r="CT176" s="762">
        <v>24710</v>
      </c>
      <c r="CU176" s="762">
        <v>1391899</v>
      </c>
      <c r="CV176" s="762">
        <v>110110</v>
      </c>
      <c r="CW176" s="762">
        <v>0</v>
      </c>
      <c r="CX176" s="762">
        <v>1902</v>
      </c>
      <c r="CY176" s="762">
        <v>112012</v>
      </c>
      <c r="CZ176" s="762">
        <v>0</v>
      </c>
      <c r="DA176" s="762">
        <v>0</v>
      </c>
      <c r="DB176" s="762">
        <v>0</v>
      </c>
      <c r="DC176" s="762">
        <v>0</v>
      </c>
      <c r="DD176" s="762">
        <v>0</v>
      </c>
      <c r="DE176" s="762">
        <v>0</v>
      </c>
      <c r="DF176" s="762">
        <v>0</v>
      </c>
      <c r="DG176" s="762">
        <v>0</v>
      </c>
      <c r="DH176" s="762">
        <v>759</v>
      </c>
      <c r="DI176" s="762">
        <v>0</v>
      </c>
      <c r="DJ176" s="762">
        <v>15</v>
      </c>
      <c r="DK176" s="762">
        <v>774</v>
      </c>
      <c r="DL176" s="762">
        <v>5916</v>
      </c>
      <c r="DM176" s="762">
        <v>0</v>
      </c>
      <c r="DN176" s="762">
        <v>99</v>
      </c>
      <c r="DO176" s="762">
        <v>6015</v>
      </c>
      <c r="DP176" s="762">
        <v>25105</v>
      </c>
      <c r="DQ176" s="762">
        <v>0</v>
      </c>
      <c r="DR176" s="762">
        <v>419</v>
      </c>
      <c r="DS176" s="762">
        <v>25524</v>
      </c>
      <c r="DT176" s="762">
        <v>0</v>
      </c>
      <c r="DU176" s="762">
        <v>0</v>
      </c>
      <c r="DV176" s="762">
        <v>0</v>
      </c>
      <c r="DW176" s="762">
        <v>0</v>
      </c>
      <c r="DX176" s="762">
        <v>0</v>
      </c>
      <c r="DY176" s="762">
        <v>0</v>
      </c>
      <c r="DZ176" s="762">
        <v>0</v>
      </c>
      <c r="EA176" s="762">
        <v>0</v>
      </c>
      <c r="EB176" s="762">
        <v>1039252</v>
      </c>
      <c r="EC176" s="762">
        <v>0</v>
      </c>
      <c r="ED176" s="762">
        <v>16492</v>
      </c>
      <c r="EE176" s="762">
        <v>1055744</v>
      </c>
      <c r="EF176" s="762">
        <v>3121209</v>
      </c>
      <c r="EG176" s="762">
        <v>0</v>
      </c>
      <c r="EH176" s="762">
        <v>55243</v>
      </c>
      <c r="EI176" s="799">
        <v>3176452</v>
      </c>
      <c r="EJ176" s="763" t="s">
        <v>554</v>
      </c>
      <c r="EK176" s="607" t="s">
        <v>529</v>
      </c>
      <c r="EL176" s="805" t="s">
        <v>553</v>
      </c>
      <c r="EM176" t="s">
        <v>1742</v>
      </c>
    </row>
    <row r="177" spans="1:143" ht="12.75" x14ac:dyDescent="0.2">
      <c r="A177" s="764">
        <v>170</v>
      </c>
      <c r="B177" s="765" t="s">
        <v>226</v>
      </c>
      <c r="C177" s="766" t="s">
        <v>529</v>
      </c>
      <c r="D177" s="767" t="s">
        <v>1218</v>
      </c>
      <c r="E177" s="768" t="s">
        <v>542</v>
      </c>
      <c r="F177" s="761">
        <v>153491763</v>
      </c>
      <c r="G177" s="762">
        <v>246000</v>
      </c>
      <c r="H177" s="762">
        <v>0</v>
      </c>
      <c r="I177" s="762">
        <v>391871</v>
      </c>
      <c r="J177" s="762">
        <v>0</v>
      </c>
      <c r="K177" s="762">
        <v>391871</v>
      </c>
      <c r="L177" s="762">
        <v>0</v>
      </c>
      <c r="M177" s="762">
        <v>0</v>
      </c>
      <c r="N177" s="762">
        <v>249000</v>
      </c>
      <c r="O177" s="762">
        <v>249000</v>
      </c>
      <c r="P177" s="762">
        <v>0</v>
      </c>
      <c r="Q177" s="762">
        <v>0</v>
      </c>
      <c r="R177" s="762">
        <v>153096892</v>
      </c>
      <c r="S177" s="790">
        <v>0.5</v>
      </c>
      <c r="T177" s="790">
        <v>0.49</v>
      </c>
      <c r="U177" s="790">
        <v>0</v>
      </c>
      <c r="V177" s="790">
        <v>0.01</v>
      </c>
      <c r="W177" s="790">
        <v>1</v>
      </c>
      <c r="X177" s="762">
        <v>76548446</v>
      </c>
      <c r="Y177" s="762">
        <v>75017477</v>
      </c>
      <c r="Z177" s="762">
        <v>0</v>
      </c>
      <c r="AA177" s="762">
        <v>1530969</v>
      </c>
      <c r="AB177" s="762">
        <v>153096892</v>
      </c>
      <c r="AC177" s="762">
        <v>0</v>
      </c>
      <c r="AD177" s="762">
        <v>0</v>
      </c>
      <c r="AE177" s="762">
        <v>0</v>
      </c>
      <c r="AF177" s="762">
        <v>0</v>
      </c>
      <c r="AG177" s="762">
        <v>0</v>
      </c>
      <c r="AH177" s="762">
        <v>76548446</v>
      </c>
      <c r="AI177" s="762">
        <v>75017477</v>
      </c>
      <c r="AJ177" s="762">
        <v>0</v>
      </c>
      <c r="AK177" s="762">
        <v>1530969</v>
      </c>
      <c r="AL177" s="762">
        <v>153096892</v>
      </c>
      <c r="AM177" s="762">
        <v>391871</v>
      </c>
      <c r="AN177" s="762">
        <v>391871</v>
      </c>
      <c r="AO177" s="762">
        <v>0</v>
      </c>
      <c r="AP177" s="762">
        <v>0</v>
      </c>
      <c r="AQ177" s="762">
        <v>249000</v>
      </c>
      <c r="AR177" s="762">
        <v>0</v>
      </c>
      <c r="AS177" s="762">
        <v>249000</v>
      </c>
      <c r="AT177" s="762">
        <v>0</v>
      </c>
      <c r="AU177" s="762">
        <v>0</v>
      </c>
      <c r="AV177" s="762">
        <v>0</v>
      </c>
      <c r="AW177" s="762">
        <v>0</v>
      </c>
      <c r="AX177" s="762">
        <v>0</v>
      </c>
      <c r="AY177" s="762">
        <v>0</v>
      </c>
      <c r="AZ177" s="762">
        <v>0</v>
      </c>
      <c r="BA177" s="762">
        <v>0</v>
      </c>
      <c r="BB177" s="762">
        <v>0</v>
      </c>
      <c r="BC177" s="762">
        <v>0</v>
      </c>
      <c r="BD177" s="762">
        <v>0</v>
      </c>
      <c r="BE177" s="762">
        <v>0</v>
      </c>
      <c r="BF177" s="762">
        <v>0</v>
      </c>
      <c r="BG177" s="762">
        <v>0</v>
      </c>
      <c r="BH177" s="762">
        <v>0</v>
      </c>
      <c r="BI177" s="762">
        <v>0</v>
      </c>
      <c r="BJ177" s="790">
        <v>0.5</v>
      </c>
      <c r="BK177" s="790">
        <v>0.49</v>
      </c>
      <c r="BL177" s="790">
        <v>0</v>
      </c>
      <c r="BM177" s="790">
        <v>0.01</v>
      </c>
      <c r="BN177" s="790">
        <v>1</v>
      </c>
      <c r="BO177" s="762">
        <v>1983926</v>
      </c>
      <c r="BP177" s="762">
        <v>1944248</v>
      </c>
      <c r="BQ177" s="762">
        <v>0</v>
      </c>
      <c r="BR177" s="762">
        <v>39679</v>
      </c>
      <c r="BS177" s="762">
        <v>3967853</v>
      </c>
      <c r="BT177" s="790">
        <v>0.5</v>
      </c>
      <c r="BU177" s="790">
        <v>0.49</v>
      </c>
      <c r="BV177" s="790">
        <v>0</v>
      </c>
      <c r="BW177" s="790">
        <v>0.01</v>
      </c>
      <c r="BX177" s="790">
        <v>1</v>
      </c>
      <c r="BY177" s="762">
        <v>-1744881</v>
      </c>
      <c r="BZ177" s="762">
        <v>-1709984</v>
      </c>
      <c r="CA177" s="762">
        <v>0</v>
      </c>
      <c r="CB177" s="762">
        <v>-34898</v>
      </c>
      <c r="CC177" s="762">
        <v>-3489763</v>
      </c>
      <c r="CD177" s="762">
        <v>239045</v>
      </c>
      <c r="CE177" s="762">
        <v>234264</v>
      </c>
      <c r="CF177" s="762">
        <v>0</v>
      </c>
      <c r="CG177" s="762">
        <v>4781</v>
      </c>
      <c r="CH177" s="762">
        <v>478090</v>
      </c>
      <c r="CI177" s="762">
        <v>76787491</v>
      </c>
      <c r="CJ177" s="762">
        <v>75892612</v>
      </c>
      <c r="CK177" s="762">
        <v>0</v>
      </c>
      <c r="CL177" s="762">
        <v>1535750</v>
      </c>
      <c r="CM177" s="762">
        <v>154215853</v>
      </c>
      <c r="CN177" s="762">
        <v>2452675</v>
      </c>
      <c r="CO177" s="762">
        <v>0</v>
      </c>
      <c r="CP177" s="762">
        <v>49889</v>
      </c>
      <c r="CQ177" s="762">
        <v>2502564</v>
      </c>
      <c r="CR177" s="762">
        <v>2545702</v>
      </c>
      <c r="CS177" s="762">
        <v>0</v>
      </c>
      <c r="CT177" s="762">
        <v>51953</v>
      </c>
      <c r="CU177" s="762">
        <v>2597655</v>
      </c>
      <c r="CV177" s="762">
        <v>234488</v>
      </c>
      <c r="CW177" s="762">
        <v>0</v>
      </c>
      <c r="CX177" s="762">
        <v>4785</v>
      </c>
      <c r="CY177" s="762">
        <v>239273</v>
      </c>
      <c r="CZ177" s="762">
        <v>8430</v>
      </c>
      <c r="DA177" s="762">
        <v>0</v>
      </c>
      <c r="DB177" s="762">
        <v>172</v>
      </c>
      <c r="DC177" s="762">
        <v>8602</v>
      </c>
      <c r="DD177" s="762">
        <v>7349</v>
      </c>
      <c r="DE177" s="762">
        <v>0</v>
      </c>
      <c r="DF177" s="762">
        <v>150</v>
      </c>
      <c r="DG177" s="762">
        <v>7499</v>
      </c>
      <c r="DH177" s="762">
        <v>0</v>
      </c>
      <c r="DI177" s="762">
        <v>0</v>
      </c>
      <c r="DJ177" s="762">
        <v>0</v>
      </c>
      <c r="DK177" s="762">
        <v>0</v>
      </c>
      <c r="DL177" s="762">
        <v>12649</v>
      </c>
      <c r="DM177" s="762">
        <v>0</v>
      </c>
      <c r="DN177" s="762">
        <v>258</v>
      </c>
      <c r="DO177" s="762">
        <v>12907</v>
      </c>
      <c r="DP177" s="762">
        <v>75886</v>
      </c>
      <c r="DQ177" s="762">
        <v>0</v>
      </c>
      <c r="DR177" s="762">
        <v>1549</v>
      </c>
      <c r="DS177" s="762">
        <v>77435</v>
      </c>
      <c r="DT177" s="762">
        <v>0</v>
      </c>
      <c r="DU177" s="762">
        <v>0</v>
      </c>
      <c r="DV177" s="762">
        <v>0</v>
      </c>
      <c r="DW177" s="762">
        <v>0</v>
      </c>
      <c r="DX177" s="762">
        <v>0</v>
      </c>
      <c r="DY177" s="762">
        <v>0</v>
      </c>
      <c r="DZ177" s="762">
        <v>0</v>
      </c>
      <c r="EA177" s="762">
        <v>0</v>
      </c>
      <c r="EB177" s="762">
        <v>1011935</v>
      </c>
      <c r="EC177" s="762">
        <v>0</v>
      </c>
      <c r="ED177" s="762">
        <v>20652</v>
      </c>
      <c r="EE177" s="762">
        <v>1032587</v>
      </c>
      <c r="EF177" s="762">
        <v>6349114</v>
      </c>
      <c r="EG177" s="762">
        <v>0</v>
      </c>
      <c r="EH177" s="762">
        <v>129408</v>
      </c>
      <c r="EI177" s="799">
        <v>6478522</v>
      </c>
      <c r="EJ177" s="763" t="s">
        <v>542</v>
      </c>
      <c r="EK177" s="607" t="s">
        <v>529</v>
      </c>
      <c r="EL177" s="805" t="s">
        <v>543</v>
      </c>
      <c r="EM177" t="s">
        <v>1743</v>
      </c>
    </row>
    <row r="178" spans="1:143" ht="12.75" x14ac:dyDescent="0.2">
      <c r="A178" s="764">
        <v>171</v>
      </c>
      <c r="B178" s="765" t="s">
        <v>228</v>
      </c>
      <c r="C178" s="766" t="s">
        <v>1217</v>
      </c>
      <c r="D178" s="767" t="s">
        <v>1218</v>
      </c>
      <c r="E178" s="768" t="s">
        <v>227</v>
      </c>
      <c r="F178" s="761">
        <v>42882922</v>
      </c>
      <c r="G178" s="762">
        <v>545961</v>
      </c>
      <c r="H178" s="762">
        <v>0</v>
      </c>
      <c r="I178" s="762">
        <v>151158</v>
      </c>
      <c r="J178" s="762">
        <v>0</v>
      </c>
      <c r="K178" s="762">
        <v>151158</v>
      </c>
      <c r="L178" s="762">
        <v>0</v>
      </c>
      <c r="M178" s="762">
        <v>0</v>
      </c>
      <c r="N178" s="762">
        <v>0</v>
      </c>
      <c r="O178" s="762">
        <v>0</v>
      </c>
      <c r="P178" s="762">
        <v>0</v>
      </c>
      <c r="Q178" s="762">
        <v>0</v>
      </c>
      <c r="R178" s="762">
        <v>43277725</v>
      </c>
      <c r="S178" s="790">
        <v>0.5</v>
      </c>
      <c r="T178" s="790">
        <v>0.4</v>
      </c>
      <c r="U178" s="790">
        <v>0.1</v>
      </c>
      <c r="V178" s="790">
        <v>0</v>
      </c>
      <c r="W178" s="790">
        <v>1</v>
      </c>
      <c r="X178" s="762">
        <v>21638862</v>
      </c>
      <c r="Y178" s="762">
        <v>17311090</v>
      </c>
      <c r="Z178" s="762">
        <v>4327773</v>
      </c>
      <c r="AA178" s="762">
        <v>0</v>
      </c>
      <c r="AB178" s="762">
        <v>43277725</v>
      </c>
      <c r="AC178" s="762">
        <v>0</v>
      </c>
      <c r="AD178" s="762">
        <v>0</v>
      </c>
      <c r="AE178" s="762">
        <v>0</v>
      </c>
      <c r="AF178" s="762">
        <v>0</v>
      </c>
      <c r="AG178" s="762">
        <v>0</v>
      </c>
      <c r="AH178" s="762">
        <v>21638862</v>
      </c>
      <c r="AI178" s="762">
        <v>17311090</v>
      </c>
      <c r="AJ178" s="762">
        <v>4327773</v>
      </c>
      <c r="AK178" s="762">
        <v>0</v>
      </c>
      <c r="AL178" s="762">
        <v>43277725</v>
      </c>
      <c r="AM178" s="762">
        <v>151158</v>
      </c>
      <c r="AN178" s="762">
        <v>151158</v>
      </c>
      <c r="AO178" s="762">
        <v>0</v>
      </c>
      <c r="AP178" s="762">
        <v>0</v>
      </c>
      <c r="AQ178" s="762">
        <v>0</v>
      </c>
      <c r="AR178" s="762">
        <v>0</v>
      </c>
      <c r="AS178" s="762">
        <v>0</v>
      </c>
      <c r="AT178" s="762">
        <v>0</v>
      </c>
      <c r="AU178" s="762">
        <v>0</v>
      </c>
      <c r="AV178" s="762">
        <v>0</v>
      </c>
      <c r="AW178" s="762">
        <v>0</v>
      </c>
      <c r="AX178" s="762">
        <v>0</v>
      </c>
      <c r="AY178" s="762">
        <v>0</v>
      </c>
      <c r="AZ178" s="762">
        <v>0</v>
      </c>
      <c r="BA178" s="762">
        <v>0</v>
      </c>
      <c r="BB178" s="762">
        <v>0</v>
      </c>
      <c r="BC178" s="762">
        <v>0</v>
      </c>
      <c r="BD178" s="762">
        <v>0</v>
      </c>
      <c r="BE178" s="762">
        <v>0</v>
      </c>
      <c r="BF178" s="762">
        <v>0</v>
      </c>
      <c r="BG178" s="762">
        <v>0</v>
      </c>
      <c r="BH178" s="762">
        <v>0</v>
      </c>
      <c r="BI178" s="762">
        <v>0</v>
      </c>
      <c r="BJ178" s="790">
        <v>0</v>
      </c>
      <c r="BK178" s="790">
        <v>0.3</v>
      </c>
      <c r="BL178" s="790">
        <v>0.7</v>
      </c>
      <c r="BM178" s="790">
        <v>0</v>
      </c>
      <c r="BN178" s="790">
        <v>1</v>
      </c>
      <c r="BO178" s="762">
        <v>0</v>
      </c>
      <c r="BP178" s="762">
        <v>-110933</v>
      </c>
      <c r="BQ178" s="762">
        <v>-258844</v>
      </c>
      <c r="BR178" s="762">
        <v>0</v>
      </c>
      <c r="BS178" s="762">
        <v>-369777</v>
      </c>
      <c r="BT178" s="790">
        <v>0.5</v>
      </c>
      <c r="BU178" s="790">
        <v>0.4</v>
      </c>
      <c r="BV178" s="790">
        <v>0.1</v>
      </c>
      <c r="BW178" s="790">
        <v>0</v>
      </c>
      <c r="BX178" s="790">
        <v>1</v>
      </c>
      <c r="BY178" s="762">
        <v>-1469311</v>
      </c>
      <c r="BZ178" s="762">
        <v>-1175449</v>
      </c>
      <c r="CA178" s="762">
        <v>-293862</v>
      </c>
      <c r="CB178" s="762">
        <v>0</v>
      </c>
      <c r="CC178" s="762">
        <v>-2938622</v>
      </c>
      <c r="CD178" s="762">
        <v>-1469311</v>
      </c>
      <c r="CE178" s="762">
        <v>-1286382</v>
      </c>
      <c r="CF178" s="762">
        <v>-552706</v>
      </c>
      <c r="CG178" s="762">
        <v>0</v>
      </c>
      <c r="CH178" s="762">
        <v>-3308399</v>
      </c>
      <c r="CI178" s="762">
        <v>20169551</v>
      </c>
      <c r="CJ178" s="762">
        <v>16175866</v>
      </c>
      <c r="CK178" s="762">
        <v>3775067</v>
      </c>
      <c r="CL178" s="762">
        <v>0</v>
      </c>
      <c r="CM178" s="762">
        <v>40120484</v>
      </c>
      <c r="CN178" s="762">
        <v>564109</v>
      </c>
      <c r="CO178" s="762">
        <v>141027</v>
      </c>
      <c r="CP178" s="762">
        <v>0</v>
      </c>
      <c r="CQ178" s="762">
        <v>705136</v>
      </c>
      <c r="CR178" s="762">
        <v>930204</v>
      </c>
      <c r="CS178" s="762">
        <v>232551</v>
      </c>
      <c r="CT178" s="762">
        <v>0</v>
      </c>
      <c r="CU178" s="762">
        <v>1162755</v>
      </c>
      <c r="CV178" s="762">
        <v>74667</v>
      </c>
      <c r="CW178" s="762">
        <v>18667</v>
      </c>
      <c r="CX178" s="762">
        <v>0</v>
      </c>
      <c r="CY178" s="762">
        <v>93334</v>
      </c>
      <c r="CZ178" s="762">
        <v>8102</v>
      </c>
      <c r="DA178" s="762">
        <v>2026</v>
      </c>
      <c r="DB178" s="762">
        <v>0</v>
      </c>
      <c r="DC178" s="762">
        <v>10128</v>
      </c>
      <c r="DD178" s="762">
        <v>2800</v>
      </c>
      <c r="DE178" s="762">
        <v>700</v>
      </c>
      <c r="DF178" s="762">
        <v>0</v>
      </c>
      <c r="DG178" s="762">
        <v>3500</v>
      </c>
      <c r="DH178" s="762">
        <v>0</v>
      </c>
      <c r="DI178" s="762">
        <v>0</v>
      </c>
      <c r="DJ178" s="762">
        <v>0</v>
      </c>
      <c r="DK178" s="762">
        <v>0</v>
      </c>
      <c r="DL178" s="762">
        <v>24704</v>
      </c>
      <c r="DM178" s="762">
        <v>6176</v>
      </c>
      <c r="DN178" s="762">
        <v>0</v>
      </c>
      <c r="DO178" s="762">
        <v>30880</v>
      </c>
      <c r="DP178" s="762">
        <v>31296</v>
      </c>
      <c r="DQ178" s="762">
        <v>7824</v>
      </c>
      <c r="DR178" s="762">
        <v>0</v>
      </c>
      <c r="DS178" s="762">
        <v>39120</v>
      </c>
      <c r="DT178" s="762">
        <v>0</v>
      </c>
      <c r="DU178" s="762">
        <v>0</v>
      </c>
      <c r="DV178" s="762">
        <v>0</v>
      </c>
      <c r="DW178" s="762">
        <v>0</v>
      </c>
      <c r="DX178" s="762">
        <v>0</v>
      </c>
      <c r="DY178" s="762">
        <v>0</v>
      </c>
      <c r="DZ178" s="762">
        <v>0</v>
      </c>
      <c r="EA178" s="762">
        <v>0</v>
      </c>
      <c r="EB178" s="762">
        <v>251830</v>
      </c>
      <c r="EC178" s="762">
        <v>62957</v>
      </c>
      <c r="ED178" s="762">
        <v>0</v>
      </c>
      <c r="EE178" s="762">
        <v>314787</v>
      </c>
      <c r="EF178" s="762">
        <v>1887712</v>
      </c>
      <c r="EG178" s="762">
        <v>471928</v>
      </c>
      <c r="EH178" s="762">
        <v>0</v>
      </c>
      <c r="EI178" s="799">
        <v>2359640</v>
      </c>
      <c r="EJ178" s="763" t="s">
        <v>227</v>
      </c>
      <c r="EK178" s="607" t="s">
        <v>616</v>
      </c>
      <c r="EL178" s="805" t="s">
        <v>556</v>
      </c>
      <c r="EM178" t="s">
        <v>1744</v>
      </c>
    </row>
    <row r="179" spans="1:143" ht="12.75" x14ac:dyDescent="0.2">
      <c r="A179" s="764">
        <v>172</v>
      </c>
      <c r="B179" s="765" t="s">
        <v>230</v>
      </c>
      <c r="C179" s="766" t="s">
        <v>1217</v>
      </c>
      <c r="D179" s="767" t="s">
        <v>1218</v>
      </c>
      <c r="E179" s="768" t="s">
        <v>229</v>
      </c>
      <c r="F179" s="761">
        <v>66223621</v>
      </c>
      <c r="G179" s="762">
        <v>257319</v>
      </c>
      <c r="H179" s="762">
        <v>0</v>
      </c>
      <c r="I179" s="762">
        <v>276084</v>
      </c>
      <c r="J179" s="762">
        <v>0</v>
      </c>
      <c r="K179" s="762">
        <v>276084</v>
      </c>
      <c r="L179" s="762">
        <v>0</v>
      </c>
      <c r="M179" s="762">
        <v>0</v>
      </c>
      <c r="N179" s="762">
        <v>10265</v>
      </c>
      <c r="O179" s="762">
        <v>10265</v>
      </c>
      <c r="P179" s="762">
        <v>0</v>
      </c>
      <c r="Q179" s="762">
        <v>0</v>
      </c>
      <c r="R179" s="762">
        <v>66194591</v>
      </c>
      <c r="S179" s="790">
        <v>0.5</v>
      </c>
      <c r="T179" s="790">
        <v>0.4</v>
      </c>
      <c r="U179" s="790">
        <v>0.09</v>
      </c>
      <c r="V179" s="790">
        <v>0.01</v>
      </c>
      <c r="W179" s="790">
        <v>1</v>
      </c>
      <c r="X179" s="762">
        <v>33097296</v>
      </c>
      <c r="Y179" s="762">
        <v>26477836</v>
      </c>
      <c r="Z179" s="762">
        <v>5957513</v>
      </c>
      <c r="AA179" s="762">
        <v>661946</v>
      </c>
      <c r="AB179" s="762">
        <v>66194591</v>
      </c>
      <c r="AC179" s="762">
        <v>0</v>
      </c>
      <c r="AD179" s="762">
        <v>0</v>
      </c>
      <c r="AE179" s="762">
        <v>0</v>
      </c>
      <c r="AF179" s="762">
        <v>0</v>
      </c>
      <c r="AG179" s="762">
        <v>0</v>
      </c>
      <c r="AH179" s="762">
        <v>33097296</v>
      </c>
      <c r="AI179" s="762">
        <v>26477836</v>
      </c>
      <c r="AJ179" s="762">
        <v>5957513</v>
      </c>
      <c r="AK179" s="762">
        <v>661946</v>
      </c>
      <c r="AL179" s="762">
        <v>66194591</v>
      </c>
      <c r="AM179" s="762">
        <v>276084</v>
      </c>
      <c r="AN179" s="762">
        <v>276084</v>
      </c>
      <c r="AO179" s="762">
        <v>0</v>
      </c>
      <c r="AP179" s="762">
        <v>0</v>
      </c>
      <c r="AQ179" s="762">
        <v>10265</v>
      </c>
      <c r="AR179" s="762">
        <v>0</v>
      </c>
      <c r="AS179" s="762">
        <v>10265</v>
      </c>
      <c r="AT179" s="762">
        <v>0</v>
      </c>
      <c r="AU179" s="762">
        <v>0</v>
      </c>
      <c r="AV179" s="762">
        <v>0</v>
      </c>
      <c r="AW179" s="762">
        <v>0</v>
      </c>
      <c r="AX179" s="762">
        <v>0</v>
      </c>
      <c r="AY179" s="762">
        <v>0</v>
      </c>
      <c r="AZ179" s="762">
        <v>0</v>
      </c>
      <c r="BA179" s="762">
        <v>0</v>
      </c>
      <c r="BB179" s="762">
        <v>0</v>
      </c>
      <c r="BC179" s="762">
        <v>0</v>
      </c>
      <c r="BD179" s="762">
        <v>0</v>
      </c>
      <c r="BE179" s="762">
        <v>0</v>
      </c>
      <c r="BF179" s="762">
        <v>0</v>
      </c>
      <c r="BG179" s="762">
        <v>0</v>
      </c>
      <c r="BH179" s="762">
        <v>0</v>
      </c>
      <c r="BI179" s="762">
        <v>0</v>
      </c>
      <c r="BJ179" s="790">
        <v>0.5</v>
      </c>
      <c r="BK179" s="790">
        <v>0.4</v>
      </c>
      <c r="BL179" s="790">
        <v>0.09</v>
      </c>
      <c r="BM179" s="790">
        <v>0.01</v>
      </c>
      <c r="BN179" s="790">
        <v>1</v>
      </c>
      <c r="BO179" s="762">
        <v>144397</v>
      </c>
      <c r="BP179" s="762">
        <v>115518</v>
      </c>
      <c r="BQ179" s="762">
        <v>25992</v>
      </c>
      <c r="BR179" s="762">
        <v>2888</v>
      </c>
      <c r="BS179" s="762">
        <v>288795</v>
      </c>
      <c r="BT179" s="790">
        <v>0.5</v>
      </c>
      <c r="BU179" s="790">
        <v>0.4</v>
      </c>
      <c r="BV179" s="790">
        <v>0.09</v>
      </c>
      <c r="BW179" s="790">
        <v>0.01</v>
      </c>
      <c r="BX179" s="790">
        <v>1</v>
      </c>
      <c r="BY179" s="762">
        <v>63237</v>
      </c>
      <c r="BZ179" s="762">
        <v>50590</v>
      </c>
      <c r="CA179" s="762">
        <v>11383</v>
      </c>
      <c r="CB179" s="762">
        <v>1265</v>
      </c>
      <c r="CC179" s="762">
        <v>126475</v>
      </c>
      <c r="CD179" s="762">
        <v>207635</v>
      </c>
      <c r="CE179" s="762">
        <v>166108</v>
      </c>
      <c r="CF179" s="762">
        <v>37374</v>
      </c>
      <c r="CG179" s="762">
        <v>4153</v>
      </c>
      <c r="CH179" s="762">
        <v>415270</v>
      </c>
      <c r="CI179" s="762">
        <v>33304931</v>
      </c>
      <c r="CJ179" s="762">
        <v>26930293</v>
      </c>
      <c r="CK179" s="762">
        <v>5994887</v>
      </c>
      <c r="CL179" s="762">
        <v>666099</v>
      </c>
      <c r="CM179" s="762">
        <v>66896210</v>
      </c>
      <c r="CN179" s="762">
        <v>863156</v>
      </c>
      <c r="CO179" s="762">
        <v>194135</v>
      </c>
      <c r="CP179" s="762">
        <v>21571</v>
      </c>
      <c r="CQ179" s="762">
        <v>1078862</v>
      </c>
      <c r="CR179" s="762">
        <v>2265432</v>
      </c>
      <c r="CS179" s="762">
        <v>509722</v>
      </c>
      <c r="CT179" s="762">
        <v>56636</v>
      </c>
      <c r="CU179" s="762">
        <v>2831790</v>
      </c>
      <c r="CV179" s="762">
        <v>147889</v>
      </c>
      <c r="CW179" s="762">
        <v>33275</v>
      </c>
      <c r="CX179" s="762">
        <v>3697</v>
      </c>
      <c r="CY179" s="762">
        <v>184861</v>
      </c>
      <c r="CZ179" s="762">
        <v>4131</v>
      </c>
      <c r="DA179" s="762">
        <v>929</v>
      </c>
      <c r="DB179" s="762">
        <v>103</v>
      </c>
      <c r="DC179" s="762">
        <v>5163</v>
      </c>
      <c r="DD179" s="762">
        <v>4842</v>
      </c>
      <c r="DE179" s="762">
        <v>1089</v>
      </c>
      <c r="DF179" s="762">
        <v>121</v>
      </c>
      <c r="DG179" s="762">
        <v>6052</v>
      </c>
      <c r="DH179" s="762">
        <v>0</v>
      </c>
      <c r="DI179" s="762">
        <v>0</v>
      </c>
      <c r="DJ179" s="762">
        <v>0</v>
      </c>
      <c r="DK179" s="762">
        <v>0</v>
      </c>
      <c r="DL179" s="762">
        <v>10247</v>
      </c>
      <c r="DM179" s="762">
        <v>2306</v>
      </c>
      <c r="DN179" s="762">
        <v>256</v>
      </c>
      <c r="DO179" s="762">
        <v>12809</v>
      </c>
      <c r="DP179" s="762">
        <v>34192</v>
      </c>
      <c r="DQ179" s="762">
        <v>7693</v>
      </c>
      <c r="DR179" s="762">
        <v>855</v>
      </c>
      <c r="DS179" s="762">
        <v>42740</v>
      </c>
      <c r="DT179" s="762">
        <v>0</v>
      </c>
      <c r="DU179" s="762">
        <v>0</v>
      </c>
      <c r="DV179" s="762">
        <v>0</v>
      </c>
      <c r="DW179" s="762">
        <v>0</v>
      </c>
      <c r="DX179" s="762">
        <v>0</v>
      </c>
      <c r="DY179" s="762">
        <v>0</v>
      </c>
      <c r="DZ179" s="762">
        <v>0</v>
      </c>
      <c r="EA179" s="762">
        <v>0</v>
      </c>
      <c r="EB179" s="762">
        <v>702159</v>
      </c>
      <c r="EC179" s="762">
        <v>157986</v>
      </c>
      <c r="ED179" s="762">
        <v>17554</v>
      </c>
      <c r="EE179" s="762">
        <v>877699</v>
      </c>
      <c r="EF179" s="762">
        <v>4032048</v>
      </c>
      <c r="EG179" s="762">
        <v>907135</v>
      </c>
      <c r="EH179" s="762">
        <v>100793</v>
      </c>
      <c r="EI179" s="799">
        <v>5039976</v>
      </c>
      <c r="EJ179" s="763" t="s">
        <v>229</v>
      </c>
      <c r="EK179" s="607" t="s">
        <v>580</v>
      </c>
      <c r="EL179" s="805" t="s">
        <v>578</v>
      </c>
      <c r="EM179" t="s">
        <v>1745</v>
      </c>
    </row>
    <row r="180" spans="1:143" ht="12.75" x14ac:dyDescent="0.2">
      <c r="A180" s="764">
        <v>173</v>
      </c>
      <c r="B180" s="765" t="s">
        <v>232</v>
      </c>
      <c r="C180" s="766" t="s">
        <v>1217</v>
      </c>
      <c r="D180" s="767" t="s">
        <v>1220</v>
      </c>
      <c r="E180" s="768" t="s">
        <v>231</v>
      </c>
      <c r="F180" s="761">
        <v>41384365</v>
      </c>
      <c r="G180" s="762">
        <v>761815</v>
      </c>
      <c r="H180" s="762">
        <v>0</v>
      </c>
      <c r="I180" s="762">
        <v>162930</v>
      </c>
      <c r="J180" s="762">
        <v>0</v>
      </c>
      <c r="K180" s="762">
        <v>162930</v>
      </c>
      <c r="L180" s="762">
        <v>0</v>
      </c>
      <c r="M180" s="762">
        <v>0</v>
      </c>
      <c r="N180" s="762">
        <v>703050</v>
      </c>
      <c r="O180" s="762">
        <v>610343</v>
      </c>
      <c r="P180" s="762">
        <v>92707</v>
      </c>
      <c r="Q180" s="762">
        <v>0</v>
      </c>
      <c r="R180" s="762">
        <v>41280200</v>
      </c>
      <c r="S180" s="790">
        <v>0.5</v>
      </c>
      <c r="T180" s="790">
        <v>0.4</v>
      </c>
      <c r="U180" s="790">
        <v>0.09</v>
      </c>
      <c r="V180" s="790">
        <v>0.01</v>
      </c>
      <c r="W180" s="790">
        <v>1</v>
      </c>
      <c r="X180" s="762">
        <v>20640100</v>
      </c>
      <c r="Y180" s="762">
        <v>16512080</v>
      </c>
      <c r="Z180" s="762">
        <v>3715218</v>
      </c>
      <c r="AA180" s="762">
        <v>412802</v>
      </c>
      <c r="AB180" s="762">
        <v>41280200</v>
      </c>
      <c r="AC180" s="762">
        <v>0</v>
      </c>
      <c r="AD180" s="762">
        <v>0</v>
      </c>
      <c r="AE180" s="762">
        <v>0</v>
      </c>
      <c r="AF180" s="762">
        <v>0</v>
      </c>
      <c r="AG180" s="762">
        <v>0</v>
      </c>
      <c r="AH180" s="762">
        <v>20640100</v>
      </c>
      <c r="AI180" s="762">
        <v>16512080</v>
      </c>
      <c r="AJ180" s="762">
        <v>3715218</v>
      </c>
      <c r="AK180" s="762">
        <v>412802</v>
      </c>
      <c r="AL180" s="762">
        <v>41280200</v>
      </c>
      <c r="AM180" s="762">
        <v>162930</v>
      </c>
      <c r="AN180" s="762">
        <v>162930</v>
      </c>
      <c r="AO180" s="762">
        <v>0</v>
      </c>
      <c r="AP180" s="762">
        <v>0</v>
      </c>
      <c r="AQ180" s="762">
        <v>610343</v>
      </c>
      <c r="AR180" s="762">
        <v>92707</v>
      </c>
      <c r="AS180" s="762">
        <v>703050</v>
      </c>
      <c r="AT180" s="762">
        <v>0</v>
      </c>
      <c r="AU180" s="762">
        <v>0</v>
      </c>
      <c r="AV180" s="762">
        <v>0</v>
      </c>
      <c r="AW180" s="762">
        <v>0</v>
      </c>
      <c r="AX180" s="762">
        <v>0</v>
      </c>
      <c r="AY180" s="762">
        <v>0</v>
      </c>
      <c r="AZ180" s="762">
        <v>0</v>
      </c>
      <c r="BA180" s="762">
        <v>0</v>
      </c>
      <c r="BB180" s="762">
        <v>0</v>
      </c>
      <c r="BC180" s="762">
        <v>0</v>
      </c>
      <c r="BD180" s="762">
        <v>0</v>
      </c>
      <c r="BE180" s="762">
        <v>0</v>
      </c>
      <c r="BF180" s="762">
        <v>0</v>
      </c>
      <c r="BG180" s="762">
        <v>0</v>
      </c>
      <c r="BH180" s="762">
        <v>0</v>
      </c>
      <c r="BI180" s="762">
        <v>0</v>
      </c>
      <c r="BJ180" s="790">
        <v>0.5</v>
      </c>
      <c r="BK180" s="790">
        <v>0.4</v>
      </c>
      <c r="BL180" s="790">
        <v>0.09</v>
      </c>
      <c r="BM180" s="790">
        <v>0.01</v>
      </c>
      <c r="BN180" s="790">
        <v>1</v>
      </c>
      <c r="BO180" s="762">
        <v>1358098</v>
      </c>
      <c r="BP180" s="762">
        <v>1086479</v>
      </c>
      <c r="BQ180" s="762">
        <v>244458</v>
      </c>
      <c r="BR180" s="762">
        <v>27162</v>
      </c>
      <c r="BS180" s="762">
        <v>2716197</v>
      </c>
      <c r="BT180" s="790">
        <v>0.5</v>
      </c>
      <c r="BU180" s="790">
        <v>0.4</v>
      </c>
      <c r="BV180" s="790">
        <v>0.09</v>
      </c>
      <c r="BW180" s="790">
        <v>0.01</v>
      </c>
      <c r="BX180" s="790">
        <v>1</v>
      </c>
      <c r="BY180" s="762">
        <v>-420114</v>
      </c>
      <c r="BZ180" s="762">
        <v>-336091</v>
      </c>
      <c r="CA180" s="762">
        <v>-75621</v>
      </c>
      <c r="CB180" s="762">
        <v>-8402</v>
      </c>
      <c r="CC180" s="762">
        <v>-840228</v>
      </c>
      <c r="CD180" s="762">
        <v>937984</v>
      </c>
      <c r="CE180" s="762">
        <v>750388</v>
      </c>
      <c r="CF180" s="762">
        <v>168837</v>
      </c>
      <c r="CG180" s="762">
        <v>18760</v>
      </c>
      <c r="CH180" s="762">
        <v>1875969</v>
      </c>
      <c r="CI180" s="762">
        <v>21578084</v>
      </c>
      <c r="CJ180" s="762">
        <v>18035741</v>
      </c>
      <c r="CK180" s="762">
        <v>3976762</v>
      </c>
      <c r="CL180" s="762">
        <v>431562</v>
      </c>
      <c r="CM180" s="762">
        <v>44022149</v>
      </c>
      <c r="CN180" s="762">
        <v>557961</v>
      </c>
      <c r="CO180" s="762">
        <v>124087</v>
      </c>
      <c r="CP180" s="762">
        <v>13452</v>
      </c>
      <c r="CQ180" s="762">
        <v>695500</v>
      </c>
      <c r="CR180" s="762">
        <v>1254184</v>
      </c>
      <c r="CS180" s="762">
        <v>282192</v>
      </c>
      <c r="CT180" s="762">
        <v>31355</v>
      </c>
      <c r="CU180" s="762">
        <v>1567731</v>
      </c>
      <c r="CV180" s="762">
        <v>70507</v>
      </c>
      <c r="CW180" s="762">
        <v>15864</v>
      </c>
      <c r="CX180" s="762">
        <v>1763</v>
      </c>
      <c r="CY180" s="762">
        <v>88134</v>
      </c>
      <c r="CZ180" s="762">
        <v>0</v>
      </c>
      <c r="DA180" s="762">
        <v>0</v>
      </c>
      <c r="DB180" s="762">
        <v>0</v>
      </c>
      <c r="DC180" s="762">
        <v>0</v>
      </c>
      <c r="DD180" s="762">
        <v>7559</v>
      </c>
      <c r="DE180" s="762">
        <v>1701</v>
      </c>
      <c r="DF180" s="762">
        <v>189</v>
      </c>
      <c r="DG180" s="762">
        <v>9449</v>
      </c>
      <c r="DH180" s="762">
        <v>620</v>
      </c>
      <c r="DI180" s="762">
        <v>139</v>
      </c>
      <c r="DJ180" s="762">
        <v>15</v>
      </c>
      <c r="DK180" s="762">
        <v>774</v>
      </c>
      <c r="DL180" s="762">
        <v>10865</v>
      </c>
      <c r="DM180" s="762">
        <v>2445</v>
      </c>
      <c r="DN180" s="762">
        <v>272</v>
      </c>
      <c r="DO180" s="762">
        <v>13582</v>
      </c>
      <c r="DP180" s="762">
        <v>5782</v>
      </c>
      <c r="DQ180" s="762">
        <v>1301</v>
      </c>
      <c r="DR180" s="762">
        <v>145</v>
      </c>
      <c r="DS180" s="762">
        <v>7228</v>
      </c>
      <c r="DT180" s="762">
        <v>0</v>
      </c>
      <c r="DU180" s="762">
        <v>0</v>
      </c>
      <c r="DV180" s="762">
        <v>0</v>
      </c>
      <c r="DW180" s="762">
        <v>0</v>
      </c>
      <c r="DX180" s="762">
        <v>0</v>
      </c>
      <c r="DY180" s="762">
        <v>0</v>
      </c>
      <c r="DZ180" s="762">
        <v>0</v>
      </c>
      <c r="EA180" s="762">
        <v>0</v>
      </c>
      <c r="EB180" s="762">
        <v>280863</v>
      </c>
      <c r="EC180" s="762">
        <v>63194</v>
      </c>
      <c r="ED180" s="762">
        <v>7022</v>
      </c>
      <c r="EE180" s="762">
        <v>351079</v>
      </c>
      <c r="EF180" s="762">
        <v>2188341</v>
      </c>
      <c r="EG180" s="762">
        <v>490923</v>
      </c>
      <c r="EH180" s="762">
        <v>54213</v>
      </c>
      <c r="EI180" s="799">
        <v>2733477</v>
      </c>
      <c r="EJ180" s="763" t="s">
        <v>231</v>
      </c>
      <c r="EK180" s="607" t="s">
        <v>608</v>
      </c>
      <c r="EL180" s="805" t="s">
        <v>607</v>
      </c>
      <c r="EM180" t="s">
        <v>1746</v>
      </c>
    </row>
    <row r="181" spans="1:143" ht="12.75" x14ac:dyDescent="0.2">
      <c r="A181" s="764">
        <v>174</v>
      </c>
      <c r="B181" s="765" t="s">
        <v>233</v>
      </c>
      <c r="C181" s="766" t="s">
        <v>1224</v>
      </c>
      <c r="D181" s="767" t="s">
        <v>1229</v>
      </c>
      <c r="E181" s="768" t="s">
        <v>867</v>
      </c>
      <c r="F181" s="761">
        <v>141166009</v>
      </c>
      <c r="G181" s="762">
        <v>0</v>
      </c>
      <c r="H181" s="762">
        <v>3571486</v>
      </c>
      <c r="I181" s="762">
        <v>469104</v>
      </c>
      <c r="J181" s="762">
        <v>0</v>
      </c>
      <c r="K181" s="762">
        <v>469104</v>
      </c>
      <c r="L181" s="762">
        <v>0</v>
      </c>
      <c r="M181" s="762">
        <v>2194547</v>
      </c>
      <c r="N181" s="762">
        <v>0</v>
      </c>
      <c r="O181" s="762">
        <v>0</v>
      </c>
      <c r="P181" s="762">
        <v>0</v>
      </c>
      <c r="Q181" s="762">
        <v>0</v>
      </c>
      <c r="R181" s="762">
        <v>134930872</v>
      </c>
      <c r="S181" s="790">
        <v>0.25</v>
      </c>
      <c r="T181" s="790">
        <v>0.74</v>
      </c>
      <c r="U181" s="790">
        <v>0</v>
      </c>
      <c r="V181" s="790">
        <v>0.01</v>
      </c>
      <c r="W181" s="790">
        <v>1</v>
      </c>
      <c r="X181" s="762">
        <v>33732718</v>
      </c>
      <c r="Y181" s="762">
        <v>99848845</v>
      </c>
      <c r="Z181" s="762">
        <v>0</v>
      </c>
      <c r="AA181" s="762">
        <v>1349309</v>
      </c>
      <c r="AB181" s="762">
        <v>134930872</v>
      </c>
      <c r="AC181" s="762">
        <v>0</v>
      </c>
      <c r="AD181" s="762">
        <v>0</v>
      </c>
      <c r="AE181" s="762">
        <v>0</v>
      </c>
      <c r="AF181" s="762">
        <v>0</v>
      </c>
      <c r="AG181" s="762">
        <v>0</v>
      </c>
      <c r="AH181" s="762">
        <v>33732718</v>
      </c>
      <c r="AI181" s="762">
        <v>99848845</v>
      </c>
      <c r="AJ181" s="762">
        <v>0</v>
      </c>
      <c r="AK181" s="762">
        <v>1349309</v>
      </c>
      <c r="AL181" s="762">
        <v>134930872</v>
      </c>
      <c r="AM181" s="762">
        <v>469104</v>
      </c>
      <c r="AN181" s="762">
        <v>469104</v>
      </c>
      <c r="AO181" s="762">
        <v>2194547</v>
      </c>
      <c r="AP181" s="762">
        <v>2194547</v>
      </c>
      <c r="AQ181" s="762">
        <v>0</v>
      </c>
      <c r="AR181" s="762">
        <v>0</v>
      </c>
      <c r="AS181" s="762">
        <v>0</v>
      </c>
      <c r="AT181" s="762">
        <v>0</v>
      </c>
      <c r="AU181" s="762">
        <v>0</v>
      </c>
      <c r="AV181" s="762">
        <v>0</v>
      </c>
      <c r="AW181" s="762">
        <v>0</v>
      </c>
      <c r="AX181" s="762">
        <v>0</v>
      </c>
      <c r="AY181" s="762">
        <v>0</v>
      </c>
      <c r="AZ181" s="762">
        <v>0</v>
      </c>
      <c r="BA181" s="762">
        <v>0</v>
      </c>
      <c r="BB181" s="762">
        <v>0</v>
      </c>
      <c r="BC181" s="762">
        <v>0</v>
      </c>
      <c r="BD181" s="762">
        <v>0</v>
      </c>
      <c r="BE181" s="762">
        <v>0</v>
      </c>
      <c r="BF181" s="762">
        <v>0</v>
      </c>
      <c r="BG181" s="762">
        <v>0</v>
      </c>
      <c r="BH181" s="762">
        <v>0</v>
      </c>
      <c r="BI181" s="762">
        <v>0</v>
      </c>
      <c r="BJ181" s="790">
        <v>0.5</v>
      </c>
      <c r="BK181" s="790">
        <v>0.49</v>
      </c>
      <c r="BL181" s="790">
        <v>0</v>
      </c>
      <c r="BM181" s="790">
        <v>0.01</v>
      </c>
      <c r="BN181" s="790">
        <v>1</v>
      </c>
      <c r="BO181" s="762">
        <v>-1563461</v>
      </c>
      <c r="BP181" s="762">
        <v>-1532191</v>
      </c>
      <c r="BQ181" s="762">
        <v>0</v>
      </c>
      <c r="BR181" s="762">
        <v>-31269</v>
      </c>
      <c r="BS181" s="762">
        <v>-3126921</v>
      </c>
      <c r="BT181" s="790">
        <v>0.5</v>
      </c>
      <c r="BU181" s="790">
        <v>0.49</v>
      </c>
      <c r="BV181" s="790">
        <v>0</v>
      </c>
      <c r="BW181" s="790">
        <v>0.01</v>
      </c>
      <c r="BX181" s="790">
        <v>1</v>
      </c>
      <c r="BY181" s="762">
        <v>113118</v>
      </c>
      <c r="BZ181" s="762">
        <v>110855</v>
      </c>
      <c r="CA181" s="762">
        <v>0</v>
      </c>
      <c r="CB181" s="762">
        <v>2262</v>
      </c>
      <c r="CC181" s="762">
        <v>226235</v>
      </c>
      <c r="CD181" s="762">
        <v>-1450343</v>
      </c>
      <c r="CE181" s="762">
        <v>-1421336</v>
      </c>
      <c r="CF181" s="762">
        <v>0</v>
      </c>
      <c r="CG181" s="762">
        <v>-29007</v>
      </c>
      <c r="CH181" s="762">
        <v>-2900686</v>
      </c>
      <c r="CI181" s="762">
        <v>32282375</v>
      </c>
      <c r="CJ181" s="762">
        <v>101091160</v>
      </c>
      <c r="CK181" s="762">
        <v>0</v>
      </c>
      <c r="CL181" s="762">
        <v>1320302</v>
      </c>
      <c r="CM181" s="762">
        <v>134693837</v>
      </c>
      <c r="CN181" s="762">
        <v>3325243</v>
      </c>
      <c r="CO181" s="762">
        <v>0</v>
      </c>
      <c r="CP181" s="762">
        <v>43969</v>
      </c>
      <c r="CQ181" s="762">
        <v>3369212</v>
      </c>
      <c r="CR181" s="762">
        <v>4850804</v>
      </c>
      <c r="CS181" s="762">
        <v>0</v>
      </c>
      <c r="CT181" s="762">
        <v>65048</v>
      </c>
      <c r="CU181" s="762">
        <v>4915852</v>
      </c>
      <c r="CV181" s="762">
        <v>351865</v>
      </c>
      <c r="CW181" s="762">
        <v>0</v>
      </c>
      <c r="CX181" s="762">
        <v>4508</v>
      </c>
      <c r="CY181" s="762">
        <v>356373</v>
      </c>
      <c r="CZ181" s="762">
        <v>14978</v>
      </c>
      <c r="DA181" s="762">
        <v>0</v>
      </c>
      <c r="DB181" s="762">
        <v>202</v>
      </c>
      <c r="DC181" s="762">
        <v>15180</v>
      </c>
      <c r="DD181" s="762">
        <v>0</v>
      </c>
      <c r="DE181" s="762">
        <v>0</v>
      </c>
      <c r="DF181" s="762">
        <v>0</v>
      </c>
      <c r="DG181" s="762">
        <v>0</v>
      </c>
      <c r="DH181" s="762">
        <v>0</v>
      </c>
      <c r="DI181" s="762">
        <v>0</v>
      </c>
      <c r="DJ181" s="762">
        <v>0</v>
      </c>
      <c r="DK181" s="762">
        <v>0</v>
      </c>
      <c r="DL181" s="762">
        <v>33178</v>
      </c>
      <c r="DM181" s="762">
        <v>0</v>
      </c>
      <c r="DN181" s="762">
        <v>448</v>
      </c>
      <c r="DO181" s="762">
        <v>33626</v>
      </c>
      <c r="DP181" s="762">
        <v>105719</v>
      </c>
      <c r="DQ181" s="762">
        <v>0</v>
      </c>
      <c r="DR181" s="762">
        <v>1237</v>
      </c>
      <c r="DS181" s="762">
        <v>106956</v>
      </c>
      <c r="DT181" s="762">
        <v>0</v>
      </c>
      <c r="DU181" s="762">
        <v>0</v>
      </c>
      <c r="DV181" s="762">
        <v>0</v>
      </c>
      <c r="DW181" s="762">
        <v>0</v>
      </c>
      <c r="DX181" s="762">
        <v>0</v>
      </c>
      <c r="DY181" s="762">
        <v>0</v>
      </c>
      <c r="DZ181" s="762">
        <v>0</v>
      </c>
      <c r="EA181" s="762">
        <v>0</v>
      </c>
      <c r="EB181" s="762">
        <v>2550699</v>
      </c>
      <c r="EC181" s="762">
        <v>0</v>
      </c>
      <c r="ED181" s="762">
        <v>33428</v>
      </c>
      <c r="EE181" s="762">
        <v>2584127</v>
      </c>
      <c r="EF181" s="762">
        <v>11232486</v>
      </c>
      <c r="EG181" s="762">
        <v>0</v>
      </c>
      <c r="EH181" s="762">
        <v>148840</v>
      </c>
      <c r="EI181" s="799">
        <v>11381326</v>
      </c>
      <c r="EJ181" s="763" t="s">
        <v>867</v>
      </c>
      <c r="EK181" s="607" t="s">
        <v>621</v>
      </c>
      <c r="EL181" s="805" t="s">
        <v>625</v>
      </c>
      <c r="EM181" t="s">
        <v>1747</v>
      </c>
    </row>
    <row r="182" spans="1:143" ht="12.75" x14ac:dyDescent="0.2">
      <c r="A182" s="764">
        <v>175</v>
      </c>
      <c r="B182" s="765" t="s">
        <v>235</v>
      </c>
      <c r="C182" s="766" t="s">
        <v>1217</v>
      </c>
      <c r="D182" s="767" t="s">
        <v>1227</v>
      </c>
      <c r="E182" s="768" t="s">
        <v>234</v>
      </c>
      <c r="F182" s="761">
        <v>29880720</v>
      </c>
      <c r="G182" s="762">
        <v>52200</v>
      </c>
      <c r="H182" s="762">
        <v>0</v>
      </c>
      <c r="I182" s="762">
        <v>138888</v>
      </c>
      <c r="J182" s="762">
        <v>0</v>
      </c>
      <c r="K182" s="762">
        <v>138888</v>
      </c>
      <c r="L182" s="762">
        <v>0</v>
      </c>
      <c r="M182" s="762">
        <v>0</v>
      </c>
      <c r="N182" s="762">
        <v>0</v>
      </c>
      <c r="O182" s="762">
        <v>0</v>
      </c>
      <c r="P182" s="762">
        <v>0</v>
      </c>
      <c r="Q182" s="762">
        <v>0</v>
      </c>
      <c r="R182" s="762">
        <v>29794032</v>
      </c>
      <c r="S182" s="790">
        <v>0.25</v>
      </c>
      <c r="T182" s="790">
        <v>0.4</v>
      </c>
      <c r="U182" s="790">
        <v>0.33999999999999997</v>
      </c>
      <c r="V182" s="790">
        <v>0.01</v>
      </c>
      <c r="W182" s="790">
        <v>1</v>
      </c>
      <c r="X182" s="762">
        <v>7448508</v>
      </c>
      <c r="Y182" s="762">
        <v>11917613</v>
      </c>
      <c r="Z182" s="762">
        <v>10129971</v>
      </c>
      <c r="AA182" s="762">
        <v>297940</v>
      </c>
      <c r="AB182" s="762">
        <v>29794032</v>
      </c>
      <c r="AC182" s="762">
        <v>0</v>
      </c>
      <c r="AD182" s="762">
        <v>0</v>
      </c>
      <c r="AE182" s="762">
        <v>0</v>
      </c>
      <c r="AF182" s="762">
        <v>0</v>
      </c>
      <c r="AG182" s="762">
        <v>0</v>
      </c>
      <c r="AH182" s="762">
        <v>7448508</v>
      </c>
      <c r="AI182" s="762">
        <v>11917613</v>
      </c>
      <c r="AJ182" s="762">
        <v>10129971</v>
      </c>
      <c r="AK182" s="762">
        <v>297940</v>
      </c>
      <c r="AL182" s="762">
        <v>29794032</v>
      </c>
      <c r="AM182" s="762">
        <v>138888</v>
      </c>
      <c r="AN182" s="762">
        <v>138888</v>
      </c>
      <c r="AO182" s="762">
        <v>0</v>
      </c>
      <c r="AP182" s="762">
        <v>0</v>
      </c>
      <c r="AQ182" s="762">
        <v>0</v>
      </c>
      <c r="AR182" s="762">
        <v>0</v>
      </c>
      <c r="AS182" s="762">
        <v>0</v>
      </c>
      <c r="AT182" s="762">
        <v>0</v>
      </c>
      <c r="AU182" s="762">
        <v>0</v>
      </c>
      <c r="AV182" s="762">
        <v>0</v>
      </c>
      <c r="AW182" s="762">
        <v>0</v>
      </c>
      <c r="AX182" s="762">
        <v>0</v>
      </c>
      <c r="AY182" s="762">
        <v>0</v>
      </c>
      <c r="AZ182" s="762">
        <v>0</v>
      </c>
      <c r="BA182" s="762">
        <v>0</v>
      </c>
      <c r="BB182" s="762">
        <v>0</v>
      </c>
      <c r="BC182" s="762">
        <v>0</v>
      </c>
      <c r="BD182" s="762">
        <v>0</v>
      </c>
      <c r="BE182" s="762">
        <v>0</v>
      </c>
      <c r="BF182" s="762">
        <v>0</v>
      </c>
      <c r="BG182" s="762">
        <v>0</v>
      </c>
      <c r="BH182" s="762">
        <v>0</v>
      </c>
      <c r="BI182" s="762">
        <v>0</v>
      </c>
      <c r="BJ182" s="790">
        <v>0.5</v>
      </c>
      <c r="BK182" s="790">
        <v>0.4</v>
      </c>
      <c r="BL182" s="790">
        <v>0.09</v>
      </c>
      <c r="BM182" s="790">
        <v>0.01</v>
      </c>
      <c r="BN182" s="790">
        <v>1</v>
      </c>
      <c r="BO182" s="762">
        <v>601936</v>
      </c>
      <c r="BP182" s="762">
        <v>481549</v>
      </c>
      <c r="BQ182" s="762">
        <v>108349</v>
      </c>
      <c r="BR182" s="762">
        <v>12039</v>
      </c>
      <c r="BS182" s="762">
        <v>1203873</v>
      </c>
      <c r="BT182" s="790">
        <v>0.5</v>
      </c>
      <c r="BU182" s="790">
        <v>0.4</v>
      </c>
      <c r="BV182" s="790">
        <v>0.09</v>
      </c>
      <c r="BW182" s="790">
        <v>0.01</v>
      </c>
      <c r="BX182" s="790">
        <v>1</v>
      </c>
      <c r="BY182" s="762">
        <v>-960221</v>
      </c>
      <c r="BZ182" s="762">
        <v>-768176</v>
      </c>
      <c r="CA182" s="762">
        <v>-172840</v>
      </c>
      <c r="CB182" s="762">
        <v>-19204</v>
      </c>
      <c r="CC182" s="762">
        <v>-1920441</v>
      </c>
      <c r="CD182" s="762">
        <v>-358284</v>
      </c>
      <c r="CE182" s="762">
        <v>-286627</v>
      </c>
      <c r="CF182" s="762">
        <v>-64491</v>
      </c>
      <c r="CG182" s="762">
        <v>-7166</v>
      </c>
      <c r="CH182" s="762">
        <v>-716568</v>
      </c>
      <c r="CI182" s="762">
        <v>7090224</v>
      </c>
      <c r="CJ182" s="762">
        <v>11769874</v>
      </c>
      <c r="CK182" s="762">
        <v>10065480</v>
      </c>
      <c r="CL182" s="762">
        <v>290774</v>
      </c>
      <c r="CM182" s="762">
        <v>29216352</v>
      </c>
      <c r="CN182" s="762">
        <v>388354</v>
      </c>
      <c r="CO182" s="762">
        <v>330101</v>
      </c>
      <c r="CP182" s="762">
        <v>9709</v>
      </c>
      <c r="CQ182" s="762">
        <v>728164</v>
      </c>
      <c r="CR182" s="762">
        <v>1057365</v>
      </c>
      <c r="CS182" s="762">
        <v>898761</v>
      </c>
      <c r="CT182" s="762">
        <v>26434</v>
      </c>
      <c r="CU182" s="762">
        <v>1982560</v>
      </c>
      <c r="CV182" s="762">
        <v>67028</v>
      </c>
      <c r="CW182" s="762">
        <v>56974</v>
      </c>
      <c r="CX182" s="762">
        <v>1676</v>
      </c>
      <c r="CY182" s="762">
        <v>125678</v>
      </c>
      <c r="CZ182" s="762">
        <v>0</v>
      </c>
      <c r="DA182" s="762">
        <v>0</v>
      </c>
      <c r="DB182" s="762">
        <v>0</v>
      </c>
      <c r="DC182" s="762">
        <v>0</v>
      </c>
      <c r="DD182" s="762">
        <v>11140</v>
      </c>
      <c r="DE182" s="762">
        <v>9469</v>
      </c>
      <c r="DF182" s="762">
        <v>278</v>
      </c>
      <c r="DG182" s="762">
        <v>20887</v>
      </c>
      <c r="DH182" s="762">
        <v>0</v>
      </c>
      <c r="DI182" s="762">
        <v>0</v>
      </c>
      <c r="DJ182" s="762">
        <v>0</v>
      </c>
      <c r="DK182" s="762">
        <v>0</v>
      </c>
      <c r="DL182" s="762">
        <v>10632</v>
      </c>
      <c r="DM182" s="762">
        <v>9038</v>
      </c>
      <c r="DN182" s="762">
        <v>266</v>
      </c>
      <c r="DO182" s="762">
        <v>19936</v>
      </c>
      <c r="DP182" s="762">
        <v>22510</v>
      </c>
      <c r="DQ182" s="762">
        <v>19134</v>
      </c>
      <c r="DR182" s="762">
        <v>563</v>
      </c>
      <c r="DS182" s="762">
        <v>42207</v>
      </c>
      <c r="DT182" s="762">
        <v>0</v>
      </c>
      <c r="DU182" s="762">
        <v>0</v>
      </c>
      <c r="DV182" s="762">
        <v>0</v>
      </c>
      <c r="DW182" s="762">
        <v>0</v>
      </c>
      <c r="DX182" s="762">
        <v>0</v>
      </c>
      <c r="DY182" s="762">
        <v>0</v>
      </c>
      <c r="DZ182" s="762">
        <v>0</v>
      </c>
      <c r="EA182" s="762">
        <v>0</v>
      </c>
      <c r="EB182" s="762">
        <v>1092295</v>
      </c>
      <c r="EC182" s="762">
        <v>928450</v>
      </c>
      <c r="ED182" s="762">
        <v>27307</v>
      </c>
      <c r="EE182" s="762">
        <v>2048052</v>
      </c>
      <c r="EF182" s="762">
        <v>2649324</v>
      </c>
      <c r="EG182" s="762">
        <v>2251927</v>
      </c>
      <c r="EH182" s="762">
        <v>66233</v>
      </c>
      <c r="EI182" s="799">
        <v>4967484</v>
      </c>
      <c r="EJ182" s="763" t="s">
        <v>234</v>
      </c>
      <c r="EK182" s="607" t="s">
        <v>614</v>
      </c>
      <c r="EL182" s="805" t="s">
        <v>613</v>
      </c>
      <c r="EM182" t="s">
        <v>1748</v>
      </c>
    </row>
    <row r="183" spans="1:143" ht="12.75" x14ac:dyDescent="0.2">
      <c r="A183" s="764">
        <v>176</v>
      </c>
      <c r="B183" s="765" t="s">
        <v>237</v>
      </c>
      <c r="C183" s="766" t="s">
        <v>1222</v>
      </c>
      <c r="D183" s="767" t="s">
        <v>1223</v>
      </c>
      <c r="E183" s="768" t="s">
        <v>236</v>
      </c>
      <c r="F183" s="761">
        <v>144085742</v>
      </c>
      <c r="G183" s="762">
        <v>159896</v>
      </c>
      <c r="H183" s="762">
        <v>0</v>
      </c>
      <c r="I183" s="762">
        <v>372814</v>
      </c>
      <c r="J183" s="762">
        <v>0</v>
      </c>
      <c r="K183" s="762">
        <v>372814</v>
      </c>
      <c r="L183" s="762">
        <v>0</v>
      </c>
      <c r="M183" s="762">
        <v>1801596</v>
      </c>
      <c r="N183" s="762">
        <v>0</v>
      </c>
      <c r="O183" s="762">
        <v>0</v>
      </c>
      <c r="P183" s="762">
        <v>0</v>
      </c>
      <c r="Q183" s="762">
        <v>0</v>
      </c>
      <c r="R183" s="762">
        <v>142071228</v>
      </c>
      <c r="S183" s="790">
        <v>0.25</v>
      </c>
      <c r="T183" s="790">
        <v>0.48</v>
      </c>
      <c r="U183" s="790">
        <v>0.27</v>
      </c>
      <c r="V183" s="790">
        <v>0</v>
      </c>
      <c r="W183" s="790">
        <v>1</v>
      </c>
      <c r="X183" s="762">
        <v>35517807</v>
      </c>
      <c r="Y183" s="762">
        <v>68194189</v>
      </c>
      <c r="Z183" s="762">
        <v>38359232</v>
      </c>
      <c r="AA183" s="762">
        <v>0</v>
      </c>
      <c r="AB183" s="762">
        <v>142071228</v>
      </c>
      <c r="AC183" s="762">
        <v>490742</v>
      </c>
      <c r="AD183" s="762">
        <v>0</v>
      </c>
      <c r="AE183" s="762">
        <v>0</v>
      </c>
      <c r="AF183" s="762">
        <v>0</v>
      </c>
      <c r="AG183" s="762">
        <v>490742</v>
      </c>
      <c r="AH183" s="762">
        <v>35027065</v>
      </c>
      <c r="AI183" s="762">
        <v>68194189</v>
      </c>
      <c r="AJ183" s="762">
        <v>38359232</v>
      </c>
      <c r="AK183" s="762">
        <v>0</v>
      </c>
      <c r="AL183" s="762">
        <v>141580486</v>
      </c>
      <c r="AM183" s="762">
        <v>372814</v>
      </c>
      <c r="AN183" s="762">
        <v>372814</v>
      </c>
      <c r="AO183" s="762">
        <v>1801596</v>
      </c>
      <c r="AP183" s="762">
        <v>1801596</v>
      </c>
      <c r="AQ183" s="762">
        <v>0</v>
      </c>
      <c r="AR183" s="762">
        <v>0</v>
      </c>
      <c r="AS183" s="762">
        <v>0</v>
      </c>
      <c r="AT183" s="762">
        <v>0</v>
      </c>
      <c r="AU183" s="762">
        <v>0</v>
      </c>
      <c r="AV183" s="762">
        <v>0</v>
      </c>
      <c r="AW183" s="762">
        <v>0</v>
      </c>
      <c r="AX183" s="762">
        <v>490742</v>
      </c>
      <c r="AY183" s="762">
        <v>0</v>
      </c>
      <c r="AZ183" s="762">
        <v>0</v>
      </c>
      <c r="BA183" s="762">
        <v>490742</v>
      </c>
      <c r="BB183" s="762">
        <v>0</v>
      </c>
      <c r="BC183" s="762">
        <v>0</v>
      </c>
      <c r="BD183" s="762">
        <v>0</v>
      </c>
      <c r="BE183" s="762">
        <v>0</v>
      </c>
      <c r="BF183" s="762">
        <v>0</v>
      </c>
      <c r="BG183" s="762">
        <v>0</v>
      </c>
      <c r="BH183" s="762">
        <v>0</v>
      </c>
      <c r="BI183" s="762">
        <v>0</v>
      </c>
      <c r="BJ183" s="790">
        <v>0</v>
      </c>
      <c r="BK183" s="790">
        <v>0.64</v>
      </c>
      <c r="BL183" s="790">
        <v>0.36</v>
      </c>
      <c r="BM183" s="790">
        <v>0</v>
      </c>
      <c r="BN183" s="790">
        <v>1</v>
      </c>
      <c r="BO183" s="762">
        <v>0</v>
      </c>
      <c r="BP183" s="762">
        <v>-6600493</v>
      </c>
      <c r="BQ183" s="762">
        <v>-3712778</v>
      </c>
      <c r="BR183" s="762">
        <v>0</v>
      </c>
      <c r="BS183" s="762">
        <v>-10313271</v>
      </c>
      <c r="BT183" s="790">
        <v>0.33</v>
      </c>
      <c r="BU183" s="790">
        <v>0.3</v>
      </c>
      <c r="BV183" s="790">
        <v>0.37</v>
      </c>
      <c r="BW183" s="790">
        <v>0</v>
      </c>
      <c r="BX183" s="790">
        <v>1</v>
      </c>
      <c r="BY183" s="762">
        <v>2490012</v>
      </c>
      <c r="BZ183" s="762">
        <v>2263648</v>
      </c>
      <c r="CA183" s="762">
        <v>2791832</v>
      </c>
      <c r="CB183" s="762">
        <v>0</v>
      </c>
      <c r="CC183" s="762">
        <v>7545492</v>
      </c>
      <c r="CD183" s="762">
        <v>2490012</v>
      </c>
      <c r="CE183" s="762">
        <v>-4336845</v>
      </c>
      <c r="CF183" s="762">
        <v>-920946</v>
      </c>
      <c r="CG183" s="762">
        <v>0</v>
      </c>
      <c r="CH183" s="762">
        <v>-2767779</v>
      </c>
      <c r="CI183" s="762">
        <v>37517077</v>
      </c>
      <c r="CJ183" s="762">
        <v>66522496</v>
      </c>
      <c r="CK183" s="762">
        <v>37438286</v>
      </c>
      <c r="CL183" s="762">
        <v>0</v>
      </c>
      <c r="CM183" s="762">
        <v>141477859</v>
      </c>
      <c r="CN183" s="762">
        <v>2296913</v>
      </c>
      <c r="CO183" s="762">
        <v>1249995</v>
      </c>
      <c r="CP183" s="762">
        <v>0</v>
      </c>
      <c r="CQ183" s="762">
        <v>3546908</v>
      </c>
      <c r="CR183" s="762">
        <v>3316609</v>
      </c>
      <c r="CS183" s="762">
        <v>1858789</v>
      </c>
      <c r="CT183" s="762">
        <v>0</v>
      </c>
      <c r="CU183" s="762">
        <v>5175398</v>
      </c>
      <c r="CV183" s="762">
        <v>158714</v>
      </c>
      <c r="CW183" s="762">
        <v>88237</v>
      </c>
      <c r="CX183" s="762">
        <v>0</v>
      </c>
      <c r="CY183" s="762">
        <v>246951</v>
      </c>
      <c r="CZ183" s="762">
        <v>0</v>
      </c>
      <c r="DA183" s="762">
        <v>0</v>
      </c>
      <c r="DB183" s="762">
        <v>0</v>
      </c>
      <c r="DC183" s="762">
        <v>0</v>
      </c>
      <c r="DD183" s="762">
        <v>0</v>
      </c>
      <c r="DE183" s="762">
        <v>0</v>
      </c>
      <c r="DF183" s="762">
        <v>0</v>
      </c>
      <c r="DG183" s="762">
        <v>0</v>
      </c>
      <c r="DH183" s="762">
        <v>0</v>
      </c>
      <c r="DI183" s="762">
        <v>0</v>
      </c>
      <c r="DJ183" s="762">
        <v>0</v>
      </c>
      <c r="DK183" s="762">
        <v>0</v>
      </c>
      <c r="DL183" s="762">
        <v>33492</v>
      </c>
      <c r="DM183" s="762">
        <v>18840</v>
      </c>
      <c r="DN183" s="762">
        <v>0</v>
      </c>
      <c r="DO183" s="762">
        <v>52332</v>
      </c>
      <c r="DP183" s="762">
        <v>151494</v>
      </c>
      <c r="DQ183" s="762">
        <v>85215</v>
      </c>
      <c r="DR183" s="762">
        <v>0</v>
      </c>
      <c r="DS183" s="762">
        <v>236709</v>
      </c>
      <c r="DT183" s="762">
        <v>0</v>
      </c>
      <c r="DU183" s="762">
        <v>0</v>
      </c>
      <c r="DV183" s="762">
        <v>0</v>
      </c>
      <c r="DW183" s="762">
        <v>0</v>
      </c>
      <c r="DX183" s="762">
        <v>0</v>
      </c>
      <c r="DY183" s="762">
        <v>0</v>
      </c>
      <c r="DZ183" s="762">
        <v>0</v>
      </c>
      <c r="EA183" s="762">
        <v>0</v>
      </c>
      <c r="EB183" s="762">
        <v>3798575</v>
      </c>
      <c r="EC183" s="762">
        <v>2136699</v>
      </c>
      <c r="ED183" s="762">
        <v>0</v>
      </c>
      <c r="EE183" s="762">
        <v>5935274</v>
      </c>
      <c r="EF183" s="762">
        <v>9755797</v>
      </c>
      <c r="EG183" s="762">
        <v>5437775</v>
      </c>
      <c r="EH183" s="762">
        <v>0</v>
      </c>
      <c r="EI183" s="799">
        <v>15193572</v>
      </c>
      <c r="EJ183" s="763" t="s">
        <v>236</v>
      </c>
      <c r="EK183" s="607" t="s">
        <v>628</v>
      </c>
      <c r="EL183" s="272" t="s">
        <v>528</v>
      </c>
      <c r="EM183" t="s">
        <v>1749</v>
      </c>
    </row>
    <row r="184" spans="1:143" ht="12.75" x14ac:dyDescent="0.2">
      <c r="A184" s="764">
        <v>177</v>
      </c>
      <c r="B184" s="765" t="s">
        <v>239</v>
      </c>
      <c r="C184" s="766" t="s">
        <v>1217</v>
      </c>
      <c r="D184" s="767" t="s">
        <v>1226</v>
      </c>
      <c r="E184" s="768" t="s">
        <v>238</v>
      </c>
      <c r="F184" s="761">
        <v>32016014</v>
      </c>
      <c r="G184" s="762">
        <v>0</v>
      </c>
      <c r="H184" s="762">
        <v>348386</v>
      </c>
      <c r="I184" s="762">
        <v>208861</v>
      </c>
      <c r="J184" s="762">
        <v>0</v>
      </c>
      <c r="K184" s="762">
        <v>208861</v>
      </c>
      <c r="L184" s="762">
        <v>0</v>
      </c>
      <c r="M184" s="762">
        <v>0</v>
      </c>
      <c r="N184" s="762">
        <v>381182</v>
      </c>
      <c r="O184" s="762">
        <v>381182</v>
      </c>
      <c r="P184" s="762">
        <v>0</v>
      </c>
      <c r="Q184" s="762">
        <v>0</v>
      </c>
      <c r="R184" s="762">
        <v>31077585</v>
      </c>
      <c r="S184" s="790">
        <v>0.5</v>
      </c>
      <c r="T184" s="790">
        <v>0.4</v>
      </c>
      <c r="U184" s="790">
        <v>0.09</v>
      </c>
      <c r="V184" s="790">
        <v>0.01</v>
      </c>
      <c r="W184" s="790">
        <v>1</v>
      </c>
      <c r="X184" s="762">
        <v>15538792</v>
      </c>
      <c r="Y184" s="762">
        <v>12431034</v>
      </c>
      <c r="Z184" s="762">
        <v>2796983</v>
      </c>
      <c r="AA184" s="762">
        <v>310776</v>
      </c>
      <c r="AB184" s="762">
        <v>31077585</v>
      </c>
      <c r="AC184" s="762">
        <v>0</v>
      </c>
      <c r="AD184" s="762">
        <v>0</v>
      </c>
      <c r="AE184" s="762">
        <v>0</v>
      </c>
      <c r="AF184" s="762">
        <v>0</v>
      </c>
      <c r="AG184" s="762">
        <v>0</v>
      </c>
      <c r="AH184" s="762">
        <v>15538792</v>
      </c>
      <c r="AI184" s="762">
        <v>12431034</v>
      </c>
      <c r="AJ184" s="762">
        <v>2796983</v>
      </c>
      <c r="AK184" s="762">
        <v>310776</v>
      </c>
      <c r="AL184" s="762">
        <v>31077585</v>
      </c>
      <c r="AM184" s="762">
        <v>208861</v>
      </c>
      <c r="AN184" s="762">
        <v>208861</v>
      </c>
      <c r="AO184" s="762">
        <v>0</v>
      </c>
      <c r="AP184" s="762">
        <v>0</v>
      </c>
      <c r="AQ184" s="762">
        <v>381182</v>
      </c>
      <c r="AR184" s="762">
        <v>0</v>
      </c>
      <c r="AS184" s="762">
        <v>381182</v>
      </c>
      <c r="AT184" s="762">
        <v>0</v>
      </c>
      <c r="AU184" s="762">
        <v>0</v>
      </c>
      <c r="AV184" s="762">
        <v>0</v>
      </c>
      <c r="AW184" s="762">
        <v>0</v>
      </c>
      <c r="AX184" s="762">
        <v>0</v>
      </c>
      <c r="AY184" s="762">
        <v>0</v>
      </c>
      <c r="AZ184" s="762">
        <v>0</v>
      </c>
      <c r="BA184" s="762">
        <v>0</v>
      </c>
      <c r="BB184" s="762">
        <v>0</v>
      </c>
      <c r="BC184" s="762">
        <v>0</v>
      </c>
      <c r="BD184" s="762">
        <v>0</v>
      </c>
      <c r="BE184" s="762">
        <v>0</v>
      </c>
      <c r="BF184" s="762">
        <v>0</v>
      </c>
      <c r="BG184" s="762">
        <v>0</v>
      </c>
      <c r="BH184" s="762">
        <v>0</v>
      </c>
      <c r="BI184" s="762">
        <v>0</v>
      </c>
      <c r="BJ184" s="790">
        <v>0</v>
      </c>
      <c r="BK184" s="790">
        <v>0.4</v>
      </c>
      <c r="BL184" s="790">
        <v>0.59</v>
      </c>
      <c r="BM184" s="790">
        <v>0.01</v>
      </c>
      <c r="BN184" s="790">
        <v>1</v>
      </c>
      <c r="BO184" s="762">
        <v>0</v>
      </c>
      <c r="BP184" s="762">
        <v>-113065</v>
      </c>
      <c r="BQ184" s="762">
        <v>-166771</v>
      </c>
      <c r="BR184" s="762">
        <v>-2827</v>
      </c>
      <c r="BS184" s="762">
        <v>-282663</v>
      </c>
      <c r="BT184" s="790">
        <v>0.5</v>
      </c>
      <c r="BU184" s="790">
        <v>0.4</v>
      </c>
      <c r="BV184" s="790">
        <v>0.09</v>
      </c>
      <c r="BW184" s="790">
        <v>0.01</v>
      </c>
      <c r="BX184" s="790">
        <v>1</v>
      </c>
      <c r="BY184" s="762">
        <v>-214419</v>
      </c>
      <c r="BZ184" s="762">
        <v>-171535</v>
      </c>
      <c r="CA184" s="762">
        <v>-38595</v>
      </c>
      <c r="CB184" s="762">
        <v>-4288</v>
      </c>
      <c r="CC184" s="762">
        <v>-428837</v>
      </c>
      <c r="CD184" s="762">
        <v>-214419</v>
      </c>
      <c r="CE184" s="762">
        <v>-284600</v>
      </c>
      <c r="CF184" s="762">
        <v>-205366</v>
      </c>
      <c r="CG184" s="762">
        <v>-7115</v>
      </c>
      <c r="CH184" s="762">
        <v>-711500</v>
      </c>
      <c r="CI184" s="762">
        <v>15324373</v>
      </c>
      <c r="CJ184" s="762">
        <v>12736477</v>
      </c>
      <c r="CK184" s="762">
        <v>2591617</v>
      </c>
      <c r="CL184" s="762">
        <v>303661</v>
      </c>
      <c r="CM184" s="762">
        <v>30956128</v>
      </c>
      <c r="CN184" s="762">
        <v>417506</v>
      </c>
      <c r="CO184" s="762">
        <v>91144</v>
      </c>
      <c r="CP184" s="762">
        <v>10127</v>
      </c>
      <c r="CQ184" s="762">
        <v>518777</v>
      </c>
      <c r="CR184" s="762">
        <v>2056193</v>
      </c>
      <c r="CS184" s="762">
        <v>462643</v>
      </c>
      <c r="CT184" s="762">
        <v>51405</v>
      </c>
      <c r="CU184" s="762">
        <v>2570241</v>
      </c>
      <c r="CV184" s="762">
        <v>79749</v>
      </c>
      <c r="CW184" s="762">
        <v>17944</v>
      </c>
      <c r="CX184" s="762">
        <v>1994</v>
      </c>
      <c r="CY184" s="762">
        <v>99687</v>
      </c>
      <c r="CZ184" s="762">
        <v>2768</v>
      </c>
      <c r="DA184" s="762">
        <v>623</v>
      </c>
      <c r="DB184" s="762">
        <v>69</v>
      </c>
      <c r="DC184" s="762">
        <v>3460</v>
      </c>
      <c r="DD184" s="762">
        <v>12429</v>
      </c>
      <c r="DE184" s="762">
        <v>2797</v>
      </c>
      <c r="DF184" s="762">
        <v>311</v>
      </c>
      <c r="DG184" s="762">
        <v>15537</v>
      </c>
      <c r="DH184" s="762">
        <v>1239</v>
      </c>
      <c r="DI184" s="762">
        <v>279</v>
      </c>
      <c r="DJ184" s="762">
        <v>31</v>
      </c>
      <c r="DK184" s="762">
        <v>1549</v>
      </c>
      <c r="DL184" s="762">
        <v>9514</v>
      </c>
      <c r="DM184" s="762">
        <v>2141</v>
      </c>
      <c r="DN184" s="762">
        <v>238</v>
      </c>
      <c r="DO184" s="762">
        <v>11893</v>
      </c>
      <c r="DP184" s="762">
        <v>20652</v>
      </c>
      <c r="DQ184" s="762">
        <v>4647</v>
      </c>
      <c r="DR184" s="762">
        <v>516</v>
      </c>
      <c r="DS184" s="762">
        <v>25815</v>
      </c>
      <c r="DT184" s="762">
        <v>0</v>
      </c>
      <c r="DU184" s="762">
        <v>0</v>
      </c>
      <c r="DV184" s="762">
        <v>0</v>
      </c>
      <c r="DW184" s="762">
        <v>0</v>
      </c>
      <c r="DX184" s="762">
        <v>0</v>
      </c>
      <c r="DY184" s="762">
        <v>0</v>
      </c>
      <c r="DZ184" s="762">
        <v>0</v>
      </c>
      <c r="EA184" s="762">
        <v>0</v>
      </c>
      <c r="EB184" s="762">
        <v>414002</v>
      </c>
      <c r="EC184" s="762">
        <v>93150</v>
      </c>
      <c r="ED184" s="762">
        <v>10350</v>
      </c>
      <c r="EE184" s="762">
        <v>517502</v>
      </c>
      <c r="EF184" s="762">
        <v>3014052</v>
      </c>
      <c r="EG184" s="762">
        <v>675368</v>
      </c>
      <c r="EH184" s="762">
        <v>75041</v>
      </c>
      <c r="EI184" s="799">
        <v>3764461</v>
      </c>
      <c r="EJ184" s="763" t="s">
        <v>238</v>
      </c>
      <c r="EK184" s="607" t="s">
        <v>565</v>
      </c>
      <c r="EL184" s="805" t="s">
        <v>563</v>
      </c>
      <c r="EM184" t="s">
        <v>1750</v>
      </c>
    </row>
    <row r="185" spans="1:143" ht="12.75" x14ac:dyDescent="0.2">
      <c r="A185" s="764">
        <v>178</v>
      </c>
      <c r="B185" s="765" t="s">
        <v>241</v>
      </c>
      <c r="C185" s="766" t="s">
        <v>1217</v>
      </c>
      <c r="D185" s="767" t="s">
        <v>1220</v>
      </c>
      <c r="E185" s="768" t="s">
        <v>240</v>
      </c>
      <c r="F185" s="761">
        <v>16883007</v>
      </c>
      <c r="G185" s="762">
        <v>411749</v>
      </c>
      <c r="H185" s="762">
        <v>0</v>
      </c>
      <c r="I185" s="762">
        <v>101044</v>
      </c>
      <c r="J185" s="762">
        <v>0</v>
      </c>
      <c r="K185" s="762">
        <v>101044</v>
      </c>
      <c r="L185" s="762">
        <v>0</v>
      </c>
      <c r="M185" s="762">
        <v>0</v>
      </c>
      <c r="N185" s="762">
        <v>0</v>
      </c>
      <c r="O185" s="762">
        <v>0</v>
      </c>
      <c r="P185" s="762">
        <v>0</v>
      </c>
      <c r="Q185" s="762">
        <v>0</v>
      </c>
      <c r="R185" s="762">
        <v>17193712</v>
      </c>
      <c r="S185" s="790">
        <v>0.5</v>
      </c>
      <c r="T185" s="790">
        <v>0.4</v>
      </c>
      <c r="U185" s="790">
        <v>0.09</v>
      </c>
      <c r="V185" s="790">
        <v>0.01</v>
      </c>
      <c r="W185" s="790">
        <v>1</v>
      </c>
      <c r="X185" s="762">
        <v>8596856</v>
      </c>
      <c r="Y185" s="762">
        <v>6877485</v>
      </c>
      <c r="Z185" s="762">
        <v>1547434</v>
      </c>
      <c r="AA185" s="762">
        <v>171937</v>
      </c>
      <c r="AB185" s="762">
        <v>17193712</v>
      </c>
      <c r="AC185" s="762">
        <v>0</v>
      </c>
      <c r="AD185" s="762">
        <v>0</v>
      </c>
      <c r="AE185" s="762">
        <v>0</v>
      </c>
      <c r="AF185" s="762">
        <v>0</v>
      </c>
      <c r="AG185" s="762">
        <v>0</v>
      </c>
      <c r="AH185" s="762">
        <v>8596856</v>
      </c>
      <c r="AI185" s="762">
        <v>6877485</v>
      </c>
      <c r="AJ185" s="762">
        <v>1547434</v>
      </c>
      <c r="AK185" s="762">
        <v>171937</v>
      </c>
      <c r="AL185" s="762">
        <v>17193712</v>
      </c>
      <c r="AM185" s="762">
        <v>101044</v>
      </c>
      <c r="AN185" s="762">
        <v>101044</v>
      </c>
      <c r="AO185" s="762">
        <v>0</v>
      </c>
      <c r="AP185" s="762">
        <v>0</v>
      </c>
      <c r="AQ185" s="762">
        <v>0</v>
      </c>
      <c r="AR185" s="762">
        <v>0</v>
      </c>
      <c r="AS185" s="762">
        <v>0</v>
      </c>
      <c r="AT185" s="762">
        <v>0</v>
      </c>
      <c r="AU185" s="762">
        <v>0</v>
      </c>
      <c r="AV185" s="762">
        <v>0</v>
      </c>
      <c r="AW185" s="762">
        <v>0</v>
      </c>
      <c r="AX185" s="762">
        <v>0</v>
      </c>
      <c r="AY185" s="762">
        <v>0</v>
      </c>
      <c r="AZ185" s="762">
        <v>0</v>
      </c>
      <c r="BA185" s="762">
        <v>0</v>
      </c>
      <c r="BB185" s="762">
        <v>0</v>
      </c>
      <c r="BC185" s="762">
        <v>0</v>
      </c>
      <c r="BD185" s="762">
        <v>0</v>
      </c>
      <c r="BE185" s="762">
        <v>0</v>
      </c>
      <c r="BF185" s="762">
        <v>0</v>
      </c>
      <c r="BG185" s="762">
        <v>0</v>
      </c>
      <c r="BH185" s="762">
        <v>0</v>
      </c>
      <c r="BI185" s="762">
        <v>0</v>
      </c>
      <c r="BJ185" s="790">
        <v>0</v>
      </c>
      <c r="BK185" s="790">
        <v>0.5</v>
      </c>
      <c r="BL185" s="790">
        <v>0.49</v>
      </c>
      <c r="BM185" s="790">
        <v>0.01</v>
      </c>
      <c r="BN185" s="790">
        <v>1</v>
      </c>
      <c r="BO185" s="762">
        <v>0</v>
      </c>
      <c r="BP185" s="762">
        <v>-490025</v>
      </c>
      <c r="BQ185" s="762">
        <v>-480224</v>
      </c>
      <c r="BR185" s="762">
        <v>-9800</v>
      </c>
      <c r="BS185" s="762">
        <v>-980049</v>
      </c>
      <c r="BT185" s="790">
        <v>0.5</v>
      </c>
      <c r="BU185" s="790">
        <v>0.4</v>
      </c>
      <c r="BV185" s="790">
        <v>0.09</v>
      </c>
      <c r="BW185" s="790">
        <v>0.01</v>
      </c>
      <c r="BX185" s="790">
        <v>1</v>
      </c>
      <c r="BY185" s="762">
        <v>-383811</v>
      </c>
      <c r="BZ185" s="762">
        <v>-307048</v>
      </c>
      <c r="CA185" s="762">
        <v>-69086</v>
      </c>
      <c r="CB185" s="762">
        <v>-7676</v>
      </c>
      <c r="CC185" s="762">
        <v>-767621</v>
      </c>
      <c r="CD185" s="762">
        <v>-383811</v>
      </c>
      <c r="CE185" s="762">
        <v>-797073</v>
      </c>
      <c r="CF185" s="762">
        <v>-549310</v>
      </c>
      <c r="CG185" s="762">
        <v>-17476</v>
      </c>
      <c r="CH185" s="762">
        <v>-1747670</v>
      </c>
      <c r="CI185" s="762">
        <v>8213045</v>
      </c>
      <c r="CJ185" s="762">
        <v>6181456</v>
      </c>
      <c r="CK185" s="762">
        <v>998124</v>
      </c>
      <c r="CL185" s="762">
        <v>154461</v>
      </c>
      <c r="CM185" s="762">
        <v>15547086</v>
      </c>
      <c r="CN185" s="762">
        <v>224114</v>
      </c>
      <c r="CO185" s="762">
        <v>50426</v>
      </c>
      <c r="CP185" s="762">
        <v>5603</v>
      </c>
      <c r="CQ185" s="762">
        <v>280143</v>
      </c>
      <c r="CR185" s="762">
        <v>822409</v>
      </c>
      <c r="CS185" s="762">
        <v>185042</v>
      </c>
      <c r="CT185" s="762">
        <v>20560</v>
      </c>
      <c r="CU185" s="762">
        <v>1028011</v>
      </c>
      <c r="CV185" s="762">
        <v>48736</v>
      </c>
      <c r="CW185" s="762">
        <v>10966</v>
      </c>
      <c r="CX185" s="762">
        <v>1218</v>
      </c>
      <c r="CY185" s="762">
        <v>60920</v>
      </c>
      <c r="CZ185" s="762">
        <v>0</v>
      </c>
      <c r="DA185" s="762">
        <v>0</v>
      </c>
      <c r="DB185" s="762">
        <v>0</v>
      </c>
      <c r="DC185" s="762">
        <v>0</v>
      </c>
      <c r="DD185" s="762">
        <v>0</v>
      </c>
      <c r="DE185" s="762">
        <v>0</v>
      </c>
      <c r="DF185" s="762">
        <v>0</v>
      </c>
      <c r="DG185" s="762">
        <v>0</v>
      </c>
      <c r="DH185" s="762">
        <v>0</v>
      </c>
      <c r="DI185" s="762">
        <v>0</v>
      </c>
      <c r="DJ185" s="762">
        <v>0</v>
      </c>
      <c r="DK185" s="762">
        <v>0</v>
      </c>
      <c r="DL185" s="762">
        <v>10692</v>
      </c>
      <c r="DM185" s="762">
        <v>2406</v>
      </c>
      <c r="DN185" s="762">
        <v>267</v>
      </c>
      <c r="DO185" s="762">
        <v>13365</v>
      </c>
      <c r="DP185" s="762">
        <v>11417</v>
      </c>
      <c r="DQ185" s="762">
        <v>2569</v>
      </c>
      <c r="DR185" s="762">
        <v>285</v>
      </c>
      <c r="DS185" s="762">
        <v>14271</v>
      </c>
      <c r="DT185" s="762">
        <v>0</v>
      </c>
      <c r="DU185" s="762">
        <v>0</v>
      </c>
      <c r="DV185" s="762">
        <v>0</v>
      </c>
      <c r="DW185" s="762">
        <v>0</v>
      </c>
      <c r="DX185" s="762">
        <v>0</v>
      </c>
      <c r="DY185" s="762">
        <v>0</v>
      </c>
      <c r="DZ185" s="762">
        <v>0</v>
      </c>
      <c r="EA185" s="762">
        <v>0</v>
      </c>
      <c r="EB185" s="762">
        <v>205419</v>
      </c>
      <c r="EC185" s="762">
        <v>46219</v>
      </c>
      <c r="ED185" s="762">
        <v>5135</v>
      </c>
      <c r="EE185" s="762">
        <v>256773</v>
      </c>
      <c r="EF185" s="762">
        <v>1322787</v>
      </c>
      <c r="EG185" s="762">
        <v>297628</v>
      </c>
      <c r="EH185" s="762">
        <v>33068</v>
      </c>
      <c r="EI185" s="799">
        <v>1653483</v>
      </c>
      <c r="EJ185" s="763" t="s">
        <v>240</v>
      </c>
      <c r="EK185" s="607" t="s">
        <v>560</v>
      </c>
      <c r="EL185" s="805" t="s">
        <v>559</v>
      </c>
      <c r="EM185" t="s">
        <v>1751</v>
      </c>
    </row>
    <row r="186" spans="1:143" ht="12.75" x14ac:dyDescent="0.2">
      <c r="A186" s="764">
        <v>179</v>
      </c>
      <c r="B186" s="765" t="s">
        <v>243</v>
      </c>
      <c r="C186" s="766" t="s">
        <v>529</v>
      </c>
      <c r="D186" s="767" t="s">
        <v>1225</v>
      </c>
      <c r="E186" s="768" t="s">
        <v>587</v>
      </c>
      <c r="F186" s="761">
        <v>62600071</v>
      </c>
      <c r="G186" s="762">
        <v>0</v>
      </c>
      <c r="H186" s="762">
        <v>3070065</v>
      </c>
      <c r="I186" s="762">
        <v>220390</v>
      </c>
      <c r="J186" s="762">
        <v>0</v>
      </c>
      <c r="K186" s="762">
        <v>220390</v>
      </c>
      <c r="L186" s="762">
        <v>0</v>
      </c>
      <c r="M186" s="762">
        <v>0</v>
      </c>
      <c r="N186" s="762">
        <v>136663</v>
      </c>
      <c r="O186" s="762">
        <v>136663</v>
      </c>
      <c r="P186" s="762">
        <v>0</v>
      </c>
      <c r="Q186" s="762">
        <v>0</v>
      </c>
      <c r="R186" s="762">
        <v>59172953</v>
      </c>
      <c r="S186" s="790">
        <v>0.5</v>
      </c>
      <c r="T186" s="790">
        <v>0.49</v>
      </c>
      <c r="U186" s="790">
        <v>0</v>
      </c>
      <c r="V186" s="790">
        <v>0.01</v>
      </c>
      <c r="W186" s="790">
        <v>1</v>
      </c>
      <c r="X186" s="762">
        <v>29586476</v>
      </c>
      <c r="Y186" s="762">
        <v>28994747</v>
      </c>
      <c r="Z186" s="762">
        <v>0</v>
      </c>
      <c r="AA186" s="762">
        <v>591730</v>
      </c>
      <c r="AB186" s="762">
        <v>59172953</v>
      </c>
      <c r="AC186" s="762">
        <v>176264</v>
      </c>
      <c r="AD186" s="762">
        <v>0</v>
      </c>
      <c r="AE186" s="762">
        <v>0</v>
      </c>
      <c r="AF186" s="762">
        <v>0</v>
      </c>
      <c r="AG186" s="762">
        <v>176264</v>
      </c>
      <c r="AH186" s="762">
        <v>29410212</v>
      </c>
      <c r="AI186" s="762">
        <v>28994747</v>
      </c>
      <c r="AJ186" s="762">
        <v>0</v>
      </c>
      <c r="AK186" s="762">
        <v>591730</v>
      </c>
      <c r="AL186" s="762">
        <v>58996689</v>
      </c>
      <c r="AM186" s="762">
        <v>220390</v>
      </c>
      <c r="AN186" s="762">
        <v>220390</v>
      </c>
      <c r="AO186" s="762">
        <v>0</v>
      </c>
      <c r="AP186" s="762">
        <v>0</v>
      </c>
      <c r="AQ186" s="762">
        <v>136663</v>
      </c>
      <c r="AR186" s="762">
        <v>0</v>
      </c>
      <c r="AS186" s="762">
        <v>136663</v>
      </c>
      <c r="AT186" s="762">
        <v>0</v>
      </c>
      <c r="AU186" s="762">
        <v>0</v>
      </c>
      <c r="AV186" s="762">
        <v>0</v>
      </c>
      <c r="AW186" s="762">
        <v>0</v>
      </c>
      <c r="AX186" s="762">
        <v>176264</v>
      </c>
      <c r="AY186" s="762">
        <v>0</v>
      </c>
      <c r="AZ186" s="762">
        <v>0</v>
      </c>
      <c r="BA186" s="762">
        <v>176264</v>
      </c>
      <c r="BB186" s="762">
        <v>0</v>
      </c>
      <c r="BC186" s="762">
        <v>0</v>
      </c>
      <c r="BD186" s="762">
        <v>0</v>
      </c>
      <c r="BE186" s="762">
        <v>0</v>
      </c>
      <c r="BF186" s="762">
        <v>0</v>
      </c>
      <c r="BG186" s="762">
        <v>0</v>
      </c>
      <c r="BH186" s="762">
        <v>0</v>
      </c>
      <c r="BI186" s="762">
        <v>0</v>
      </c>
      <c r="BJ186" s="790">
        <v>0.5</v>
      </c>
      <c r="BK186" s="790">
        <v>0.49</v>
      </c>
      <c r="BL186" s="790">
        <v>0</v>
      </c>
      <c r="BM186" s="790">
        <v>0.01</v>
      </c>
      <c r="BN186" s="790">
        <v>1</v>
      </c>
      <c r="BO186" s="762">
        <v>-1026154</v>
      </c>
      <c r="BP186" s="762">
        <v>-1005630</v>
      </c>
      <c r="BQ186" s="762">
        <v>0</v>
      </c>
      <c r="BR186" s="762">
        <v>-20523</v>
      </c>
      <c r="BS186" s="762">
        <v>-2052307</v>
      </c>
      <c r="BT186" s="790">
        <v>0.5</v>
      </c>
      <c r="BU186" s="790">
        <v>0.49</v>
      </c>
      <c r="BV186" s="790">
        <v>0</v>
      </c>
      <c r="BW186" s="790">
        <v>0.01</v>
      </c>
      <c r="BX186" s="790">
        <v>1</v>
      </c>
      <c r="BY186" s="762">
        <v>-282364</v>
      </c>
      <c r="BZ186" s="762">
        <v>-276717</v>
      </c>
      <c r="CA186" s="762">
        <v>0</v>
      </c>
      <c r="CB186" s="762">
        <v>-5647</v>
      </c>
      <c r="CC186" s="762">
        <v>-564728</v>
      </c>
      <c r="CD186" s="762">
        <v>-1308518</v>
      </c>
      <c r="CE186" s="762">
        <v>-1282347</v>
      </c>
      <c r="CF186" s="762">
        <v>0</v>
      </c>
      <c r="CG186" s="762">
        <v>-26170</v>
      </c>
      <c r="CH186" s="762">
        <v>-2617035</v>
      </c>
      <c r="CI186" s="762">
        <v>28101694</v>
      </c>
      <c r="CJ186" s="762">
        <v>28245717</v>
      </c>
      <c r="CK186" s="762">
        <v>0</v>
      </c>
      <c r="CL186" s="762">
        <v>565560</v>
      </c>
      <c r="CM186" s="762">
        <v>56912971</v>
      </c>
      <c r="CN186" s="762">
        <v>955036</v>
      </c>
      <c r="CO186" s="762">
        <v>0</v>
      </c>
      <c r="CP186" s="762">
        <v>19282</v>
      </c>
      <c r="CQ186" s="762">
        <v>974318</v>
      </c>
      <c r="CR186" s="762">
        <v>1711627</v>
      </c>
      <c r="CS186" s="762">
        <v>0</v>
      </c>
      <c r="CT186" s="762">
        <v>34931</v>
      </c>
      <c r="CU186" s="762">
        <v>1746558</v>
      </c>
      <c r="CV186" s="762">
        <v>29999</v>
      </c>
      <c r="CW186" s="762">
        <v>0</v>
      </c>
      <c r="CX186" s="762">
        <v>612</v>
      </c>
      <c r="CY186" s="762">
        <v>30611</v>
      </c>
      <c r="CZ186" s="762">
        <v>22565</v>
      </c>
      <c r="DA186" s="762">
        <v>0</v>
      </c>
      <c r="DB186" s="762">
        <v>461</v>
      </c>
      <c r="DC186" s="762">
        <v>23026</v>
      </c>
      <c r="DD186" s="762">
        <v>309</v>
      </c>
      <c r="DE186" s="762">
        <v>0</v>
      </c>
      <c r="DF186" s="762">
        <v>6</v>
      </c>
      <c r="DG186" s="762">
        <v>315</v>
      </c>
      <c r="DH186" s="762">
        <v>759</v>
      </c>
      <c r="DI186" s="762">
        <v>0</v>
      </c>
      <c r="DJ186" s="762">
        <v>15</v>
      </c>
      <c r="DK186" s="762">
        <v>774</v>
      </c>
      <c r="DL186" s="762">
        <v>8822</v>
      </c>
      <c r="DM186" s="762">
        <v>0</v>
      </c>
      <c r="DN186" s="762">
        <v>180</v>
      </c>
      <c r="DO186" s="762">
        <v>9002</v>
      </c>
      <c r="DP186" s="762">
        <v>28261</v>
      </c>
      <c r="DQ186" s="762">
        <v>0</v>
      </c>
      <c r="DR186" s="762">
        <v>577</v>
      </c>
      <c r="DS186" s="762">
        <v>28838</v>
      </c>
      <c r="DT186" s="762">
        <v>0</v>
      </c>
      <c r="DU186" s="762">
        <v>0</v>
      </c>
      <c r="DV186" s="762">
        <v>0</v>
      </c>
      <c r="DW186" s="762">
        <v>0</v>
      </c>
      <c r="DX186" s="762">
        <v>0</v>
      </c>
      <c r="DY186" s="762">
        <v>0</v>
      </c>
      <c r="DZ186" s="762">
        <v>0</v>
      </c>
      <c r="EA186" s="762">
        <v>0</v>
      </c>
      <c r="EB186" s="762">
        <v>315433</v>
      </c>
      <c r="EC186" s="762">
        <v>0</v>
      </c>
      <c r="ED186" s="762">
        <v>6437</v>
      </c>
      <c r="EE186" s="762">
        <v>321870</v>
      </c>
      <c r="EF186" s="762">
        <v>3072811</v>
      </c>
      <c r="EG186" s="762">
        <v>0</v>
      </c>
      <c r="EH186" s="762">
        <v>62501</v>
      </c>
      <c r="EI186" s="799">
        <v>3135312</v>
      </c>
      <c r="EJ186" s="763" t="s">
        <v>587</v>
      </c>
      <c r="EK186" s="607" t="s">
        <v>529</v>
      </c>
      <c r="EL186" s="805" t="s">
        <v>586</v>
      </c>
      <c r="EM186" t="s">
        <v>1752</v>
      </c>
    </row>
    <row r="187" spans="1:143" ht="12.75" x14ac:dyDescent="0.2">
      <c r="A187" s="764">
        <v>180</v>
      </c>
      <c r="B187" s="765" t="s">
        <v>245</v>
      </c>
      <c r="C187" s="766" t="s">
        <v>1217</v>
      </c>
      <c r="D187" s="767" t="s">
        <v>1221</v>
      </c>
      <c r="E187" s="768" t="s">
        <v>244</v>
      </c>
      <c r="F187" s="761">
        <v>37512473</v>
      </c>
      <c r="G187" s="762">
        <v>287304</v>
      </c>
      <c r="H187" s="762">
        <v>0</v>
      </c>
      <c r="I187" s="762">
        <v>176277</v>
      </c>
      <c r="J187" s="762">
        <v>0</v>
      </c>
      <c r="K187" s="762">
        <v>176277</v>
      </c>
      <c r="L187" s="762">
        <v>0</v>
      </c>
      <c r="M187" s="762">
        <v>0</v>
      </c>
      <c r="N187" s="762">
        <v>32228</v>
      </c>
      <c r="O187" s="762">
        <v>32000</v>
      </c>
      <c r="P187" s="762">
        <v>228</v>
      </c>
      <c r="Q187" s="762">
        <v>0</v>
      </c>
      <c r="R187" s="762">
        <v>37591272</v>
      </c>
      <c r="S187" s="790">
        <v>0.25</v>
      </c>
      <c r="T187" s="790">
        <v>0.35</v>
      </c>
      <c r="U187" s="790">
        <v>0.4</v>
      </c>
      <c r="V187" s="790">
        <v>0</v>
      </c>
      <c r="W187" s="790">
        <v>1</v>
      </c>
      <c r="X187" s="762">
        <v>9397818</v>
      </c>
      <c r="Y187" s="762">
        <v>13156945</v>
      </c>
      <c r="Z187" s="762">
        <v>15036509</v>
      </c>
      <c r="AA187" s="762">
        <v>0</v>
      </c>
      <c r="AB187" s="762">
        <v>37591272</v>
      </c>
      <c r="AC187" s="762">
        <v>0</v>
      </c>
      <c r="AD187" s="762">
        <v>0</v>
      </c>
      <c r="AE187" s="762">
        <v>0</v>
      </c>
      <c r="AF187" s="762">
        <v>0</v>
      </c>
      <c r="AG187" s="762">
        <v>0</v>
      </c>
      <c r="AH187" s="762">
        <v>9397818</v>
      </c>
      <c r="AI187" s="762">
        <v>13156945</v>
      </c>
      <c r="AJ187" s="762">
        <v>15036509</v>
      </c>
      <c r="AK187" s="762">
        <v>0</v>
      </c>
      <c r="AL187" s="762">
        <v>37591272</v>
      </c>
      <c r="AM187" s="762">
        <v>176277</v>
      </c>
      <c r="AN187" s="762">
        <v>176277</v>
      </c>
      <c r="AO187" s="762">
        <v>0</v>
      </c>
      <c r="AP187" s="762">
        <v>0</v>
      </c>
      <c r="AQ187" s="762">
        <v>32000</v>
      </c>
      <c r="AR187" s="762">
        <v>228</v>
      </c>
      <c r="AS187" s="762">
        <v>32228</v>
      </c>
      <c r="AT187" s="762">
        <v>0</v>
      </c>
      <c r="AU187" s="762">
        <v>0</v>
      </c>
      <c r="AV187" s="762">
        <v>0</v>
      </c>
      <c r="AW187" s="762">
        <v>0</v>
      </c>
      <c r="AX187" s="762">
        <v>0</v>
      </c>
      <c r="AY187" s="762">
        <v>0</v>
      </c>
      <c r="AZ187" s="762">
        <v>0</v>
      </c>
      <c r="BA187" s="762">
        <v>0</v>
      </c>
      <c r="BB187" s="762">
        <v>0</v>
      </c>
      <c r="BC187" s="762">
        <v>0</v>
      </c>
      <c r="BD187" s="762">
        <v>0</v>
      </c>
      <c r="BE187" s="762">
        <v>0</v>
      </c>
      <c r="BF187" s="762">
        <v>0</v>
      </c>
      <c r="BG187" s="762">
        <v>0</v>
      </c>
      <c r="BH187" s="762">
        <v>0</v>
      </c>
      <c r="BI187" s="762">
        <v>0</v>
      </c>
      <c r="BJ187" s="790">
        <v>0.5</v>
      </c>
      <c r="BK187" s="790">
        <v>0.4</v>
      </c>
      <c r="BL187" s="790">
        <v>0.1</v>
      </c>
      <c r="BM187" s="790">
        <v>0</v>
      </c>
      <c r="BN187" s="790">
        <v>1</v>
      </c>
      <c r="BO187" s="762">
        <v>-112313</v>
      </c>
      <c r="BP187" s="762">
        <v>-89851</v>
      </c>
      <c r="BQ187" s="762">
        <v>-22463</v>
      </c>
      <c r="BR187" s="762">
        <v>0</v>
      </c>
      <c r="BS187" s="762">
        <v>-224627</v>
      </c>
      <c r="BT187" s="790">
        <v>0.5</v>
      </c>
      <c r="BU187" s="790">
        <v>0.4</v>
      </c>
      <c r="BV187" s="790">
        <v>0.1</v>
      </c>
      <c r="BW187" s="790">
        <v>0</v>
      </c>
      <c r="BX187" s="790">
        <v>1</v>
      </c>
      <c r="BY187" s="762">
        <v>40240</v>
      </c>
      <c r="BZ187" s="762">
        <v>32192</v>
      </c>
      <c r="CA187" s="762">
        <v>8048</v>
      </c>
      <c r="CB187" s="762">
        <v>0</v>
      </c>
      <c r="CC187" s="762">
        <v>80480</v>
      </c>
      <c r="CD187" s="762">
        <v>-72073</v>
      </c>
      <c r="CE187" s="762">
        <v>-57659</v>
      </c>
      <c r="CF187" s="762">
        <v>-14415</v>
      </c>
      <c r="CG187" s="762">
        <v>0</v>
      </c>
      <c r="CH187" s="762">
        <v>-144147</v>
      </c>
      <c r="CI187" s="762">
        <v>9325745</v>
      </c>
      <c r="CJ187" s="762">
        <v>13307563</v>
      </c>
      <c r="CK187" s="762">
        <v>15022322</v>
      </c>
      <c r="CL187" s="762">
        <v>0</v>
      </c>
      <c r="CM187" s="762">
        <v>37655630</v>
      </c>
      <c r="CN187" s="762">
        <v>429782</v>
      </c>
      <c r="CO187" s="762">
        <v>489996</v>
      </c>
      <c r="CP187" s="762">
        <v>0</v>
      </c>
      <c r="CQ187" s="762">
        <v>919778</v>
      </c>
      <c r="CR187" s="762">
        <v>1198929</v>
      </c>
      <c r="CS187" s="762">
        <v>1370203</v>
      </c>
      <c r="CT187" s="762">
        <v>0</v>
      </c>
      <c r="CU187" s="762">
        <v>2569132</v>
      </c>
      <c r="CV187" s="762">
        <v>100146</v>
      </c>
      <c r="CW187" s="762">
        <v>114452</v>
      </c>
      <c r="CX187" s="762">
        <v>0</v>
      </c>
      <c r="CY187" s="762">
        <v>214598</v>
      </c>
      <c r="CZ187" s="762">
        <v>0</v>
      </c>
      <c r="DA187" s="762">
        <v>0</v>
      </c>
      <c r="DB187" s="762">
        <v>0</v>
      </c>
      <c r="DC187" s="762">
        <v>0</v>
      </c>
      <c r="DD187" s="762">
        <v>3397</v>
      </c>
      <c r="DE187" s="762">
        <v>3883</v>
      </c>
      <c r="DF187" s="762">
        <v>0</v>
      </c>
      <c r="DG187" s="762">
        <v>7280</v>
      </c>
      <c r="DH187" s="762">
        <v>0</v>
      </c>
      <c r="DI187" s="762">
        <v>0</v>
      </c>
      <c r="DJ187" s="762">
        <v>0</v>
      </c>
      <c r="DK187" s="762">
        <v>0</v>
      </c>
      <c r="DL187" s="762">
        <v>6719</v>
      </c>
      <c r="DM187" s="762">
        <v>7679</v>
      </c>
      <c r="DN187" s="762">
        <v>0</v>
      </c>
      <c r="DO187" s="762">
        <v>14398</v>
      </c>
      <c r="DP187" s="762">
        <v>23130</v>
      </c>
      <c r="DQ187" s="762">
        <v>26434</v>
      </c>
      <c r="DR187" s="762">
        <v>0</v>
      </c>
      <c r="DS187" s="762">
        <v>49564</v>
      </c>
      <c r="DT187" s="762">
        <v>0</v>
      </c>
      <c r="DU187" s="762">
        <v>0</v>
      </c>
      <c r="DV187" s="762">
        <v>0</v>
      </c>
      <c r="DW187" s="762">
        <v>0</v>
      </c>
      <c r="DX187" s="762">
        <v>0</v>
      </c>
      <c r="DY187" s="762">
        <v>0</v>
      </c>
      <c r="DZ187" s="762">
        <v>0</v>
      </c>
      <c r="EA187" s="762">
        <v>0</v>
      </c>
      <c r="EB187" s="762">
        <v>513016</v>
      </c>
      <c r="EC187" s="762">
        <v>586304</v>
      </c>
      <c r="ED187" s="762">
        <v>0</v>
      </c>
      <c r="EE187" s="762">
        <v>1099320</v>
      </c>
      <c r="EF187" s="762">
        <v>2275119</v>
      </c>
      <c r="EG187" s="762">
        <v>2598951</v>
      </c>
      <c r="EH187" s="762">
        <v>0</v>
      </c>
      <c r="EI187" s="799">
        <v>4874070</v>
      </c>
      <c r="EJ187" s="763" t="s">
        <v>244</v>
      </c>
      <c r="EK187" s="607" t="s">
        <v>584</v>
      </c>
      <c r="EL187" s="805" t="s">
        <v>556</v>
      </c>
      <c r="EM187" t="s">
        <v>1753</v>
      </c>
    </row>
    <row r="188" spans="1:143" ht="12.75" x14ac:dyDescent="0.2">
      <c r="A188" s="764">
        <v>181</v>
      </c>
      <c r="B188" s="765" t="s">
        <v>247</v>
      </c>
      <c r="C188" s="766" t="s">
        <v>1217</v>
      </c>
      <c r="D188" s="767" t="s">
        <v>1220</v>
      </c>
      <c r="E188" s="768" t="s">
        <v>246</v>
      </c>
      <c r="F188" s="761">
        <v>27846782</v>
      </c>
      <c r="G188" s="762">
        <v>465123</v>
      </c>
      <c r="H188" s="762">
        <v>0</v>
      </c>
      <c r="I188" s="762">
        <v>124434</v>
      </c>
      <c r="J188" s="762">
        <v>0</v>
      </c>
      <c r="K188" s="762">
        <v>124434</v>
      </c>
      <c r="L188" s="762">
        <v>0</v>
      </c>
      <c r="M188" s="762">
        <v>0</v>
      </c>
      <c r="N188" s="762">
        <v>1683059</v>
      </c>
      <c r="O188" s="762">
        <v>1552019</v>
      </c>
      <c r="P188" s="762">
        <v>131040</v>
      </c>
      <c r="Q188" s="762">
        <v>0</v>
      </c>
      <c r="R188" s="762">
        <v>26504412</v>
      </c>
      <c r="S188" s="790">
        <v>0.5</v>
      </c>
      <c r="T188" s="790">
        <v>0.4</v>
      </c>
      <c r="U188" s="790">
        <v>0.1</v>
      </c>
      <c r="V188" s="790">
        <v>0</v>
      </c>
      <c r="W188" s="790">
        <v>1</v>
      </c>
      <c r="X188" s="762">
        <v>13252206</v>
      </c>
      <c r="Y188" s="762">
        <v>10601765</v>
      </c>
      <c r="Z188" s="762">
        <v>2650441</v>
      </c>
      <c r="AA188" s="762">
        <v>0</v>
      </c>
      <c r="AB188" s="762">
        <v>26504412</v>
      </c>
      <c r="AC188" s="762">
        <v>0</v>
      </c>
      <c r="AD188" s="762">
        <v>0</v>
      </c>
      <c r="AE188" s="762">
        <v>0</v>
      </c>
      <c r="AF188" s="762">
        <v>0</v>
      </c>
      <c r="AG188" s="762">
        <v>0</v>
      </c>
      <c r="AH188" s="762">
        <v>13252206</v>
      </c>
      <c r="AI188" s="762">
        <v>10601765</v>
      </c>
      <c r="AJ188" s="762">
        <v>2650441</v>
      </c>
      <c r="AK188" s="762">
        <v>0</v>
      </c>
      <c r="AL188" s="762">
        <v>26504412</v>
      </c>
      <c r="AM188" s="762">
        <v>124434</v>
      </c>
      <c r="AN188" s="762">
        <v>124434</v>
      </c>
      <c r="AO188" s="762">
        <v>0</v>
      </c>
      <c r="AP188" s="762">
        <v>0</v>
      </c>
      <c r="AQ188" s="762">
        <v>1552019</v>
      </c>
      <c r="AR188" s="762">
        <v>131040</v>
      </c>
      <c r="AS188" s="762">
        <v>1683059</v>
      </c>
      <c r="AT188" s="762">
        <v>0</v>
      </c>
      <c r="AU188" s="762">
        <v>0</v>
      </c>
      <c r="AV188" s="762">
        <v>0</v>
      </c>
      <c r="AW188" s="762">
        <v>0</v>
      </c>
      <c r="AX188" s="762">
        <v>0</v>
      </c>
      <c r="AY188" s="762">
        <v>0</v>
      </c>
      <c r="AZ188" s="762">
        <v>0</v>
      </c>
      <c r="BA188" s="762">
        <v>0</v>
      </c>
      <c r="BB188" s="762">
        <v>0</v>
      </c>
      <c r="BC188" s="762">
        <v>0</v>
      </c>
      <c r="BD188" s="762">
        <v>0</v>
      </c>
      <c r="BE188" s="762">
        <v>0</v>
      </c>
      <c r="BF188" s="762">
        <v>0</v>
      </c>
      <c r="BG188" s="762">
        <v>0</v>
      </c>
      <c r="BH188" s="762">
        <v>0</v>
      </c>
      <c r="BI188" s="762">
        <v>0</v>
      </c>
      <c r="BJ188" s="790">
        <v>0</v>
      </c>
      <c r="BK188" s="790">
        <v>0.6</v>
      </c>
      <c r="BL188" s="790">
        <v>0.4</v>
      </c>
      <c r="BM188" s="790">
        <v>0</v>
      </c>
      <c r="BN188" s="790">
        <v>1</v>
      </c>
      <c r="BO188" s="762">
        <v>0</v>
      </c>
      <c r="BP188" s="762">
        <v>2079320</v>
      </c>
      <c r="BQ188" s="762">
        <v>1386214</v>
      </c>
      <c r="BR188" s="762">
        <v>0</v>
      </c>
      <c r="BS188" s="762">
        <v>3465534</v>
      </c>
      <c r="BT188" s="790">
        <v>0.5</v>
      </c>
      <c r="BU188" s="790">
        <v>0.4</v>
      </c>
      <c r="BV188" s="790">
        <v>0.1</v>
      </c>
      <c r="BW188" s="790">
        <v>0</v>
      </c>
      <c r="BX188" s="790">
        <v>1</v>
      </c>
      <c r="BY188" s="762">
        <v>-539462</v>
      </c>
      <c r="BZ188" s="762">
        <v>-431570</v>
      </c>
      <c r="CA188" s="762">
        <v>-107893</v>
      </c>
      <c r="CB188" s="762">
        <v>0</v>
      </c>
      <c r="CC188" s="762">
        <v>-1078925</v>
      </c>
      <c r="CD188" s="762">
        <v>-539462</v>
      </c>
      <c r="CE188" s="762">
        <v>1647750</v>
      </c>
      <c r="CF188" s="762">
        <v>1278321</v>
      </c>
      <c r="CG188" s="762">
        <v>0</v>
      </c>
      <c r="CH188" s="762">
        <v>2386609</v>
      </c>
      <c r="CI188" s="762">
        <v>12712744</v>
      </c>
      <c r="CJ188" s="762">
        <v>13925968</v>
      </c>
      <c r="CK188" s="762">
        <v>4059802</v>
      </c>
      <c r="CL188" s="762">
        <v>0</v>
      </c>
      <c r="CM188" s="762">
        <v>30698514</v>
      </c>
      <c r="CN188" s="762">
        <v>396050</v>
      </c>
      <c r="CO188" s="762">
        <v>90639</v>
      </c>
      <c r="CP188" s="762">
        <v>0</v>
      </c>
      <c r="CQ188" s="762">
        <v>486689</v>
      </c>
      <c r="CR188" s="762">
        <v>1016814</v>
      </c>
      <c r="CS188" s="762">
        <v>254204</v>
      </c>
      <c r="CT188" s="762">
        <v>0</v>
      </c>
      <c r="CU188" s="762">
        <v>1271018</v>
      </c>
      <c r="CV188" s="762">
        <v>49661</v>
      </c>
      <c r="CW188" s="762">
        <v>12415</v>
      </c>
      <c r="CX188" s="762">
        <v>0</v>
      </c>
      <c r="CY188" s="762">
        <v>62076</v>
      </c>
      <c r="CZ188" s="762">
        <v>3144</v>
      </c>
      <c r="DA188" s="762">
        <v>786</v>
      </c>
      <c r="DB188" s="762">
        <v>0</v>
      </c>
      <c r="DC188" s="762">
        <v>3930</v>
      </c>
      <c r="DD188" s="762">
        <v>0</v>
      </c>
      <c r="DE188" s="762">
        <v>0</v>
      </c>
      <c r="DF188" s="762">
        <v>0</v>
      </c>
      <c r="DG188" s="762">
        <v>0</v>
      </c>
      <c r="DH188" s="762">
        <v>619</v>
      </c>
      <c r="DI188" s="762">
        <v>155</v>
      </c>
      <c r="DJ188" s="762">
        <v>0</v>
      </c>
      <c r="DK188" s="762">
        <v>774</v>
      </c>
      <c r="DL188" s="762">
        <v>10650</v>
      </c>
      <c r="DM188" s="762">
        <v>2663</v>
      </c>
      <c r="DN188" s="762">
        <v>0</v>
      </c>
      <c r="DO188" s="762">
        <v>13313</v>
      </c>
      <c r="DP188" s="762">
        <v>15282</v>
      </c>
      <c r="DQ188" s="762">
        <v>3821</v>
      </c>
      <c r="DR188" s="762">
        <v>0</v>
      </c>
      <c r="DS188" s="762">
        <v>19103</v>
      </c>
      <c r="DT188" s="762">
        <v>0</v>
      </c>
      <c r="DU188" s="762">
        <v>0</v>
      </c>
      <c r="DV188" s="762">
        <v>0</v>
      </c>
      <c r="DW188" s="762">
        <v>0</v>
      </c>
      <c r="DX188" s="762">
        <v>0</v>
      </c>
      <c r="DY188" s="762">
        <v>0</v>
      </c>
      <c r="DZ188" s="762">
        <v>0</v>
      </c>
      <c r="EA188" s="762">
        <v>0</v>
      </c>
      <c r="EB188" s="762">
        <v>274740</v>
      </c>
      <c r="EC188" s="762">
        <v>68685</v>
      </c>
      <c r="ED188" s="762">
        <v>0</v>
      </c>
      <c r="EE188" s="762">
        <v>343425</v>
      </c>
      <c r="EF188" s="762">
        <v>1766960</v>
      </c>
      <c r="EG188" s="762">
        <v>433368</v>
      </c>
      <c r="EH188" s="762">
        <v>0</v>
      </c>
      <c r="EI188" s="799">
        <v>2200328</v>
      </c>
      <c r="EJ188" s="763" t="s">
        <v>246</v>
      </c>
      <c r="EK188" s="607" t="s">
        <v>600</v>
      </c>
      <c r="EL188" s="805" t="s">
        <v>556</v>
      </c>
      <c r="EM188" t="s">
        <v>1754</v>
      </c>
    </row>
    <row r="189" spans="1:143" ht="12.75" x14ac:dyDescent="0.2">
      <c r="A189" s="764">
        <v>182</v>
      </c>
      <c r="B189" s="765" t="s">
        <v>249</v>
      </c>
      <c r="C189" s="766" t="s">
        <v>529</v>
      </c>
      <c r="D189" s="767" t="s">
        <v>1225</v>
      </c>
      <c r="E189" s="768" t="s">
        <v>588</v>
      </c>
      <c r="F189" s="761">
        <v>83841746</v>
      </c>
      <c r="G189" s="762">
        <v>0</v>
      </c>
      <c r="H189" s="762">
        <v>3333784</v>
      </c>
      <c r="I189" s="762">
        <v>236445</v>
      </c>
      <c r="J189" s="762">
        <v>0</v>
      </c>
      <c r="K189" s="762">
        <v>236445</v>
      </c>
      <c r="L189" s="762">
        <v>0</v>
      </c>
      <c r="M189" s="762">
        <v>1209738</v>
      </c>
      <c r="N189" s="762">
        <v>2881193</v>
      </c>
      <c r="O189" s="762">
        <v>2881193</v>
      </c>
      <c r="P189" s="762">
        <v>0</v>
      </c>
      <c r="Q189" s="762">
        <v>0</v>
      </c>
      <c r="R189" s="762">
        <v>76180586</v>
      </c>
      <c r="S189" s="790">
        <v>0.5</v>
      </c>
      <c r="T189" s="790">
        <v>0.49</v>
      </c>
      <c r="U189" s="790">
        <v>0</v>
      </c>
      <c r="V189" s="790">
        <v>0.01</v>
      </c>
      <c r="W189" s="790">
        <v>1</v>
      </c>
      <c r="X189" s="762">
        <v>38090293</v>
      </c>
      <c r="Y189" s="762">
        <v>37328487</v>
      </c>
      <c r="Z189" s="762">
        <v>0</v>
      </c>
      <c r="AA189" s="762">
        <v>761806</v>
      </c>
      <c r="AB189" s="762">
        <v>76180586</v>
      </c>
      <c r="AC189" s="762">
        <v>81176</v>
      </c>
      <c r="AD189" s="762">
        <v>0</v>
      </c>
      <c r="AE189" s="762">
        <v>0</v>
      </c>
      <c r="AF189" s="762">
        <v>0</v>
      </c>
      <c r="AG189" s="762">
        <v>81176</v>
      </c>
      <c r="AH189" s="762">
        <v>38009117</v>
      </c>
      <c r="AI189" s="762">
        <v>37328487</v>
      </c>
      <c r="AJ189" s="762">
        <v>0</v>
      </c>
      <c r="AK189" s="762">
        <v>761806</v>
      </c>
      <c r="AL189" s="762">
        <v>76099410</v>
      </c>
      <c r="AM189" s="762">
        <v>236445</v>
      </c>
      <c r="AN189" s="762">
        <v>236445</v>
      </c>
      <c r="AO189" s="762">
        <v>1209738</v>
      </c>
      <c r="AP189" s="762">
        <v>1209738</v>
      </c>
      <c r="AQ189" s="762">
        <v>2881193</v>
      </c>
      <c r="AR189" s="762">
        <v>0</v>
      </c>
      <c r="AS189" s="762">
        <v>2881193</v>
      </c>
      <c r="AT189" s="762">
        <v>0</v>
      </c>
      <c r="AU189" s="762">
        <v>0</v>
      </c>
      <c r="AV189" s="762">
        <v>0</v>
      </c>
      <c r="AW189" s="762">
        <v>0</v>
      </c>
      <c r="AX189" s="762">
        <v>81176</v>
      </c>
      <c r="AY189" s="762">
        <v>0</v>
      </c>
      <c r="AZ189" s="762">
        <v>0</v>
      </c>
      <c r="BA189" s="762">
        <v>81176</v>
      </c>
      <c r="BB189" s="762">
        <v>0</v>
      </c>
      <c r="BC189" s="762">
        <v>0</v>
      </c>
      <c r="BD189" s="762">
        <v>0</v>
      </c>
      <c r="BE189" s="762">
        <v>0</v>
      </c>
      <c r="BF189" s="762">
        <v>0</v>
      </c>
      <c r="BG189" s="762">
        <v>0</v>
      </c>
      <c r="BH189" s="762">
        <v>0</v>
      </c>
      <c r="BI189" s="762">
        <v>0</v>
      </c>
      <c r="BJ189" s="790">
        <v>0</v>
      </c>
      <c r="BK189" s="790">
        <v>0.99</v>
      </c>
      <c r="BL189" s="790">
        <v>0</v>
      </c>
      <c r="BM189" s="790">
        <v>0.01</v>
      </c>
      <c r="BN189" s="790">
        <v>1</v>
      </c>
      <c r="BO189" s="762">
        <v>0</v>
      </c>
      <c r="BP189" s="762">
        <v>2427681</v>
      </c>
      <c r="BQ189" s="762">
        <v>0</v>
      </c>
      <c r="BR189" s="762">
        <v>24522</v>
      </c>
      <c r="BS189" s="762">
        <v>2452203</v>
      </c>
      <c r="BT189" s="790">
        <v>0.5</v>
      </c>
      <c r="BU189" s="790">
        <v>0.49</v>
      </c>
      <c r="BV189" s="790">
        <v>0</v>
      </c>
      <c r="BW189" s="790">
        <v>0.01</v>
      </c>
      <c r="BX189" s="790">
        <v>1</v>
      </c>
      <c r="BY189" s="762">
        <v>-408989</v>
      </c>
      <c r="BZ189" s="762">
        <v>-400810</v>
      </c>
      <c r="CA189" s="762">
        <v>0</v>
      </c>
      <c r="CB189" s="762">
        <v>-8180</v>
      </c>
      <c r="CC189" s="762">
        <v>-817979</v>
      </c>
      <c r="CD189" s="762">
        <v>-408989</v>
      </c>
      <c r="CE189" s="762">
        <v>2026871</v>
      </c>
      <c r="CF189" s="762">
        <v>0</v>
      </c>
      <c r="CG189" s="762">
        <v>16342</v>
      </c>
      <c r="CH189" s="762">
        <v>1634224</v>
      </c>
      <c r="CI189" s="762">
        <v>37600128</v>
      </c>
      <c r="CJ189" s="762">
        <v>43763910</v>
      </c>
      <c r="CK189" s="762">
        <v>0</v>
      </c>
      <c r="CL189" s="762">
        <v>778148</v>
      </c>
      <c r="CM189" s="762">
        <v>82142186</v>
      </c>
      <c r="CN189" s="762">
        <v>1352362</v>
      </c>
      <c r="CO189" s="762">
        <v>0</v>
      </c>
      <c r="CP189" s="762">
        <v>24825</v>
      </c>
      <c r="CQ189" s="762">
        <v>1377187</v>
      </c>
      <c r="CR189" s="762">
        <v>1935057</v>
      </c>
      <c r="CS189" s="762">
        <v>0</v>
      </c>
      <c r="CT189" s="762">
        <v>39361</v>
      </c>
      <c r="CU189" s="762">
        <v>1974418</v>
      </c>
      <c r="CV189" s="762">
        <v>18542</v>
      </c>
      <c r="CW189" s="762">
        <v>0</v>
      </c>
      <c r="CX189" s="762">
        <v>368</v>
      </c>
      <c r="CY189" s="762">
        <v>18910</v>
      </c>
      <c r="CZ189" s="762">
        <v>13251</v>
      </c>
      <c r="DA189" s="762">
        <v>0</v>
      </c>
      <c r="DB189" s="762">
        <v>270</v>
      </c>
      <c r="DC189" s="762">
        <v>13521</v>
      </c>
      <c r="DD189" s="762">
        <v>6764</v>
      </c>
      <c r="DE189" s="762">
        <v>0</v>
      </c>
      <c r="DF189" s="762">
        <v>138</v>
      </c>
      <c r="DG189" s="762">
        <v>6902</v>
      </c>
      <c r="DH189" s="762">
        <v>0</v>
      </c>
      <c r="DI189" s="762">
        <v>0</v>
      </c>
      <c r="DJ189" s="762">
        <v>0</v>
      </c>
      <c r="DK189" s="762">
        <v>0</v>
      </c>
      <c r="DL189" s="762">
        <v>15746</v>
      </c>
      <c r="DM189" s="762">
        <v>0</v>
      </c>
      <c r="DN189" s="762">
        <v>321</v>
      </c>
      <c r="DO189" s="762">
        <v>16067</v>
      </c>
      <c r="DP189" s="762">
        <v>28334</v>
      </c>
      <c r="DQ189" s="762">
        <v>0</v>
      </c>
      <c r="DR189" s="762">
        <v>578</v>
      </c>
      <c r="DS189" s="762">
        <v>28912</v>
      </c>
      <c r="DT189" s="762">
        <v>0</v>
      </c>
      <c r="DU189" s="762">
        <v>0</v>
      </c>
      <c r="DV189" s="762">
        <v>0</v>
      </c>
      <c r="DW189" s="762">
        <v>0</v>
      </c>
      <c r="DX189" s="762">
        <v>0</v>
      </c>
      <c r="DY189" s="762">
        <v>0</v>
      </c>
      <c r="DZ189" s="762">
        <v>0</v>
      </c>
      <c r="EA189" s="762">
        <v>0</v>
      </c>
      <c r="EB189" s="762">
        <v>303384</v>
      </c>
      <c r="EC189" s="762">
        <v>0</v>
      </c>
      <c r="ED189" s="762">
        <v>6192</v>
      </c>
      <c r="EE189" s="762">
        <v>309576</v>
      </c>
      <c r="EF189" s="762">
        <v>3673440</v>
      </c>
      <c r="EG189" s="762">
        <v>0</v>
      </c>
      <c r="EH189" s="762">
        <v>72053</v>
      </c>
      <c r="EI189" s="799">
        <v>3745493</v>
      </c>
      <c r="EJ189" s="763" t="s">
        <v>588</v>
      </c>
      <c r="EK189" s="607" t="s">
        <v>529</v>
      </c>
      <c r="EL189" s="805" t="s">
        <v>586</v>
      </c>
      <c r="EM189" t="s">
        <v>1755</v>
      </c>
    </row>
    <row r="190" spans="1:143" ht="12.75" x14ac:dyDescent="0.2">
      <c r="A190" s="764">
        <v>183</v>
      </c>
      <c r="B190" s="765" t="s">
        <v>251</v>
      </c>
      <c r="C190" s="766" t="s">
        <v>1217</v>
      </c>
      <c r="D190" s="767" t="s">
        <v>1221</v>
      </c>
      <c r="E190" s="768" t="s">
        <v>250</v>
      </c>
      <c r="F190" s="761">
        <v>25326862</v>
      </c>
      <c r="G190" s="762">
        <v>1249205</v>
      </c>
      <c r="H190" s="762">
        <v>0</v>
      </c>
      <c r="I190" s="762">
        <v>252911</v>
      </c>
      <c r="J190" s="762">
        <v>0</v>
      </c>
      <c r="K190" s="762">
        <v>252911</v>
      </c>
      <c r="L190" s="762">
        <v>0</v>
      </c>
      <c r="M190" s="762">
        <v>29861</v>
      </c>
      <c r="N190" s="762">
        <v>654938</v>
      </c>
      <c r="O190" s="762">
        <v>654938</v>
      </c>
      <c r="P190" s="762">
        <v>0</v>
      </c>
      <c r="Q190" s="762">
        <v>0</v>
      </c>
      <c r="R190" s="762">
        <v>25638357</v>
      </c>
      <c r="S190" s="790">
        <v>0.25000000000000006</v>
      </c>
      <c r="T190" s="790">
        <v>0.42499999999999999</v>
      </c>
      <c r="U190" s="790">
        <v>0.32500000000000001</v>
      </c>
      <c r="V190" s="790">
        <v>0</v>
      </c>
      <c r="W190" s="790">
        <v>1</v>
      </c>
      <c r="X190" s="762">
        <v>6409589</v>
      </c>
      <c r="Y190" s="762">
        <v>10896302</v>
      </c>
      <c r="Z190" s="762">
        <v>8332466</v>
      </c>
      <c r="AA190" s="762">
        <v>0</v>
      </c>
      <c r="AB190" s="762">
        <v>25638357</v>
      </c>
      <c r="AC190" s="762">
        <v>272414</v>
      </c>
      <c r="AD190" s="762">
        <v>0</v>
      </c>
      <c r="AE190" s="762">
        <v>0</v>
      </c>
      <c r="AF190" s="762">
        <v>0</v>
      </c>
      <c r="AG190" s="762">
        <v>272414</v>
      </c>
      <c r="AH190" s="762">
        <v>6137175</v>
      </c>
      <c r="AI190" s="762">
        <v>10896302</v>
      </c>
      <c r="AJ190" s="762">
        <v>8332466</v>
      </c>
      <c r="AK190" s="762">
        <v>0</v>
      </c>
      <c r="AL190" s="762">
        <v>25365943</v>
      </c>
      <c r="AM190" s="762">
        <v>252911</v>
      </c>
      <c r="AN190" s="762">
        <v>252911</v>
      </c>
      <c r="AO190" s="762">
        <v>29861</v>
      </c>
      <c r="AP190" s="762">
        <v>29861</v>
      </c>
      <c r="AQ190" s="762">
        <v>654938</v>
      </c>
      <c r="AR190" s="762">
        <v>0</v>
      </c>
      <c r="AS190" s="762">
        <v>654938</v>
      </c>
      <c r="AT190" s="762">
        <v>0</v>
      </c>
      <c r="AU190" s="762">
        <v>0</v>
      </c>
      <c r="AV190" s="762">
        <v>0</v>
      </c>
      <c r="AW190" s="762">
        <v>0</v>
      </c>
      <c r="AX190" s="762">
        <v>272414</v>
      </c>
      <c r="AY190" s="762">
        <v>0</v>
      </c>
      <c r="AZ190" s="762">
        <v>0</v>
      </c>
      <c r="BA190" s="762">
        <v>272414</v>
      </c>
      <c r="BB190" s="762">
        <v>0</v>
      </c>
      <c r="BC190" s="762">
        <v>0</v>
      </c>
      <c r="BD190" s="762">
        <v>0</v>
      </c>
      <c r="BE190" s="762">
        <v>0</v>
      </c>
      <c r="BF190" s="762">
        <v>0</v>
      </c>
      <c r="BG190" s="762">
        <v>0</v>
      </c>
      <c r="BH190" s="762">
        <v>0</v>
      </c>
      <c r="BI190" s="762">
        <v>0</v>
      </c>
      <c r="BJ190" s="790">
        <v>0.5</v>
      </c>
      <c r="BK190" s="790">
        <v>0.4</v>
      </c>
      <c r="BL190" s="790">
        <v>0.1</v>
      </c>
      <c r="BM190" s="790">
        <v>0</v>
      </c>
      <c r="BN190" s="790">
        <v>1</v>
      </c>
      <c r="BO190" s="762">
        <v>815943</v>
      </c>
      <c r="BP190" s="762">
        <v>652754</v>
      </c>
      <c r="BQ190" s="762">
        <v>163189</v>
      </c>
      <c r="BR190" s="762">
        <v>0</v>
      </c>
      <c r="BS190" s="762">
        <v>1631886</v>
      </c>
      <c r="BT190" s="790">
        <v>0.5</v>
      </c>
      <c r="BU190" s="790">
        <v>0.4</v>
      </c>
      <c r="BV190" s="790">
        <v>0.1</v>
      </c>
      <c r="BW190" s="790">
        <v>0</v>
      </c>
      <c r="BX190" s="790">
        <v>1</v>
      </c>
      <c r="BY190" s="762">
        <v>-264067</v>
      </c>
      <c r="BZ190" s="762">
        <v>-211253</v>
      </c>
      <c r="CA190" s="762">
        <v>-52813</v>
      </c>
      <c r="CB190" s="762">
        <v>0</v>
      </c>
      <c r="CC190" s="762">
        <v>-528133</v>
      </c>
      <c r="CD190" s="762">
        <v>551877</v>
      </c>
      <c r="CE190" s="762">
        <v>441501</v>
      </c>
      <c r="CF190" s="762">
        <v>110375</v>
      </c>
      <c r="CG190" s="762">
        <v>0</v>
      </c>
      <c r="CH190" s="762">
        <v>1103753</v>
      </c>
      <c r="CI190" s="762">
        <v>6689052</v>
      </c>
      <c r="CJ190" s="762">
        <v>12547927</v>
      </c>
      <c r="CK190" s="762">
        <v>8442841</v>
      </c>
      <c r="CL190" s="762">
        <v>0</v>
      </c>
      <c r="CM190" s="762">
        <v>27679820</v>
      </c>
      <c r="CN190" s="762">
        <v>386265</v>
      </c>
      <c r="CO190" s="762">
        <v>271526</v>
      </c>
      <c r="CP190" s="762">
        <v>0</v>
      </c>
      <c r="CQ190" s="762">
        <v>657791</v>
      </c>
      <c r="CR190" s="762">
        <v>2019311</v>
      </c>
      <c r="CS190" s="762">
        <v>1524450</v>
      </c>
      <c r="CT190" s="762">
        <v>0</v>
      </c>
      <c r="CU190" s="762">
        <v>3543761</v>
      </c>
      <c r="CV190" s="762">
        <v>75567</v>
      </c>
      <c r="CW190" s="762">
        <v>55775</v>
      </c>
      <c r="CX190" s="762">
        <v>0</v>
      </c>
      <c r="CY190" s="762">
        <v>131342</v>
      </c>
      <c r="CZ190" s="762">
        <v>0</v>
      </c>
      <c r="DA190" s="762">
        <v>0</v>
      </c>
      <c r="DB190" s="762">
        <v>0</v>
      </c>
      <c r="DC190" s="762">
        <v>0</v>
      </c>
      <c r="DD190" s="762">
        <v>36066</v>
      </c>
      <c r="DE190" s="762">
        <v>27580</v>
      </c>
      <c r="DF190" s="762">
        <v>0</v>
      </c>
      <c r="DG190" s="762">
        <v>63646</v>
      </c>
      <c r="DH190" s="762">
        <v>659</v>
      </c>
      <c r="DI190" s="762">
        <v>503</v>
      </c>
      <c r="DJ190" s="762">
        <v>0</v>
      </c>
      <c r="DK190" s="762">
        <v>1162</v>
      </c>
      <c r="DL190" s="762">
        <v>34637</v>
      </c>
      <c r="DM190" s="762">
        <v>26486</v>
      </c>
      <c r="DN190" s="762">
        <v>0</v>
      </c>
      <c r="DO190" s="762">
        <v>61123</v>
      </c>
      <c r="DP190" s="762">
        <v>46296</v>
      </c>
      <c r="DQ190" s="762">
        <v>35402</v>
      </c>
      <c r="DR190" s="762">
        <v>0</v>
      </c>
      <c r="DS190" s="762">
        <v>81698</v>
      </c>
      <c r="DT190" s="762">
        <v>0</v>
      </c>
      <c r="DU190" s="762">
        <v>0</v>
      </c>
      <c r="DV190" s="762">
        <v>0</v>
      </c>
      <c r="DW190" s="762">
        <v>0</v>
      </c>
      <c r="DX190" s="762">
        <v>0</v>
      </c>
      <c r="DY190" s="762">
        <v>0</v>
      </c>
      <c r="DZ190" s="762">
        <v>0</v>
      </c>
      <c r="EA190" s="762">
        <v>0</v>
      </c>
      <c r="EB190" s="762">
        <v>435665</v>
      </c>
      <c r="EC190" s="762">
        <v>333156</v>
      </c>
      <c r="ED190" s="762">
        <v>0</v>
      </c>
      <c r="EE190" s="762">
        <v>768821</v>
      </c>
      <c r="EF190" s="762">
        <v>3034466</v>
      </c>
      <c r="EG190" s="762">
        <v>2274878</v>
      </c>
      <c r="EH190" s="762">
        <v>0</v>
      </c>
      <c r="EI190" s="799">
        <v>5309344</v>
      </c>
      <c r="EJ190" s="763" t="s">
        <v>250</v>
      </c>
      <c r="EK190" s="607" t="s">
        <v>601</v>
      </c>
      <c r="EL190" s="805" t="s">
        <v>556</v>
      </c>
      <c r="EM190" t="s">
        <v>1756</v>
      </c>
    </row>
    <row r="191" spans="1:143" ht="12.75" x14ac:dyDescent="0.2">
      <c r="A191" s="764">
        <v>184</v>
      </c>
      <c r="B191" s="765" t="s">
        <v>253</v>
      </c>
      <c r="C191" s="766" t="s">
        <v>529</v>
      </c>
      <c r="D191" s="767" t="s">
        <v>1226</v>
      </c>
      <c r="E191" s="768" t="s">
        <v>533</v>
      </c>
      <c r="F191" s="761">
        <v>58762855</v>
      </c>
      <c r="G191" s="762">
        <v>0</v>
      </c>
      <c r="H191" s="762">
        <v>292424</v>
      </c>
      <c r="I191" s="762">
        <v>260271</v>
      </c>
      <c r="J191" s="762">
        <v>0</v>
      </c>
      <c r="K191" s="762">
        <v>260271</v>
      </c>
      <c r="L191" s="762">
        <v>0</v>
      </c>
      <c r="M191" s="762">
        <v>622264</v>
      </c>
      <c r="N191" s="762">
        <v>91224</v>
      </c>
      <c r="O191" s="762">
        <v>91224</v>
      </c>
      <c r="P191" s="762">
        <v>0</v>
      </c>
      <c r="Q191" s="762">
        <v>0</v>
      </c>
      <c r="R191" s="762">
        <v>57496672</v>
      </c>
      <c r="S191" s="790">
        <v>0.5</v>
      </c>
      <c r="T191" s="790">
        <v>0.49</v>
      </c>
      <c r="U191" s="790">
        <v>0</v>
      </c>
      <c r="V191" s="790">
        <v>0.01</v>
      </c>
      <c r="W191" s="790">
        <v>1</v>
      </c>
      <c r="X191" s="762">
        <v>28748336</v>
      </c>
      <c r="Y191" s="762">
        <v>28173369</v>
      </c>
      <c r="Z191" s="762">
        <v>0</v>
      </c>
      <c r="AA191" s="762">
        <v>574967</v>
      </c>
      <c r="AB191" s="762">
        <v>57496672</v>
      </c>
      <c r="AC191" s="762">
        <v>696578</v>
      </c>
      <c r="AD191" s="762">
        <v>0</v>
      </c>
      <c r="AE191" s="762">
        <v>0</v>
      </c>
      <c r="AF191" s="762">
        <v>0</v>
      </c>
      <c r="AG191" s="762">
        <v>696578</v>
      </c>
      <c r="AH191" s="762">
        <v>28051758</v>
      </c>
      <c r="AI191" s="762">
        <v>28173369</v>
      </c>
      <c r="AJ191" s="762">
        <v>0</v>
      </c>
      <c r="AK191" s="762">
        <v>574967</v>
      </c>
      <c r="AL191" s="762">
        <v>56800094</v>
      </c>
      <c r="AM191" s="762">
        <v>260271</v>
      </c>
      <c r="AN191" s="762">
        <v>260271</v>
      </c>
      <c r="AO191" s="762">
        <v>622264</v>
      </c>
      <c r="AP191" s="762">
        <v>622264</v>
      </c>
      <c r="AQ191" s="762">
        <v>91224</v>
      </c>
      <c r="AR191" s="762">
        <v>0</v>
      </c>
      <c r="AS191" s="762">
        <v>91224</v>
      </c>
      <c r="AT191" s="762">
        <v>0</v>
      </c>
      <c r="AU191" s="762">
        <v>0</v>
      </c>
      <c r="AV191" s="762">
        <v>0</v>
      </c>
      <c r="AW191" s="762">
        <v>0</v>
      </c>
      <c r="AX191" s="762">
        <v>0</v>
      </c>
      <c r="AY191" s="762">
        <v>0</v>
      </c>
      <c r="AZ191" s="762">
        <v>0</v>
      </c>
      <c r="BA191" s="762">
        <v>0</v>
      </c>
      <c r="BB191" s="762">
        <v>0</v>
      </c>
      <c r="BC191" s="762">
        <v>0</v>
      </c>
      <c r="BD191" s="762">
        <v>0</v>
      </c>
      <c r="BE191" s="762">
        <v>0</v>
      </c>
      <c r="BF191" s="762">
        <v>0</v>
      </c>
      <c r="BG191" s="762">
        <v>0</v>
      </c>
      <c r="BH191" s="762">
        <v>696578</v>
      </c>
      <c r="BI191" s="762">
        <v>696578</v>
      </c>
      <c r="BJ191" s="790">
        <v>0.5</v>
      </c>
      <c r="BK191" s="790">
        <v>0.49</v>
      </c>
      <c r="BL191" s="790">
        <v>0</v>
      </c>
      <c r="BM191" s="790">
        <v>0.01</v>
      </c>
      <c r="BN191" s="790">
        <v>1</v>
      </c>
      <c r="BO191" s="762">
        <v>-510199</v>
      </c>
      <c r="BP191" s="762">
        <v>-499995</v>
      </c>
      <c r="BQ191" s="762">
        <v>0</v>
      </c>
      <c r="BR191" s="762">
        <v>-10204</v>
      </c>
      <c r="BS191" s="762">
        <v>-1020398</v>
      </c>
      <c r="BT191" s="790">
        <v>0.5</v>
      </c>
      <c r="BU191" s="790">
        <v>0.49</v>
      </c>
      <c r="BV191" s="790">
        <v>0</v>
      </c>
      <c r="BW191" s="790">
        <v>0.01</v>
      </c>
      <c r="BX191" s="790">
        <v>1</v>
      </c>
      <c r="BY191" s="762">
        <v>131548</v>
      </c>
      <c r="BZ191" s="762">
        <v>128917</v>
      </c>
      <c r="CA191" s="762">
        <v>0</v>
      </c>
      <c r="CB191" s="762">
        <v>2631</v>
      </c>
      <c r="CC191" s="762">
        <v>263096</v>
      </c>
      <c r="CD191" s="762">
        <v>-378651</v>
      </c>
      <c r="CE191" s="762">
        <v>-371078</v>
      </c>
      <c r="CF191" s="762">
        <v>0</v>
      </c>
      <c r="CG191" s="762">
        <v>-7573</v>
      </c>
      <c r="CH191" s="762">
        <v>-757302</v>
      </c>
      <c r="CI191" s="762">
        <v>27673107</v>
      </c>
      <c r="CJ191" s="762">
        <v>29472628</v>
      </c>
      <c r="CK191" s="762">
        <v>0</v>
      </c>
      <c r="CL191" s="762">
        <v>567394</v>
      </c>
      <c r="CM191" s="762">
        <v>57713129</v>
      </c>
      <c r="CN191" s="762">
        <v>964022</v>
      </c>
      <c r="CO191" s="762">
        <v>0</v>
      </c>
      <c r="CP191" s="762">
        <v>18736</v>
      </c>
      <c r="CQ191" s="762">
        <v>982758</v>
      </c>
      <c r="CR191" s="762">
        <v>2393162</v>
      </c>
      <c r="CS191" s="762">
        <v>0</v>
      </c>
      <c r="CT191" s="762">
        <v>47794</v>
      </c>
      <c r="CU191" s="762">
        <v>2440956</v>
      </c>
      <c r="CV191" s="762">
        <v>148827</v>
      </c>
      <c r="CW191" s="762">
        <v>0</v>
      </c>
      <c r="CX191" s="762">
        <v>2980</v>
      </c>
      <c r="CY191" s="762">
        <v>151807</v>
      </c>
      <c r="CZ191" s="762">
        <v>12442</v>
      </c>
      <c r="DA191" s="762">
        <v>0</v>
      </c>
      <c r="DB191" s="762">
        <v>254</v>
      </c>
      <c r="DC191" s="762">
        <v>12696</v>
      </c>
      <c r="DD191" s="762">
        <v>4749</v>
      </c>
      <c r="DE191" s="762">
        <v>0</v>
      </c>
      <c r="DF191" s="762">
        <v>97</v>
      </c>
      <c r="DG191" s="762">
        <v>4846</v>
      </c>
      <c r="DH191" s="762">
        <v>759</v>
      </c>
      <c r="DI191" s="762">
        <v>0</v>
      </c>
      <c r="DJ191" s="762">
        <v>15</v>
      </c>
      <c r="DK191" s="762">
        <v>774</v>
      </c>
      <c r="DL191" s="762">
        <v>959</v>
      </c>
      <c r="DM191" s="762">
        <v>0</v>
      </c>
      <c r="DN191" s="762">
        <v>20</v>
      </c>
      <c r="DO191" s="762">
        <v>979</v>
      </c>
      <c r="DP191" s="762">
        <v>29529</v>
      </c>
      <c r="DQ191" s="762">
        <v>0</v>
      </c>
      <c r="DR191" s="762">
        <v>603</v>
      </c>
      <c r="DS191" s="762">
        <v>30132</v>
      </c>
      <c r="DT191" s="762">
        <v>0</v>
      </c>
      <c r="DU191" s="762">
        <v>0</v>
      </c>
      <c r="DV191" s="762">
        <v>0</v>
      </c>
      <c r="DW191" s="762">
        <v>0</v>
      </c>
      <c r="DX191" s="762">
        <v>0</v>
      </c>
      <c r="DY191" s="762">
        <v>0</v>
      </c>
      <c r="DZ191" s="762">
        <v>0</v>
      </c>
      <c r="EA191" s="762">
        <v>0</v>
      </c>
      <c r="EB191" s="762">
        <v>606326</v>
      </c>
      <c r="EC191" s="762">
        <v>0</v>
      </c>
      <c r="ED191" s="762">
        <v>12374</v>
      </c>
      <c r="EE191" s="762">
        <v>618700</v>
      </c>
      <c r="EF191" s="762">
        <v>4160775</v>
      </c>
      <c r="EG191" s="762">
        <v>0</v>
      </c>
      <c r="EH191" s="762">
        <v>82873</v>
      </c>
      <c r="EI191" s="799">
        <v>4243648</v>
      </c>
      <c r="EJ191" s="763" t="s">
        <v>533</v>
      </c>
      <c r="EK191" s="607" t="s">
        <v>529</v>
      </c>
      <c r="EL191" s="805" t="s">
        <v>530</v>
      </c>
      <c r="EM191" t="s">
        <v>1757</v>
      </c>
    </row>
    <row r="192" spans="1:143" ht="12.75" x14ac:dyDescent="0.2">
      <c r="A192" s="764">
        <v>185</v>
      </c>
      <c r="B192" s="765" t="s">
        <v>255</v>
      </c>
      <c r="C192" s="766" t="s">
        <v>1224</v>
      </c>
      <c r="D192" s="767" t="s">
        <v>1229</v>
      </c>
      <c r="E192" s="768" t="s">
        <v>254</v>
      </c>
      <c r="F192" s="761">
        <v>58646895</v>
      </c>
      <c r="G192" s="762">
        <v>0</v>
      </c>
      <c r="H192" s="762">
        <v>393015</v>
      </c>
      <c r="I192" s="762">
        <v>233915</v>
      </c>
      <c r="J192" s="762">
        <v>0</v>
      </c>
      <c r="K192" s="762">
        <v>233915</v>
      </c>
      <c r="L192" s="762">
        <v>0</v>
      </c>
      <c r="M192" s="762">
        <v>151283</v>
      </c>
      <c r="N192" s="762">
        <v>0</v>
      </c>
      <c r="O192" s="762">
        <v>0</v>
      </c>
      <c r="P192" s="762">
        <v>0</v>
      </c>
      <c r="Q192" s="762">
        <v>0</v>
      </c>
      <c r="R192" s="762">
        <v>57868682</v>
      </c>
      <c r="S192" s="790">
        <v>0.25</v>
      </c>
      <c r="T192" s="790">
        <v>0.74</v>
      </c>
      <c r="U192" s="790">
        <v>0</v>
      </c>
      <c r="V192" s="790">
        <v>0.01</v>
      </c>
      <c r="W192" s="790">
        <v>1</v>
      </c>
      <c r="X192" s="762">
        <v>14467170</v>
      </c>
      <c r="Y192" s="762">
        <v>42822825</v>
      </c>
      <c r="Z192" s="762">
        <v>0</v>
      </c>
      <c r="AA192" s="762">
        <v>578687</v>
      </c>
      <c r="AB192" s="762">
        <v>57868682</v>
      </c>
      <c r="AC192" s="762">
        <v>24187</v>
      </c>
      <c r="AD192" s="762">
        <v>0</v>
      </c>
      <c r="AE192" s="762">
        <v>0</v>
      </c>
      <c r="AF192" s="762">
        <v>0</v>
      </c>
      <c r="AG192" s="762">
        <v>24187</v>
      </c>
      <c r="AH192" s="762">
        <v>14442983</v>
      </c>
      <c r="AI192" s="762">
        <v>42822825</v>
      </c>
      <c r="AJ192" s="762">
        <v>0</v>
      </c>
      <c r="AK192" s="762">
        <v>578687</v>
      </c>
      <c r="AL192" s="762">
        <v>57844495</v>
      </c>
      <c r="AM192" s="762">
        <v>233915</v>
      </c>
      <c r="AN192" s="762">
        <v>233915</v>
      </c>
      <c r="AO192" s="762">
        <v>151283</v>
      </c>
      <c r="AP192" s="762">
        <v>151283</v>
      </c>
      <c r="AQ192" s="762">
        <v>0</v>
      </c>
      <c r="AR192" s="762">
        <v>0</v>
      </c>
      <c r="AS192" s="762">
        <v>0</v>
      </c>
      <c r="AT192" s="762">
        <v>0</v>
      </c>
      <c r="AU192" s="762">
        <v>0</v>
      </c>
      <c r="AV192" s="762">
        <v>0</v>
      </c>
      <c r="AW192" s="762">
        <v>0</v>
      </c>
      <c r="AX192" s="762">
        <v>24187</v>
      </c>
      <c r="AY192" s="762">
        <v>0</v>
      </c>
      <c r="AZ192" s="762">
        <v>0</v>
      </c>
      <c r="BA192" s="762">
        <v>24187</v>
      </c>
      <c r="BB192" s="762">
        <v>0</v>
      </c>
      <c r="BC192" s="762">
        <v>0</v>
      </c>
      <c r="BD192" s="762">
        <v>0</v>
      </c>
      <c r="BE192" s="762">
        <v>0</v>
      </c>
      <c r="BF192" s="762">
        <v>0</v>
      </c>
      <c r="BG192" s="762">
        <v>0</v>
      </c>
      <c r="BH192" s="762">
        <v>0</v>
      </c>
      <c r="BI192" s="762">
        <v>0</v>
      </c>
      <c r="BJ192" s="790">
        <v>0.5</v>
      </c>
      <c r="BK192" s="790">
        <v>0.49</v>
      </c>
      <c r="BL192" s="790">
        <v>0</v>
      </c>
      <c r="BM192" s="790">
        <v>0.01</v>
      </c>
      <c r="BN192" s="790">
        <v>1</v>
      </c>
      <c r="BO192" s="762">
        <v>-299790</v>
      </c>
      <c r="BP192" s="762">
        <v>-293794</v>
      </c>
      <c r="BQ192" s="762">
        <v>0</v>
      </c>
      <c r="BR192" s="762">
        <v>-5996</v>
      </c>
      <c r="BS192" s="762">
        <v>-599580</v>
      </c>
      <c r="BT192" s="790">
        <v>0.5</v>
      </c>
      <c r="BU192" s="790">
        <v>0.49</v>
      </c>
      <c r="BV192" s="790">
        <v>0</v>
      </c>
      <c r="BW192" s="790">
        <v>0.01</v>
      </c>
      <c r="BX192" s="790">
        <v>1</v>
      </c>
      <c r="BY192" s="762">
        <v>53670</v>
      </c>
      <c r="BZ192" s="762">
        <v>52596</v>
      </c>
      <c r="CA192" s="762">
        <v>0</v>
      </c>
      <c r="CB192" s="762">
        <v>1073</v>
      </c>
      <c r="CC192" s="762">
        <v>107339</v>
      </c>
      <c r="CD192" s="762">
        <v>-246121</v>
      </c>
      <c r="CE192" s="762">
        <v>-241198</v>
      </c>
      <c r="CF192" s="762">
        <v>0</v>
      </c>
      <c r="CG192" s="762">
        <v>-4922</v>
      </c>
      <c r="CH192" s="762">
        <v>-492241</v>
      </c>
      <c r="CI192" s="762">
        <v>14196862</v>
      </c>
      <c r="CJ192" s="762">
        <v>42991012</v>
      </c>
      <c r="CK192" s="762">
        <v>0</v>
      </c>
      <c r="CL192" s="762">
        <v>573765</v>
      </c>
      <c r="CM192" s="762">
        <v>57761639</v>
      </c>
      <c r="CN192" s="762">
        <v>1401166</v>
      </c>
      <c r="CO192" s="762">
        <v>0</v>
      </c>
      <c r="CP192" s="762">
        <v>18857</v>
      </c>
      <c r="CQ192" s="762">
        <v>1420023</v>
      </c>
      <c r="CR192" s="762">
        <v>3268080</v>
      </c>
      <c r="CS192" s="762">
        <v>0</v>
      </c>
      <c r="CT192" s="762">
        <v>43978</v>
      </c>
      <c r="CU192" s="762">
        <v>3312058</v>
      </c>
      <c r="CV192" s="762">
        <v>170341</v>
      </c>
      <c r="CW192" s="762">
        <v>0</v>
      </c>
      <c r="CX192" s="762">
        <v>2293</v>
      </c>
      <c r="CY192" s="762">
        <v>172634</v>
      </c>
      <c r="CZ192" s="762">
        <v>17872</v>
      </c>
      <c r="DA192" s="762">
        <v>0</v>
      </c>
      <c r="DB192" s="762">
        <v>242</v>
      </c>
      <c r="DC192" s="762">
        <v>18114</v>
      </c>
      <c r="DD192" s="762">
        <v>0</v>
      </c>
      <c r="DE192" s="762">
        <v>0</v>
      </c>
      <c r="DF192" s="762">
        <v>0</v>
      </c>
      <c r="DG192" s="762">
        <v>0</v>
      </c>
      <c r="DH192" s="762">
        <v>0</v>
      </c>
      <c r="DI192" s="762">
        <v>0</v>
      </c>
      <c r="DJ192" s="762">
        <v>0</v>
      </c>
      <c r="DK192" s="762">
        <v>0</v>
      </c>
      <c r="DL192" s="762">
        <v>25518</v>
      </c>
      <c r="DM192" s="762">
        <v>0</v>
      </c>
      <c r="DN192" s="762">
        <v>345</v>
      </c>
      <c r="DO192" s="762">
        <v>25863</v>
      </c>
      <c r="DP192" s="762">
        <v>46611</v>
      </c>
      <c r="DQ192" s="762">
        <v>0</v>
      </c>
      <c r="DR192" s="762">
        <v>630</v>
      </c>
      <c r="DS192" s="762">
        <v>47241</v>
      </c>
      <c r="DT192" s="762">
        <v>0</v>
      </c>
      <c r="DU192" s="762">
        <v>0</v>
      </c>
      <c r="DV192" s="762">
        <v>0</v>
      </c>
      <c r="DW192" s="762">
        <v>0</v>
      </c>
      <c r="DX192" s="762">
        <v>0</v>
      </c>
      <c r="DY192" s="762">
        <v>0</v>
      </c>
      <c r="DZ192" s="762">
        <v>0</v>
      </c>
      <c r="EA192" s="762">
        <v>0</v>
      </c>
      <c r="EB192" s="762">
        <v>716472</v>
      </c>
      <c r="EC192" s="762">
        <v>0</v>
      </c>
      <c r="ED192" s="762">
        <v>9682</v>
      </c>
      <c r="EE192" s="762">
        <v>726154</v>
      </c>
      <c r="EF192" s="762">
        <v>5646060</v>
      </c>
      <c r="EG192" s="762">
        <v>0</v>
      </c>
      <c r="EH192" s="762">
        <v>76027</v>
      </c>
      <c r="EI192" s="799">
        <v>5722087</v>
      </c>
      <c r="EJ192" s="763" t="s">
        <v>254</v>
      </c>
      <c r="EK192" s="607" t="s">
        <v>621</v>
      </c>
      <c r="EL192" s="805" t="s">
        <v>625</v>
      </c>
      <c r="EM192" t="s">
        <v>1758</v>
      </c>
    </row>
    <row r="193" spans="1:143" ht="12.75" x14ac:dyDescent="0.2">
      <c r="A193" s="764">
        <v>186</v>
      </c>
      <c r="B193" s="765" t="s">
        <v>257</v>
      </c>
      <c r="C193" s="766" t="s">
        <v>1217</v>
      </c>
      <c r="D193" s="767" t="s">
        <v>1227</v>
      </c>
      <c r="E193" s="768" t="s">
        <v>256</v>
      </c>
      <c r="F193" s="761">
        <v>49116384.020000003</v>
      </c>
      <c r="G193" s="762">
        <v>87114.25999999998</v>
      </c>
      <c r="H193" s="762">
        <v>0</v>
      </c>
      <c r="I193" s="762">
        <v>109554</v>
      </c>
      <c r="J193" s="762">
        <v>0</v>
      </c>
      <c r="K193" s="762">
        <v>109554</v>
      </c>
      <c r="L193" s="762">
        <v>0</v>
      </c>
      <c r="M193" s="762">
        <v>0</v>
      </c>
      <c r="N193" s="762">
        <v>0</v>
      </c>
      <c r="O193" s="762">
        <v>0</v>
      </c>
      <c r="P193" s="762">
        <v>0</v>
      </c>
      <c r="Q193" s="762">
        <v>0</v>
      </c>
      <c r="R193" s="762">
        <v>49093944</v>
      </c>
      <c r="S193" s="790">
        <v>0.5</v>
      </c>
      <c r="T193" s="790">
        <v>0.4</v>
      </c>
      <c r="U193" s="790">
        <v>0.1</v>
      </c>
      <c r="V193" s="790">
        <v>0</v>
      </c>
      <c r="W193" s="790">
        <v>1</v>
      </c>
      <c r="X193" s="762">
        <v>24546972</v>
      </c>
      <c r="Y193" s="762">
        <v>19637578</v>
      </c>
      <c r="Z193" s="762">
        <v>4909394</v>
      </c>
      <c r="AA193" s="762">
        <v>0</v>
      </c>
      <c r="AB193" s="762">
        <v>49093944</v>
      </c>
      <c r="AC193" s="762">
        <v>0</v>
      </c>
      <c r="AD193" s="762">
        <v>0</v>
      </c>
      <c r="AE193" s="762">
        <v>0</v>
      </c>
      <c r="AF193" s="762">
        <v>0</v>
      </c>
      <c r="AG193" s="762">
        <v>0</v>
      </c>
      <c r="AH193" s="762">
        <v>24546972</v>
      </c>
      <c r="AI193" s="762">
        <v>19637578</v>
      </c>
      <c r="AJ193" s="762">
        <v>4909394</v>
      </c>
      <c r="AK193" s="762">
        <v>0</v>
      </c>
      <c r="AL193" s="762">
        <v>49093944</v>
      </c>
      <c r="AM193" s="762">
        <v>109554</v>
      </c>
      <c r="AN193" s="762">
        <v>109554</v>
      </c>
      <c r="AO193" s="762">
        <v>0</v>
      </c>
      <c r="AP193" s="762">
        <v>0</v>
      </c>
      <c r="AQ193" s="762">
        <v>0</v>
      </c>
      <c r="AR193" s="762">
        <v>0</v>
      </c>
      <c r="AS193" s="762">
        <v>0</v>
      </c>
      <c r="AT193" s="762">
        <v>0</v>
      </c>
      <c r="AU193" s="762">
        <v>0</v>
      </c>
      <c r="AV193" s="762">
        <v>0</v>
      </c>
      <c r="AW193" s="762">
        <v>0</v>
      </c>
      <c r="AX193" s="762">
        <v>0</v>
      </c>
      <c r="AY193" s="762">
        <v>0</v>
      </c>
      <c r="AZ193" s="762">
        <v>0</v>
      </c>
      <c r="BA193" s="762">
        <v>0</v>
      </c>
      <c r="BB193" s="762">
        <v>0</v>
      </c>
      <c r="BC193" s="762">
        <v>0</v>
      </c>
      <c r="BD193" s="762">
        <v>0</v>
      </c>
      <c r="BE193" s="762">
        <v>0</v>
      </c>
      <c r="BF193" s="762">
        <v>0</v>
      </c>
      <c r="BG193" s="762">
        <v>0</v>
      </c>
      <c r="BH193" s="762">
        <v>0</v>
      </c>
      <c r="BI193" s="762">
        <v>0</v>
      </c>
      <c r="BJ193" s="790">
        <v>0.5</v>
      </c>
      <c r="BK193" s="790">
        <v>0.4</v>
      </c>
      <c r="BL193" s="790">
        <v>0.1</v>
      </c>
      <c r="BM193" s="790">
        <v>0</v>
      </c>
      <c r="BN193" s="790">
        <v>1</v>
      </c>
      <c r="BO193" s="762">
        <v>487167</v>
      </c>
      <c r="BP193" s="762">
        <v>389734</v>
      </c>
      <c r="BQ193" s="762">
        <v>97433</v>
      </c>
      <c r="BR193" s="762">
        <v>0</v>
      </c>
      <c r="BS193" s="762">
        <v>974334</v>
      </c>
      <c r="BT193" s="790">
        <v>0.5</v>
      </c>
      <c r="BU193" s="790">
        <v>0.4</v>
      </c>
      <c r="BV193" s="790">
        <v>0.1</v>
      </c>
      <c r="BW193" s="790">
        <v>0</v>
      </c>
      <c r="BX193" s="790">
        <v>1</v>
      </c>
      <c r="BY193" s="762">
        <v>1023084</v>
      </c>
      <c r="BZ193" s="762">
        <v>818467</v>
      </c>
      <c r="CA193" s="762">
        <v>204617</v>
      </c>
      <c r="CB193" s="762">
        <v>0</v>
      </c>
      <c r="CC193" s="762">
        <v>2046168</v>
      </c>
      <c r="CD193" s="762">
        <v>1510251</v>
      </c>
      <c r="CE193" s="762">
        <v>1208201</v>
      </c>
      <c r="CF193" s="762">
        <v>302050</v>
      </c>
      <c r="CG193" s="762">
        <v>0</v>
      </c>
      <c r="CH193" s="762">
        <v>3020502</v>
      </c>
      <c r="CI193" s="762">
        <v>26057223</v>
      </c>
      <c r="CJ193" s="762">
        <v>20955333</v>
      </c>
      <c r="CK193" s="762">
        <v>5211444</v>
      </c>
      <c r="CL193" s="762">
        <v>0</v>
      </c>
      <c r="CM193" s="762">
        <v>52224000</v>
      </c>
      <c r="CN193" s="762">
        <v>639921</v>
      </c>
      <c r="CO193" s="762">
        <v>159980</v>
      </c>
      <c r="CP193" s="762">
        <v>0</v>
      </c>
      <c r="CQ193" s="762">
        <v>799901</v>
      </c>
      <c r="CR193" s="762">
        <v>684079</v>
      </c>
      <c r="CS193" s="762">
        <v>171020</v>
      </c>
      <c r="CT193" s="762">
        <v>0</v>
      </c>
      <c r="CU193" s="762">
        <v>855099</v>
      </c>
      <c r="CV193" s="762">
        <v>46702</v>
      </c>
      <c r="CW193" s="762">
        <v>11676</v>
      </c>
      <c r="CX193" s="762">
        <v>0</v>
      </c>
      <c r="CY193" s="762">
        <v>58378</v>
      </c>
      <c r="CZ193" s="762">
        <v>0</v>
      </c>
      <c r="DA193" s="762">
        <v>0</v>
      </c>
      <c r="DB193" s="762">
        <v>0</v>
      </c>
      <c r="DC193" s="762">
        <v>0</v>
      </c>
      <c r="DD193" s="762">
        <v>4345</v>
      </c>
      <c r="DE193" s="762">
        <v>1086</v>
      </c>
      <c r="DF193" s="762">
        <v>0</v>
      </c>
      <c r="DG193" s="762">
        <v>5431</v>
      </c>
      <c r="DH193" s="762">
        <v>0</v>
      </c>
      <c r="DI193" s="762">
        <v>0</v>
      </c>
      <c r="DJ193" s="762">
        <v>0</v>
      </c>
      <c r="DK193" s="762">
        <v>0</v>
      </c>
      <c r="DL193" s="762">
        <v>5501</v>
      </c>
      <c r="DM193" s="762">
        <v>1375</v>
      </c>
      <c r="DN193" s="762">
        <v>0</v>
      </c>
      <c r="DO193" s="762">
        <v>6876</v>
      </c>
      <c r="DP193" s="762">
        <v>12599</v>
      </c>
      <c r="DQ193" s="762">
        <v>3150</v>
      </c>
      <c r="DR193" s="762">
        <v>0</v>
      </c>
      <c r="DS193" s="762">
        <v>15749</v>
      </c>
      <c r="DT193" s="762">
        <v>0</v>
      </c>
      <c r="DU193" s="762">
        <v>0</v>
      </c>
      <c r="DV193" s="762">
        <v>0</v>
      </c>
      <c r="DW193" s="762">
        <v>0</v>
      </c>
      <c r="DX193" s="762">
        <v>0</v>
      </c>
      <c r="DY193" s="762">
        <v>0</v>
      </c>
      <c r="DZ193" s="762">
        <v>0</v>
      </c>
      <c r="EA193" s="762">
        <v>0</v>
      </c>
      <c r="EB193" s="762">
        <v>73545</v>
      </c>
      <c r="EC193" s="762">
        <v>18386</v>
      </c>
      <c r="ED193" s="762">
        <v>0</v>
      </c>
      <c r="EE193" s="762">
        <v>91931</v>
      </c>
      <c r="EF193" s="762">
        <v>1466692</v>
      </c>
      <c r="EG193" s="762">
        <v>366673</v>
      </c>
      <c r="EH193" s="762">
        <v>0</v>
      </c>
      <c r="EI193" s="799">
        <v>1833365</v>
      </c>
      <c r="EJ193" s="763" t="s">
        <v>256</v>
      </c>
      <c r="EK193" s="607" t="s">
        <v>617</v>
      </c>
      <c r="EL193" s="805" t="s">
        <v>556</v>
      </c>
      <c r="EM193" t="s">
        <v>1759</v>
      </c>
    </row>
    <row r="194" spans="1:143" ht="12.75" x14ac:dyDescent="0.2">
      <c r="A194" s="764">
        <v>187</v>
      </c>
      <c r="B194" s="765" t="s">
        <v>263</v>
      </c>
      <c r="C194" s="766" t="s">
        <v>1217</v>
      </c>
      <c r="D194" s="767" t="s">
        <v>1220</v>
      </c>
      <c r="E194" s="768" t="s">
        <v>262</v>
      </c>
      <c r="F194" s="761">
        <v>63671416</v>
      </c>
      <c r="G194" s="762">
        <v>377626</v>
      </c>
      <c r="H194" s="762">
        <v>0</v>
      </c>
      <c r="I194" s="762">
        <v>149073</v>
      </c>
      <c r="J194" s="762">
        <v>0</v>
      </c>
      <c r="K194" s="762">
        <v>149073</v>
      </c>
      <c r="L194" s="762">
        <v>0</v>
      </c>
      <c r="M194" s="762">
        <v>0</v>
      </c>
      <c r="N194" s="762">
        <v>174740</v>
      </c>
      <c r="O194" s="762">
        <v>174740</v>
      </c>
      <c r="P194" s="762">
        <v>0</v>
      </c>
      <c r="Q194" s="762">
        <v>0</v>
      </c>
      <c r="R194" s="762">
        <v>63725229</v>
      </c>
      <c r="S194" s="790">
        <v>0.25</v>
      </c>
      <c r="T194" s="790">
        <v>0.375</v>
      </c>
      <c r="U194" s="790">
        <v>0.36499999999999999</v>
      </c>
      <c r="V194" s="790">
        <v>0.01</v>
      </c>
      <c r="W194" s="790">
        <v>1</v>
      </c>
      <c r="X194" s="762">
        <v>15931307</v>
      </c>
      <c r="Y194" s="762">
        <v>23896961</v>
      </c>
      <c r="Z194" s="762">
        <v>23259709</v>
      </c>
      <c r="AA194" s="762">
        <v>637252</v>
      </c>
      <c r="AB194" s="762">
        <v>63725229</v>
      </c>
      <c r="AC194" s="762">
        <v>0</v>
      </c>
      <c r="AD194" s="762">
        <v>0</v>
      </c>
      <c r="AE194" s="762">
        <v>0</v>
      </c>
      <c r="AF194" s="762">
        <v>0</v>
      </c>
      <c r="AG194" s="762">
        <v>0</v>
      </c>
      <c r="AH194" s="762">
        <v>15931307</v>
      </c>
      <c r="AI194" s="762">
        <v>23896961</v>
      </c>
      <c r="AJ194" s="762">
        <v>23259709</v>
      </c>
      <c r="AK194" s="762">
        <v>637252</v>
      </c>
      <c r="AL194" s="762">
        <v>63725229</v>
      </c>
      <c r="AM194" s="762">
        <v>149073</v>
      </c>
      <c r="AN194" s="762">
        <v>149073</v>
      </c>
      <c r="AO194" s="762">
        <v>0</v>
      </c>
      <c r="AP194" s="762">
        <v>0</v>
      </c>
      <c r="AQ194" s="762">
        <v>174740</v>
      </c>
      <c r="AR194" s="762">
        <v>0</v>
      </c>
      <c r="AS194" s="762">
        <v>174740</v>
      </c>
      <c r="AT194" s="762">
        <v>0</v>
      </c>
      <c r="AU194" s="762">
        <v>0</v>
      </c>
      <c r="AV194" s="762">
        <v>0</v>
      </c>
      <c r="AW194" s="762">
        <v>0</v>
      </c>
      <c r="AX194" s="762">
        <v>0</v>
      </c>
      <c r="AY194" s="762">
        <v>0</v>
      </c>
      <c r="AZ194" s="762">
        <v>0</v>
      </c>
      <c r="BA194" s="762">
        <v>0</v>
      </c>
      <c r="BB194" s="762">
        <v>0</v>
      </c>
      <c r="BC194" s="762">
        <v>0</v>
      </c>
      <c r="BD194" s="762">
        <v>0</v>
      </c>
      <c r="BE194" s="762">
        <v>0</v>
      </c>
      <c r="BF194" s="762">
        <v>0</v>
      </c>
      <c r="BG194" s="762">
        <v>0</v>
      </c>
      <c r="BH194" s="762">
        <v>0</v>
      </c>
      <c r="BI194" s="762">
        <v>0</v>
      </c>
      <c r="BJ194" s="790">
        <v>0.5</v>
      </c>
      <c r="BK194" s="790">
        <v>0.4</v>
      </c>
      <c r="BL194" s="790">
        <v>0.09</v>
      </c>
      <c r="BM194" s="790">
        <v>0.01</v>
      </c>
      <c r="BN194" s="790">
        <v>1</v>
      </c>
      <c r="BO194" s="762">
        <v>-213444</v>
      </c>
      <c r="BP194" s="762">
        <v>-170755</v>
      </c>
      <c r="BQ194" s="762">
        <v>-38420</v>
      </c>
      <c r="BR194" s="762">
        <v>-4269</v>
      </c>
      <c r="BS194" s="762">
        <v>-426888</v>
      </c>
      <c r="BT194" s="790">
        <v>0.5</v>
      </c>
      <c r="BU194" s="790">
        <v>0.4</v>
      </c>
      <c r="BV194" s="790">
        <v>0.09</v>
      </c>
      <c r="BW194" s="790">
        <v>0.01</v>
      </c>
      <c r="BX194" s="790">
        <v>1</v>
      </c>
      <c r="BY194" s="762">
        <v>30584</v>
      </c>
      <c r="BZ194" s="762">
        <v>24467</v>
      </c>
      <c r="CA194" s="762">
        <v>5505</v>
      </c>
      <c r="CB194" s="762">
        <v>612</v>
      </c>
      <c r="CC194" s="762">
        <v>61168</v>
      </c>
      <c r="CD194" s="762">
        <v>-182860</v>
      </c>
      <c r="CE194" s="762">
        <v>-146288</v>
      </c>
      <c r="CF194" s="762">
        <v>-32915</v>
      </c>
      <c r="CG194" s="762">
        <v>-3657</v>
      </c>
      <c r="CH194" s="762">
        <v>-365720</v>
      </c>
      <c r="CI194" s="762">
        <v>15748447</v>
      </c>
      <c r="CJ194" s="762">
        <v>24074486</v>
      </c>
      <c r="CK194" s="762">
        <v>23226794</v>
      </c>
      <c r="CL194" s="762">
        <v>633595</v>
      </c>
      <c r="CM194" s="762">
        <v>63683322</v>
      </c>
      <c r="CN194" s="762">
        <v>784414</v>
      </c>
      <c r="CO194" s="762">
        <v>757954</v>
      </c>
      <c r="CP194" s="762">
        <v>20766</v>
      </c>
      <c r="CQ194" s="762">
        <v>1563134</v>
      </c>
      <c r="CR194" s="762">
        <v>833875</v>
      </c>
      <c r="CS194" s="762">
        <v>811640</v>
      </c>
      <c r="CT194" s="762">
        <v>22237</v>
      </c>
      <c r="CU194" s="762">
        <v>1667752</v>
      </c>
      <c r="CV194" s="762">
        <v>79138</v>
      </c>
      <c r="CW194" s="762">
        <v>77028</v>
      </c>
      <c r="CX194" s="762">
        <v>2110</v>
      </c>
      <c r="CY194" s="762">
        <v>158276</v>
      </c>
      <c r="CZ194" s="762">
        <v>5505</v>
      </c>
      <c r="DA194" s="762">
        <v>5358</v>
      </c>
      <c r="DB194" s="762">
        <v>147</v>
      </c>
      <c r="DC194" s="762">
        <v>11010</v>
      </c>
      <c r="DD194" s="762">
        <v>3005</v>
      </c>
      <c r="DE194" s="762">
        <v>2925</v>
      </c>
      <c r="DF194" s="762">
        <v>80</v>
      </c>
      <c r="DG194" s="762">
        <v>6010</v>
      </c>
      <c r="DH194" s="762">
        <v>582</v>
      </c>
      <c r="DI194" s="762">
        <v>565</v>
      </c>
      <c r="DJ194" s="762">
        <v>15</v>
      </c>
      <c r="DK194" s="762">
        <v>1162</v>
      </c>
      <c r="DL194" s="762">
        <v>15907</v>
      </c>
      <c r="DM194" s="762">
        <v>15483</v>
      </c>
      <c r="DN194" s="762">
        <v>424</v>
      </c>
      <c r="DO194" s="762">
        <v>31814</v>
      </c>
      <c r="DP194" s="762">
        <v>22720</v>
      </c>
      <c r="DQ194" s="762">
        <v>22114</v>
      </c>
      <c r="DR194" s="762">
        <v>606</v>
      </c>
      <c r="DS194" s="762">
        <v>45440</v>
      </c>
      <c r="DT194" s="762">
        <v>0</v>
      </c>
      <c r="DU194" s="762">
        <v>0</v>
      </c>
      <c r="DV194" s="762">
        <v>0</v>
      </c>
      <c r="DW194" s="762">
        <v>0</v>
      </c>
      <c r="DX194" s="762">
        <v>0</v>
      </c>
      <c r="DY194" s="762">
        <v>0</v>
      </c>
      <c r="DZ194" s="762">
        <v>0</v>
      </c>
      <c r="EA194" s="762">
        <v>0</v>
      </c>
      <c r="EB194" s="762">
        <v>140603</v>
      </c>
      <c r="EC194" s="762">
        <v>136853</v>
      </c>
      <c r="ED194" s="762">
        <v>3749</v>
      </c>
      <c r="EE194" s="762">
        <v>281205</v>
      </c>
      <c r="EF194" s="762">
        <v>1885749</v>
      </c>
      <c r="EG194" s="762">
        <v>1829920</v>
      </c>
      <c r="EH194" s="762">
        <v>50134</v>
      </c>
      <c r="EI194" s="799">
        <v>3765803</v>
      </c>
      <c r="EJ194" s="763" t="s">
        <v>262</v>
      </c>
      <c r="EK194" s="607" t="s">
        <v>599</v>
      </c>
      <c r="EL194" s="805" t="s">
        <v>597</v>
      </c>
      <c r="EM194" t="s">
        <v>1760</v>
      </c>
    </row>
    <row r="195" spans="1:143" ht="12.75" x14ac:dyDescent="0.2">
      <c r="A195" s="764">
        <v>188</v>
      </c>
      <c r="B195" s="765" t="s">
        <v>265</v>
      </c>
      <c r="C195" s="766" t="s">
        <v>1217</v>
      </c>
      <c r="D195" s="767" t="s">
        <v>1220</v>
      </c>
      <c r="E195" s="768" t="s">
        <v>264</v>
      </c>
      <c r="F195" s="761">
        <v>100449863</v>
      </c>
      <c r="G195" s="762">
        <v>0</v>
      </c>
      <c r="H195" s="762">
        <v>698542</v>
      </c>
      <c r="I195" s="762">
        <v>284137</v>
      </c>
      <c r="J195" s="762">
        <v>0</v>
      </c>
      <c r="K195" s="762">
        <v>284137</v>
      </c>
      <c r="L195" s="762">
        <v>0</v>
      </c>
      <c r="M195" s="762">
        <v>787594</v>
      </c>
      <c r="N195" s="762">
        <v>0</v>
      </c>
      <c r="O195" s="762">
        <v>0</v>
      </c>
      <c r="P195" s="762">
        <v>0</v>
      </c>
      <c r="Q195" s="762">
        <v>0</v>
      </c>
      <c r="R195" s="762">
        <v>98679590</v>
      </c>
      <c r="S195" s="790">
        <v>0.25</v>
      </c>
      <c r="T195" s="790">
        <v>0.4</v>
      </c>
      <c r="U195" s="790">
        <v>0.33999999999999997</v>
      </c>
      <c r="V195" s="790">
        <v>0.01</v>
      </c>
      <c r="W195" s="790">
        <v>1</v>
      </c>
      <c r="X195" s="762">
        <v>24669897</v>
      </c>
      <c r="Y195" s="762">
        <v>39471836</v>
      </c>
      <c r="Z195" s="762">
        <v>33551061</v>
      </c>
      <c r="AA195" s="762">
        <v>986796</v>
      </c>
      <c r="AB195" s="762">
        <v>98679590</v>
      </c>
      <c r="AC195" s="762">
        <v>623308</v>
      </c>
      <c r="AD195" s="762">
        <v>0</v>
      </c>
      <c r="AE195" s="762">
        <v>0</v>
      </c>
      <c r="AF195" s="762">
        <v>0</v>
      </c>
      <c r="AG195" s="762">
        <v>623308</v>
      </c>
      <c r="AH195" s="762">
        <v>24046589</v>
      </c>
      <c r="AI195" s="762">
        <v>39471836</v>
      </c>
      <c r="AJ195" s="762">
        <v>33551061</v>
      </c>
      <c r="AK195" s="762">
        <v>986796</v>
      </c>
      <c r="AL195" s="762">
        <v>98056282</v>
      </c>
      <c r="AM195" s="762">
        <v>284137</v>
      </c>
      <c r="AN195" s="762">
        <v>284137</v>
      </c>
      <c r="AO195" s="762">
        <v>787594</v>
      </c>
      <c r="AP195" s="762">
        <v>787594</v>
      </c>
      <c r="AQ195" s="762">
        <v>0</v>
      </c>
      <c r="AR195" s="762">
        <v>0</v>
      </c>
      <c r="AS195" s="762">
        <v>0</v>
      </c>
      <c r="AT195" s="762">
        <v>0</v>
      </c>
      <c r="AU195" s="762">
        <v>0</v>
      </c>
      <c r="AV195" s="762">
        <v>0</v>
      </c>
      <c r="AW195" s="762">
        <v>0</v>
      </c>
      <c r="AX195" s="762">
        <v>623308</v>
      </c>
      <c r="AY195" s="762">
        <v>0</v>
      </c>
      <c r="AZ195" s="762">
        <v>0</v>
      </c>
      <c r="BA195" s="762">
        <v>623308</v>
      </c>
      <c r="BB195" s="762">
        <v>0</v>
      </c>
      <c r="BC195" s="762">
        <v>0</v>
      </c>
      <c r="BD195" s="762">
        <v>0</v>
      </c>
      <c r="BE195" s="762">
        <v>0</v>
      </c>
      <c r="BF195" s="762">
        <v>0</v>
      </c>
      <c r="BG195" s="762">
        <v>0</v>
      </c>
      <c r="BH195" s="762">
        <v>0</v>
      </c>
      <c r="BI195" s="762">
        <v>0</v>
      </c>
      <c r="BJ195" s="790">
        <v>0.5</v>
      </c>
      <c r="BK195" s="790">
        <v>0.4</v>
      </c>
      <c r="BL195" s="790">
        <v>0.1</v>
      </c>
      <c r="BM195" s="790">
        <v>0</v>
      </c>
      <c r="BN195" s="790">
        <v>1</v>
      </c>
      <c r="BO195" s="762">
        <v>-678882</v>
      </c>
      <c r="BP195" s="762">
        <v>-543106</v>
      </c>
      <c r="BQ195" s="762">
        <v>-135777</v>
      </c>
      <c r="BR195" s="762">
        <v>0</v>
      </c>
      <c r="BS195" s="762">
        <v>-1357765</v>
      </c>
      <c r="BT195" s="790">
        <v>0.5</v>
      </c>
      <c r="BU195" s="790">
        <v>0.4</v>
      </c>
      <c r="BV195" s="790">
        <v>0.1</v>
      </c>
      <c r="BW195" s="790">
        <v>0</v>
      </c>
      <c r="BX195" s="790">
        <v>1</v>
      </c>
      <c r="BY195" s="762">
        <v>821147</v>
      </c>
      <c r="BZ195" s="762">
        <v>656917</v>
      </c>
      <c r="CA195" s="762">
        <v>164229</v>
      </c>
      <c r="CB195" s="762">
        <v>0</v>
      </c>
      <c r="CC195" s="762">
        <v>1642293</v>
      </c>
      <c r="CD195" s="762">
        <v>142264</v>
      </c>
      <c r="CE195" s="762">
        <v>113811</v>
      </c>
      <c r="CF195" s="762">
        <v>28453</v>
      </c>
      <c r="CG195" s="762">
        <v>0</v>
      </c>
      <c r="CH195" s="762">
        <v>284528</v>
      </c>
      <c r="CI195" s="762">
        <v>24188853</v>
      </c>
      <c r="CJ195" s="762">
        <v>41280686</v>
      </c>
      <c r="CK195" s="762">
        <v>33579514</v>
      </c>
      <c r="CL195" s="762">
        <v>986796</v>
      </c>
      <c r="CM195" s="762">
        <v>100035849</v>
      </c>
      <c r="CN195" s="762">
        <v>1332228</v>
      </c>
      <c r="CO195" s="762">
        <v>1093314</v>
      </c>
      <c r="CP195" s="762">
        <v>32156</v>
      </c>
      <c r="CQ195" s="762">
        <v>2457698</v>
      </c>
      <c r="CR195" s="762">
        <v>1738829</v>
      </c>
      <c r="CS195" s="762">
        <v>1407477</v>
      </c>
      <c r="CT195" s="762">
        <v>41396</v>
      </c>
      <c r="CU195" s="762">
        <v>3187702</v>
      </c>
      <c r="CV195" s="762">
        <v>172112</v>
      </c>
      <c r="CW195" s="762">
        <v>127794</v>
      </c>
      <c r="CX195" s="762">
        <v>3759</v>
      </c>
      <c r="CY195" s="762">
        <v>303665</v>
      </c>
      <c r="CZ195" s="762">
        <v>0</v>
      </c>
      <c r="DA195" s="762">
        <v>0</v>
      </c>
      <c r="DB195" s="762">
        <v>0</v>
      </c>
      <c r="DC195" s="762">
        <v>0</v>
      </c>
      <c r="DD195" s="762">
        <v>0</v>
      </c>
      <c r="DE195" s="762">
        <v>0</v>
      </c>
      <c r="DF195" s="762">
        <v>0</v>
      </c>
      <c r="DG195" s="762">
        <v>0</v>
      </c>
      <c r="DH195" s="762">
        <v>0</v>
      </c>
      <c r="DI195" s="762">
        <v>0</v>
      </c>
      <c r="DJ195" s="762">
        <v>0</v>
      </c>
      <c r="DK195" s="762">
        <v>0</v>
      </c>
      <c r="DL195" s="762">
        <v>618759</v>
      </c>
      <c r="DM195" s="762">
        <v>524647</v>
      </c>
      <c r="DN195" s="762">
        <v>15431</v>
      </c>
      <c r="DO195" s="762">
        <v>1158837</v>
      </c>
      <c r="DP195" s="762">
        <v>17150</v>
      </c>
      <c r="DQ195" s="762">
        <v>12501</v>
      </c>
      <c r="DR195" s="762">
        <v>368</v>
      </c>
      <c r="DS195" s="762">
        <v>30019</v>
      </c>
      <c r="DT195" s="762">
        <v>0</v>
      </c>
      <c r="DU195" s="762">
        <v>0</v>
      </c>
      <c r="DV195" s="762">
        <v>0</v>
      </c>
      <c r="DW195" s="762">
        <v>0</v>
      </c>
      <c r="DX195" s="762">
        <v>0</v>
      </c>
      <c r="DY195" s="762">
        <v>0</v>
      </c>
      <c r="DZ195" s="762">
        <v>0</v>
      </c>
      <c r="EA195" s="762">
        <v>0</v>
      </c>
      <c r="EB195" s="762">
        <v>792354</v>
      </c>
      <c r="EC195" s="762">
        <v>609530</v>
      </c>
      <c r="ED195" s="762">
        <v>17927</v>
      </c>
      <c r="EE195" s="762">
        <v>1419811</v>
      </c>
      <c r="EF195" s="762">
        <v>4671432</v>
      </c>
      <c r="EG195" s="762">
        <v>3775263</v>
      </c>
      <c r="EH195" s="762">
        <v>111037</v>
      </c>
      <c r="EI195" s="799">
        <v>8557732</v>
      </c>
      <c r="EJ195" s="763" t="s">
        <v>264</v>
      </c>
      <c r="EK195" s="607" t="s">
        <v>605</v>
      </c>
      <c r="EL195" s="805" t="s">
        <v>556</v>
      </c>
      <c r="EM195" t="s">
        <v>1761</v>
      </c>
    </row>
    <row r="196" spans="1:143" ht="12.75" x14ac:dyDescent="0.2">
      <c r="A196" s="764">
        <v>189</v>
      </c>
      <c r="B196" s="765" t="s">
        <v>267</v>
      </c>
      <c r="C196" s="766" t="s">
        <v>529</v>
      </c>
      <c r="D196" s="767" t="s">
        <v>1229</v>
      </c>
      <c r="E196" s="768" t="s">
        <v>266</v>
      </c>
      <c r="F196" s="761">
        <v>78785351</v>
      </c>
      <c r="G196" s="762">
        <v>1904922</v>
      </c>
      <c r="H196" s="762">
        <v>0</v>
      </c>
      <c r="I196" s="762">
        <v>476776</v>
      </c>
      <c r="J196" s="762">
        <v>0</v>
      </c>
      <c r="K196" s="762">
        <v>476776</v>
      </c>
      <c r="L196" s="762">
        <v>0</v>
      </c>
      <c r="M196" s="762">
        <v>278145</v>
      </c>
      <c r="N196" s="762">
        <v>2842372</v>
      </c>
      <c r="O196" s="762">
        <v>2842372</v>
      </c>
      <c r="P196" s="762">
        <v>0</v>
      </c>
      <c r="Q196" s="762">
        <v>0</v>
      </c>
      <c r="R196" s="762">
        <v>77092980</v>
      </c>
      <c r="S196" s="790">
        <v>0.25</v>
      </c>
      <c r="T196" s="790">
        <v>0.75</v>
      </c>
      <c r="U196" s="790">
        <v>0</v>
      </c>
      <c r="V196" s="790">
        <v>0</v>
      </c>
      <c r="W196" s="790">
        <v>1</v>
      </c>
      <c r="X196" s="762">
        <v>19273245</v>
      </c>
      <c r="Y196" s="762">
        <v>57819735</v>
      </c>
      <c r="Z196" s="762">
        <v>0</v>
      </c>
      <c r="AA196" s="762">
        <v>0</v>
      </c>
      <c r="AB196" s="762">
        <v>77092980</v>
      </c>
      <c r="AC196" s="762">
        <v>96195</v>
      </c>
      <c r="AD196" s="762">
        <v>0</v>
      </c>
      <c r="AE196" s="762">
        <v>0</v>
      </c>
      <c r="AF196" s="762">
        <v>0</v>
      </c>
      <c r="AG196" s="762">
        <v>96195</v>
      </c>
      <c r="AH196" s="762">
        <v>19177050</v>
      </c>
      <c r="AI196" s="762">
        <v>57819735</v>
      </c>
      <c r="AJ196" s="762">
        <v>0</v>
      </c>
      <c r="AK196" s="762">
        <v>0</v>
      </c>
      <c r="AL196" s="762">
        <v>76996785</v>
      </c>
      <c r="AM196" s="762">
        <v>476776</v>
      </c>
      <c r="AN196" s="762">
        <v>476776</v>
      </c>
      <c r="AO196" s="762">
        <v>278145</v>
      </c>
      <c r="AP196" s="762">
        <v>278145</v>
      </c>
      <c r="AQ196" s="762">
        <v>2842372</v>
      </c>
      <c r="AR196" s="762">
        <v>0</v>
      </c>
      <c r="AS196" s="762">
        <v>2842372</v>
      </c>
      <c r="AT196" s="762">
        <v>0</v>
      </c>
      <c r="AU196" s="762">
        <v>0</v>
      </c>
      <c r="AV196" s="762">
        <v>0</v>
      </c>
      <c r="AW196" s="762">
        <v>0</v>
      </c>
      <c r="AX196" s="762">
        <v>96195</v>
      </c>
      <c r="AY196" s="762">
        <v>0</v>
      </c>
      <c r="AZ196" s="762">
        <v>0</v>
      </c>
      <c r="BA196" s="762">
        <v>96195</v>
      </c>
      <c r="BB196" s="762">
        <v>0</v>
      </c>
      <c r="BC196" s="762">
        <v>0</v>
      </c>
      <c r="BD196" s="762">
        <v>0</v>
      </c>
      <c r="BE196" s="762">
        <v>0</v>
      </c>
      <c r="BF196" s="762">
        <v>0</v>
      </c>
      <c r="BG196" s="762">
        <v>0</v>
      </c>
      <c r="BH196" s="762">
        <v>0</v>
      </c>
      <c r="BI196" s="762">
        <v>0</v>
      </c>
      <c r="BJ196" s="790">
        <v>0.5</v>
      </c>
      <c r="BK196" s="790">
        <v>0.5</v>
      </c>
      <c r="BL196" s="790">
        <v>0</v>
      </c>
      <c r="BM196" s="790">
        <v>0</v>
      </c>
      <c r="BN196" s="790">
        <v>1</v>
      </c>
      <c r="BO196" s="762">
        <v>335145</v>
      </c>
      <c r="BP196" s="762">
        <v>335146</v>
      </c>
      <c r="BQ196" s="762">
        <v>0</v>
      </c>
      <c r="BR196" s="762">
        <v>0</v>
      </c>
      <c r="BS196" s="762">
        <v>670291</v>
      </c>
      <c r="BT196" s="790">
        <v>0.5</v>
      </c>
      <c r="BU196" s="790">
        <v>0.5</v>
      </c>
      <c r="BV196" s="790">
        <v>0</v>
      </c>
      <c r="BW196" s="790">
        <v>0</v>
      </c>
      <c r="BX196" s="790">
        <v>1</v>
      </c>
      <c r="BY196" s="762">
        <v>-1681509</v>
      </c>
      <c r="BZ196" s="762">
        <v>-1681509</v>
      </c>
      <c r="CA196" s="762">
        <v>0</v>
      </c>
      <c r="CB196" s="762">
        <v>0</v>
      </c>
      <c r="CC196" s="762">
        <v>-3363018</v>
      </c>
      <c r="CD196" s="762">
        <v>-1346363</v>
      </c>
      <c r="CE196" s="762">
        <v>-1346364</v>
      </c>
      <c r="CF196" s="762">
        <v>0</v>
      </c>
      <c r="CG196" s="762">
        <v>0</v>
      </c>
      <c r="CH196" s="762">
        <v>-2692727</v>
      </c>
      <c r="CI196" s="762">
        <v>17830687</v>
      </c>
      <c r="CJ196" s="762">
        <v>60166859</v>
      </c>
      <c r="CK196" s="762">
        <v>0</v>
      </c>
      <c r="CL196" s="762">
        <v>0</v>
      </c>
      <c r="CM196" s="762">
        <v>77997546</v>
      </c>
      <c r="CN196" s="762">
        <v>1988968</v>
      </c>
      <c r="CO196" s="762">
        <v>0</v>
      </c>
      <c r="CP196" s="762">
        <v>0</v>
      </c>
      <c r="CQ196" s="762">
        <v>1988968</v>
      </c>
      <c r="CR196" s="762">
        <v>6655271</v>
      </c>
      <c r="CS196" s="762">
        <v>0</v>
      </c>
      <c r="CT196" s="762">
        <v>0</v>
      </c>
      <c r="CU196" s="762">
        <v>6655271</v>
      </c>
      <c r="CV196" s="762">
        <v>365052</v>
      </c>
      <c r="CW196" s="762">
        <v>0</v>
      </c>
      <c r="CX196" s="762">
        <v>0</v>
      </c>
      <c r="CY196" s="762">
        <v>365052</v>
      </c>
      <c r="CZ196" s="762">
        <v>41359</v>
      </c>
      <c r="DA196" s="762">
        <v>0</v>
      </c>
      <c r="DB196" s="762">
        <v>0</v>
      </c>
      <c r="DC196" s="762">
        <v>41359</v>
      </c>
      <c r="DD196" s="762">
        <v>64903</v>
      </c>
      <c r="DE196" s="762">
        <v>0</v>
      </c>
      <c r="DF196" s="762">
        <v>0</v>
      </c>
      <c r="DG196" s="762">
        <v>64903</v>
      </c>
      <c r="DH196" s="762">
        <v>1162</v>
      </c>
      <c r="DI196" s="762">
        <v>0</v>
      </c>
      <c r="DJ196" s="762">
        <v>0</v>
      </c>
      <c r="DK196" s="762">
        <v>1162</v>
      </c>
      <c r="DL196" s="762">
        <v>73766</v>
      </c>
      <c r="DM196" s="762">
        <v>0</v>
      </c>
      <c r="DN196" s="762">
        <v>0</v>
      </c>
      <c r="DO196" s="762">
        <v>73766</v>
      </c>
      <c r="DP196" s="762">
        <v>149138</v>
      </c>
      <c r="DQ196" s="762">
        <v>0</v>
      </c>
      <c r="DR196" s="762">
        <v>0</v>
      </c>
      <c r="DS196" s="762">
        <v>149138</v>
      </c>
      <c r="DT196" s="762">
        <v>0</v>
      </c>
      <c r="DU196" s="762">
        <v>0</v>
      </c>
      <c r="DV196" s="762">
        <v>0</v>
      </c>
      <c r="DW196" s="762">
        <v>0</v>
      </c>
      <c r="DX196" s="762">
        <v>0</v>
      </c>
      <c r="DY196" s="762">
        <v>0</v>
      </c>
      <c r="DZ196" s="762">
        <v>0</v>
      </c>
      <c r="EA196" s="762">
        <v>0</v>
      </c>
      <c r="EB196" s="762">
        <v>1500344</v>
      </c>
      <c r="EC196" s="762">
        <v>0</v>
      </c>
      <c r="ED196" s="762">
        <v>0</v>
      </c>
      <c r="EE196" s="762">
        <v>1500344</v>
      </c>
      <c r="EF196" s="762">
        <v>10839963</v>
      </c>
      <c r="EG196" s="762">
        <v>0</v>
      </c>
      <c r="EH196" s="762">
        <v>0</v>
      </c>
      <c r="EI196" s="799">
        <v>10839963</v>
      </c>
      <c r="EJ196" s="763" t="s">
        <v>266</v>
      </c>
      <c r="EK196" s="607" t="s">
        <v>529</v>
      </c>
      <c r="EL196" s="805" t="s">
        <v>556</v>
      </c>
      <c r="EM196" t="s">
        <v>1762</v>
      </c>
    </row>
    <row r="197" spans="1:143" ht="12.75" x14ac:dyDescent="0.2">
      <c r="A197" s="764">
        <v>190</v>
      </c>
      <c r="B197" s="765" t="s">
        <v>269</v>
      </c>
      <c r="C197" s="766" t="s">
        <v>1217</v>
      </c>
      <c r="D197" s="767" t="s">
        <v>1221</v>
      </c>
      <c r="E197" s="768" t="s">
        <v>268</v>
      </c>
      <c r="F197" s="761">
        <v>75416381</v>
      </c>
      <c r="G197" s="762">
        <v>0</v>
      </c>
      <c r="H197" s="762">
        <v>370765</v>
      </c>
      <c r="I197" s="762">
        <v>272701</v>
      </c>
      <c r="J197" s="762">
        <v>0</v>
      </c>
      <c r="K197" s="762">
        <v>272701</v>
      </c>
      <c r="L197" s="762">
        <v>0</v>
      </c>
      <c r="M197" s="762">
        <v>0</v>
      </c>
      <c r="N197" s="762">
        <v>0</v>
      </c>
      <c r="O197" s="762">
        <v>0</v>
      </c>
      <c r="P197" s="762">
        <v>0</v>
      </c>
      <c r="Q197" s="762">
        <v>0</v>
      </c>
      <c r="R197" s="762">
        <v>74772915</v>
      </c>
      <c r="S197" s="790">
        <v>0.25000000000000006</v>
      </c>
      <c r="T197" s="790">
        <v>0.42499999999999999</v>
      </c>
      <c r="U197" s="790">
        <v>0.32500000000000001</v>
      </c>
      <c r="V197" s="790">
        <v>0</v>
      </c>
      <c r="W197" s="790">
        <v>1</v>
      </c>
      <c r="X197" s="762">
        <v>18693229</v>
      </c>
      <c r="Y197" s="762">
        <v>31778489</v>
      </c>
      <c r="Z197" s="762">
        <v>24301197</v>
      </c>
      <c r="AA197" s="762">
        <v>0</v>
      </c>
      <c r="AB197" s="762">
        <v>74772915</v>
      </c>
      <c r="AC197" s="762">
        <v>0</v>
      </c>
      <c r="AD197" s="762">
        <v>0</v>
      </c>
      <c r="AE197" s="762">
        <v>0</v>
      </c>
      <c r="AF197" s="762">
        <v>0</v>
      </c>
      <c r="AG197" s="762">
        <v>0</v>
      </c>
      <c r="AH197" s="762">
        <v>18693229</v>
      </c>
      <c r="AI197" s="762">
        <v>31778489</v>
      </c>
      <c r="AJ197" s="762">
        <v>24301197</v>
      </c>
      <c r="AK197" s="762">
        <v>0</v>
      </c>
      <c r="AL197" s="762">
        <v>74772915</v>
      </c>
      <c r="AM197" s="762">
        <v>272701</v>
      </c>
      <c r="AN197" s="762">
        <v>272701</v>
      </c>
      <c r="AO197" s="762">
        <v>0</v>
      </c>
      <c r="AP197" s="762">
        <v>0</v>
      </c>
      <c r="AQ197" s="762">
        <v>0</v>
      </c>
      <c r="AR197" s="762">
        <v>0</v>
      </c>
      <c r="AS197" s="762">
        <v>0</v>
      </c>
      <c r="AT197" s="762">
        <v>0</v>
      </c>
      <c r="AU197" s="762">
        <v>0</v>
      </c>
      <c r="AV197" s="762">
        <v>0</v>
      </c>
      <c r="AW197" s="762">
        <v>0</v>
      </c>
      <c r="AX197" s="762">
        <v>0</v>
      </c>
      <c r="AY197" s="762">
        <v>0</v>
      </c>
      <c r="AZ197" s="762">
        <v>0</v>
      </c>
      <c r="BA197" s="762">
        <v>0</v>
      </c>
      <c r="BB197" s="762">
        <v>0</v>
      </c>
      <c r="BC197" s="762">
        <v>0</v>
      </c>
      <c r="BD197" s="762">
        <v>0</v>
      </c>
      <c r="BE197" s="762">
        <v>0</v>
      </c>
      <c r="BF197" s="762">
        <v>0</v>
      </c>
      <c r="BG197" s="762">
        <v>0</v>
      </c>
      <c r="BH197" s="762">
        <v>0</v>
      </c>
      <c r="BI197" s="762">
        <v>0</v>
      </c>
      <c r="BJ197" s="790">
        <v>0.5</v>
      </c>
      <c r="BK197" s="790">
        <v>0.4</v>
      </c>
      <c r="BL197" s="790">
        <v>0.1</v>
      </c>
      <c r="BM197" s="790">
        <v>0</v>
      </c>
      <c r="BN197" s="790">
        <v>1</v>
      </c>
      <c r="BO197" s="762">
        <v>335196</v>
      </c>
      <c r="BP197" s="762">
        <v>268157</v>
      </c>
      <c r="BQ197" s="762">
        <v>67039</v>
      </c>
      <c r="BR197" s="762">
        <v>0</v>
      </c>
      <c r="BS197" s="762">
        <v>670392</v>
      </c>
      <c r="BT197" s="790">
        <v>0.5</v>
      </c>
      <c r="BU197" s="790">
        <v>0.4</v>
      </c>
      <c r="BV197" s="790">
        <v>0.1</v>
      </c>
      <c r="BW197" s="790">
        <v>0</v>
      </c>
      <c r="BX197" s="790">
        <v>1</v>
      </c>
      <c r="BY197" s="762">
        <v>-25117</v>
      </c>
      <c r="BZ197" s="762">
        <v>-20094</v>
      </c>
      <c r="CA197" s="762">
        <v>-5023</v>
      </c>
      <c r="CB197" s="762">
        <v>0</v>
      </c>
      <c r="CC197" s="762">
        <v>-50234</v>
      </c>
      <c r="CD197" s="762">
        <v>310079</v>
      </c>
      <c r="CE197" s="762">
        <v>248063</v>
      </c>
      <c r="CF197" s="762">
        <v>62016</v>
      </c>
      <c r="CG197" s="762">
        <v>0</v>
      </c>
      <c r="CH197" s="762">
        <v>620158</v>
      </c>
      <c r="CI197" s="762">
        <v>19003308</v>
      </c>
      <c r="CJ197" s="762">
        <v>32299253</v>
      </c>
      <c r="CK197" s="762">
        <v>24363213</v>
      </c>
      <c r="CL197" s="762">
        <v>0</v>
      </c>
      <c r="CM197" s="762">
        <v>75665774</v>
      </c>
      <c r="CN197" s="762">
        <v>1035552</v>
      </c>
      <c r="CO197" s="762">
        <v>791892</v>
      </c>
      <c r="CP197" s="762">
        <v>0</v>
      </c>
      <c r="CQ197" s="762">
        <v>1827444</v>
      </c>
      <c r="CR197" s="762">
        <v>1948382</v>
      </c>
      <c r="CS197" s="762">
        <v>1489940</v>
      </c>
      <c r="CT197" s="762">
        <v>0</v>
      </c>
      <c r="CU197" s="762">
        <v>3438322</v>
      </c>
      <c r="CV197" s="762">
        <v>161636</v>
      </c>
      <c r="CW197" s="762">
        <v>123604</v>
      </c>
      <c r="CX197" s="762">
        <v>0</v>
      </c>
      <c r="CY197" s="762">
        <v>285240</v>
      </c>
      <c r="CZ197" s="762">
        <v>9860</v>
      </c>
      <c r="DA197" s="762">
        <v>7539</v>
      </c>
      <c r="DB197" s="762">
        <v>0</v>
      </c>
      <c r="DC197" s="762">
        <v>17399</v>
      </c>
      <c r="DD197" s="762">
        <v>0</v>
      </c>
      <c r="DE197" s="762">
        <v>0</v>
      </c>
      <c r="DF197" s="762">
        <v>0</v>
      </c>
      <c r="DG197" s="762">
        <v>0</v>
      </c>
      <c r="DH197" s="762">
        <v>0</v>
      </c>
      <c r="DI197" s="762">
        <v>0</v>
      </c>
      <c r="DJ197" s="762">
        <v>0</v>
      </c>
      <c r="DK197" s="762">
        <v>0</v>
      </c>
      <c r="DL197" s="762">
        <v>11060</v>
      </c>
      <c r="DM197" s="762">
        <v>8458</v>
      </c>
      <c r="DN197" s="762">
        <v>0</v>
      </c>
      <c r="DO197" s="762">
        <v>19518</v>
      </c>
      <c r="DP197" s="762">
        <v>42479</v>
      </c>
      <c r="DQ197" s="762">
        <v>32484</v>
      </c>
      <c r="DR197" s="762">
        <v>0</v>
      </c>
      <c r="DS197" s="762">
        <v>74963</v>
      </c>
      <c r="DT197" s="762">
        <v>0</v>
      </c>
      <c r="DU197" s="762">
        <v>0</v>
      </c>
      <c r="DV197" s="762">
        <v>0</v>
      </c>
      <c r="DW197" s="762">
        <v>0</v>
      </c>
      <c r="DX197" s="762">
        <v>0</v>
      </c>
      <c r="DY197" s="762">
        <v>0</v>
      </c>
      <c r="DZ197" s="762">
        <v>0</v>
      </c>
      <c r="EA197" s="762">
        <v>0</v>
      </c>
      <c r="EB197" s="762">
        <v>798033</v>
      </c>
      <c r="EC197" s="762">
        <v>610260</v>
      </c>
      <c r="ED197" s="762">
        <v>0</v>
      </c>
      <c r="EE197" s="762">
        <v>1408293</v>
      </c>
      <c r="EF197" s="762">
        <v>4007002</v>
      </c>
      <c r="EG197" s="762">
        <v>3064177</v>
      </c>
      <c r="EH197" s="762">
        <v>0</v>
      </c>
      <c r="EI197" s="799">
        <v>7071179</v>
      </c>
      <c r="EJ197" s="763" t="s">
        <v>268</v>
      </c>
      <c r="EK197" s="607" t="s">
        <v>601</v>
      </c>
      <c r="EL197" s="805" t="s">
        <v>556</v>
      </c>
      <c r="EM197" t="s">
        <v>1763</v>
      </c>
    </row>
    <row r="198" spans="1:143" ht="12.75" x14ac:dyDescent="0.2">
      <c r="A198" s="764">
        <v>191</v>
      </c>
      <c r="B198" s="765" t="s">
        <v>271</v>
      </c>
      <c r="C198" s="766" t="s">
        <v>529</v>
      </c>
      <c r="D198" s="767" t="s">
        <v>1220</v>
      </c>
      <c r="E198" s="768" t="s">
        <v>606</v>
      </c>
      <c r="F198" s="761">
        <v>134897253</v>
      </c>
      <c r="G198" s="762">
        <v>2356058</v>
      </c>
      <c r="H198" s="762">
        <v>0</v>
      </c>
      <c r="I198" s="762">
        <v>490365</v>
      </c>
      <c r="J198" s="762">
        <v>0</v>
      </c>
      <c r="K198" s="762">
        <v>490365</v>
      </c>
      <c r="L198" s="762">
        <v>0</v>
      </c>
      <c r="M198" s="762">
        <v>0</v>
      </c>
      <c r="N198" s="762">
        <v>0</v>
      </c>
      <c r="O198" s="762">
        <v>0</v>
      </c>
      <c r="P198" s="762">
        <v>0</v>
      </c>
      <c r="Q198" s="762">
        <v>0</v>
      </c>
      <c r="R198" s="762">
        <v>136762946</v>
      </c>
      <c r="S198" s="790">
        <v>0.5</v>
      </c>
      <c r="T198" s="790">
        <v>0.49</v>
      </c>
      <c r="U198" s="790">
        <v>0</v>
      </c>
      <c r="V198" s="790">
        <v>0.01</v>
      </c>
      <c r="W198" s="790">
        <v>1</v>
      </c>
      <c r="X198" s="762">
        <v>68381473</v>
      </c>
      <c r="Y198" s="762">
        <v>67013844</v>
      </c>
      <c r="Z198" s="762">
        <v>0</v>
      </c>
      <c r="AA198" s="762">
        <v>1367629</v>
      </c>
      <c r="AB198" s="762">
        <v>136762946</v>
      </c>
      <c r="AC198" s="762">
        <v>0</v>
      </c>
      <c r="AD198" s="762">
        <v>0</v>
      </c>
      <c r="AE198" s="762">
        <v>0</v>
      </c>
      <c r="AF198" s="762">
        <v>0</v>
      </c>
      <c r="AG198" s="762">
        <v>0</v>
      </c>
      <c r="AH198" s="762">
        <v>68381473</v>
      </c>
      <c r="AI198" s="762">
        <v>67013844</v>
      </c>
      <c r="AJ198" s="762">
        <v>0</v>
      </c>
      <c r="AK198" s="762">
        <v>1367629</v>
      </c>
      <c r="AL198" s="762">
        <v>136762946</v>
      </c>
      <c r="AM198" s="762">
        <v>490365</v>
      </c>
      <c r="AN198" s="762">
        <v>490365</v>
      </c>
      <c r="AO198" s="762">
        <v>0</v>
      </c>
      <c r="AP198" s="762">
        <v>0</v>
      </c>
      <c r="AQ198" s="762">
        <v>0</v>
      </c>
      <c r="AR198" s="762">
        <v>0</v>
      </c>
      <c r="AS198" s="762">
        <v>0</v>
      </c>
      <c r="AT198" s="762">
        <v>0</v>
      </c>
      <c r="AU198" s="762">
        <v>0</v>
      </c>
      <c r="AV198" s="762">
        <v>0</v>
      </c>
      <c r="AW198" s="762">
        <v>0</v>
      </c>
      <c r="AX198" s="762">
        <v>0</v>
      </c>
      <c r="AY198" s="762">
        <v>0</v>
      </c>
      <c r="AZ198" s="762">
        <v>0</v>
      </c>
      <c r="BA198" s="762">
        <v>0</v>
      </c>
      <c r="BB198" s="762">
        <v>0</v>
      </c>
      <c r="BC198" s="762">
        <v>0</v>
      </c>
      <c r="BD198" s="762">
        <v>0</v>
      </c>
      <c r="BE198" s="762">
        <v>0</v>
      </c>
      <c r="BF198" s="762">
        <v>0</v>
      </c>
      <c r="BG198" s="762">
        <v>0</v>
      </c>
      <c r="BH198" s="762">
        <v>0</v>
      </c>
      <c r="BI198" s="762">
        <v>0</v>
      </c>
      <c r="BJ198" s="790">
        <v>0.5</v>
      </c>
      <c r="BK198" s="790">
        <v>0.49</v>
      </c>
      <c r="BL198" s="790">
        <v>0</v>
      </c>
      <c r="BM198" s="790">
        <v>0.01</v>
      </c>
      <c r="BN198" s="790">
        <v>1</v>
      </c>
      <c r="BO198" s="762">
        <v>3449411</v>
      </c>
      <c r="BP198" s="762">
        <v>3380423</v>
      </c>
      <c r="BQ198" s="762">
        <v>0</v>
      </c>
      <c r="BR198" s="762">
        <v>68988</v>
      </c>
      <c r="BS198" s="762">
        <v>6898822</v>
      </c>
      <c r="BT198" s="790">
        <v>0.5</v>
      </c>
      <c r="BU198" s="790">
        <v>0.49</v>
      </c>
      <c r="BV198" s="790">
        <v>0</v>
      </c>
      <c r="BW198" s="790">
        <v>0.01</v>
      </c>
      <c r="BX198" s="790">
        <v>1</v>
      </c>
      <c r="BY198" s="762">
        <v>-1487607</v>
      </c>
      <c r="BZ198" s="762">
        <v>-1457855</v>
      </c>
      <c r="CA198" s="762">
        <v>0</v>
      </c>
      <c r="CB198" s="762">
        <v>-29752</v>
      </c>
      <c r="CC198" s="762">
        <v>-2975214</v>
      </c>
      <c r="CD198" s="762">
        <v>1961804</v>
      </c>
      <c r="CE198" s="762">
        <v>1922568</v>
      </c>
      <c r="CF198" s="762">
        <v>0</v>
      </c>
      <c r="CG198" s="762">
        <v>39236</v>
      </c>
      <c r="CH198" s="762">
        <v>3923608</v>
      </c>
      <c r="CI198" s="762">
        <v>70343277</v>
      </c>
      <c r="CJ198" s="762">
        <v>69426777</v>
      </c>
      <c r="CK198" s="762">
        <v>0</v>
      </c>
      <c r="CL198" s="762">
        <v>1406865</v>
      </c>
      <c r="CM198" s="762">
        <v>141176919</v>
      </c>
      <c r="CN198" s="762">
        <v>2183751</v>
      </c>
      <c r="CO198" s="762">
        <v>0</v>
      </c>
      <c r="CP198" s="762">
        <v>44566</v>
      </c>
      <c r="CQ198" s="762">
        <v>2228317</v>
      </c>
      <c r="CR198" s="762">
        <v>3349615</v>
      </c>
      <c r="CS198" s="762">
        <v>0</v>
      </c>
      <c r="CT198" s="762">
        <v>59604</v>
      </c>
      <c r="CU198" s="762">
        <v>3409219</v>
      </c>
      <c r="CV198" s="762">
        <v>290172</v>
      </c>
      <c r="CW198" s="762">
        <v>0</v>
      </c>
      <c r="CX198" s="762">
        <v>5063</v>
      </c>
      <c r="CY198" s="762">
        <v>295235</v>
      </c>
      <c r="CZ198" s="762">
        <v>25302</v>
      </c>
      <c r="DA198" s="762">
        <v>0</v>
      </c>
      <c r="DB198" s="762">
        <v>392</v>
      </c>
      <c r="DC198" s="762">
        <v>25694</v>
      </c>
      <c r="DD198" s="762">
        <v>0</v>
      </c>
      <c r="DE198" s="762">
        <v>0</v>
      </c>
      <c r="DF198" s="762">
        <v>0</v>
      </c>
      <c r="DG198" s="762">
        <v>0</v>
      </c>
      <c r="DH198" s="762">
        <v>759</v>
      </c>
      <c r="DI198" s="762">
        <v>0</v>
      </c>
      <c r="DJ198" s="762">
        <v>15</v>
      </c>
      <c r="DK198" s="762">
        <v>774</v>
      </c>
      <c r="DL198" s="762">
        <v>43986</v>
      </c>
      <c r="DM198" s="762">
        <v>0</v>
      </c>
      <c r="DN198" s="762">
        <v>759</v>
      </c>
      <c r="DO198" s="762">
        <v>44745</v>
      </c>
      <c r="DP198" s="762">
        <v>133873</v>
      </c>
      <c r="DQ198" s="762">
        <v>0</v>
      </c>
      <c r="DR198" s="762">
        <v>1809</v>
      </c>
      <c r="DS198" s="762">
        <v>135682</v>
      </c>
      <c r="DT198" s="762">
        <v>0</v>
      </c>
      <c r="DU198" s="762">
        <v>0</v>
      </c>
      <c r="DV198" s="762">
        <v>0</v>
      </c>
      <c r="DW198" s="762">
        <v>0</v>
      </c>
      <c r="DX198" s="762">
        <v>0</v>
      </c>
      <c r="DY198" s="762">
        <v>0</v>
      </c>
      <c r="DZ198" s="762">
        <v>0</v>
      </c>
      <c r="EA198" s="762">
        <v>0</v>
      </c>
      <c r="EB198" s="762">
        <v>1675690</v>
      </c>
      <c r="EC198" s="762">
        <v>0</v>
      </c>
      <c r="ED198" s="762">
        <v>28192</v>
      </c>
      <c r="EE198" s="762">
        <v>1703882</v>
      </c>
      <c r="EF198" s="762">
        <v>7703148</v>
      </c>
      <c r="EG198" s="762">
        <v>0</v>
      </c>
      <c r="EH198" s="762">
        <v>140400</v>
      </c>
      <c r="EI198" s="799">
        <v>7843548</v>
      </c>
      <c r="EJ198" s="763" t="s">
        <v>606</v>
      </c>
      <c r="EK198" s="607" t="s">
        <v>529</v>
      </c>
      <c r="EL198" s="805" t="s">
        <v>607</v>
      </c>
      <c r="EM198" t="s">
        <v>1764</v>
      </c>
    </row>
    <row r="199" spans="1:143" ht="12.75" x14ac:dyDescent="0.2">
      <c r="A199" s="764">
        <v>192</v>
      </c>
      <c r="B199" s="765" t="s">
        <v>273</v>
      </c>
      <c r="C199" s="766" t="s">
        <v>1217</v>
      </c>
      <c r="D199" s="767" t="s">
        <v>1227</v>
      </c>
      <c r="E199" s="768" t="s">
        <v>272</v>
      </c>
      <c r="F199" s="761">
        <v>34628132</v>
      </c>
      <c r="G199" s="762">
        <v>0</v>
      </c>
      <c r="H199" s="762">
        <v>144570</v>
      </c>
      <c r="I199" s="762">
        <v>130540</v>
      </c>
      <c r="J199" s="762">
        <v>0</v>
      </c>
      <c r="K199" s="762">
        <v>130540</v>
      </c>
      <c r="L199" s="762">
        <v>0</v>
      </c>
      <c r="M199" s="762">
        <v>0</v>
      </c>
      <c r="N199" s="762">
        <v>0</v>
      </c>
      <c r="O199" s="762">
        <v>0</v>
      </c>
      <c r="P199" s="762">
        <v>0</v>
      </c>
      <c r="Q199" s="762">
        <v>0</v>
      </c>
      <c r="R199" s="762">
        <v>34353022</v>
      </c>
      <c r="S199" s="790">
        <v>0.5</v>
      </c>
      <c r="T199" s="790">
        <v>0.4</v>
      </c>
      <c r="U199" s="790">
        <v>0.1</v>
      </c>
      <c r="V199" s="790">
        <v>0</v>
      </c>
      <c r="W199" s="790">
        <v>1</v>
      </c>
      <c r="X199" s="762">
        <v>17176511</v>
      </c>
      <c r="Y199" s="762">
        <v>13741209</v>
      </c>
      <c r="Z199" s="762">
        <v>3435302</v>
      </c>
      <c r="AA199" s="762">
        <v>0</v>
      </c>
      <c r="AB199" s="762">
        <v>34353022</v>
      </c>
      <c r="AC199" s="762">
        <v>0</v>
      </c>
      <c r="AD199" s="762">
        <v>0</v>
      </c>
      <c r="AE199" s="762">
        <v>0</v>
      </c>
      <c r="AF199" s="762">
        <v>0</v>
      </c>
      <c r="AG199" s="762">
        <v>0</v>
      </c>
      <c r="AH199" s="762">
        <v>17176511</v>
      </c>
      <c r="AI199" s="762">
        <v>13741209</v>
      </c>
      <c r="AJ199" s="762">
        <v>3435302</v>
      </c>
      <c r="AK199" s="762">
        <v>0</v>
      </c>
      <c r="AL199" s="762">
        <v>34353022</v>
      </c>
      <c r="AM199" s="762">
        <v>130540</v>
      </c>
      <c r="AN199" s="762">
        <v>130540</v>
      </c>
      <c r="AO199" s="762">
        <v>0</v>
      </c>
      <c r="AP199" s="762">
        <v>0</v>
      </c>
      <c r="AQ199" s="762">
        <v>0</v>
      </c>
      <c r="AR199" s="762">
        <v>0</v>
      </c>
      <c r="AS199" s="762">
        <v>0</v>
      </c>
      <c r="AT199" s="762">
        <v>0</v>
      </c>
      <c r="AU199" s="762">
        <v>0</v>
      </c>
      <c r="AV199" s="762">
        <v>0</v>
      </c>
      <c r="AW199" s="762">
        <v>0</v>
      </c>
      <c r="AX199" s="762">
        <v>0</v>
      </c>
      <c r="AY199" s="762">
        <v>0</v>
      </c>
      <c r="AZ199" s="762">
        <v>0</v>
      </c>
      <c r="BA199" s="762">
        <v>0</v>
      </c>
      <c r="BB199" s="762">
        <v>0</v>
      </c>
      <c r="BC199" s="762">
        <v>0</v>
      </c>
      <c r="BD199" s="762">
        <v>0</v>
      </c>
      <c r="BE199" s="762">
        <v>0</v>
      </c>
      <c r="BF199" s="762">
        <v>0</v>
      </c>
      <c r="BG199" s="762">
        <v>0</v>
      </c>
      <c r="BH199" s="762">
        <v>0</v>
      </c>
      <c r="BI199" s="762">
        <v>0</v>
      </c>
      <c r="BJ199" s="790">
        <v>0.5</v>
      </c>
      <c r="BK199" s="790">
        <v>0.4</v>
      </c>
      <c r="BL199" s="790">
        <v>0.1</v>
      </c>
      <c r="BM199" s="790">
        <v>0</v>
      </c>
      <c r="BN199" s="790">
        <v>1</v>
      </c>
      <c r="BO199" s="762">
        <v>98113</v>
      </c>
      <c r="BP199" s="762">
        <v>78490</v>
      </c>
      <c r="BQ199" s="762">
        <v>19623</v>
      </c>
      <c r="BR199" s="762">
        <v>0</v>
      </c>
      <c r="BS199" s="762">
        <v>196226</v>
      </c>
      <c r="BT199" s="790">
        <v>0.5</v>
      </c>
      <c r="BU199" s="790">
        <v>0.4</v>
      </c>
      <c r="BV199" s="790">
        <v>0.1</v>
      </c>
      <c r="BW199" s="790">
        <v>0</v>
      </c>
      <c r="BX199" s="790">
        <v>1</v>
      </c>
      <c r="BY199" s="762">
        <v>122307</v>
      </c>
      <c r="BZ199" s="762">
        <v>97845</v>
      </c>
      <c r="CA199" s="762">
        <v>24461</v>
      </c>
      <c r="CB199" s="762">
        <v>0</v>
      </c>
      <c r="CC199" s="762">
        <v>244613</v>
      </c>
      <c r="CD199" s="762">
        <v>220419</v>
      </c>
      <c r="CE199" s="762">
        <v>176336</v>
      </c>
      <c r="CF199" s="762">
        <v>44084</v>
      </c>
      <c r="CG199" s="762">
        <v>0</v>
      </c>
      <c r="CH199" s="762">
        <v>440839</v>
      </c>
      <c r="CI199" s="762">
        <v>17396930</v>
      </c>
      <c r="CJ199" s="762">
        <v>14048085</v>
      </c>
      <c r="CK199" s="762">
        <v>3479386</v>
      </c>
      <c r="CL199" s="762">
        <v>0</v>
      </c>
      <c r="CM199" s="762">
        <v>34924401</v>
      </c>
      <c r="CN199" s="762">
        <v>447779</v>
      </c>
      <c r="CO199" s="762">
        <v>111945</v>
      </c>
      <c r="CP199" s="762">
        <v>0</v>
      </c>
      <c r="CQ199" s="762">
        <v>559724</v>
      </c>
      <c r="CR199" s="762">
        <v>1057683</v>
      </c>
      <c r="CS199" s="762">
        <v>264421</v>
      </c>
      <c r="CT199" s="762">
        <v>0</v>
      </c>
      <c r="CU199" s="762">
        <v>1322104</v>
      </c>
      <c r="CV199" s="762">
        <v>84846</v>
      </c>
      <c r="CW199" s="762">
        <v>21211</v>
      </c>
      <c r="CX199" s="762">
        <v>0</v>
      </c>
      <c r="CY199" s="762">
        <v>106057</v>
      </c>
      <c r="CZ199" s="762">
        <v>0</v>
      </c>
      <c r="DA199" s="762">
        <v>0</v>
      </c>
      <c r="DB199" s="762">
        <v>0</v>
      </c>
      <c r="DC199" s="762">
        <v>0</v>
      </c>
      <c r="DD199" s="762">
        <v>0</v>
      </c>
      <c r="DE199" s="762">
        <v>0</v>
      </c>
      <c r="DF199" s="762">
        <v>0</v>
      </c>
      <c r="DG199" s="762">
        <v>0</v>
      </c>
      <c r="DH199" s="762">
        <v>0</v>
      </c>
      <c r="DI199" s="762">
        <v>0</v>
      </c>
      <c r="DJ199" s="762">
        <v>0</v>
      </c>
      <c r="DK199" s="762">
        <v>0</v>
      </c>
      <c r="DL199" s="762">
        <v>5077</v>
      </c>
      <c r="DM199" s="762">
        <v>1269</v>
      </c>
      <c r="DN199" s="762">
        <v>0</v>
      </c>
      <c r="DO199" s="762">
        <v>6346</v>
      </c>
      <c r="DP199" s="762">
        <v>10739</v>
      </c>
      <c r="DQ199" s="762">
        <v>2685</v>
      </c>
      <c r="DR199" s="762">
        <v>0</v>
      </c>
      <c r="DS199" s="762">
        <v>13424</v>
      </c>
      <c r="DT199" s="762">
        <v>0</v>
      </c>
      <c r="DU199" s="762">
        <v>0</v>
      </c>
      <c r="DV199" s="762">
        <v>0</v>
      </c>
      <c r="DW199" s="762">
        <v>0</v>
      </c>
      <c r="DX199" s="762">
        <v>0</v>
      </c>
      <c r="DY199" s="762">
        <v>0</v>
      </c>
      <c r="DZ199" s="762">
        <v>0</v>
      </c>
      <c r="EA199" s="762">
        <v>0</v>
      </c>
      <c r="EB199" s="762">
        <v>443958</v>
      </c>
      <c r="EC199" s="762">
        <v>110989</v>
      </c>
      <c r="ED199" s="762">
        <v>0</v>
      </c>
      <c r="EE199" s="762">
        <v>554947</v>
      </c>
      <c r="EF199" s="762">
        <v>2050082</v>
      </c>
      <c r="EG199" s="762">
        <v>512520</v>
      </c>
      <c r="EH199" s="762">
        <v>0</v>
      </c>
      <c r="EI199" s="799">
        <v>2562602</v>
      </c>
      <c r="EJ199" s="763" t="s">
        <v>272</v>
      </c>
      <c r="EK199" s="607" t="s">
        <v>617</v>
      </c>
      <c r="EL199" s="805" t="s">
        <v>556</v>
      </c>
      <c r="EM199" t="s">
        <v>1765</v>
      </c>
    </row>
    <row r="200" spans="1:143" ht="12.75" x14ac:dyDescent="0.2">
      <c r="A200" s="764">
        <v>193</v>
      </c>
      <c r="B200" s="765" t="s">
        <v>275</v>
      </c>
      <c r="C200" s="766" t="s">
        <v>1217</v>
      </c>
      <c r="D200" s="767" t="s">
        <v>1220</v>
      </c>
      <c r="E200" s="768" t="s">
        <v>274</v>
      </c>
      <c r="F200" s="761">
        <v>12109403</v>
      </c>
      <c r="G200" s="762">
        <v>196581</v>
      </c>
      <c r="H200" s="762">
        <v>0</v>
      </c>
      <c r="I200" s="762">
        <v>55374</v>
      </c>
      <c r="J200" s="762">
        <v>0</v>
      </c>
      <c r="K200" s="762">
        <v>55374</v>
      </c>
      <c r="L200" s="762">
        <v>0</v>
      </c>
      <c r="M200" s="762">
        <v>0</v>
      </c>
      <c r="N200" s="762">
        <v>8446</v>
      </c>
      <c r="O200" s="762">
        <v>8446</v>
      </c>
      <c r="P200" s="762">
        <v>0</v>
      </c>
      <c r="Q200" s="762">
        <v>0</v>
      </c>
      <c r="R200" s="762">
        <v>12242164</v>
      </c>
      <c r="S200" s="790">
        <v>0.25</v>
      </c>
      <c r="T200" s="790">
        <v>0.375</v>
      </c>
      <c r="U200" s="790">
        <v>0.36499999999999999</v>
      </c>
      <c r="V200" s="790">
        <v>0.01</v>
      </c>
      <c r="W200" s="790">
        <v>1</v>
      </c>
      <c r="X200" s="762">
        <v>3060540</v>
      </c>
      <c r="Y200" s="762">
        <v>4590812</v>
      </c>
      <c r="Z200" s="762">
        <v>4468390</v>
      </c>
      <c r="AA200" s="762">
        <v>122422</v>
      </c>
      <c r="AB200" s="762">
        <v>12242164</v>
      </c>
      <c r="AC200" s="762">
        <v>0</v>
      </c>
      <c r="AD200" s="762">
        <v>0</v>
      </c>
      <c r="AE200" s="762">
        <v>0</v>
      </c>
      <c r="AF200" s="762">
        <v>0</v>
      </c>
      <c r="AG200" s="762">
        <v>0</v>
      </c>
      <c r="AH200" s="762">
        <v>3060540</v>
      </c>
      <c r="AI200" s="762">
        <v>4590812</v>
      </c>
      <c r="AJ200" s="762">
        <v>4468390</v>
      </c>
      <c r="AK200" s="762">
        <v>122422</v>
      </c>
      <c r="AL200" s="762">
        <v>12242164</v>
      </c>
      <c r="AM200" s="762">
        <v>55374</v>
      </c>
      <c r="AN200" s="762">
        <v>55374</v>
      </c>
      <c r="AO200" s="762">
        <v>0</v>
      </c>
      <c r="AP200" s="762">
        <v>0</v>
      </c>
      <c r="AQ200" s="762">
        <v>8446</v>
      </c>
      <c r="AR200" s="762">
        <v>0</v>
      </c>
      <c r="AS200" s="762">
        <v>8446</v>
      </c>
      <c r="AT200" s="762">
        <v>0</v>
      </c>
      <c r="AU200" s="762">
        <v>0</v>
      </c>
      <c r="AV200" s="762">
        <v>0</v>
      </c>
      <c r="AW200" s="762">
        <v>0</v>
      </c>
      <c r="AX200" s="762">
        <v>0</v>
      </c>
      <c r="AY200" s="762">
        <v>0</v>
      </c>
      <c r="AZ200" s="762">
        <v>0</v>
      </c>
      <c r="BA200" s="762">
        <v>0</v>
      </c>
      <c r="BB200" s="762">
        <v>0</v>
      </c>
      <c r="BC200" s="762">
        <v>0</v>
      </c>
      <c r="BD200" s="762">
        <v>0</v>
      </c>
      <c r="BE200" s="762">
        <v>0</v>
      </c>
      <c r="BF200" s="762">
        <v>0</v>
      </c>
      <c r="BG200" s="762">
        <v>0</v>
      </c>
      <c r="BH200" s="762">
        <v>0</v>
      </c>
      <c r="BI200" s="762">
        <v>0</v>
      </c>
      <c r="BJ200" s="790">
        <v>0.5</v>
      </c>
      <c r="BK200" s="790">
        <v>0.4</v>
      </c>
      <c r="BL200" s="790">
        <v>0.09</v>
      </c>
      <c r="BM200" s="790">
        <v>0.01</v>
      </c>
      <c r="BN200" s="790">
        <v>1</v>
      </c>
      <c r="BO200" s="762">
        <v>-57934</v>
      </c>
      <c r="BP200" s="762">
        <v>-46347</v>
      </c>
      <c r="BQ200" s="762">
        <v>-10428</v>
      </c>
      <c r="BR200" s="762">
        <v>-1159</v>
      </c>
      <c r="BS200" s="762">
        <v>-115868</v>
      </c>
      <c r="BT200" s="790">
        <v>0.5</v>
      </c>
      <c r="BU200" s="790">
        <v>0.4</v>
      </c>
      <c r="BV200" s="790">
        <v>0.09</v>
      </c>
      <c r="BW200" s="790">
        <v>0.01</v>
      </c>
      <c r="BX200" s="790">
        <v>1</v>
      </c>
      <c r="BY200" s="762">
        <v>-66956</v>
      </c>
      <c r="BZ200" s="762">
        <v>-53564</v>
      </c>
      <c r="CA200" s="762">
        <v>-12052</v>
      </c>
      <c r="CB200" s="762">
        <v>-1339</v>
      </c>
      <c r="CC200" s="762">
        <v>-133911</v>
      </c>
      <c r="CD200" s="762">
        <v>-124889</v>
      </c>
      <c r="CE200" s="762">
        <v>-99912</v>
      </c>
      <c r="CF200" s="762">
        <v>-22480</v>
      </c>
      <c r="CG200" s="762">
        <v>-2498</v>
      </c>
      <c r="CH200" s="762">
        <v>-249779</v>
      </c>
      <c r="CI200" s="762">
        <v>2935651</v>
      </c>
      <c r="CJ200" s="762">
        <v>4554720</v>
      </c>
      <c r="CK200" s="762">
        <v>4445910</v>
      </c>
      <c r="CL200" s="762">
        <v>119924</v>
      </c>
      <c r="CM200" s="762">
        <v>12056205</v>
      </c>
      <c r="CN200" s="762">
        <v>149874</v>
      </c>
      <c r="CO200" s="762">
        <v>145609</v>
      </c>
      <c r="CP200" s="762">
        <v>3989</v>
      </c>
      <c r="CQ200" s="762">
        <v>299472</v>
      </c>
      <c r="CR200" s="762">
        <v>510347</v>
      </c>
      <c r="CS200" s="762">
        <v>496737</v>
      </c>
      <c r="CT200" s="762">
        <v>13609</v>
      </c>
      <c r="CU200" s="762">
        <v>1020693</v>
      </c>
      <c r="CV200" s="762">
        <v>27907</v>
      </c>
      <c r="CW200" s="762">
        <v>27163</v>
      </c>
      <c r="CX200" s="762">
        <v>744</v>
      </c>
      <c r="CY200" s="762">
        <v>55814</v>
      </c>
      <c r="CZ200" s="762">
        <v>7744</v>
      </c>
      <c r="DA200" s="762">
        <v>7538</v>
      </c>
      <c r="DB200" s="762">
        <v>207</v>
      </c>
      <c r="DC200" s="762">
        <v>15489</v>
      </c>
      <c r="DD200" s="762">
        <v>0</v>
      </c>
      <c r="DE200" s="762">
        <v>0</v>
      </c>
      <c r="DF200" s="762">
        <v>0</v>
      </c>
      <c r="DG200" s="762">
        <v>0</v>
      </c>
      <c r="DH200" s="762">
        <v>0</v>
      </c>
      <c r="DI200" s="762">
        <v>0</v>
      </c>
      <c r="DJ200" s="762">
        <v>0</v>
      </c>
      <c r="DK200" s="762">
        <v>0</v>
      </c>
      <c r="DL200" s="762">
        <v>968</v>
      </c>
      <c r="DM200" s="762">
        <v>942</v>
      </c>
      <c r="DN200" s="762">
        <v>26</v>
      </c>
      <c r="DO200" s="762">
        <v>1936</v>
      </c>
      <c r="DP200" s="762">
        <v>9268</v>
      </c>
      <c r="DQ200" s="762">
        <v>9020</v>
      </c>
      <c r="DR200" s="762">
        <v>247</v>
      </c>
      <c r="DS200" s="762">
        <v>18535</v>
      </c>
      <c r="DT200" s="762">
        <v>0</v>
      </c>
      <c r="DU200" s="762">
        <v>0</v>
      </c>
      <c r="DV200" s="762">
        <v>0</v>
      </c>
      <c r="DW200" s="762">
        <v>0</v>
      </c>
      <c r="DX200" s="762">
        <v>0</v>
      </c>
      <c r="DY200" s="762">
        <v>0</v>
      </c>
      <c r="DZ200" s="762">
        <v>0</v>
      </c>
      <c r="EA200" s="762">
        <v>0</v>
      </c>
      <c r="EB200" s="762">
        <v>126506</v>
      </c>
      <c r="EC200" s="762">
        <v>123133</v>
      </c>
      <c r="ED200" s="762">
        <v>3374</v>
      </c>
      <c r="EE200" s="762">
        <v>253013</v>
      </c>
      <c r="EF200" s="762">
        <v>832614</v>
      </c>
      <c r="EG200" s="762">
        <v>810142</v>
      </c>
      <c r="EH200" s="762">
        <v>22196</v>
      </c>
      <c r="EI200" s="799">
        <v>1664952</v>
      </c>
      <c r="EJ200" s="763" t="s">
        <v>274</v>
      </c>
      <c r="EK200" s="607" t="s">
        <v>599</v>
      </c>
      <c r="EL200" s="805" t="s">
        <v>597</v>
      </c>
      <c r="EM200" t="s">
        <v>1766</v>
      </c>
    </row>
    <row r="201" spans="1:143" ht="12.75" x14ac:dyDescent="0.2">
      <c r="A201" s="764">
        <v>194</v>
      </c>
      <c r="B201" s="765" t="s">
        <v>277</v>
      </c>
      <c r="C201" s="766" t="s">
        <v>1224</v>
      </c>
      <c r="D201" s="767" t="s">
        <v>1219</v>
      </c>
      <c r="E201" s="768" t="s">
        <v>276</v>
      </c>
      <c r="F201" s="761">
        <v>55323069</v>
      </c>
      <c r="G201" s="762">
        <v>0</v>
      </c>
      <c r="H201" s="762">
        <v>772803</v>
      </c>
      <c r="I201" s="762">
        <v>299915</v>
      </c>
      <c r="J201" s="762">
        <v>0</v>
      </c>
      <c r="K201" s="762">
        <v>299915</v>
      </c>
      <c r="L201" s="762">
        <v>0</v>
      </c>
      <c r="M201" s="762">
        <v>0</v>
      </c>
      <c r="N201" s="762">
        <v>0</v>
      </c>
      <c r="O201" s="762">
        <v>0</v>
      </c>
      <c r="P201" s="762">
        <v>0</v>
      </c>
      <c r="Q201" s="762">
        <v>0</v>
      </c>
      <c r="R201" s="762">
        <v>54250351</v>
      </c>
      <c r="S201" s="790">
        <v>0</v>
      </c>
      <c r="T201" s="790">
        <v>0.99</v>
      </c>
      <c r="U201" s="790">
        <v>0</v>
      </c>
      <c r="V201" s="790">
        <v>0.01</v>
      </c>
      <c r="W201" s="790">
        <v>1</v>
      </c>
      <c r="X201" s="762">
        <v>0</v>
      </c>
      <c r="Y201" s="762">
        <v>53707847</v>
      </c>
      <c r="Z201" s="762">
        <v>0</v>
      </c>
      <c r="AA201" s="762">
        <v>542504</v>
      </c>
      <c r="AB201" s="762">
        <v>54250351</v>
      </c>
      <c r="AC201" s="762">
        <v>0</v>
      </c>
      <c r="AD201" s="762">
        <v>0</v>
      </c>
      <c r="AE201" s="762">
        <v>0</v>
      </c>
      <c r="AF201" s="762">
        <v>0</v>
      </c>
      <c r="AG201" s="762">
        <v>0</v>
      </c>
      <c r="AH201" s="762">
        <v>0</v>
      </c>
      <c r="AI201" s="762">
        <v>53707847</v>
      </c>
      <c r="AJ201" s="762">
        <v>0</v>
      </c>
      <c r="AK201" s="762">
        <v>542504</v>
      </c>
      <c r="AL201" s="762">
        <v>54250351</v>
      </c>
      <c r="AM201" s="762">
        <v>299915</v>
      </c>
      <c r="AN201" s="762">
        <v>299915</v>
      </c>
      <c r="AO201" s="762">
        <v>0</v>
      </c>
      <c r="AP201" s="762">
        <v>0</v>
      </c>
      <c r="AQ201" s="762">
        <v>0</v>
      </c>
      <c r="AR201" s="762">
        <v>0</v>
      </c>
      <c r="AS201" s="762">
        <v>0</v>
      </c>
      <c r="AT201" s="762">
        <v>0</v>
      </c>
      <c r="AU201" s="762">
        <v>0</v>
      </c>
      <c r="AV201" s="762">
        <v>0</v>
      </c>
      <c r="AW201" s="762">
        <v>0</v>
      </c>
      <c r="AX201" s="762">
        <v>0</v>
      </c>
      <c r="AY201" s="762">
        <v>0</v>
      </c>
      <c r="AZ201" s="762">
        <v>0</v>
      </c>
      <c r="BA201" s="762">
        <v>0</v>
      </c>
      <c r="BB201" s="762">
        <v>0</v>
      </c>
      <c r="BC201" s="762">
        <v>0</v>
      </c>
      <c r="BD201" s="762">
        <v>0</v>
      </c>
      <c r="BE201" s="762">
        <v>0</v>
      </c>
      <c r="BF201" s="762">
        <v>0</v>
      </c>
      <c r="BG201" s="762">
        <v>0</v>
      </c>
      <c r="BH201" s="762">
        <v>0</v>
      </c>
      <c r="BI201" s="762">
        <v>0</v>
      </c>
      <c r="BJ201" s="790">
        <v>0</v>
      </c>
      <c r="BK201" s="790">
        <v>0.99</v>
      </c>
      <c r="BL201" s="790">
        <v>0</v>
      </c>
      <c r="BM201" s="790">
        <v>0.01</v>
      </c>
      <c r="BN201" s="790">
        <v>1</v>
      </c>
      <c r="BO201" s="762">
        <v>0</v>
      </c>
      <c r="BP201" s="762">
        <v>34829</v>
      </c>
      <c r="BQ201" s="762">
        <v>0</v>
      </c>
      <c r="BR201" s="762">
        <v>352</v>
      </c>
      <c r="BS201" s="762">
        <v>35181</v>
      </c>
      <c r="BT201" s="790">
        <v>0</v>
      </c>
      <c r="BU201" s="790">
        <v>0.99</v>
      </c>
      <c r="BV201" s="790">
        <v>0</v>
      </c>
      <c r="BW201" s="790">
        <v>0.01</v>
      </c>
      <c r="BX201" s="790">
        <v>1</v>
      </c>
      <c r="BY201" s="762">
        <v>0</v>
      </c>
      <c r="BZ201" s="762">
        <v>25257</v>
      </c>
      <c r="CA201" s="762">
        <v>0</v>
      </c>
      <c r="CB201" s="762">
        <v>255</v>
      </c>
      <c r="CC201" s="762">
        <v>25512</v>
      </c>
      <c r="CD201" s="762">
        <v>0</v>
      </c>
      <c r="CE201" s="762">
        <v>60086</v>
      </c>
      <c r="CF201" s="762">
        <v>0</v>
      </c>
      <c r="CG201" s="762">
        <v>607</v>
      </c>
      <c r="CH201" s="762">
        <v>60693</v>
      </c>
      <c r="CI201" s="762">
        <v>0</v>
      </c>
      <c r="CJ201" s="762">
        <v>54067848</v>
      </c>
      <c r="CK201" s="762">
        <v>0</v>
      </c>
      <c r="CL201" s="762">
        <v>543111</v>
      </c>
      <c r="CM201" s="762">
        <v>54610959</v>
      </c>
      <c r="CN201" s="762">
        <v>1750154</v>
      </c>
      <c r="CO201" s="762">
        <v>0</v>
      </c>
      <c r="CP201" s="762">
        <v>17678</v>
      </c>
      <c r="CQ201" s="762">
        <v>1767832</v>
      </c>
      <c r="CR201" s="762">
        <v>6676329</v>
      </c>
      <c r="CS201" s="762">
        <v>0</v>
      </c>
      <c r="CT201" s="762">
        <v>67438</v>
      </c>
      <c r="CU201" s="762">
        <v>6743767</v>
      </c>
      <c r="CV201" s="762">
        <v>294815</v>
      </c>
      <c r="CW201" s="762">
        <v>0</v>
      </c>
      <c r="CX201" s="762">
        <v>2978</v>
      </c>
      <c r="CY201" s="762">
        <v>297793</v>
      </c>
      <c r="CZ201" s="762">
        <v>0</v>
      </c>
      <c r="DA201" s="762">
        <v>0</v>
      </c>
      <c r="DB201" s="762">
        <v>0</v>
      </c>
      <c r="DC201" s="762">
        <v>0</v>
      </c>
      <c r="DD201" s="762">
        <v>0</v>
      </c>
      <c r="DE201" s="762">
        <v>0</v>
      </c>
      <c r="DF201" s="762">
        <v>0</v>
      </c>
      <c r="DG201" s="762">
        <v>0</v>
      </c>
      <c r="DH201" s="762">
        <v>0</v>
      </c>
      <c r="DI201" s="762">
        <v>0</v>
      </c>
      <c r="DJ201" s="762">
        <v>0</v>
      </c>
      <c r="DK201" s="762">
        <v>0</v>
      </c>
      <c r="DL201" s="762">
        <v>12405</v>
      </c>
      <c r="DM201" s="762">
        <v>0</v>
      </c>
      <c r="DN201" s="762">
        <v>125</v>
      </c>
      <c r="DO201" s="762">
        <v>12530</v>
      </c>
      <c r="DP201" s="762">
        <v>61335</v>
      </c>
      <c r="DQ201" s="762">
        <v>0</v>
      </c>
      <c r="DR201" s="762">
        <v>620</v>
      </c>
      <c r="DS201" s="762">
        <v>61955</v>
      </c>
      <c r="DT201" s="762">
        <v>0</v>
      </c>
      <c r="DU201" s="762">
        <v>0</v>
      </c>
      <c r="DV201" s="762">
        <v>0</v>
      </c>
      <c r="DW201" s="762">
        <v>0</v>
      </c>
      <c r="DX201" s="762">
        <v>0</v>
      </c>
      <c r="DY201" s="762">
        <v>0</v>
      </c>
      <c r="DZ201" s="762">
        <v>0</v>
      </c>
      <c r="EA201" s="762">
        <v>0</v>
      </c>
      <c r="EB201" s="762">
        <v>1462789</v>
      </c>
      <c r="EC201" s="762">
        <v>0</v>
      </c>
      <c r="ED201" s="762">
        <v>14776</v>
      </c>
      <c r="EE201" s="762">
        <v>1477565</v>
      </c>
      <c r="EF201" s="762">
        <v>10257827</v>
      </c>
      <c r="EG201" s="762">
        <v>0</v>
      </c>
      <c r="EH201" s="762">
        <v>103615</v>
      </c>
      <c r="EI201" s="799">
        <v>10361442</v>
      </c>
      <c r="EJ201" s="763" t="s">
        <v>276</v>
      </c>
      <c r="EK201" s="607" t="s">
        <v>621</v>
      </c>
      <c r="EL201" s="805" t="s">
        <v>622</v>
      </c>
      <c r="EM201" t="s">
        <v>1767</v>
      </c>
    </row>
    <row r="202" spans="1:143" ht="12.75" x14ac:dyDescent="0.2">
      <c r="A202" s="764">
        <v>195</v>
      </c>
      <c r="B202" s="765" t="s">
        <v>279</v>
      </c>
      <c r="C202" s="766" t="s">
        <v>1217</v>
      </c>
      <c r="D202" s="767" t="s">
        <v>1218</v>
      </c>
      <c r="E202" s="768" t="s">
        <v>278</v>
      </c>
      <c r="F202" s="761">
        <v>104517438</v>
      </c>
      <c r="G202" s="762">
        <v>0</v>
      </c>
      <c r="H202" s="762">
        <v>41397</v>
      </c>
      <c r="I202" s="762">
        <v>231893</v>
      </c>
      <c r="J202" s="762">
        <v>0</v>
      </c>
      <c r="K202" s="762">
        <v>231893</v>
      </c>
      <c r="L202" s="762">
        <v>0</v>
      </c>
      <c r="M202" s="762">
        <v>0</v>
      </c>
      <c r="N202" s="762">
        <v>8155</v>
      </c>
      <c r="O202" s="762">
        <v>7951</v>
      </c>
      <c r="P202" s="762">
        <v>204</v>
      </c>
      <c r="Q202" s="762">
        <v>0</v>
      </c>
      <c r="R202" s="762">
        <v>104235993</v>
      </c>
      <c r="S202" s="790">
        <v>0.5</v>
      </c>
      <c r="T202" s="790">
        <v>0.4</v>
      </c>
      <c r="U202" s="790">
        <v>0.1</v>
      </c>
      <c r="V202" s="790">
        <v>0</v>
      </c>
      <c r="W202" s="790">
        <v>1</v>
      </c>
      <c r="X202" s="762">
        <v>52117997</v>
      </c>
      <c r="Y202" s="762">
        <v>41694397</v>
      </c>
      <c r="Z202" s="762">
        <v>10423599</v>
      </c>
      <c r="AA202" s="762">
        <v>0</v>
      </c>
      <c r="AB202" s="762">
        <v>104235993</v>
      </c>
      <c r="AC202" s="762">
        <v>0</v>
      </c>
      <c r="AD202" s="762">
        <v>0</v>
      </c>
      <c r="AE202" s="762">
        <v>0</v>
      </c>
      <c r="AF202" s="762">
        <v>0</v>
      </c>
      <c r="AG202" s="762">
        <v>0</v>
      </c>
      <c r="AH202" s="762">
        <v>52117997</v>
      </c>
      <c r="AI202" s="762">
        <v>41694397</v>
      </c>
      <c r="AJ202" s="762">
        <v>10423599</v>
      </c>
      <c r="AK202" s="762">
        <v>0</v>
      </c>
      <c r="AL202" s="762">
        <v>104235993</v>
      </c>
      <c r="AM202" s="762">
        <v>231893</v>
      </c>
      <c r="AN202" s="762">
        <v>231893</v>
      </c>
      <c r="AO202" s="762">
        <v>0</v>
      </c>
      <c r="AP202" s="762">
        <v>0</v>
      </c>
      <c r="AQ202" s="762">
        <v>7951</v>
      </c>
      <c r="AR202" s="762">
        <v>204</v>
      </c>
      <c r="AS202" s="762">
        <v>8155</v>
      </c>
      <c r="AT202" s="762">
        <v>0</v>
      </c>
      <c r="AU202" s="762">
        <v>0</v>
      </c>
      <c r="AV202" s="762">
        <v>0</v>
      </c>
      <c r="AW202" s="762">
        <v>0</v>
      </c>
      <c r="AX202" s="762">
        <v>0</v>
      </c>
      <c r="AY202" s="762">
        <v>0</v>
      </c>
      <c r="AZ202" s="762">
        <v>0</v>
      </c>
      <c r="BA202" s="762">
        <v>0</v>
      </c>
      <c r="BB202" s="762">
        <v>0</v>
      </c>
      <c r="BC202" s="762">
        <v>0</v>
      </c>
      <c r="BD202" s="762">
        <v>0</v>
      </c>
      <c r="BE202" s="762">
        <v>0</v>
      </c>
      <c r="BF202" s="762">
        <v>0</v>
      </c>
      <c r="BG202" s="762">
        <v>0</v>
      </c>
      <c r="BH202" s="762">
        <v>0</v>
      </c>
      <c r="BI202" s="762">
        <v>0</v>
      </c>
      <c r="BJ202" s="790">
        <v>0.5</v>
      </c>
      <c r="BK202" s="790">
        <v>0.4</v>
      </c>
      <c r="BL202" s="790">
        <v>0.1</v>
      </c>
      <c r="BM202" s="790">
        <v>0</v>
      </c>
      <c r="BN202" s="790">
        <v>1</v>
      </c>
      <c r="BO202" s="762">
        <v>481877</v>
      </c>
      <c r="BP202" s="762">
        <v>385502</v>
      </c>
      <c r="BQ202" s="762">
        <v>96376</v>
      </c>
      <c r="BR202" s="762">
        <v>0</v>
      </c>
      <c r="BS202" s="762">
        <v>963755</v>
      </c>
      <c r="BT202" s="790">
        <v>0.5</v>
      </c>
      <c r="BU202" s="790">
        <v>0.4</v>
      </c>
      <c r="BV202" s="790">
        <v>0.1</v>
      </c>
      <c r="BW202" s="790">
        <v>0</v>
      </c>
      <c r="BX202" s="790">
        <v>1</v>
      </c>
      <c r="BY202" s="762">
        <v>302977</v>
      </c>
      <c r="BZ202" s="762">
        <v>242382</v>
      </c>
      <c r="CA202" s="762">
        <v>60595</v>
      </c>
      <c r="CB202" s="762">
        <v>0</v>
      </c>
      <c r="CC202" s="762">
        <v>605954</v>
      </c>
      <c r="CD202" s="762">
        <v>784854</v>
      </c>
      <c r="CE202" s="762">
        <v>627884</v>
      </c>
      <c r="CF202" s="762">
        <v>156971</v>
      </c>
      <c r="CG202" s="762">
        <v>0</v>
      </c>
      <c r="CH202" s="762">
        <v>1569709</v>
      </c>
      <c r="CI202" s="762">
        <v>52902851</v>
      </c>
      <c r="CJ202" s="762">
        <v>42562125</v>
      </c>
      <c r="CK202" s="762">
        <v>10580774</v>
      </c>
      <c r="CL202" s="762">
        <v>0</v>
      </c>
      <c r="CM202" s="762">
        <v>106045750</v>
      </c>
      <c r="CN202" s="762">
        <v>1358936</v>
      </c>
      <c r="CO202" s="762">
        <v>339676</v>
      </c>
      <c r="CP202" s="762">
        <v>0</v>
      </c>
      <c r="CQ202" s="762">
        <v>1698612</v>
      </c>
      <c r="CR202" s="762">
        <v>691558</v>
      </c>
      <c r="CS202" s="762">
        <v>172889</v>
      </c>
      <c r="CT202" s="762">
        <v>0</v>
      </c>
      <c r="CU202" s="762">
        <v>864447</v>
      </c>
      <c r="CV202" s="762">
        <v>148409</v>
      </c>
      <c r="CW202" s="762">
        <v>37102</v>
      </c>
      <c r="CX202" s="762">
        <v>0</v>
      </c>
      <c r="CY202" s="762">
        <v>185511</v>
      </c>
      <c r="CZ202" s="762">
        <v>1542</v>
      </c>
      <c r="DA202" s="762">
        <v>385</v>
      </c>
      <c r="DB202" s="762">
        <v>0</v>
      </c>
      <c r="DC202" s="762">
        <v>1927</v>
      </c>
      <c r="DD202" s="762">
        <v>0</v>
      </c>
      <c r="DE202" s="762">
        <v>0</v>
      </c>
      <c r="DF202" s="762">
        <v>0</v>
      </c>
      <c r="DG202" s="762">
        <v>0</v>
      </c>
      <c r="DH202" s="762">
        <v>619</v>
      </c>
      <c r="DI202" s="762">
        <v>155</v>
      </c>
      <c r="DJ202" s="762">
        <v>0</v>
      </c>
      <c r="DK202" s="762">
        <v>774</v>
      </c>
      <c r="DL202" s="762">
        <v>3382</v>
      </c>
      <c r="DM202" s="762">
        <v>846</v>
      </c>
      <c r="DN202" s="762">
        <v>0</v>
      </c>
      <c r="DO202" s="762">
        <v>4228</v>
      </c>
      <c r="DP202" s="762">
        <v>39651</v>
      </c>
      <c r="DQ202" s="762">
        <v>9913</v>
      </c>
      <c r="DR202" s="762">
        <v>0</v>
      </c>
      <c r="DS202" s="762">
        <v>49564</v>
      </c>
      <c r="DT202" s="762">
        <v>0</v>
      </c>
      <c r="DU202" s="762">
        <v>0</v>
      </c>
      <c r="DV202" s="762">
        <v>0</v>
      </c>
      <c r="DW202" s="762">
        <v>0</v>
      </c>
      <c r="DX202" s="762">
        <v>52615</v>
      </c>
      <c r="DY202" s="762">
        <v>13154</v>
      </c>
      <c r="DZ202" s="762">
        <v>0</v>
      </c>
      <c r="EA202" s="762">
        <v>65769</v>
      </c>
      <c r="EB202" s="762">
        <v>1160314</v>
      </c>
      <c r="EC202" s="762">
        <v>290079</v>
      </c>
      <c r="ED202" s="762">
        <v>0</v>
      </c>
      <c r="EE202" s="762">
        <v>1450393</v>
      </c>
      <c r="EF202" s="762">
        <v>3457026</v>
      </c>
      <c r="EG202" s="762">
        <v>864199</v>
      </c>
      <c r="EH202" s="762">
        <v>0</v>
      </c>
      <c r="EI202" s="799">
        <v>4321225</v>
      </c>
      <c r="EJ202" s="763" t="s">
        <v>278</v>
      </c>
      <c r="EK202" s="607" t="s">
        <v>609</v>
      </c>
      <c r="EL202" s="805" t="s">
        <v>556</v>
      </c>
      <c r="EM202" t="s">
        <v>1768</v>
      </c>
    </row>
    <row r="203" spans="1:143" ht="12.75" x14ac:dyDescent="0.2">
      <c r="A203" s="764">
        <v>196</v>
      </c>
      <c r="B203" s="765" t="s">
        <v>281</v>
      </c>
      <c r="C203" s="766" t="s">
        <v>1217</v>
      </c>
      <c r="D203" s="767" t="s">
        <v>1219</v>
      </c>
      <c r="E203" s="768" t="s">
        <v>280</v>
      </c>
      <c r="F203" s="761">
        <v>17307619</v>
      </c>
      <c r="G203" s="762">
        <v>22134</v>
      </c>
      <c r="H203" s="762">
        <v>0</v>
      </c>
      <c r="I203" s="762">
        <v>132948</v>
      </c>
      <c r="J203" s="762">
        <v>0</v>
      </c>
      <c r="K203" s="762">
        <v>132948</v>
      </c>
      <c r="L203" s="762">
        <v>0</v>
      </c>
      <c r="M203" s="762">
        <v>0</v>
      </c>
      <c r="N203" s="762">
        <v>0</v>
      </c>
      <c r="O203" s="762">
        <v>0</v>
      </c>
      <c r="P203" s="762">
        <v>0</v>
      </c>
      <c r="Q203" s="762">
        <v>0</v>
      </c>
      <c r="R203" s="762">
        <v>17196805</v>
      </c>
      <c r="S203" s="790">
        <v>0.25</v>
      </c>
      <c r="T203" s="790">
        <v>0.56000000000000005</v>
      </c>
      <c r="U203" s="790">
        <v>0.17499999999999999</v>
      </c>
      <c r="V203" s="790">
        <v>1.4999999999999999E-2</v>
      </c>
      <c r="W203" s="790">
        <v>1</v>
      </c>
      <c r="X203" s="762">
        <v>4299201</v>
      </c>
      <c r="Y203" s="762">
        <v>9630211</v>
      </c>
      <c r="Z203" s="762">
        <v>3009441</v>
      </c>
      <c r="AA203" s="762">
        <v>257952</v>
      </c>
      <c r="AB203" s="762">
        <v>17196805</v>
      </c>
      <c r="AC203" s="762">
        <v>0</v>
      </c>
      <c r="AD203" s="762">
        <v>0</v>
      </c>
      <c r="AE203" s="762">
        <v>0</v>
      </c>
      <c r="AF203" s="762">
        <v>0</v>
      </c>
      <c r="AG203" s="762">
        <v>0</v>
      </c>
      <c r="AH203" s="762">
        <v>4299201</v>
      </c>
      <c r="AI203" s="762">
        <v>9630211</v>
      </c>
      <c r="AJ203" s="762">
        <v>3009441</v>
      </c>
      <c r="AK203" s="762">
        <v>257952</v>
      </c>
      <c r="AL203" s="762">
        <v>17196805</v>
      </c>
      <c r="AM203" s="762">
        <v>132948</v>
      </c>
      <c r="AN203" s="762">
        <v>132948</v>
      </c>
      <c r="AO203" s="762">
        <v>0</v>
      </c>
      <c r="AP203" s="762">
        <v>0</v>
      </c>
      <c r="AQ203" s="762">
        <v>0</v>
      </c>
      <c r="AR203" s="762">
        <v>0</v>
      </c>
      <c r="AS203" s="762">
        <v>0</v>
      </c>
      <c r="AT203" s="762">
        <v>0</v>
      </c>
      <c r="AU203" s="762">
        <v>0</v>
      </c>
      <c r="AV203" s="762">
        <v>0</v>
      </c>
      <c r="AW203" s="762">
        <v>0</v>
      </c>
      <c r="AX203" s="762">
        <v>0</v>
      </c>
      <c r="AY203" s="762">
        <v>0</v>
      </c>
      <c r="AZ203" s="762">
        <v>0</v>
      </c>
      <c r="BA203" s="762">
        <v>0</v>
      </c>
      <c r="BB203" s="762">
        <v>0</v>
      </c>
      <c r="BC203" s="762">
        <v>0</v>
      </c>
      <c r="BD203" s="762">
        <v>0</v>
      </c>
      <c r="BE203" s="762">
        <v>0</v>
      </c>
      <c r="BF203" s="762">
        <v>0</v>
      </c>
      <c r="BG203" s="762">
        <v>0</v>
      </c>
      <c r="BH203" s="762">
        <v>0</v>
      </c>
      <c r="BI203" s="762">
        <v>0</v>
      </c>
      <c r="BJ203" s="790">
        <v>0.5</v>
      </c>
      <c r="BK203" s="790">
        <v>0.4</v>
      </c>
      <c r="BL203" s="790">
        <v>0.09</v>
      </c>
      <c r="BM203" s="790">
        <v>0.01</v>
      </c>
      <c r="BN203" s="790">
        <v>1</v>
      </c>
      <c r="BO203" s="762">
        <v>-128279</v>
      </c>
      <c r="BP203" s="762">
        <v>-102624</v>
      </c>
      <c r="BQ203" s="762">
        <v>-23090</v>
      </c>
      <c r="BR203" s="762">
        <v>-2566</v>
      </c>
      <c r="BS203" s="762">
        <v>-256559</v>
      </c>
      <c r="BT203" s="790">
        <v>0.5</v>
      </c>
      <c r="BU203" s="790">
        <v>0.4</v>
      </c>
      <c r="BV203" s="790">
        <v>0.09</v>
      </c>
      <c r="BW203" s="790">
        <v>0.01</v>
      </c>
      <c r="BX203" s="790">
        <v>1</v>
      </c>
      <c r="BY203" s="762">
        <v>628279</v>
      </c>
      <c r="BZ203" s="762">
        <v>502624</v>
      </c>
      <c r="CA203" s="762">
        <v>113090</v>
      </c>
      <c r="CB203" s="762">
        <v>12566</v>
      </c>
      <c r="CC203" s="762">
        <v>1256559</v>
      </c>
      <c r="CD203" s="762">
        <v>500000</v>
      </c>
      <c r="CE203" s="762">
        <v>400000</v>
      </c>
      <c r="CF203" s="762">
        <v>90000</v>
      </c>
      <c r="CG203" s="762">
        <v>10000</v>
      </c>
      <c r="CH203" s="762">
        <v>1000000</v>
      </c>
      <c r="CI203" s="762">
        <v>4799201</v>
      </c>
      <c r="CJ203" s="762">
        <v>10163159</v>
      </c>
      <c r="CK203" s="762">
        <v>3099441</v>
      </c>
      <c r="CL203" s="762">
        <v>267952</v>
      </c>
      <c r="CM203" s="762">
        <v>18329753</v>
      </c>
      <c r="CN203" s="762">
        <v>313815</v>
      </c>
      <c r="CO203" s="762">
        <v>98067</v>
      </c>
      <c r="CP203" s="762">
        <v>8406</v>
      </c>
      <c r="CQ203" s="762">
        <v>420288</v>
      </c>
      <c r="CR203" s="762">
        <v>1354075</v>
      </c>
      <c r="CS203" s="762">
        <v>423148</v>
      </c>
      <c r="CT203" s="762">
        <v>36270</v>
      </c>
      <c r="CU203" s="762">
        <v>1813493</v>
      </c>
      <c r="CV203" s="762">
        <v>54217</v>
      </c>
      <c r="CW203" s="762">
        <v>16943</v>
      </c>
      <c r="CX203" s="762">
        <v>1452</v>
      </c>
      <c r="CY203" s="762">
        <v>72612</v>
      </c>
      <c r="CZ203" s="762">
        <v>0</v>
      </c>
      <c r="DA203" s="762">
        <v>0</v>
      </c>
      <c r="DB203" s="762">
        <v>0</v>
      </c>
      <c r="DC203" s="762">
        <v>0</v>
      </c>
      <c r="DD203" s="762">
        <v>0</v>
      </c>
      <c r="DE203" s="762">
        <v>0</v>
      </c>
      <c r="DF203" s="762">
        <v>0</v>
      </c>
      <c r="DG203" s="762">
        <v>0</v>
      </c>
      <c r="DH203" s="762">
        <v>0</v>
      </c>
      <c r="DI203" s="762">
        <v>0</v>
      </c>
      <c r="DJ203" s="762">
        <v>0</v>
      </c>
      <c r="DK203" s="762">
        <v>0</v>
      </c>
      <c r="DL203" s="762">
        <v>5847</v>
      </c>
      <c r="DM203" s="762">
        <v>1827</v>
      </c>
      <c r="DN203" s="762">
        <v>157</v>
      </c>
      <c r="DO203" s="762">
        <v>7831</v>
      </c>
      <c r="DP203" s="762">
        <v>11433</v>
      </c>
      <c r="DQ203" s="762">
        <v>3573</v>
      </c>
      <c r="DR203" s="762">
        <v>306</v>
      </c>
      <c r="DS203" s="762">
        <v>15312</v>
      </c>
      <c r="DT203" s="762">
        <v>0</v>
      </c>
      <c r="DU203" s="762">
        <v>0</v>
      </c>
      <c r="DV203" s="762">
        <v>0</v>
      </c>
      <c r="DW203" s="762">
        <v>0</v>
      </c>
      <c r="DX203" s="762">
        <v>0</v>
      </c>
      <c r="DY203" s="762">
        <v>0</v>
      </c>
      <c r="DZ203" s="762">
        <v>0</v>
      </c>
      <c r="EA203" s="762">
        <v>0</v>
      </c>
      <c r="EB203" s="762">
        <v>214104</v>
      </c>
      <c r="EC203" s="762">
        <v>66907</v>
      </c>
      <c r="ED203" s="762">
        <v>5735</v>
      </c>
      <c r="EE203" s="762">
        <v>286746</v>
      </c>
      <c r="EF203" s="762">
        <v>1953491</v>
      </c>
      <c r="EG203" s="762">
        <v>610465</v>
      </c>
      <c r="EH203" s="762">
        <v>52326</v>
      </c>
      <c r="EI203" s="799">
        <v>2616282</v>
      </c>
      <c r="EJ203" s="763" t="s">
        <v>280</v>
      </c>
      <c r="EK203" s="607" t="s">
        <v>595</v>
      </c>
      <c r="EL203" s="805" t="s">
        <v>593</v>
      </c>
      <c r="EM203" t="s">
        <v>1769</v>
      </c>
    </row>
    <row r="204" spans="1:143" ht="12.75" x14ac:dyDescent="0.2">
      <c r="A204" s="764">
        <v>197</v>
      </c>
      <c r="B204" s="765" t="s">
        <v>283</v>
      </c>
      <c r="C204" s="766" t="s">
        <v>529</v>
      </c>
      <c r="D204" s="767" t="s">
        <v>1221</v>
      </c>
      <c r="E204" s="768" t="s">
        <v>545</v>
      </c>
      <c r="F204" s="761">
        <v>94847284</v>
      </c>
      <c r="G204" s="762">
        <v>0</v>
      </c>
      <c r="H204" s="762">
        <v>1614384</v>
      </c>
      <c r="I204" s="762">
        <v>270539</v>
      </c>
      <c r="J204" s="762">
        <v>0</v>
      </c>
      <c r="K204" s="762">
        <v>270539</v>
      </c>
      <c r="L204" s="762">
        <v>0</v>
      </c>
      <c r="M204" s="762">
        <v>0</v>
      </c>
      <c r="N204" s="762">
        <v>344000</v>
      </c>
      <c r="O204" s="762">
        <v>344000</v>
      </c>
      <c r="P204" s="762">
        <v>0</v>
      </c>
      <c r="Q204" s="762">
        <v>0</v>
      </c>
      <c r="R204" s="762">
        <v>92618361</v>
      </c>
      <c r="S204" s="790">
        <v>0.5</v>
      </c>
      <c r="T204" s="790">
        <v>0.49</v>
      </c>
      <c r="U204" s="790">
        <v>0</v>
      </c>
      <c r="V204" s="790">
        <v>0.01</v>
      </c>
      <c r="W204" s="790">
        <v>1</v>
      </c>
      <c r="X204" s="762">
        <v>46309180</v>
      </c>
      <c r="Y204" s="762">
        <v>45382997</v>
      </c>
      <c r="Z204" s="762">
        <v>0</v>
      </c>
      <c r="AA204" s="762">
        <v>926184</v>
      </c>
      <c r="AB204" s="762">
        <v>92618361</v>
      </c>
      <c r="AC204" s="762">
        <v>0</v>
      </c>
      <c r="AD204" s="762">
        <v>0</v>
      </c>
      <c r="AE204" s="762">
        <v>0</v>
      </c>
      <c r="AF204" s="762">
        <v>0</v>
      </c>
      <c r="AG204" s="762">
        <v>0</v>
      </c>
      <c r="AH204" s="762">
        <v>46309180</v>
      </c>
      <c r="AI204" s="762">
        <v>45382997</v>
      </c>
      <c r="AJ204" s="762">
        <v>0</v>
      </c>
      <c r="AK204" s="762">
        <v>926184</v>
      </c>
      <c r="AL204" s="762">
        <v>92618361</v>
      </c>
      <c r="AM204" s="762">
        <v>270539</v>
      </c>
      <c r="AN204" s="762">
        <v>270539</v>
      </c>
      <c r="AO204" s="762">
        <v>0</v>
      </c>
      <c r="AP204" s="762">
        <v>0</v>
      </c>
      <c r="AQ204" s="762">
        <v>344000</v>
      </c>
      <c r="AR204" s="762">
        <v>0</v>
      </c>
      <c r="AS204" s="762">
        <v>344000</v>
      </c>
      <c r="AT204" s="762">
        <v>0</v>
      </c>
      <c r="AU204" s="762">
        <v>0</v>
      </c>
      <c r="AV204" s="762">
        <v>0</v>
      </c>
      <c r="AW204" s="762">
        <v>0</v>
      </c>
      <c r="AX204" s="762">
        <v>0</v>
      </c>
      <c r="AY204" s="762">
        <v>0</v>
      </c>
      <c r="AZ204" s="762">
        <v>0</v>
      </c>
      <c r="BA204" s="762">
        <v>0</v>
      </c>
      <c r="BB204" s="762">
        <v>0</v>
      </c>
      <c r="BC204" s="762">
        <v>0</v>
      </c>
      <c r="BD204" s="762">
        <v>0</v>
      </c>
      <c r="BE204" s="762">
        <v>0</v>
      </c>
      <c r="BF204" s="762">
        <v>0</v>
      </c>
      <c r="BG204" s="762">
        <v>0</v>
      </c>
      <c r="BH204" s="762">
        <v>0</v>
      </c>
      <c r="BI204" s="762">
        <v>0</v>
      </c>
      <c r="BJ204" s="790">
        <v>0.5</v>
      </c>
      <c r="BK204" s="790">
        <v>0.49</v>
      </c>
      <c r="BL204" s="790">
        <v>0</v>
      </c>
      <c r="BM204" s="790">
        <v>0.01</v>
      </c>
      <c r="BN204" s="790">
        <v>1</v>
      </c>
      <c r="BO204" s="762">
        <v>321831</v>
      </c>
      <c r="BP204" s="762">
        <v>315395</v>
      </c>
      <c r="BQ204" s="762">
        <v>0</v>
      </c>
      <c r="BR204" s="762">
        <v>6437</v>
      </c>
      <c r="BS204" s="762">
        <v>643663</v>
      </c>
      <c r="BT204" s="790">
        <v>0.5</v>
      </c>
      <c r="BU204" s="790">
        <v>0.49</v>
      </c>
      <c r="BV204" s="790">
        <v>0</v>
      </c>
      <c r="BW204" s="790">
        <v>0.01</v>
      </c>
      <c r="BX204" s="790">
        <v>1</v>
      </c>
      <c r="BY204" s="762">
        <v>194169</v>
      </c>
      <c r="BZ204" s="762">
        <v>190285</v>
      </c>
      <c r="CA204" s="762">
        <v>0</v>
      </c>
      <c r="CB204" s="762">
        <v>3883</v>
      </c>
      <c r="CC204" s="762">
        <v>388337</v>
      </c>
      <c r="CD204" s="762">
        <v>516000</v>
      </c>
      <c r="CE204" s="762">
        <v>505680</v>
      </c>
      <c r="CF204" s="762">
        <v>0</v>
      </c>
      <c r="CG204" s="762">
        <v>10320</v>
      </c>
      <c r="CH204" s="762">
        <v>1032000</v>
      </c>
      <c r="CI204" s="762">
        <v>46825180</v>
      </c>
      <c r="CJ204" s="762">
        <v>46503216</v>
      </c>
      <c r="CK204" s="762">
        <v>0</v>
      </c>
      <c r="CL204" s="762">
        <v>936504</v>
      </c>
      <c r="CM204" s="762">
        <v>94264900</v>
      </c>
      <c r="CN204" s="762">
        <v>1490085</v>
      </c>
      <c r="CO204" s="762">
        <v>0</v>
      </c>
      <c r="CP204" s="762">
        <v>30181</v>
      </c>
      <c r="CQ204" s="762">
        <v>1520266</v>
      </c>
      <c r="CR204" s="762">
        <v>2170335</v>
      </c>
      <c r="CS204" s="762">
        <v>0</v>
      </c>
      <c r="CT204" s="762">
        <v>44293</v>
      </c>
      <c r="CU204" s="762">
        <v>2214628</v>
      </c>
      <c r="CV204" s="762">
        <v>187303</v>
      </c>
      <c r="CW204" s="762">
        <v>0</v>
      </c>
      <c r="CX204" s="762">
        <v>3823</v>
      </c>
      <c r="CY204" s="762">
        <v>191126</v>
      </c>
      <c r="CZ204" s="762">
        <v>0</v>
      </c>
      <c r="DA204" s="762">
        <v>0</v>
      </c>
      <c r="DB204" s="762">
        <v>0</v>
      </c>
      <c r="DC204" s="762">
        <v>0</v>
      </c>
      <c r="DD204" s="762">
        <v>7155</v>
      </c>
      <c r="DE204" s="762">
        <v>0</v>
      </c>
      <c r="DF204" s="762">
        <v>146</v>
      </c>
      <c r="DG204" s="762">
        <v>7301</v>
      </c>
      <c r="DH204" s="762">
        <v>0</v>
      </c>
      <c r="DI204" s="762">
        <v>0</v>
      </c>
      <c r="DJ204" s="762">
        <v>0</v>
      </c>
      <c r="DK204" s="762">
        <v>0</v>
      </c>
      <c r="DL204" s="762">
        <v>7589</v>
      </c>
      <c r="DM204" s="762">
        <v>0</v>
      </c>
      <c r="DN204" s="762">
        <v>155</v>
      </c>
      <c r="DO204" s="762">
        <v>7744</v>
      </c>
      <c r="DP204" s="762">
        <v>27322</v>
      </c>
      <c r="DQ204" s="762">
        <v>0</v>
      </c>
      <c r="DR204" s="762">
        <v>558</v>
      </c>
      <c r="DS204" s="762">
        <v>27880</v>
      </c>
      <c r="DT204" s="762">
        <v>0</v>
      </c>
      <c r="DU204" s="762">
        <v>0</v>
      </c>
      <c r="DV204" s="762">
        <v>0</v>
      </c>
      <c r="DW204" s="762">
        <v>0</v>
      </c>
      <c r="DX204" s="762">
        <v>0</v>
      </c>
      <c r="DY204" s="762">
        <v>0</v>
      </c>
      <c r="DZ204" s="762">
        <v>0</v>
      </c>
      <c r="EA204" s="762">
        <v>0</v>
      </c>
      <c r="EB204" s="762">
        <v>1631283</v>
      </c>
      <c r="EC204" s="762">
        <v>0</v>
      </c>
      <c r="ED204" s="762">
        <v>33292</v>
      </c>
      <c r="EE204" s="762">
        <v>1664575</v>
      </c>
      <c r="EF204" s="762">
        <v>5521072</v>
      </c>
      <c r="EG204" s="762">
        <v>0</v>
      </c>
      <c r="EH204" s="762">
        <v>112448</v>
      </c>
      <c r="EI204" s="799">
        <v>5633520</v>
      </c>
      <c r="EJ204" s="763" t="s">
        <v>545</v>
      </c>
      <c r="EK204" s="607" t="s">
        <v>529</v>
      </c>
      <c r="EL204" s="805" t="s">
        <v>546</v>
      </c>
      <c r="EM204" t="s">
        <v>1770</v>
      </c>
    </row>
    <row r="205" spans="1:143" ht="12.75" x14ac:dyDescent="0.2">
      <c r="A205" s="764">
        <v>198</v>
      </c>
      <c r="B205" s="765" t="s">
        <v>285</v>
      </c>
      <c r="C205" s="766" t="s">
        <v>529</v>
      </c>
      <c r="D205" s="767" t="s">
        <v>1226</v>
      </c>
      <c r="E205" s="768" t="s">
        <v>562</v>
      </c>
      <c r="F205" s="761">
        <v>91961331</v>
      </c>
      <c r="G205" s="762">
        <v>0</v>
      </c>
      <c r="H205" s="762">
        <v>1456297</v>
      </c>
      <c r="I205" s="762">
        <v>314463</v>
      </c>
      <c r="J205" s="762">
        <v>0</v>
      </c>
      <c r="K205" s="762">
        <v>314463</v>
      </c>
      <c r="L205" s="762">
        <v>0</v>
      </c>
      <c r="M205" s="762">
        <v>0</v>
      </c>
      <c r="N205" s="762">
        <v>204266</v>
      </c>
      <c r="O205" s="762">
        <v>204266</v>
      </c>
      <c r="P205" s="762">
        <v>0</v>
      </c>
      <c r="Q205" s="762">
        <v>0</v>
      </c>
      <c r="R205" s="762">
        <v>89986305</v>
      </c>
      <c r="S205" s="790">
        <v>0.5</v>
      </c>
      <c r="T205" s="790">
        <v>0.49</v>
      </c>
      <c r="U205" s="790">
        <v>0</v>
      </c>
      <c r="V205" s="790">
        <v>0.01</v>
      </c>
      <c r="W205" s="790">
        <v>1</v>
      </c>
      <c r="X205" s="762">
        <v>44993153</v>
      </c>
      <c r="Y205" s="762">
        <v>44093289</v>
      </c>
      <c r="Z205" s="762">
        <v>0</v>
      </c>
      <c r="AA205" s="762">
        <v>899863</v>
      </c>
      <c r="AB205" s="762">
        <v>89986305</v>
      </c>
      <c r="AC205" s="762">
        <v>56029</v>
      </c>
      <c r="AD205" s="762">
        <v>0</v>
      </c>
      <c r="AE205" s="762">
        <v>0</v>
      </c>
      <c r="AF205" s="762">
        <v>0</v>
      </c>
      <c r="AG205" s="762">
        <v>56029</v>
      </c>
      <c r="AH205" s="762">
        <v>44937124</v>
      </c>
      <c r="AI205" s="762">
        <v>44093289</v>
      </c>
      <c r="AJ205" s="762">
        <v>0</v>
      </c>
      <c r="AK205" s="762">
        <v>899863</v>
      </c>
      <c r="AL205" s="762">
        <v>89930276</v>
      </c>
      <c r="AM205" s="762">
        <v>314463</v>
      </c>
      <c r="AN205" s="762">
        <v>314463</v>
      </c>
      <c r="AO205" s="762">
        <v>0</v>
      </c>
      <c r="AP205" s="762">
        <v>0</v>
      </c>
      <c r="AQ205" s="762">
        <v>204266</v>
      </c>
      <c r="AR205" s="762">
        <v>0</v>
      </c>
      <c r="AS205" s="762">
        <v>204266</v>
      </c>
      <c r="AT205" s="762">
        <v>0</v>
      </c>
      <c r="AU205" s="762">
        <v>0</v>
      </c>
      <c r="AV205" s="762">
        <v>0</v>
      </c>
      <c r="AW205" s="762">
        <v>0</v>
      </c>
      <c r="AX205" s="762">
        <v>56029</v>
      </c>
      <c r="AY205" s="762">
        <v>0</v>
      </c>
      <c r="AZ205" s="762">
        <v>0</v>
      </c>
      <c r="BA205" s="762">
        <v>56029</v>
      </c>
      <c r="BB205" s="762">
        <v>0</v>
      </c>
      <c r="BC205" s="762">
        <v>0</v>
      </c>
      <c r="BD205" s="762">
        <v>0</v>
      </c>
      <c r="BE205" s="762">
        <v>0</v>
      </c>
      <c r="BF205" s="762">
        <v>0</v>
      </c>
      <c r="BG205" s="762">
        <v>0</v>
      </c>
      <c r="BH205" s="762">
        <v>0</v>
      </c>
      <c r="BI205" s="762">
        <v>0</v>
      </c>
      <c r="BJ205" s="790">
        <v>0</v>
      </c>
      <c r="BK205" s="790">
        <v>0.99</v>
      </c>
      <c r="BL205" s="790">
        <v>0</v>
      </c>
      <c r="BM205" s="790">
        <v>0.01</v>
      </c>
      <c r="BN205" s="790">
        <v>1</v>
      </c>
      <c r="BO205" s="762">
        <v>0</v>
      </c>
      <c r="BP205" s="762">
        <v>-3031753</v>
      </c>
      <c r="BQ205" s="762">
        <v>0</v>
      </c>
      <c r="BR205" s="762">
        <v>-30624</v>
      </c>
      <c r="BS205" s="762">
        <v>-3062377</v>
      </c>
      <c r="BT205" s="790">
        <v>0.5</v>
      </c>
      <c r="BU205" s="790">
        <v>0.49</v>
      </c>
      <c r="BV205" s="790">
        <v>0</v>
      </c>
      <c r="BW205" s="790">
        <v>0.01</v>
      </c>
      <c r="BX205" s="790">
        <v>1</v>
      </c>
      <c r="BY205" s="762">
        <v>-6075056</v>
      </c>
      <c r="BZ205" s="762">
        <v>-5953555</v>
      </c>
      <c r="CA205" s="762">
        <v>0</v>
      </c>
      <c r="CB205" s="762">
        <v>-121501</v>
      </c>
      <c r="CC205" s="762">
        <v>-12150112</v>
      </c>
      <c r="CD205" s="762">
        <v>-6075056</v>
      </c>
      <c r="CE205" s="762">
        <v>-8985308</v>
      </c>
      <c r="CF205" s="762">
        <v>0</v>
      </c>
      <c r="CG205" s="762">
        <v>-152125</v>
      </c>
      <c r="CH205" s="762">
        <v>-15212489</v>
      </c>
      <c r="CI205" s="762">
        <v>38862068</v>
      </c>
      <c r="CJ205" s="762">
        <v>35682739</v>
      </c>
      <c r="CK205" s="762">
        <v>0</v>
      </c>
      <c r="CL205" s="762">
        <v>747738</v>
      </c>
      <c r="CM205" s="762">
        <v>75292545</v>
      </c>
      <c r="CN205" s="762">
        <v>1445331</v>
      </c>
      <c r="CO205" s="762">
        <v>0</v>
      </c>
      <c r="CP205" s="762">
        <v>29323</v>
      </c>
      <c r="CQ205" s="762">
        <v>1474654</v>
      </c>
      <c r="CR205" s="762">
        <v>2832531</v>
      </c>
      <c r="CS205" s="762">
        <v>0</v>
      </c>
      <c r="CT205" s="762">
        <v>57807</v>
      </c>
      <c r="CU205" s="762">
        <v>2890338</v>
      </c>
      <c r="CV205" s="762">
        <v>191640</v>
      </c>
      <c r="CW205" s="762">
        <v>0</v>
      </c>
      <c r="CX205" s="762">
        <v>3911</v>
      </c>
      <c r="CY205" s="762">
        <v>195551</v>
      </c>
      <c r="CZ205" s="762">
        <v>7639</v>
      </c>
      <c r="DA205" s="762">
        <v>0</v>
      </c>
      <c r="DB205" s="762">
        <v>156</v>
      </c>
      <c r="DC205" s="762">
        <v>7795</v>
      </c>
      <c r="DD205" s="762">
        <v>0</v>
      </c>
      <c r="DE205" s="762">
        <v>0</v>
      </c>
      <c r="DF205" s="762">
        <v>0</v>
      </c>
      <c r="DG205" s="762">
        <v>0</v>
      </c>
      <c r="DH205" s="762">
        <v>809</v>
      </c>
      <c r="DI205" s="762">
        <v>0</v>
      </c>
      <c r="DJ205" s="762">
        <v>17</v>
      </c>
      <c r="DK205" s="762">
        <v>826</v>
      </c>
      <c r="DL205" s="762">
        <v>10119</v>
      </c>
      <c r="DM205" s="762">
        <v>0</v>
      </c>
      <c r="DN205" s="762">
        <v>207</v>
      </c>
      <c r="DO205" s="762">
        <v>10326</v>
      </c>
      <c r="DP205" s="762">
        <v>44878</v>
      </c>
      <c r="DQ205" s="762">
        <v>0</v>
      </c>
      <c r="DR205" s="762">
        <v>916</v>
      </c>
      <c r="DS205" s="762">
        <v>45794</v>
      </c>
      <c r="DT205" s="762">
        <v>0</v>
      </c>
      <c r="DU205" s="762">
        <v>0</v>
      </c>
      <c r="DV205" s="762">
        <v>0</v>
      </c>
      <c r="DW205" s="762">
        <v>0</v>
      </c>
      <c r="DX205" s="762">
        <v>0</v>
      </c>
      <c r="DY205" s="762">
        <v>0</v>
      </c>
      <c r="DZ205" s="762">
        <v>0</v>
      </c>
      <c r="EA205" s="762">
        <v>0</v>
      </c>
      <c r="EB205" s="762">
        <v>1299828</v>
      </c>
      <c r="EC205" s="762">
        <v>0</v>
      </c>
      <c r="ED205" s="762">
        <v>26527</v>
      </c>
      <c r="EE205" s="762">
        <v>1326355</v>
      </c>
      <c r="EF205" s="762">
        <v>5832775</v>
      </c>
      <c r="EG205" s="762">
        <v>0</v>
      </c>
      <c r="EH205" s="762">
        <v>118864</v>
      </c>
      <c r="EI205" s="799">
        <v>5951639</v>
      </c>
      <c r="EJ205" s="763" t="s">
        <v>562</v>
      </c>
      <c r="EK205" s="607" t="s">
        <v>529</v>
      </c>
      <c r="EL205" s="805" t="s">
        <v>563</v>
      </c>
      <c r="EM205" t="s">
        <v>1771</v>
      </c>
    </row>
    <row r="206" spans="1:143" ht="12.75" x14ac:dyDescent="0.2">
      <c r="A206" s="764">
        <v>199</v>
      </c>
      <c r="B206" s="765" t="s">
        <v>287</v>
      </c>
      <c r="C206" s="766" t="s">
        <v>529</v>
      </c>
      <c r="D206" s="767" t="s">
        <v>1218</v>
      </c>
      <c r="E206" s="768" t="s">
        <v>577</v>
      </c>
      <c r="F206" s="761">
        <v>84564491</v>
      </c>
      <c r="G206" s="762">
        <v>0</v>
      </c>
      <c r="H206" s="762">
        <v>0</v>
      </c>
      <c r="I206" s="762">
        <v>275145</v>
      </c>
      <c r="J206" s="762">
        <v>0</v>
      </c>
      <c r="K206" s="762">
        <v>275145</v>
      </c>
      <c r="L206" s="762">
        <v>0</v>
      </c>
      <c r="M206" s="762">
        <v>0</v>
      </c>
      <c r="N206" s="762">
        <v>0</v>
      </c>
      <c r="O206" s="762">
        <v>0</v>
      </c>
      <c r="P206" s="762">
        <v>0</v>
      </c>
      <c r="Q206" s="762">
        <v>0</v>
      </c>
      <c r="R206" s="762">
        <v>84289346</v>
      </c>
      <c r="S206" s="790">
        <v>0.25</v>
      </c>
      <c r="T206" s="790">
        <v>0.74</v>
      </c>
      <c r="U206" s="790">
        <v>0</v>
      </c>
      <c r="V206" s="790">
        <v>0.01</v>
      </c>
      <c r="W206" s="790">
        <v>1</v>
      </c>
      <c r="X206" s="762">
        <v>21072337</v>
      </c>
      <c r="Y206" s="762">
        <v>62374116</v>
      </c>
      <c r="Z206" s="762">
        <v>0</v>
      </c>
      <c r="AA206" s="762">
        <v>842893</v>
      </c>
      <c r="AB206" s="762">
        <v>84289346</v>
      </c>
      <c r="AC206" s="762">
        <v>0</v>
      </c>
      <c r="AD206" s="762">
        <v>0</v>
      </c>
      <c r="AE206" s="762">
        <v>0</v>
      </c>
      <c r="AF206" s="762">
        <v>0</v>
      </c>
      <c r="AG206" s="762">
        <v>0</v>
      </c>
      <c r="AH206" s="762">
        <v>21072337</v>
      </c>
      <c r="AI206" s="762">
        <v>62374116</v>
      </c>
      <c r="AJ206" s="762">
        <v>0</v>
      </c>
      <c r="AK206" s="762">
        <v>842893</v>
      </c>
      <c r="AL206" s="762">
        <v>84289346</v>
      </c>
      <c r="AM206" s="762">
        <v>275145</v>
      </c>
      <c r="AN206" s="762">
        <v>275145</v>
      </c>
      <c r="AO206" s="762">
        <v>0</v>
      </c>
      <c r="AP206" s="762">
        <v>0</v>
      </c>
      <c r="AQ206" s="762">
        <v>0</v>
      </c>
      <c r="AR206" s="762">
        <v>0</v>
      </c>
      <c r="AS206" s="762">
        <v>0</v>
      </c>
      <c r="AT206" s="762">
        <v>0</v>
      </c>
      <c r="AU206" s="762">
        <v>0</v>
      </c>
      <c r="AV206" s="762">
        <v>0</v>
      </c>
      <c r="AW206" s="762">
        <v>0</v>
      </c>
      <c r="AX206" s="762">
        <v>0</v>
      </c>
      <c r="AY206" s="762">
        <v>0</v>
      </c>
      <c r="AZ206" s="762">
        <v>0</v>
      </c>
      <c r="BA206" s="762">
        <v>0</v>
      </c>
      <c r="BB206" s="762">
        <v>0</v>
      </c>
      <c r="BC206" s="762">
        <v>0</v>
      </c>
      <c r="BD206" s="762">
        <v>0</v>
      </c>
      <c r="BE206" s="762">
        <v>0</v>
      </c>
      <c r="BF206" s="762">
        <v>0</v>
      </c>
      <c r="BG206" s="762">
        <v>0</v>
      </c>
      <c r="BH206" s="762">
        <v>0</v>
      </c>
      <c r="BI206" s="762">
        <v>0</v>
      </c>
      <c r="BJ206" s="790">
        <v>0</v>
      </c>
      <c r="BK206" s="790">
        <v>0.99</v>
      </c>
      <c r="BL206" s="790">
        <v>0</v>
      </c>
      <c r="BM206" s="790">
        <v>0.01</v>
      </c>
      <c r="BN206" s="790">
        <v>1</v>
      </c>
      <c r="BO206" s="762">
        <v>0</v>
      </c>
      <c r="BP206" s="762">
        <v>1456636</v>
      </c>
      <c r="BQ206" s="762">
        <v>0</v>
      </c>
      <c r="BR206" s="762">
        <v>14713</v>
      </c>
      <c r="BS206" s="762">
        <v>1471349</v>
      </c>
      <c r="BT206" s="790">
        <v>0.5</v>
      </c>
      <c r="BU206" s="790">
        <v>0.49</v>
      </c>
      <c r="BV206" s="790">
        <v>0</v>
      </c>
      <c r="BW206" s="790">
        <v>0.01</v>
      </c>
      <c r="BX206" s="790">
        <v>1</v>
      </c>
      <c r="BY206" s="762">
        <v>-631731</v>
      </c>
      <c r="BZ206" s="762">
        <v>-619097</v>
      </c>
      <c r="CA206" s="762">
        <v>0</v>
      </c>
      <c r="CB206" s="762">
        <v>-12635</v>
      </c>
      <c r="CC206" s="762">
        <v>-1263463</v>
      </c>
      <c r="CD206" s="762">
        <v>-631731</v>
      </c>
      <c r="CE206" s="762">
        <v>837539</v>
      </c>
      <c r="CF206" s="762">
        <v>0</v>
      </c>
      <c r="CG206" s="762">
        <v>2078</v>
      </c>
      <c r="CH206" s="762">
        <v>207886</v>
      </c>
      <c r="CI206" s="762">
        <v>20440606</v>
      </c>
      <c r="CJ206" s="762">
        <v>63486800</v>
      </c>
      <c r="CK206" s="762">
        <v>0</v>
      </c>
      <c r="CL206" s="762">
        <v>844971</v>
      </c>
      <c r="CM206" s="762">
        <v>84772377</v>
      </c>
      <c r="CN206" s="762">
        <v>2032558</v>
      </c>
      <c r="CO206" s="762">
        <v>0</v>
      </c>
      <c r="CP206" s="762">
        <v>27467</v>
      </c>
      <c r="CQ206" s="762">
        <v>2060025</v>
      </c>
      <c r="CR206" s="762">
        <v>3377172</v>
      </c>
      <c r="CS206" s="762">
        <v>0</v>
      </c>
      <c r="CT206" s="762">
        <v>45637</v>
      </c>
      <c r="CU206" s="762">
        <v>3422809</v>
      </c>
      <c r="CV206" s="762">
        <v>279227</v>
      </c>
      <c r="CW206" s="762">
        <v>0</v>
      </c>
      <c r="CX206" s="762">
        <v>3773</v>
      </c>
      <c r="CY206" s="762">
        <v>283000</v>
      </c>
      <c r="CZ206" s="762">
        <v>0</v>
      </c>
      <c r="DA206" s="762">
        <v>0</v>
      </c>
      <c r="DB206" s="762">
        <v>0</v>
      </c>
      <c r="DC206" s="762">
        <v>0</v>
      </c>
      <c r="DD206" s="762">
        <v>0</v>
      </c>
      <c r="DE206" s="762">
        <v>0</v>
      </c>
      <c r="DF206" s="762">
        <v>0</v>
      </c>
      <c r="DG206" s="762">
        <v>0</v>
      </c>
      <c r="DH206" s="762">
        <v>0</v>
      </c>
      <c r="DI206" s="762">
        <v>0</v>
      </c>
      <c r="DJ206" s="762">
        <v>0</v>
      </c>
      <c r="DK206" s="762">
        <v>0</v>
      </c>
      <c r="DL206" s="762">
        <v>11538</v>
      </c>
      <c r="DM206" s="762">
        <v>0</v>
      </c>
      <c r="DN206" s="762">
        <v>156</v>
      </c>
      <c r="DO206" s="762">
        <v>11694</v>
      </c>
      <c r="DP206" s="762">
        <v>76411</v>
      </c>
      <c r="DQ206" s="762">
        <v>0</v>
      </c>
      <c r="DR206" s="762">
        <v>1033</v>
      </c>
      <c r="DS206" s="762">
        <v>77444</v>
      </c>
      <c r="DT206" s="762">
        <v>0</v>
      </c>
      <c r="DU206" s="762">
        <v>0</v>
      </c>
      <c r="DV206" s="762">
        <v>0</v>
      </c>
      <c r="DW206" s="762">
        <v>0</v>
      </c>
      <c r="DX206" s="762">
        <v>0</v>
      </c>
      <c r="DY206" s="762">
        <v>0</v>
      </c>
      <c r="DZ206" s="762">
        <v>0</v>
      </c>
      <c r="EA206" s="762">
        <v>0</v>
      </c>
      <c r="EB206" s="762">
        <v>1528228</v>
      </c>
      <c r="EC206" s="762">
        <v>0</v>
      </c>
      <c r="ED206" s="762">
        <v>20652</v>
      </c>
      <c r="EE206" s="762">
        <v>1548880</v>
      </c>
      <c r="EF206" s="762">
        <v>7305134</v>
      </c>
      <c r="EG206" s="762">
        <v>0</v>
      </c>
      <c r="EH206" s="762">
        <v>98718</v>
      </c>
      <c r="EI206" s="799">
        <v>7403852</v>
      </c>
      <c r="EJ206" s="763" t="s">
        <v>577</v>
      </c>
      <c r="EK206" s="607" t="s">
        <v>529</v>
      </c>
      <c r="EL206" s="805" t="s">
        <v>578</v>
      </c>
      <c r="EM206" t="s">
        <v>1772</v>
      </c>
    </row>
    <row r="207" spans="1:143" ht="12.75" x14ac:dyDescent="0.2">
      <c r="A207" s="764">
        <v>200</v>
      </c>
      <c r="B207" s="765" t="s">
        <v>289</v>
      </c>
      <c r="C207" s="766" t="s">
        <v>1217</v>
      </c>
      <c r="D207" s="767" t="s">
        <v>1219</v>
      </c>
      <c r="E207" s="768" t="s">
        <v>288</v>
      </c>
      <c r="F207" s="761">
        <v>57346229</v>
      </c>
      <c r="G207" s="762">
        <v>0</v>
      </c>
      <c r="H207" s="762">
        <v>3234000</v>
      </c>
      <c r="I207" s="762">
        <v>224953</v>
      </c>
      <c r="J207" s="762">
        <v>0</v>
      </c>
      <c r="K207" s="762">
        <v>224953</v>
      </c>
      <c r="L207" s="762">
        <v>0</v>
      </c>
      <c r="M207" s="762">
        <v>0</v>
      </c>
      <c r="N207" s="762">
        <v>26490</v>
      </c>
      <c r="O207" s="762">
        <v>26490</v>
      </c>
      <c r="P207" s="762">
        <v>0</v>
      </c>
      <c r="Q207" s="762">
        <v>0</v>
      </c>
      <c r="R207" s="762">
        <v>53860786</v>
      </c>
      <c r="S207" s="790">
        <v>0.25</v>
      </c>
      <c r="T207" s="790">
        <v>0.56000000000000005</v>
      </c>
      <c r="U207" s="790">
        <v>0.17499999999999999</v>
      </c>
      <c r="V207" s="790">
        <v>1.4999999999999999E-2</v>
      </c>
      <c r="W207" s="790">
        <v>1</v>
      </c>
      <c r="X207" s="762">
        <v>13465196</v>
      </c>
      <c r="Y207" s="762">
        <v>30162040</v>
      </c>
      <c r="Z207" s="762">
        <v>9425638</v>
      </c>
      <c r="AA207" s="762">
        <v>807912</v>
      </c>
      <c r="AB207" s="762">
        <v>53860786</v>
      </c>
      <c r="AC207" s="762">
        <v>0</v>
      </c>
      <c r="AD207" s="762">
        <v>0</v>
      </c>
      <c r="AE207" s="762">
        <v>0</v>
      </c>
      <c r="AF207" s="762">
        <v>0</v>
      </c>
      <c r="AG207" s="762">
        <v>0</v>
      </c>
      <c r="AH207" s="762">
        <v>13465196</v>
      </c>
      <c r="AI207" s="762">
        <v>30162040</v>
      </c>
      <c r="AJ207" s="762">
        <v>9425638</v>
      </c>
      <c r="AK207" s="762">
        <v>807912</v>
      </c>
      <c r="AL207" s="762">
        <v>53860786</v>
      </c>
      <c r="AM207" s="762">
        <v>224953</v>
      </c>
      <c r="AN207" s="762">
        <v>224953</v>
      </c>
      <c r="AO207" s="762">
        <v>0</v>
      </c>
      <c r="AP207" s="762">
        <v>0</v>
      </c>
      <c r="AQ207" s="762">
        <v>26490</v>
      </c>
      <c r="AR207" s="762">
        <v>0</v>
      </c>
      <c r="AS207" s="762">
        <v>26490</v>
      </c>
      <c r="AT207" s="762">
        <v>0</v>
      </c>
      <c r="AU207" s="762">
        <v>0</v>
      </c>
      <c r="AV207" s="762">
        <v>0</v>
      </c>
      <c r="AW207" s="762">
        <v>0</v>
      </c>
      <c r="AX207" s="762">
        <v>0</v>
      </c>
      <c r="AY207" s="762">
        <v>0</v>
      </c>
      <c r="AZ207" s="762">
        <v>0</v>
      </c>
      <c r="BA207" s="762">
        <v>0</v>
      </c>
      <c r="BB207" s="762">
        <v>0</v>
      </c>
      <c r="BC207" s="762">
        <v>0</v>
      </c>
      <c r="BD207" s="762">
        <v>0</v>
      </c>
      <c r="BE207" s="762">
        <v>0</v>
      </c>
      <c r="BF207" s="762">
        <v>0</v>
      </c>
      <c r="BG207" s="762">
        <v>0</v>
      </c>
      <c r="BH207" s="762">
        <v>0</v>
      </c>
      <c r="BI207" s="762">
        <v>0</v>
      </c>
      <c r="BJ207" s="790">
        <v>0.5</v>
      </c>
      <c r="BK207" s="790">
        <v>0.4</v>
      </c>
      <c r="BL207" s="790">
        <v>0.09</v>
      </c>
      <c r="BM207" s="790">
        <v>0.01</v>
      </c>
      <c r="BN207" s="790">
        <v>1</v>
      </c>
      <c r="BO207" s="762">
        <v>-152959</v>
      </c>
      <c r="BP207" s="762">
        <v>-122368</v>
      </c>
      <c r="BQ207" s="762">
        <v>-27533</v>
      </c>
      <c r="BR207" s="762">
        <v>-3059</v>
      </c>
      <c r="BS207" s="762">
        <v>-305919</v>
      </c>
      <c r="BT207" s="790">
        <v>0.5</v>
      </c>
      <c r="BU207" s="790">
        <v>0.4</v>
      </c>
      <c r="BV207" s="790">
        <v>0.09</v>
      </c>
      <c r="BW207" s="790">
        <v>0.01</v>
      </c>
      <c r="BX207" s="790">
        <v>1</v>
      </c>
      <c r="BY207" s="762">
        <v>-389757</v>
      </c>
      <c r="BZ207" s="762">
        <v>-311806</v>
      </c>
      <c r="CA207" s="762">
        <v>-70156</v>
      </c>
      <c r="CB207" s="762">
        <v>-7795</v>
      </c>
      <c r="CC207" s="762">
        <v>-779514</v>
      </c>
      <c r="CD207" s="762">
        <v>-542717</v>
      </c>
      <c r="CE207" s="762">
        <v>-434173</v>
      </c>
      <c r="CF207" s="762">
        <v>-97689</v>
      </c>
      <c r="CG207" s="762">
        <v>-10854</v>
      </c>
      <c r="CH207" s="762">
        <v>-1085433</v>
      </c>
      <c r="CI207" s="762">
        <v>12922479</v>
      </c>
      <c r="CJ207" s="762">
        <v>29979310</v>
      </c>
      <c r="CK207" s="762">
        <v>9327949</v>
      </c>
      <c r="CL207" s="762">
        <v>797058</v>
      </c>
      <c r="CM207" s="762">
        <v>53026796</v>
      </c>
      <c r="CN207" s="762">
        <v>983740</v>
      </c>
      <c r="CO207" s="762">
        <v>307149</v>
      </c>
      <c r="CP207" s="762">
        <v>26327</v>
      </c>
      <c r="CQ207" s="762">
        <v>1317216</v>
      </c>
      <c r="CR207" s="762">
        <v>2101128</v>
      </c>
      <c r="CS207" s="762">
        <v>656603</v>
      </c>
      <c r="CT207" s="762">
        <v>56280</v>
      </c>
      <c r="CU207" s="762">
        <v>2814011</v>
      </c>
      <c r="CV207" s="762">
        <v>147600</v>
      </c>
      <c r="CW207" s="762">
        <v>46125</v>
      </c>
      <c r="CX207" s="762">
        <v>3954</v>
      </c>
      <c r="CY207" s="762">
        <v>197679</v>
      </c>
      <c r="CZ207" s="762">
        <v>2299</v>
      </c>
      <c r="DA207" s="762">
        <v>719</v>
      </c>
      <c r="DB207" s="762">
        <v>62</v>
      </c>
      <c r="DC207" s="762">
        <v>3080</v>
      </c>
      <c r="DD207" s="762">
        <v>2871</v>
      </c>
      <c r="DE207" s="762">
        <v>897</v>
      </c>
      <c r="DF207" s="762">
        <v>77</v>
      </c>
      <c r="DG207" s="762">
        <v>3845</v>
      </c>
      <c r="DH207" s="762">
        <v>0</v>
      </c>
      <c r="DI207" s="762">
        <v>0</v>
      </c>
      <c r="DJ207" s="762">
        <v>0</v>
      </c>
      <c r="DK207" s="762">
        <v>0</v>
      </c>
      <c r="DL207" s="762">
        <v>1986</v>
      </c>
      <c r="DM207" s="762">
        <v>621</v>
      </c>
      <c r="DN207" s="762">
        <v>53</v>
      </c>
      <c r="DO207" s="762">
        <v>2660</v>
      </c>
      <c r="DP207" s="762">
        <v>11565</v>
      </c>
      <c r="DQ207" s="762">
        <v>3614</v>
      </c>
      <c r="DR207" s="762">
        <v>310</v>
      </c>
      <c r="DS207" s="762">
        <v>15489</v>
      </c>
      <c r="DT207" s="762">
        <v>0</v>
      </c>
      <c r="DU207" s="762">
        <v>0</v>
      </c>
      <c r="DV207" s="762">
        <v>0</v>
      </c>
      <c r="DW207" s="762">
        <v>0</v>
      </c>
      <c r="DX207" s="762">
        <v>0</v>
      </c>
      <c r="DY207" s="762">
        <v>0</v>
      </c>
      <c r="DZ207" s="762">
        <v>0</v>
      </c>
      <c r="EA207" s="762">
        <v>0</v>
      </c>
      <c r="EB207" s="762">
        <v>961356</v>
      </c>
      <c r="EC207" s="762">
        <v>300424</v>
      </c>
      <c r="ED207" s="762">
        <v>25751</v>
      </c>
      <c r="EE207" s="762">
        <v>1287531</v>
      </c>
      <c r="EF207" s="762">
        <v>4212545</v>
      </c>
      <c r="EG207" s="762">
        <v>1316152</v>
      </c>
      <c r="EH207" s="762">
        <v>112814</v>
      </c>
      <c r="EI207" s="799">
        <v>5641511</v>
      </c>
      <c r="EJ207" s="763" t="s">
        <v>288</v>
      </c>
      <c r="EK207" s="607" t="s">
        <v>595</v>
      </c>
      <c r="EL207" s="805" t="s">
        <v>593</v>
      </c>
      <c r="EM207" t="s">
        <v>1773</v>
      </c>
    </row>
    <row r="208" spans="1:143" ht="12.75" x14ac:dyDescent="0.2">
      <c r="A208" s="764">
        <v>201</v>
      </c>
      <c r="B208" s="765" t="s">
        <v>291</v>
      </c>
      <c r="C208" s="766" t="s">
        <v>529</v>
      </c>
      <c r="D208" s="767" t="s">
        <v>1218</v>
      </c>
      <c r="E208" s="768" t="s">
        <v>539</v>
      </c>
      <c r="F208" s="761">
        <v>133394821</v>
      </c>
      <c r="G208" s="762">
        <v>730564</v>
      </c>
      <c r="H208" s="762">
        <v>0</v>
      </c>
      <c r="I208" s="762">
        <v>285844</v>
      </c>
      <c r="J208" s="762">
        <v>0</v>
      </c>
      <c r="K208" s="762">
        <v>285844</v>
      </c>
      <c r="L208" s="762">
        <v>0</v>
      </c>
      <c r="M208" s="762">
        <v>0</v>
      </c>
      <c r="N208" s="762">
        <v>0</v>
      </c>
      <c r="O208" s="762">
        <v>0</v>
      </c>
      <c r="P208" s="762">
        <v>0</v>
      </c>
      <c r="Q208" s="762">
        <v>0</v>
      </c>
      <c r="R208" s="762">
        <v>133839541</v>
      </c>
      <c r="S208" s="790">
        <v>0.25</v>
      </c>
      <c r="T208" s="790">
        <v>0.74</v>
      </c>
      <c r="U208" s="790">
        <v>0</v>
      </c>
      <c r="V208" s="790">
        <v>0.01</v>
      </c>
      <c r="W208" s="790">
        <v>1</v>
      </c>
      <c r="X208" s="762">
        <v>33459886</v>
      </c>
      <c r="Y208" s="762">
        <v>99041260</v>
      </c>
      <c r="Z208" s="762">
        <v>0</v>
      </c>
      <c r="AA208" s="762">
        <v>1338395</v>
      </c>
      <c r="AB208" s="762">
        <v>133839541</v>
      </c>
      <c r="AC208" s="762">
        <v>0</v>
      </c>
      <c r="AD208" s="762">
        <v>0</v>
      </c>
      <c r="AE208" s="762">
        <v>0</v>
      </c>
      <c r="AF208" s="762">
        <v>0</v>
      </c>
      <c r="AG208" s="762">
        <v>0</v>
      </c>
      <c r="AH208" s="762">
        <v>33459886</v>
      </c>
      <c r="AI208" s="762">
        <v>99041260</v>
      </c>
      <c r="AJ208" s="762">
        <v>0</v>
      </c>
      <c r="AK208" s="762">
        <v>1338395</v>
      </c>
      <c r="AL208" s="762">
        <v>133839541</v>
      </c>
      <c r="AM208" s="762">
        <v>285844</v>
      </c>
      <c r="AN208" s="762">
        <v>285844</v>
      </c>
      <c r="AO208" s="762">
        <v>0</v>
      </c>
      <c r="AP208" s="762">
        <v>0</v>
      </c>
      <c r="AQ208" s="762">
        <v>0</v>
      </c>
      <c r="AR208" s="762">
        <v>0</v>
      </c>
      <c r="AS208" s="762">
        <v>0</v>
      </c>
      <c r="AT208" s="762">
        <v>0</v>
      </c>
      <c r="AU208" s="762">
        <v>0</v>
      </c>
      <c r="AV208" s="762">
        <v>0</v>
      </c>
      <c r="AW208" s="762">
        <v>0</v>
      </c>
      <c r="AX208" s="762">
        <v>0</v>
      </c>
      <c r="AY208" s="762">
        <v>0</v>
      </c>
      <c r="AZ208" s="762">
        <v>0</v>
      </c>
      <c r="BA208" s="762">
        <v>0</v>
      </c>
      <c r="BB208" s="762">
        <v>0</v>
      </c>
      <c r="BC208" s="762">
        <v>0</v>
      </c>
      <c r="BD208" s="762">
        <v>0</v>
      </c>
      <c r="BE208" s="762">
        <v>0</v>
      </c>
      <c r="BF208" s="762">
        <v>0</v>
      </c>
      <c r="BG208" s="762">
        <v>0</v>
      </c>
      <c r="BH208" s="762">
        <v>0</v>
      </c>
      <c r="BI208" s="762">
        <v>0</v>
      </c>
      <c r="BJ208" s="790">
        <v>0</v>
      </c>
      <c r="BK208" s="790">
        <v>0.99</v>
      </c>
      <c r="BL208" s="790">
        <v>0</v>
      </c>
      <c r="BM208" s="790">
        <v>0.01</v>
      </c>
      <c r="BN208" s="790">
        <v>1</v>
      </c>
      <c r="BO208" s="762">
        <v>0</v>
      </c>
      <c r="BP208" s="762">
        <v>1744591</v>
      </c>
      <c r="BQ208" s="762">
        <v>0</v>
      </c>
      <c r="BR208" s="762">
        <v>17622</v>
      </c>
      <c r="BS208" s="762">
        <v>1762213</v>
      </c>
      <c r="BT208" s="790">
        <v>0.5</v>
      </c>
      <c r="BU208" s="790">
        <v>0.49</v>
      </c>
      <c r="BV208" s="790">
        <v>0</v>
      </c>
      <c r="BW208" s="790">
        <v>0.01</v>
      </c>
      <c r="BX208" s="790">
        <v>1</v>
      </c>
      <c r="BY208" s="762">
        <v>-1780193</v>
      </c>
      <c r="BZ208" s="762">
        <v>-1744590</v>
      </c>
      <c r="CA208" s="762">
        <v>0</v>
      </c>
      <c r="CB208" s="762">
        <v>-35604</v>
      </c>
      <c r="CC208" s="762">
        <v>-3560387</v>
      </c>
      <c r="CD208" s="762">
        <v>-1780193</v>
      </c>
      <c r="CE208" s="762">
        <v>1</v>
      </c>
      <c r="CF208" s="762">
        <v>0</v>
      </c>
      <c r="CG208" s="762">
        <v>-17982</v>
      </c>
      <c r="CH208" s="762">
        <v>-1798174</v>
      </c>
      <c r="CI208" s="762">
        <v>31679693</v>
      </c>
      <c r="CJ208" s="762">
        <v>99327105</v>
      </c>
      <c r="CK208" s="762">
        <v>0</v>
      </c>
      <c r="CL208" s="762">
        <v>1320413</v>
      </c>
      <c r="CM208" s="762">
        <v>132327211</v>
      </c>
      <c r="CN208" s="762">
        <v>3227414</v>
      </c>
      <c r="CO208" s="762">
        <v>0</v>
      </c>
      <c r="CP208" s="762">
        <v>43614</v>
      </c>
      <c r="CQ208" s="762">
        <v>3271028</v>
      </c>
      <c r="CR208" s="762">
        <v>1950767</v>
      </c>
      <c r="CS208" s="762">
        <v>0</v>
      </c>
      <c r="CT208" s="762">
        <v>26362</v>
      </c>
      <c r="CU208" s="762">
        <v>1977129</v>
      </c>
      <c r="CV208" s="762">
        <v>266340</v>
      </c>
      <c r="CW208" s="762">
        <v>0</v>
      </c>
      <c r="CX208" s="762">
        <v>3599</v>
      </c>
      <c r="CY208" s="762">
        <v>269939</v>
      </c>
      <c r="CZ208" s="762">
        <v>9529</v>
      </c>
      <c r="DA208" s="762">
        <v>0</v>
      </c>
      <c r="DB208" s="762">
        <v>129</v>
      </c>
      <c r="DC208" s="762">
        <v>9658</v>
      </c>
      <c r="DD208" s="762">
        <v>0</v>
      </c>
      <c r="DE208" s="762">
        <v>0</v>
      </c>
      <c r="DF208" s="762">
        <v>0</v>
      </c>
      <c r="DG208" s="762">
        <v>0</v>
      </c>
      <c r="DH208" s="762">
        <v>0</v>
      </c>
      <c r="DI208" s="762">
        <v>0</v>
      </c>
      <c r="DJ208" s="762">
        <v>0</v>
      </c>
      <c r="DK208" s="762">
        <v>0</v>
      </c>
      <c r="DL208" s="762">
        <v>46737</v>
      </c>
      <c r="DM208" s="762">
        <v>0</v>
      </c>
      <c r="DN208" s="762">
        <v>632</v>
      </c>
      <c r="DO208" s="762">
        <v>47369</v>
      </c>
      <c r="DP208" s="762">
        <v>154951</v>
      </c>
      <c r="DQ208" s="762">
        <v>0</v>
      </c>
      <c r="DR208" s="762">
        <v>2094</v>
      </c>
      <c r="DS208" s="762">
        <v>157045</v>
      </c>
      <c r="DT208" s="762">
        <v>0</v>
      </c>
      <c r="DU208" s="762">
        <v>0</v>
      </c>
      <c r="DV208" s="762">
        <v>0</v>
      </c>
      <c r="DW208" s="762">
        <v>0</v>
      </c>
      <c r="DX208" s="762">
        <v>0</v>
      </c>
      <c r="DY208" s="762">
        <v>0</v>
      </c>
      <c r="DZ208" s="762">
        <v>0</v>
      </c>
      <c r="EA208" s="762">
        <v>0</v>
      </c>
      <c r="EB208" s="762">
        <v>1293646</v>
      </c>
      <c r="EC208" s="762">
        <v>0</v>
      </c>
      <c r="ED208" s="762">
        <v>17482</v>
      </c>
      <c r="EE208" s="762">
        <v>1311128</v>
      </c>
      <c r="EF208" s="762">
        <v>6949384</v>
      </c>
      <c r="EG208" s="762">
        <v>0</v>
      </c>
      <c r="EH208" s="762">
        <v>93912</v>
      </c>
      <c r="EI208" s="799">
        <v>7043296</v>
      </c>
      <c r="EJ208" s="763" t="s">
        <v>539</v>
      </c>
      <c r="EK208" s="607" t="s">
        <v>529</v>
      </c>
      <c r="EL208" s="805" t="s">
        <v>537</v>
      </c>
      <c r="EM208" t="s">
        <v>1774</v>
      </c>
    </row>
    <row r="209" spans="1:143" ht="12.75" x14ac:dyDescent="0.2">
      <c r="A209" s="764">
        <v>202</v>
      </c>
      <c r="B209" s="765" t="s">
        <v>293</v>
      </c>
      <c r="C209" s="766" t="s">
        <v>1222</v>
      </c>
      <c r="D209" s="767" t="s">
        <v>1223</v>
      </c>
      <c r="E209" s="768" t="s">
        <v>292</v>
      </c>
      <c r="F209" s="761">
        <v>52126225</v>
      </c>
      <c r="G209" s="762">
        <v>1646847</v>
      </c>
      <c r="H209" s="762">
        <v>0</v>
      </c>
      <c r="I209" s="762">
        <v>279720</v>
      </c>
      <c r="J209" s="762">
        <v>0</v>
      </c>
      <c r="K209" s="762">
        <v>279720</v>
      </c>
      <c r="L209" s="762">
        <v>0</v>
      </c>
      <c r="M209" s="762">
        <v>0</v>
      </c>
      <c r="N209" s="762">
        <v>0</v>
      </c>
      <c r="O209" s="762">
        <v>0</v>
      </c>
      <c r="P209" s="762">
        <v>0</v>
      </c>
      <c r="Q209" s="762">
        <v>0</v>
      </c>
      <c r="R209" s="762">
        <v>53493352</v>
      </c>
      <c r="S209" s="790">
        <v>0.25</v>
      </c>
      <c r="T209" s="790">
        <v>0.48</v>
      </c>
      <c r="U209" s="790">
        <v>0.27</v>
      </c>
      <c r="V209" s="790">
        <v>0</v>
      </c>
      <c r="W209" s="790">
        <v>1</v>
      </c>
      <c r="X209" s="762">
        <v>13373338</v>
      </c>
      <c r="Y209" s="762">
        <v>25676809</v>
      </c>
      <c r="Z209" s="762">
        <v>14443205</v>
      </c>
      <c r="AA209" s="762">
        <v>0</v>
      </c>
      <c r="AB209" s="762">
        <v>53493352</v>
      </c>
      <c r="AC209" s="762">
        <v>0</v>
      </c>
      <c r="AD209" s="762">
        <v>0</v>
      </c>
      <c r="AE209" s="762">
        <v>0</v>
      </c>
      <c r="AF209" s="762">
        <v>0</v>
      </c>
      <c r="AG209" s="762">
        <v>0</v>
      </c>
      <c r="AH209" s="762">
        <v>13373338</v>
      </c>
      <c r="AI209" s="762">
        <v>25676809</v>
      </c>
      <c r="AJ209" s="762">
        <v>14443205</v>
      </c>
      <c r="AK209" s="762">
        <v>0</v>
      </c>
      <c r="AL209" s="762">
        <v>53493352</v>
      </c>
      <c r="AM209" s="762">
        <v>279720</v>
      </c>
      <c r="AN209" s="762">
        <v>279720</v>
      </c>
      <c r="AO209" s="762">
        <v>0</v>
      </c>
      <c r="AP209" s="762">
        <v>0</v>
      </c>
      <c r="AQ209" s="762">
        <v>0</v>
      </c>
      <c r="AR209" s="762">
        <v>0</v>
      </c>
      <c r="AS209" s="762">
        <v>0</v>
      </c>
      <c r="AT209" s="762">
        <v>0</v>
      </c>
      <c r="AU209" s="762">
        <v>0</v>
      </c>
      <c r="AV209" s="762">
        <v>0</v>
      </c>
      <c r="AW209" s="762">
        <v>0</v>
      </c>
      <c r="AX209" s="762">
        <v>0</v>
      </c>
      <c r="AY209" s="762">
        <v>0</v>
      </c>
      <c r="AZ209" s="762">
        <v>0</v>
      </c>
      <c r="BA209" s="762">
        <v>0</v>
      </c>
      <c r="BB209" s="762">
        <v>0</v>
      </c>
      <c r="BC209" s="762">
        <v>0</v>
      </c>
      <c r="BD209" s="762">
        <v>0</v>
      </c>
      <c r="BE209" s="762">
        <v>0</v>
      </c>
      <c r="BF209" s="762">
        <v>0</v>
      </c>
      <c r="BG209" s="762">
        <v>0</v>
      </c>
      <c r="BH209" s="762">
        <v>0</v>
      </c>
      <c r="BI209" s="762">
        <v>0</v>
      </c>
      <c r="BJ209" s="790">
        <v>0</v>
      </c>
      <c r="BK209" s="790">
        <v>0.64</v>
      </c>
      <c r="BL209" s="790">
        <v>0.36</v>
      </c>
      <c r="BM209" s="790">
        <v>0</v>
      </c>
      <c r="BN209" s="790">
        <v>1</v>
      </c>
      <c r="BO209" s="762">
        <v>0</v>
      </c>
      <c r="BP209" s="762">
        <v>-2041704</v>
      </c>
      <c r="BQ209" s="762">
        <v>-1148459</v>
      </c>
      <c r="BR209" s="762">
        <v>0</v>
      </c>
      <c r="BS209" s="762">
        <v>-3190163</v>
      </c>
      <c r="BT209" s="790">
        <v>0.33</v>
      </c>
      <c r="BU209" s="790">
        <v>0.3</v>
      </c>
      <c r="BV209" s="790">
        <v>0.37</v>
      </c>
      <c r="BW209" s="790">
        <v>0</v>
      </c>
      <c r="BX209" s="790">
        <v>1</v>
      </c>
      <c r="BY209" s="762">
        <v>-2711183</v>
      </c>
      <c r="BZ209" s="762">
        <v>-2464711</v>
      </c>
      <c r="CA209" s="762">
        <v>-3039810</v>
      </c>
      <c r="CB209" s="762">
        <v>0</v>
      </c>
      <c r="CC209" s="762">
        <v>-8215704</v>
      </c>
      <c r="CD209" s="762">
        <v>-2711183</v>
      </c>
      <c r="CE209" s="762">
        <v>-4506415</v>
      </c>
      <c r="CF209" s="762">
        <v>-4188269</v>
      </c>
      <c r="CG209" s="762">
        <v>0</v>
      </c>
      <c r="CH209" s="762">
        <v>-11405867</v>
      </c>
      <c r="CI209" s="762">
        <v>10662155</v>
      </c>
      <c r="CJ209" s="762">
        <v>21450114</v>
      </c>
      <c r="CK209" s="762">
        <v>10254936</v>
      </c>
      <c r="CL209" s="762">
        <v>0</v>
      </c>
      <c r="CM209" s="762">
        <v>42367205</v>
      </c>
      <c r="CN209" s="762">
        <v>836719</v>
      </c>
      <c r="CO209" s="762">
        <v>470654</v>
      </c>
      <c r="CP209" s="762">
        <v>0</v>
      </c>
      <c r="CQ209" s="762">
        <v>1307373</v>
      </c>
      <c r="CR209" s="762">
        <v>2636896</v>
      </c>
      <c r="CS209" s="762">
        <v>1483254</v>
      </c>
      <c r="CT209" s="762">
        <v>0</v>
      </c>
      <c r="CU209" s="762">
        <v>4120150</v>
      </c>
      <c r="CV209" s="762">
        <v>141527</v>
      </c>
      <c r="CW209" s="762">
        <v>79609</v>
      </c>
      <c r="CX209" s="762">
        <v>0</v>
      </c>
      <c r="CY209" s="762">
        <v>221136</v>
      </c>
      <c r="CZ209" s="762">
        <v>8689</v>
      </c>
      <c r="DA209" s="762">
        <v>4888</v>
      </c>
      <c r="DB209" s="762">
        <v>0</v>
      </c>
      <c r="DC209" s="762">
        <v>13577</v>
      </c>
      <c r="DD209" s="762">
        <v>0</v>
      </c>
      <c r="DE209" s="762">
        <v>0</v>
      </c>
      <c r="DF209" s="762">
        <v>0</v>
      </c>
      <c r="DG209" s="762">
        <v>0</v>
      </c>
      <c r="DH209" s="762">
        <v>0</v>
      </c>
      <c r="DI209" s="762">
        <v>0</v>
      </c>
      <c r="DJ209" s="762">
        <v>0</v>
      </c>
      <c r="DK209" s="762">
        <v>0</v>
      </c>
      <c r="DL209" s="762">
        <v>76218</v>
      </c>
      <c r="DM209" s="762">
        <v>42872</v>
      </c>
      <c r="DN209" s="762">
        <v>0</v>
      </c>
      <c r="DO209" s="762">
        <v>119090</v>
      </c>
      <c r="DP209" s="762">
        <v>99062</v>
      </c>
      <c r="DQ209" s="762">
        <v>55723</v>
      </c>
      <c r="DR209" s="762">
        <v>0</v>
      </c>
      <c r="DS209" s="762">
        <v>154785</v>
      </c>
      <c r="DT209" s="762">
        <v>0</v>
      </c>
      <c r="DU209" s="762">
        <v>0</v>
      </c>
      <c r="DV209" s="762">
        <v>0</v>
      </c>
      <c r="DW209" s="762">
        <v>0</v>
      </c>
      <c r="DX209" s="762">
        <v>0</v>
      </c>
      <c r="DY209" s="762">
        <v>0</v>
      </c>
      <c r="DZ209" s="762">
        <v>0</v>
      </c>
      <c r="EA209" s="762">
        <v>0</v>
      </c>
      <c r="EB209" s="762">
        <v>1846505</v>
      </c>
      <c r="EC209" s="762">
        <v>1038659</v>
      </c>
      <c r="ED209" s="762">
        <v>0</v>
      </c>
      <c r="EE209" s="762">
        <v>2885164</v>
      </c>
      <c r="EF209" s="762">
        <v>5645616</v>
      </c>
      <c r="EG209" s="762">
        <v>3175659</v>
      </c>
      <c r="EH209" s="762">
        <v>0</v>
      </c>
      <c r="EI209" s="799">
        <v>8821275</v>
      </c>
      <c r="EJ209" s="763" t="s">
        <v>292</v>
      </c>
      <c r="EK209" s="607" t="s">
        <v>628</v>
      </c>
      <c r="EL209" s="272" t="s">
        <v>528</v>
      </c>
      <c r="EM209" t="s">
        <v>1775</v>
      </c>
    </row>
    <row r="210" spans="1:143" ht="12.75" x14ac:dyDescent="0.2">
      <c r="A210" s="764">
        <v>203</v>
      </c>
      <c r="B210" s="765" t="s">
        <v>295</v>
      </c>
      <c r="C210" s="766" t="s">
        <v>529</v>
      </c>
      <c r="D210" s="767" t="s">
        <v>1229</v>
      </c>
      <c r="E210" s="768" t="s">
        <v>896</v>
      </c>
      <c r="F210" s="761">
        <v>39139510</v>
      </c>
      <c r="G210" s="762">
        <v>0</v>
      </c>
      <c r="H210" s="762">
        <v>815720</v>
      </c>
      <c r="I210" s="762">
        <v>158314</v>
      </c>
      <c r="J210" s="762">
        <v>0</v>
      </c>
      <c r="K210" s="762">
        <v>158314</v>
      </c>
      <c r="L210" s="762">
        <v>0</v>
      </c>
      <c r="M210" s="762">
        <v>1564528</v>
      </c>
      <c r="N210" s="762">
        <v>0</v>
      </c>
      <c r="O210" s="762">
        <v>0</v>
      </c>
      <c r="P210" s="762">
        <v>0</v>
      </c>
      <c r="Q210" s="762">
        <v>0</v>
      </c>
      <c r="R210" s="762">
        <v>36600948</v>
      </c>
      <c r="S210" s="790">
        <v>0.5</v>
      </c>
      <c r="T210" s="790">
        <v>0.49</v>
      </c>
      <c r="U210" s="790">
        <v>0</v>
      </c>
      <c r="V210" s="790">
        <v>0.01</v>
      </c>
      <c r="W210" s="790">
        <v>1</v>
      </c>
      <c r="X210" s="762">
        <v>18300474</v>
      </c>
      <c r="Y210" s="762">
        <v>17934465</v>
      </c>
      <c r="Z210" s="762">
        <v>0</v>
      </c>
      <c r="AA210" s="762">
        <v>366009</v>
      </c>
      <c r="AB210" s="762">
        <v>36600948</v>
      </c>
      <c r="AC210" s="762">
        <v>2564044</v>
      </c>
      <c r="AD210" s="762">
        <v>0</v>
      </c>
      <c r="AE210" s="762">
        <v>0</v>
      </c>
      <c r="AF210" s="762">
        <v>0</v>
      </c>
      <c r="AG210" s="762">
        <v>2564044</v>
      </c>
      <c r="AH210" s="762">
        <v>15736430</v>
      </c>
      <c r="AI210" s="762">
        <v>17934465</v>
      </c>
      <c r="AJ210" s="762">
        <v>0</v>
      </c>
      <c r="AK210" s="762">
        <v>366009</v>
      </c>
      <c r="AL210" s="762">
        <v>34036904</v>
      </c>
      <c r="AM210" s="762">
        <v>158314</v>
      </c>
      <c r="AN210" s="762">
        <v>158314</v>
      </c>
      <c r="AO210" s="762">
        <v>1564528</v>
      </c>
      <c r="AP210" s="762">
        <v>1564528</v>
      </c>
      <c r="AQ210" s="762">
        <v>0</v>
      </c>
      <c r="AR210" s="762">
        <v>0</v>
      </c>
      <c r="AS210" s="762">
        <v>0</v>
      </c>
      <c r="AT210" s="762">
        <v>0</v>
      </c>
      <c r="AU210" s="762">
        <v>0</v>
      </c>
      <c r="AV210" s="762">
        <v>0</v>
      </c>
      <c r="AW210" s="762">
        <v>0</v>
      </c>
      <c r="AX210" s="762">
        <v>0</v>
      </c>
      <c r="AY210" s="762">
        <v>0</v>
      </c>
      <c r="AZ210" s="762">
        <v>0</v>
      </c>
      <c r="BA210" s="762">
        <v>0</v>
      </c>
      <c r="BB210" s="762">
        <v>0</v>
      </c>
      <c r="BC210" s="762">
        <v>0</v>
      </c>
      <c r="BD210" s="762">
        <v>2512763</v>
      </c>
      <c r="BE210" s="762">
        <v>0</v>
      </c>
      <c r="BF210" s="762">
        <v>51281</v>
      </c>
      <c r="BG210" s="762">
        <v>2564044</v>
      </c>
      <c r="BH210" s="762">
        <v>0</v>
      </c>
      <c r="BI210" s="762">
        <v>0</v>
      </c>
      <c r="BJ210" s="790">
        <v>0.5</v>
      </c>
      <c r="BK210" s="790">
        <v>0.49</v>
      </c>
      <c r="BL210" s="790">
        <v>0</v>
      </c>
      <c r="BM210" s="790">
        <v>0.01</v>
      </c>
      <c r="BN210" s="790">
        <v>1</v>
      </c>
      <c r="BO210" s="762">
        <v>-1203868</v>
      </c>
      <c r="BP210" s="762">
        <v>-1179790</v>
      </c>
      <c r="BQ210" s="762">
        <v>0</v>
      </c>
      <c r="BR210" s="762">
        <v>-24077</v>
      </c>
      <c r="BS210" s="762">
        <v>-2407735</v>
      </c>
      <c r="BT210" s="790">
        <v>0.5</v>
      </c>
      <c r="BU210" s="790">
        <v>0.49</v>
      </c>
      <c r="BV210" s="790">
        <v>0</v>
      </c>
      <c r="BW210" s="790">
        <v>0.01</v>
      </c>
      <c r="BX210" s="790">
        <v>1</v>
      </c>
      <c r="BY210" s="762">
        <v>-3310771</v>
      </c>
      <c r="BZ210" s="762">
        <v>-3244555</v>
      </c>
      <c r="CA210" s="762">
        <v>0</v>
      </c>
      <c r="CB210" s="762">
        <v>-66215</v>
      </c>
      <c r="CC210" s="762">
        <v>-6621541</v>
      </c>
      <c r="CD210" s="762">
        <v>-4514638</v>
      </c>
      <c r="CE210" s="762">
        <v>-4424345</v>
      </c>
      <c r="CF210" s="762">
        <v>0</v>
      </c>
      <c r="CG210" s="762">
        <v>-90293</v>
      </c>
      <c r="CH210" s="762">
        <v>-9029276</v>
      </c>
      <c r="CI210" s="762">
        <v>11221792</v>
      </c>
      <c r="CJ210" s="762">
        <v>17745725</v>
      </c>
      <c r="CK210" s="762">
        <v>0</v>
      </c>
      <c r="CL210" s="762">
        <v>326997</v>
      </c>
      <c r="CM210" s="762">
        <v>29294514</v>
      </c>
      <c r="CN210" s="762">
        <v>717287</v>
      </c>
      <c r="CO210" s="762">
        <v>0</v>
      </c>
      <c r="CP210" s="762">
        <v>13598</v>
      </c>
      <c r="CQ210" s="762">
        <v>730885</v>
      </c>
      <c r="CR210" s="762">
        <v>1274910</v>
      </c>
      <c r="CS210" s="762">
        <v>0</v>
      </c>
      <c r="CT210" s="762">
        <v>26019</v>
      </c>
      <c r="CU210" s="762">
        <v>1300929</v>
      </c>
      <c r="CV210" s="762">
        <v>64307</v>
      </c>
      <c r="CW210" s="762">
        <v>0</v>
      </c>
      <c r="CX210" s="762">
        <v>1312</v>
      </c>
      <c r="CY210" s="762">
        <v>65619</v>
      </c>
      <c r="CZ210" s="762">
        <v>0</v>
      </c>
      <c r="DA210" s="762">
        <v>0</v>
      </c>
      <c r="DB210" s="762">
        <v>0</v>
      </c>
      <c r="DC210" s="762">
        <v>0</v>
      </c>
      <c r="DD210" s="762">
        <v>1203</v>
      </c>
      <c r="DE210" s="762">
        <v>0</v>
      </c>
      <c r="DF210" s="762">
        <v>25</v>
      </c>
      <c r="DG210" s="762">
        <v>1228</v>
      </c>
      <c r="DH210" s="762">
        <v>0</v>
      </c>
      <c r="DI210" s="762">
        <v>0</v>
      </c>
      <c r="DJ210" s="762">
        <v>0</v>
      </c>
      <c r="DK210" s="762">
        <v>0</v>
      </c>
      <c r="DL210" s="762">
        <v>1632</v>
      </c>
      <c r="DM210" s="762">
        <v>0</v>
      </c>
      <c r="DN210" s="762">
        <v>33</v>
      </c>
      <c r="DO210" s="762">
        <v>1665</v>
      </c>
      <c r="DP210" s="762">
        <v>18215</v>
      </c>
      <c r="DQ210" s="762">
        <v>0</v>
      </c>
      <c r="DR210" s="762">
        <v>372</v>
      </c>
      <c r="DS210" s="762">
        <v>18587</v>
      </c>
      <c r="DT210" s="762">
        <v>0</v>
      </c>
      <c r="DU210" s="762">
        <v>0</v>
      </c>
      <c r="DV210" s="762">
        <v>0</v>
      </c>
      <c r="DW210" s="762">
        <v>0</v>
      </c>
      <c r="DX210" s="762">
        <v>0</v>
      </c>
      <c r="DY210" s="762">
        <v>0</v>
      </c>
      <c r="DZ210" s="762">
        <v>0</v>
      </c>
      <c r="EA210" s="762">
        <v>0</v>
      </c>
      <c r="EB210" s="762">
        <v>394437</v>
      </c>
      <c r="EC210" s="762">
        <v>0</v>
      </c>
      <c r="ED210" s="762">
        <v>8050</v>
      </c>
      <c r="EE210" s="762">
        <v>402487</v>
      </c>
      <c r="EF210" s="762">
        <v>2471991</v>
      </c>
      <c r="EG210" s="762">
        <v>0</v>
      </c>
      <c r="EH210" s="762">
        <v>49409</v>
      </c>
      <c r="EI210" s="799">
        <v>2521400</v>
      </c>
      <c r="EJ210" s="763" t="s">
        <v>896</v>
      </c>
      <c r="EK210" s="607" t="s">
        <v>529</v>
      </c>
      <c r="EL210" s="805" t="s">
        <v>553</v>
      </c>
      <c r="EM210" t="s">
        <v>1776</v>
      </c>
    </row>
    <row r="211" spans="1:143" ht="12.75" x14ac:dyDescent="0.2">
      <c r="A211" s="764">
        <v>204</v>
      </c>
      <c r="B211" s="765" t="s">
        <v>297</v>
      </c>
      <c r="C211" s="766" t="s">
        <v>1217</v>
      </c>
      <c r="D211" s="767" t="s">
        <v>1227</v>
      </c>
      <c r="E211" s="768" t="s">
        <v>296</v>
      </c>
      <c r="F211" s="761">
        <v>33121626</v>
      </c>
      <c r="G211" s="762">
        <v>0</v>
      </c>
      <c r="H211" s="762">
        <v>574120</v>
      </c>
      <c r="I211" s="762">
        <v>106434</v>
      </c>
      <c r="J211" s="762">
        <v>0</v>
      </c>
      <c r="K211" s="762">
        <v>106434</v>
      </c>
      <c r="L211" s="762">
        <v>0</v>
      </c>
      <c r="M211" s="762">
        <v>0</v>
      </c>
      <c r="N211" s="762">
        <v>0</v>
      </c>
      <c r="O211" s="762">
        <v>0</v>
      </c>
      <c r="P211" s="762">
        <v>0</v>
      </c>
      <c r="Q211" s="762">
        <v>0</v>
      </c>
      <c r="R211" s="762">
        <v>32441072</v>
      </c>
      <c r="S211" s="790">
        <v>0.25</v>
      </c>
      <c r="T211" s="790">
        <v>0</v>
      </c>
      <c r="U211" s="790">
        <v>0.74</v>
      </c>
      <c r="V211" s="790">
        <v>0.01</v>
      </c>
      <c r="W211" s="790">
        <v>1</v>
      </c>
      <c r="X211" s="762">
        <v>8110268</v>
      </c>
      <c r="Y211" s="762">
        <v>0</v>
      </c>
      <c r="Z211" s="762">
        <v>24006393</v>
      </c>
      <c r="AA211" s="762">
        <v>324411</v>
      </c>
      <c r="AB211" s="762">
        <v>32441072</v>
      </c>
      <c r="AC211" s="762">
        <v>0</v>
      </c>
      <c r="AD211" s="762">
        <v>0</v>
      </c>
      <c r="AE211" s="762">
        <v>0</v>
      </c>
      <c r="AF211" s="762">
        <v>0</v>
      </c>
      <c r="AG211" s="762">
        <v>0</v>
      </c>
      <c r="AH211" s="762">
        <v>8110268</v>
      </c>
      <c r="AI211" s="762">
        <v>0</v>
      </c>
      <c r="AJ211" s="762">
        <v>24006393</v>
      </c>
      <c r="AK211" s="762">
        <v>324411</v>
      </c>
      <c r="AL211" s="762">
        <v>32441072</v>
      </c>
      <c r="AM211" s="762">
        <v>106434</v>
      </c>
      <c r="AN211" s="762">
        <v>106434</v>
      </c>
      <c r="AO211" s="762">
        <v>0</v>
      </c>
      <c r="AP211" s="762">
        <v>0</v>
      </c>
      <c r="AQ211" s="762">
        <v>0</v>
      </c>
      <c r="AR211" s="762">
        <v>0</v>
      </c>
      <c r="AS211" s="762">
        <v>0</v>
      </c>
      <c r="AT211" s="762">
        <v>0</v>
      </c>
      <c r="AU211" s="762">
        <v>0</v>
      </c>
      <c r="AV211" s="762">
        <v>0</v>
      </c>
      <c r="AW211" s="762">
        <v>0</v>
      </c>
      <c r="AX211" s="762">
        <v>0</v>
      </c>
      <c r="AY211" s="762">
        <v>0</v>
      </c>
      <c r="AZ211" s="762">
        <v>0</v>
      </c>
      <c r="BA211" s="762">
        <v>0</v>
      </c>
      <c r="BB211" s="762">
        <v>0</v>
      </c>
      <c r="BC211" s="762">
        <v>0</v>
      </c>
      <c r="BD211" s="762">
        <v>0</v>
      </c>
      <c r="BE211" s="762">
        <v>0</v>
      </c>
      <c r="BF211" s="762">
        <v>0</v>
      </c>
      <c r="BG211" s="762">
        <v>0</v>
      </c>
      <c r="BH211" s="762">
        <v>0</v>
      </c>
      <c r="BI211" s="762">
        <v>0</v>
      </c>
      <c r="BJ211" s="790">
        <v>0.5</v>
      </c>
      <c r="BK211" s="790">
        <v>0.4</v>
      </c>
      <c r="BL211" s="790">
        <v>0.09</v>
      </c>
      <c r="BM211" s="790">
        <v>0.01</v>
      </c>
      <c r="BN211" s="790">
        <v>1</v>
      </c>
      <c r="BO211" s="762">
        <v>-1413791.9999999981</v>
      </c>
      <c r="BP211" s="762">
        <v>-1131034</v>
      </c>
      <c r="BQ211" s="762">
        <v>-254483</v>
      </c>
      <c r="BR211" s="762">
        <v>-28276</v>
      </c>
      <c r="BS211" s="762">
        <v>-2827584.9999999981</v>
      </c>
      <c r="BT211" s="790">
        <v>0.5</v>
      </c>
      <c r="BU211" s="790">
        <v>0.4</v>
      </c>
      <c r="BV211" s="790">
        <v>0.09</v>
      </c>
      <c r="BW211" s="790">
        <v>0.01</v>
      </c>
      <c r="BX211" s="790">
        <v>1</v>
      </c>
      <c r="BY211" s="762">
        <v>-2455052.9000000004</v>
      </c>
      <c r="BZ211" s="762">
        <v>-1964042</v>
      </c>
      <c r="CA211" s="762">
        <v>-441909</v>
      </c>
      <c r="CB211" s="762">
        <v>-49101</v>
      </c>
      <c r="CC211" s="762">
        <v>-4910104.9000000004</v>
      </c>
      <c r="CD211" s="762">
        <v>-3868845</v>
      </c>
      <c r="CE211" s="762">
        <v>-3095076</v>
      </c>
      <c r="CF211" s="762">
        <v>-696392</v>
      </c>
      <c r="CG211" s="762">
        <v>-77377</v>
      </c>
      <c r="CH211" s="762">
        <v>-7737689.8999999985</v>
      </c>
      <c r="CI211" s="762">
        <v>4241423</v>
      </c>
      <c r="CJ211" s="762">
        <v>-2988642</v>
      </c>
      <c r="CK211" s="762">
        <v>23310001</v>
      </c>
      <c r="CL211" s="762">
        <v>247034</v>
      </c>
      <c r="CM211" s="762">
        <v>24809816</v>
      </c>
      <c r="CN211" s="762">
        <v>0</v>
      </c>
      <c r="CO211" s="762">
        <v>782286</v>
      </c>
      <c r="CP211" s="762">
        <v>10571</v>
      </c>
      <c r="CQ211" s="762">
        <v>792857</v>
      </c>
      <c r="CR211" s="762">
        <v>0</v>
      </c>
      <c r="CS211" s="762">
        <v>1418567</v>
      </c>
      <c r="CT211" s="762">
        <v>19170</v>
      </c>
      <c r="CU211" s="762">
        <v>1437737</v>
      </c>
      <c r="CV211" s="762">
        <v>0</v>
      </c>
      <c r="CW211" s="762">
        <v>130999</v>
      </c>
      <c r="CX211" s="762">
        <v>1770</v>
      </c>
      <c r="CY211" s="762">
        <v>132769</v>
      </c>
      <c r="CZ211" s="762">
        <v>0</v>
      </c>
      <c r="DA211" s="762">
        <v>0</v>
      </c>
      <c r="DB211" s="762">
        <v>0</v>
      </c>
      <c r="DC211" s="762">
        <v>0</v>
      </c>
      <c r="DD211" s="762">
        <v>0</v>
      </c>
      <c r="DE211" s="762">
        <v>1271</v>
      </c>
      <c r="DF211" s="762">
        <v>17</v>
      </c>
      <c r="DG211" s="762">
        <v>1288</v>
      </c>
      <c r="DH211" s="762">
        <v>1</v>
      </c>
      <c r="DI211" s="762">
        <v>1146</v>
      </c>
      <c r="DJ211" s="762">
        <v>15</v>
      </c>
      <c r="DK211" s="762">
        <v>1162</v>
      </c>
      <c r="DL211" s="762">
        <v>0</v>
      </c>
      <c r="DM211" s="762">
        <v>5850</v>
      </c>
      <c r="DN211" s="762">
        <v>79</v>
      </c>
      <c r="DO211" s="762">
        <v>5929</v>
      </c>
      <c r="DP211" s="762">
        <v>-1</v>
      </c>
      <c r="DQ211" s="762">
        <v>1666</v>
      </c>
      <c r="DR211" s="762">
        <v>23</v>
      </c>
      <c r="DS211" s="762">
        <v>1688</v>
      </c>
      <c r="DT211" s="762">
        <v>0</v>
      </c>
      <c r="DU211" s="762">
        <v>0</v>
      </c>
      <c r="DV211" s="762">
        <v>0</v>
      </c>
      <c r="DW211" s="762">
        <v>0</v>
      </c>
      <c r="DX211" s="762">
        <v>0</v>
      </c>
      <c r="DY211" s="762">
        <v>0</v>
      </c>
      <c r="DZ211" s="762">
        <v>0</v>
      </c>
      <c r="EA211" s="762">
        <v>0</v>
      </c>
      <c r="EB211" s="762">
        <v>0</v>
      </c>
      <c r="EC211" s="762">
        <v>471040</v>
      </c>
      <c r="ED211" s="762">
        <v>6365</v>
      </c>
      <c r="EE211" s="762">
        <v>477405</v>
      </c>
      <c r="EF211" s="762">
        <v>0</v>
      </c>
      <c r="EG211" s="762">
        <v>2812825</v>
      </c>
      <c r="EH211" s="762">
        <v>38010</v>
      </c>
      <c r="EI211" s="799">
        <v>2850835</v>
      </c>
      <c r="EJ211" s="763" t="s">
        <v>296</v>
      </c>
      <c r="EK211" s="607" t="s">
        <v>583</v>
      </c>
      <c r="EL211" s="805" t="s">
        <v>582</v>
      </c>
      <c r="EM211" t="s">
        <v>1777</v>
      </c>
    </row>
    <row r="212" spans="1:143" ht="12.75" x14ac:dyDescent="0.2">
      <c r="A212" s="764">
        <v>205</v>
      </c>
      <c r="B212" s="765" t="s">
        <v>299</v>
      </c>
      <c r="C212" s="766" t="s">
        <v>1217</v>
      </c>
      <c r="D212" s="767" t="s">
        <v>1218</v>
      </c>
      <c r="E212" s="768" t="s">
        <v>298</v>
      </c>
      <c r="F212" s="761">
        <v>52430684</v>
      </c>
      <c r="G212" s="762">
        <v>170835</v>
      </c>
      <c r="H212" s="762">
        <v>0</v>
      </c>
      <c r="I212" s="762">
        <v>175363</v>
      </c>
      <c r="J212" s="762">
        <v>0</v>
      </c>
      <c r="K212" s="762">
        <v>175363</v>
      </c>
      <c r="L212" s="762">
        <v>0</v>
      </c>
      <c r="M212" s="762">
        <v>0</v>
      </c>
      <c r="N212" s="762">
        <v>0</v>
      </c>
      <c r="O212" s="762">
        <v>0</v>
      </c>
      <c r="P212" s="762">
        <v>0</v>
      </c>
      <c r="Q212" s="762">
        <v>0</v>
      </c>
      <c r="R212" s="762">
        <v>52426156</v>
      </c>
      <c r="S212" s="790">
        <v>0.5</v>
      </c>
      <c r="T212" s="790">
        <v>0.4</v>
      </c>
      <c r="U212" s="790">
        <v>0.1</v>
      </c>
      <c r="V212" s="790">
        <v>0</v>
      </c>
      <c r="W212" s="790">
        <v>1</v>
      </c>
      <c r="X212" s="762">
        <v>26213078</v>
      </c>
      <c r="Y212" s="762">
        <v>20970462</v>
      </c>
      <c r="Z212" s="762">
        <v>5242616</v>
      </c>
      <c r="AA212" s="762">
        <v>0</v>
      </c>
      <c r="AB212" s="762">
        <v>52426156</v>
      </c>
      <c r="AC212" s="762">
        <v>0</v>
      </c>
      <c r="AD212" s="762">
        <v>0</v>
      </c>
      <c r="AE212" s="762">
        <v>0</v>
      </c>
      <c r="AF212" s="762">
        <v>0</v>
      </c>
      <c r="AG212" s="762">
        <v>0</v>
      </c>
      <c r="AH212" s="762">
        <v>26213078</v>
      </c>
      <c r="AI212" s="762">
        <v>20970462</v>
      </c>
      <c r="AJ212" s="762">
        <v>5242616</v>
      </c>
      <c r="AK212" s="762">
        <v>0</v>
      </c>
      <c r="AL212" s="762">
        <v>52426156</v>
      </c>
      <c r="AM212" s="762">
        <v>175363</v>
      </c>
      <c r="AN212" s="762">
        <v>175363</v>
      </c>
      <c r="AO212" s="762">
        <v>0</v>
      </c>
      <c r="AP212" s="762">
        <v>0</v>
      </c>
      <c r="AQ212" s="762">
        <v>0</v>
      </c>
      <c r="AR212" s="762">
        <v>0</v>
      </c>
      <c r="AS212" s="762">
        <v>0</v>
      </c>
      <c r="AT212" s="762">
        <v>0</v>
      </c>
      <c r="AU212" s="762">
        <v>0</v>
      </c>
      <c r="AV212" s="762">
        <v>0</v>
      </c>
      <c r="AW212" s="762">
        <v>0</v>
      </c>
      <c r="AX212" s="762">
        <v>0</v>
      </c>
      <c r="AY212" s="762">
        <v>0</v>
      </c>
      <c r="AZ212" s="762">
        <v>0</v>
      </c>
      <c r="BA212" s="762">
        <v>0</v>
      </c>
      <c r="BB212" s="762">
        <v>0</v>
      </c>
      <c r="BC212" s="762">
        <v>0</v>
      </c>
      <c r="BD212" s="762">
        <v>0</v>
      </c>
      <c r="BE212" s="762">
        <v>0</v>
      </c>
      <c r="BF212" s="762">
        <v>0</v>
      </c>
      <c r="BG212" s="762">
        <v>0</v>
      </c>
      <c r="BH212" s="762">
        <v>0</v>
      </c>
      <c r="BI212" s="762">
        <v>0</v>
      </c>
      <c r="BJ212" s="790">
        <v>0</v>
      </c>
      <c r="BK212" s="790">
        <v>0.3</v>
      </c>
      <c r="BL212" s="790">
        <v>0.7</v>
      </c>
      <c r="BM212" s="790">
        <v>0</v>
      </c>
      <c r="BN212" s="790">
        <v>1</v>
      </c>
      <c r="BO212" s="762">
        <v>-1</v>
      </c>
      <c r="BP212" s="762">
        <v>523676</v>
      </c>
      <c r="BQ212" s="762">
        <v>1221910</v>
      </c>
      <c r="BR212" s="762">
        <v>0</v>
      </c>
      <c r="BS212" s="762">
        <v>1745585</v>
      </c>
      <c r="BT212" s="790">
        <v>0.5</v>
      </c>
      <c r="BU212" s="790">
        <v>0.4</v>
      </c>
      <c r="BV212" s="790">
        <v>0.1</v>
      </c>
      <c r="BW212" s="790">
        <v>0</v>
      </c>
      <c r="BX212" s="790">
        <v>1</v>
      </c>
      <c r="BY212" s="762">
        <v>-474521</v>
      </c>
      <c r="BZ212" s="762">
        <v>-379616</v>
      </c>
      <c r="CA212" s="762">
        <v>-94904</v>
      </c>
      <c r="CB212" s="762">
        <v>0</v>
      </c>
      <c r="CC212" s="762">
        <v>-949041</v>
      </c>
      <c r="CD212" s="762">
        <v>-474522</v>
      </c>
      <c r="CE212" s="762">
        <v>144060</v>
      </c>
      <c r="CF212" s="762">
        <v>1127006</v>
      </c>
      <c r="CG212" s="762">
        <v>0</v>
      </c>
      <c r="CH212" s="762">
        <v>796544</v>
      </c>
      <c r="CI212" s="762">
        <v>25738556</v>
      </c>
      <c r="CJ212" s="762">
        <v>21289885</v>
      </c>
      <c r="CK212" s="762">
        <v>6369622</v>
      </c>
      <c r="CL212" s="762">
        <v>0</v>
      </c>
      <c r="CM212" s="762">
        <v>53398063</v>
      </c>
      <c r="CN212" s="762">
        <v>683355</v>
      </c>
      <c r="CO212" s="762">
        <v>170839</v>
      </c>
      <c r="CP212" s="762">
        <v>0</v>
      </c>
      <c r="CQ212" s="762">
        <v>854194</v>
      </c>
      <c r="CR212" s="762">
        <v>1009290</v>
      </c>
      <c r="CS212" s="762">
        <v>252322</v>
      </c>
      <c r="CT212" s="762">
        <v>0</v>
      </c>
      <c r="CU212" s="762">
        <v>1261612</v>
      </c>
      <c r="CV212" s="762">
        <v>100738</v>
      </c>
      <c r="CW212" s="762">
        <v>25184</v>
      </c>
      <c r="CX212" s="762">
        <v>0</v>
      </c>
      <c r="CY212" s="762">
        <v>125922</v>
      </c>
      <c r="CZ212" s="762">
        <v>1768</v>
      </c>
      <c r="DA212" s="762">
        <v>442</v>
      </c>
      <c r="DB212" s="762">
        <v>0</v>
      </c>
      <c r="DC212" s="762">
        <v>2210</v>
      </c>
      <c r="DD212" s="762">
        <v>0</v>
      </c>
      <c r="DE212" s="762">
        <v>0</v>
      </c>
      <c r="DF212" s="762">
        <v>0</v>
      </c>
      <c r="DG212" s="762">
        <v>0</v>
      </c>
      <c r="DH212" s="762">
        <v>0</v>
      </c>
      <c r="DI212" s="762">
        <v>0</v>
      </c>
      <c r="DJ212" s="762">
        <v>0</v>
      </c>
      <c r="DK212" s="762">
        <v>0</v>
      </c>
      <c r="DL212" s="762">
        <v>9913</v>
      </c>
      <c r="DM212" s="762">
        <v>2478</v>
      </c>
      <c r="DN212" s="762">
        <v>0</v>
      </c>
      <c r="DO212" s="762">
        <v>12391</v>
      </c>
      <c r="DP212" s="762">
        <v>0</v>
      </c>
      <c r="DQ212" s="762">
        <v>0</v>
      </c>
      <c r="DR212" s="762">
        <v>0</v>
      </c>
      <c r="DS212" s="762">
        <v>0</v>
      </c>
      <c r="DT212" s="762">
        <v>0</v>
      </c>
      <c r="DU212" s="762">
        <v>0</v>
      </c>
      <c r="DV212" s="762">
        <v>0</v>
      </c>
      <c r="DW212" s="762">
        <v>0</v>
      </c>
      <c r="DX212" s="762">
        <v>0</v>
      </c>
      <c r="DY212" s="762">
        <v>0</v>
      </c>
      <c r="DZ212" s="762">
        <v>0</v>
      </c>
      <c r="EA212" s="762">
        <v>0</v>
      </c>
      <c r="EB212" s="762">
        <v>793026</v>
      </c>
      <c r="EC212" s="762">
        <v>198257</v>
      </c>
      <c r="ED212" s="762">
        <v>0</v>
      </c>
      <c r="EE212" s="762">
        <v>991283</v>
      </c>
      <c r="EF212" s="762">
        <v>2598090</v>
      </c>
      <c r="EG212" s="762">
        <v>649522</v>
      </c>
      <c r="EH212" s="762">
        <v>0</v>
      </c>
      <c r="EI212" s="799">
        <v>3247612</v>
      </c>
      <c r="EJ212" s="763" t="s">
        <v>298</v>
      </c>
      <c r="EK212" s="607" t="s">
        <v>616</v>
      </c>
      <c r="EL212" s="805" t="s">
        <v>556</v>
      </c>
      <c r="EM212" t="s">
        <v>1778</v>
      </c>
    </row>
    <row r="213" spans="1:143" ht="12.75" x14ac:dyDescent="0.2">
      <c r="A213" s="764">
        <v>206</v>
      </c>
      <c r="B213" s="765" t="s">
        <v>301</v>
      </c>
      <c r="C213" s="766" t="s">
        <v>1217</v>
      </c>
      <c r="D213" s="767" t="s">
        <v>1219</v>
      </c>
      <c r="E213" s="768" t="s">
        <v>300</v>
      </c>
      <c r="F213" s="761">
        <v>15125155</v>
      </c>
      <c r="G213" s="762">
        <v>168598</v>
      </c>
      <c r="H213" s="762">
        <v>0</v>
      </c>
      <c r="I213" s="762">
        <v>90783</v>
      </c>
      <c r="J213" s="762">
        <v>0</v>
      </c>
      <c r="K213" s="762">
        <v>90783</v>
      </c>
      <c r="L213" s="762">
        <v>0</v>
      </c>
      <c r="M213" s="762">
        <v>132877</v>
      </c>
      <c r="N213" s="762">
        <v>93820</v>
      </c>
      <c r="O213" s="762">
        <v>93820</v>
      </c>
      <c r="P213" s="762">
        <v>0</v>
      </c>
      <c r="Q213" s="762">
        <v>0</v>
      </c>
      <c r="R213" s="762">
        <v>14976273</v>
      </c>
      <c r="S213" s="790">
        <v>0.25</v>
      </c>
      <c r="T213" s="790">
        <v>0.56000000000000005</v>
      </c>
      <c r="U213" s="790">
        <v>0.17499999999999999</v>
      </c>
      <c r="V213" s="790">
        <v>1.4999999999999999E-2</v>
      </c>
      <c r="W213" s="790">
        <v>1</v>
      </c>
      <c r="X213" s="762">
        <v>3744068</v>
      </c>
      <c r="Y213" s="762">
        <v>8386713</v>
      </c>
      <c r="Z213" s="762">
        <v>2620848</v>
      </c>
      <c r="AA213" s="762">
        <v>224644</v>
      </c>
      <c r="AB213" s="762">
        <v>14976273</v>
      </c>
      <c r="AC213" s="762">
        <v>0</v>
      </c>
      <c r="AD213" s="762">
        <v>0</v>
      </c>
      <c r="AE213" s="762">
        <v>0</v>
      </c>
      <c r="AF213" s="762">
        <v>0</v>
      </c>
      <c r="AG213" s="762">
        <v>0</v>
      </c>
      <c r="AH213" s="762">
        <v>3744068</v>
      </c>
      <c r="AI213" s="762">
        <v>8386713</v>
      </c>
      <c r="AJ213" s="762">
        <v>2620848</v>
      </c>
      <c r="AK213" s="762">
        <v>224644</v>
      </c>
      <c r="AL213" s="762">
        <v>14976273</v>
      </c>
      <c r="AM213" s="762">
        <v>90783</v>
      </c>
      <c r="AN213" s="762">
        <v>90783</v>
      </c>
      <c r="AO213" s="762">
        <v>132877</v>
      </c>
      <c r="AP213" s="762">
        <v>132877</v>
      </c>
      <c r="AQ213" s="762">
        <v>93820</v>
      </c>
      <c r="AR213" s="762">
        <v>0</v>
      </c>
      <c r="AS213" s="762">
        <v>93820</v>
      </c>
      <c r="AT213" s="762">
        <v>0</v>
      </c>
      <c r="AU213" s="762">
        <v>0</v>
      </c>
      <c r="AV213" s="762">
        <v>0</v>
      </c>
      <c r="AW213" s="762">
        <v>0</v>
      </c>
      <c r="AX213" s="762">
        <v>0</v>
      </c>
      <c r="AY213" s="762">
        <v>0</v>
      </c>
      <c r="AZ213" s="762">
        <v>0</v>
      </c>
      <c r="BA213" s="762">
        <v>0</v>
      </c>
      <c r="BB213" s="762">
        <v>0</v>
      </c>
      <c r="BC213" s="762">
        <v>0</v>
      </c>
      <c r="BD213" s="762">
        <v>0</v>
      </c>
      <c r="BE213" s="762">
        <v>0</v>
      </c>
      <c r="BF213" s="762">
        <v>0</v>
      </c>
      <c r="BG213" s="762">
        <v>0</v>
      </c>
      <c r="BH213" s="762">
        <v>0</v>
      </c>
      <c r="BI213" s="762">
        <v>0</v>
      </c>
      <c r="BJ213" s="790">
        <v>0.5</v>
      </c>
      <c r="BK213" s="790">
        <v>0.4</v>
      </c>
      <c r="BL213" s="790">
        <v>0.09</v>
      </c>
      <c r="BM213" s="790">
        <v>0.01</v>
      </c>
      <c r="BN213" s="790">
        <v>1</v>
      </c>
      <c r="BO213" s="762">
        <v>201646</v>
      </c>
      <c r="BP213" s="762">
        <v>161317</v>
      </c>
      <c r="BQ213" s="762">
        <v>36296</v>
      </c>
      <c r="BR213" s="762">
        <v>4033</v>
      </c>
      <c r="BS213" s="762">
        <v>403292</v>
      </c>
      <c r="BT213" s="790">
        <v>0.5</v>
      </c>
      <c r="BU213" s="790">
        <v>0.4</v>
      </c>
      <c r="BV213" s="790">
        <v>0.09</v>
      </c>
      <c r="BW213" s="790">
        <v>0.01</v>
      </c>
      <c r="BX213" s="790">
        <v>1</v>
      </c>
      <c r="BY213" s="762">
        <v>78619</v>
      </c>
      <c r="BZ213" s="762">
        <v>62894</v>
      </c>
      <c r="CA213" s="762">
        <v>14151</v>
      </c>
      <c r="CB213" s="762">
        <v>1572</v>
      </c>
      <c r="CC213" s="762">
        <v>157236</v>
      </c>
      <c r="CD213" s="762">
        <v>280264</v>
      </c>
      <c r="CE213" s="762">
        <v>224211</v>
      </c>
      <c r="CF213" s="762">
        <v>50448</v>
      </c>
      <c r="CG213" s="762">
        <v>5605</v>
      </c>
      <c r="CH213" s="762">
        <v>560528</v>
      </c>
      <c r="CI213" s="762">
        <v>4024332</v>
      </c>
      <c r="CJ213" s="762">
        <v>8928404</v>
      </c>
      <c r="CK213" s="762">
        <v>2671296</v>
      </c>
      <c r="CL213" s="762">
        <v>230249</v>
      </c>
      <c r="CM213" s="762">
        <v>15854281</v>
      </c>
      <c r="CN213" s="762">
        <v>280681</v>
      </c>
      <c r="CO213" s="762">
        <v>85404</v>
      </c>
      <c r="CP213" s="762">
        <v>7320</v>
      </c>
      <c r="CQ213" s="762">
        <v>373405</v>
      </c>
      <c r="CR213" s="762">
        <v>1190654</v>
      </c>
      <c r="CS213" s="762">
        <v>372079</v>
      </c>
      <c r="CT213" s="762">
        <v>31893</v>
      </c>
      <c r="CU213" s="762">
        <v>1594626</v>
      </c>
      <c r="CV213" s="762">
        <v>42201</v>
      </c>
      <c r="CW213" s="762">
        <v>13188</v>
      </c>
      <c r="CX213" s="762">
        <v>1130</v>
      </c>
      <c r="CY213" s="762">
        <v>56519</v>
      </c>
      <c r="CZ213" s="762">
        <v>9659</v>
      </c>
      <c r="DA213" s="762">
        <v>3019</v>
      </c>
      <c r="DB213" s="762">
        <v>259</v>
      </c>
      <c r="DC213" s="762">
        <v>12937</v>
      </c>
      <c r="DD213" s="762">
        <v>11624</v>
      </c>
      <c r="DE213" s="762">
        <v>3632</v>
      </c>
      <c r="DF213" s="762">
        <v>311</v>
      </c>
      <c r="DG213" s="762">
        <v>15567</v>
      </c>
      <c r="DH213" s="762">
        <v>0</v>
      </c>
      <c r="DI213" s="762">
        <v>0</v>
      </c>
      <c r="DJ213" s="762">
        <v>0</v>
      </c>
      <c r="DK213" s="762">
        <v>0</v>
      </c>
      <c r="DL213" s="762">
        <v>7702</v>
      </c>
      <c r="DM213" s="762">
        <v>2407</v>
      </c>
      <c r="DN213" s="762">
        <v>206</v>
      </c>
      <c r="DO213" s="762">
        <v>10315</v>
      </c>
      <c r="DP213" s="762">
        <v>12042</v>
      </c>
      <c r="DQ213" s="762">
        <v>3763</v>
      </c>
      <c r="DR213" s="762">
        <v>323</v>
      </c>
      <c r="DS213" s="762">
        <v>16128</v>
      </c>
      <c r="DT213" s="762">
        <v>0</v>
      </c>
      <c r="DU213" s="762">
        <v>0</v>
      </c>
      <c r="DV213" s="762">
        <v>0</v>
      </c>
      <c r="DW213" s="762">
        <v>0</v>
      </c>
      <c r="DX213" s="762">
        <v>0</v>
      </c>
      <c r="DY213" s="762">
        <v>0</v>
      </c>
      <c r="DZ213" s="762">
        <v>0</v>
      </c>
      <c r="EA213" s="762">
        <v>0</v>
      </c>
      <c r="EB213" s="762">
        <v>289125</v>
      </c>
      <c r="EC213" s="762">
        <v>90351</v>
      </c>
      <c r="ED213" s="762">
        <v>7744</v>
      </c>
      <c r="EE213" s="762">
        <v>387220</v>
      </c>
      <c r="EF213" s="762">
        <v>1843688</v>
      </c>
      <c r="EG213" s="762">
        <v>573843</v>
      </c>
      <c r="EH213" s="762">
        <v>49186</v>
      </c>
      <c r="EI213" s="799">
        <v>2466717</v>
      </c>
      <c r="EJ213" s="763" t="s">
        <v>300</v>
      </c>
      <c r="EK213" s="607" t="s">
        <v>595</v>
      </c>
      <c r="EL213" s="805" t="s">
        <v>593</v>
      </c>
      <c r="EM213" t="s">
        <v>1779</v>
      </c>
    </row>
    <row r="214" spans="1:143" ht="12.75" x14ac:dyDescent="0.2">
      <c r="A214" s="764">
        <v>207</v>
      </c>
      <c r="B214" s="765" t="s">
        <v>303</v>
      </c>
      <c r="C214" s="766" t="s">
        <v>1222</v>
      </c>
      <c r="D214" s="767" t="s">
        <v>1223</v>
      </c>
      <c r="E214" s="768" t="s">
        <v>302</v>
      </c>
      <c r="F214" s="761">
        <v>89665151</v>
      </c>
      <c r="G214" s="762">
        <v>696019</v>
      </c>
      <c r="H214" s="762">
        <v>0</v>
      </c>
      <c r="I214" s="762">
        <v>283891</v>
      </c>
      <c r="J214" s="762">
        <v>0</v>
      </c>
      <c r="K214" s="762">
        <v>283891</v>
      </c>
      <c r="L214" s="762">
        <v>0</v>
      </c>
      <c r="M214" s="762">
        <v>0</v>
      </c>
      <c r="N214" s="762">
        <v>0</v>
      </c>
      <c r="O214" s="762">
        <v>0</v>
      </c>
      <c r="P214" s="762">
        <v>0</v>
      </c>
      <c r="Q214" s="762">
        <v>0</v>
      </c>
      <c r="R214" s="762">
        <v>90077279</v>
      </c>
      <c r="S214" s="790">
        <v>0.25</v>
      </c>
      <c r="T214" s="790">
        <v>0.48</v>
      </c>
      <c r="U214" s="790">
        <v>0.27</v>
      </c>
      <c r="V214" s="790">
        <v>0</v>
      </c>
      <c r="W214" s="790">
        <v>1</v>
      </c>
      <c r="X214" s="762">
        <v>22519320</v>
      </c>
      <c r="Y214" s="762">
        <v>43237094</v>
      </c>
      <c r="Z214" s="762">
        <v>24320865</v>
      </c>
      <c r="AA214" s="762">
        <v>0</v>
      </c>
      <c r="AB214" s="762">
        <v>90077279</v>
      </c>
      <c r="AC214" s="762">
        <v>0</v>
      </c>
      <c r="AD214" s="762">
        <v>0</v>
      </c>
      <c r="AE214" s="762">
        <v>0</v>
      </c>
      <c r="AF214" s="762">
        <v>0</v>
      </c>
      <c r="AG214" s="762">
        <v>0</v>
      </c>
      <c r="AH214" s="762">
        <v>22519320</v>
      </c>
      <c r="AI214" s="762">
        <v>43237094</v>
      </c>
      <c r="AJ214" s="762">
        <v>24320865</v>
      </c>
      <c r="AK214" s="762">
        <v>0</v>
      </c>
      <c r="AL214" s="762">
        <v>90077279</v>
      </c>
      <c r="AM214" s="762">
        <v>283891</v>
      </c>
      <c r="AN214" s="762">
        <v>283891</v>
      </c>
      <c r="AO214" s="762">
        <v>0</v>
      </c>
      <c r="AP214" s="762">
        <v>0</v>
      </c>
      <c r="AQ214" s="762">
        <v>0</v>
      </c>
      <c r="AR214" s="762">
        <v>0</v>
      </c>
      <c r="AS214" s="762">
        <v>0</v>
      </c>
      <c r="AT214" s="762">
        <v>0</v>
      </c>
      <c r="AU214" s="762">
        <v>0</v>
      </c>
      <c r="AV214" s="762">
        <v>0</v>
      </c>
      <c r="AW214" s="762">
        <v>0</v>
      </c>
      <c r="AX214" s="762">
        <v>0</v>
      </c>
      <c r="AY214" s="762">
        <v>0</v>
      </c>
      <c r="AZ214" s="762">
        <v>0</v>
      </c>
      <c r="BA214" s="762">
        <v>0</v>
      </c>
      <c r="BB214" s="762">
        <v>0</v>
      </c>
      <c r="BC214" s="762">
        <v>0</v>
      </c>
      <c r="BD214" s="762">
        <v>0</v>
      </c>
      <c r="BE214" s="762">
        <v>0</v>
      </c>
      <c r="BF214" s="762">
        <v>0</v>
      </c>
      <c r="BG214" s="762">
        <v>0</v>
      </c>
      <c r="BH214" s="762">
        <v>0</v>
      </c>
      <c r="BI214" s="762">
        <v>0</v>
      </c>
      <c r="BJ214" s="790">
        <v>0</v>
      </c>
      <c r="BK214" s="790">
        <v>0.64</v>
      </c>
      <c r="BL214" s="790">
        <v>0.36</v>
      </c>
      <c r="BM214" s="790">
        <v>0</v>
      </c>
      <c r="BN214" s="790">
        <v>1</v>
      </c>
      <c r="BO214" s="762">
        <v>0</v>
      </c>
      <c r="BP214" s="762">
        <v>422081</v>
      </c>
      <c r="BQ214" s="762">
        <v>237421</v>
      </c>
      <c r="BR214" s="762">
        <v>0</v>
      </c>
      <c r="BS214" s="762">
        <v>659502</v>
      </c>
      <c r="BT214" s="790">
        <v>0.33</v>
      </c>
      <c r="BU214" s="790">
        <v>0.3</v>
      </c>
      <c r="BV214" s="790">
        <v>0.37</v>
      </c>
      <c r="BW214" s="790">
        <v>0</v>
      </c>
      <c r="BX214" s="790">
        <v>1</v>
      </c>
      <c r="BY214" s="762">
        <v>2150430</v>
      </c>
      <c r="BZ214" s="762">
        <v>1954936</v>
      </c>
      <c r="CA214" s="762">
        <v>2411088</v>
      </c>
      <c r="CB214" s="762">
        <v>0</v>
      </c>
      <c r="CC214" s="762">
        <v>6516454</v>
      </c>
      <c r="CD214" s="762">
        <v>2150430</v>
      </c>
      <c r="CE214" s="762">
        <v>2377017</v>
      </c>
      <c r="CF214" s="762">
        <v>2648509</v>
      </c>
      <c r="CG214" s="762">
        <v>0</v>
      </c>
      <c r="CH214" s="762">
        <v>7175956</v>
      </c>
      <c r="CI214" s="762">
        <v>24669750</v>
      </c>
      <c r="CJ214" s="762">
        <v>45898002</v>
      </c>
      <c r="CK214" s="762">
        <v>26969374</v>
      </c>
      <c r="CL214" s="762">
        <v>0</v>
      </c>
      <c r="CM214" s="762">
        <v>97537126</v>
      </c>
      <c r="CN214" s="762">
        <v>1408948</v>
      </c>
      <c r="CO214" s="762">
        <v>792533</v>
      </c>
      <c r="CP214" s="762">
        <v>0</v>
      </c>
      <c r="CQ214" s="762">
        <v>2201481</v>
      </c>
      <c r="CR214" s="762">
        <v>1744856</v>
      </c>
      <c r="CS214" s="762">
        <v>981481</v>
      </c>
      <c r="CT214" s="762">
        <v>0</v>
      </c>
      <c r="CU214" s="762">
        <v>2726337</v>
      </c>
      <c r="CV214" s="762">
        <v>156507</v>
      </c>
      <c r="CW214" s="762">
        <v>88035</v>
      </c>
      <c r="CX214" s="762">
        <v>0</v>
      </c>
      <c r="CY214" s="762">
        <v>244542</v>
      </c>
      <c r="CZ214" s="762">
        <v>0</v>
      </c>
      <c r="DA214" s="762">
        <v>0</v>
      </c>
      <c r="DB214" s="762">
        <v>0</v>
      </c>
      <c r="DC214" s="762">
        <v>0</v>
      </c>
      <c r="DD214" s="762">
        <v>0</v>
      </c>
      <c r="DE214" s="762">
        <v>0</v>
      </c>
      <c r="DF214" s="762">
        <v>0</v>
      </c>
      <c r="DG214" s="762">
        <v>0</v>
      </c>
      <c r="DH214" s="762">
        <v>0</v>
      </c>
      <c r="DI214" s="762">
        <v>0</v>
      </c>
      <c r="DJ214" s="762">
        <v>0</v>
      </c>
      <c r="DK214" s="762">
        <v>0</v>
      </c>
      <c r="DL214" s="762">
        <v>16405</v>
      </c>
      <c r="DM214" s="762">
        <v>9228</v>
      </c>
      <c r="DN214" s="762">
        <v>0</v>
      </c>
      <c r="DO214" s="762">
        <v>25633</v>
      </c>
      <c r="DP214" s="762">
        <v>65921</v>
      </c>
      <c r="DQ214" s="762">
        <v>37080</v>
      </c>
      <c r="DR214" s="762">
        <v>0</v>
      </c>
      <c r="DS214" s="762">
        <v>103001</v>
      </c>
      <c r="DT214" s="762">
        <v>0</v>
      </c>
      <c r="DU214" s="762">
        <v>0</v>
      </c>
      <c r="DV214" s="762">
        <v>0</v>
      </c>
      <c r="DW214" s="762">
        <v>0</v>
      </c>
      <c r="DX214" s="762">
        <v>0</v>
      </c>
      <c r="DY214" s="762">
        <v>0</v>
      </c>
      <c r="DZ214" s="762">
        <v>0</v>
      </c>
      <c r="EA214" s="762">
        <v>0</v>
      </c>
      <c r="EB214" s="762">
        <v>2199409</v>
      </c>
      <c r="EC214" s="762">
        <v>1237168</v>
      </c>
      <c r="ED214" s="762">
        <v>0</v>
      </c>
      <c r="EE214" s="762">
        <v>3436577</v>
      </c>
      <c r="EF214" s="762">
        <v>5592046</v>
      </c>
      <c r="EG214" s="762">
        <v>3145525</v>
      </c>
      <c r="EH214" s="762">
        <v>0</v>
      </c>
      <c r="EI214" s="799">
        <v>8737571</v>
      </c>
      <c r="EJ214" s="763" t="s">
        <v>302</v>
      </c>
      <c r="EK214" s="607" t="s">
        <v>628</v>
      </c>
      <c r="EL214" s="272" t="s">
        <v>528</v>
      </c>
      <c r="EM214" t="s">
        <v>1780</v>
      </c>
    </row>
    <row r="215" spans="1:143" ht="12.75" x14ac:dyDescent="0.2">
      <c r="A215" s="764">
        <v>208</v>
      </c>
      <c r="B215" s="765" t="s">
        <v>305</v>
      </c>
      <c r="C215" s="766" t="s">
        <v>1217</v>
      </c>
      <c r="D215" s="767" t="s">
        <v>1225</v>
      </c>
      <c r="E215" s="768" t="s">
        <v>304</v>
      </c>
      <c r="F215" s="761">
        <v>13088556</v>
      </c>
      <c r="G215" s="762">
        <v>216626</v>
      </c>
      <c r="H215" s="762">
        <v>0</v>
      </c>
      <c r="I215" s="762">
        <v>98728</v>
      </c>
      <c r="J215" s="762">
        <v>0</v>
      </c>
      <c r="K215" s="762">
        <v>98728</v>
      </c>
      <c r="L215" s="762">
        <v>0</v>
      </c>
      <c r="M215" s="762">
        <v>0</v>
      </c>
      <c r="N215" s="762">
        <v>0</v>
      </c>
      <c r="O215" s="762">
        <v>0</v>
      </c>
      <c r="P215" s="762">
        <v>0</v>
      </c>
      <c r="Q215" s="762">
        <v>0</v>
      </c>
      <c r="R215" s="762">
        <v>13206454</v>
      </c>
      <c r="S215" s="790">
        <v>0.25</v>
      </c>
      <c r="T215" s="790">
        <v>0.52500000000000002</v>
      </c>
      <c r="U215" s="790">
        <v>0.215</v>
      </c>
      <c r="V215" s="790">
        <v>0.01</v>
      </c>
      <c r="W215" s="790">
        <v>1</v>
      </c>
      <c r="X215" s="762">
        <v>3301613</v>
      </c>
      <c r="Y215" s="762">
        <v>6933388</v>
      </c>
      <c r="Z215" s="762">
        <v>2839388</v>
      </c>
      <c r="AA215" s="762">
        <v>132065</v>
      </c>
      <c r="AB215" s="762">
        <v>13206454</v>
      </c>
      <c r="AC215" s="762">
        <v>0</v>
      </c>
      <c r="AD215" s="762">
        <v>0</v>
      </c>
      <c r="AE215" s="762">
        <v>0</v>
      </c>
      <c r="AF215" s="762">
        <v>0</v>
      </c>
      <c r="AG215" s="762">
        <v>0</v>
      </c>
      <c r="AH215" s="762">
        <v>3301613</v>
      </c>
      <c r="AI215" s="762">
        <v>6933388</v>
      </c>
      <c r="AJ215" s="762">
        <v>2839388</v>
      </c>
      <c r="AK215" s="762">
        <v>132065</v>
      </c>
      <c r="AL215" s="762">
        <v>13206454</v>
      </c>
      <c r="AM215" s="762">
        <v>98728</v>
      </c>
      <c r="AN215" s="762">
        <v>98728</v>
      </c>
      <c r="AO215" s="762">
        <v>0</v>
      </c>
      <c r="AP215" s="762">
        <v>0</v>
      </c>
      <c r="AQ215" s="762">
        <v>0</v>
      </c>
      <c r="AR215" s="762">
        <v>0</v>
      </c>
      <c r="AS215" s="762">
        <v>0</v>
      </c>
      <c r="AT215" s="762">
        <v>0</v>
      </c>
      <c r="AU215" s="762">
        <v>0</v>
      </c>
      <c r="AV215" s="762">
        <v>0</v>
      </c>
      <c r="AW215" s="762">
        <v>0</v>
      </c>
      <c r="AX215" s="762">
        <v>0</v>
      </c>
      <c r="AY215" s="762">
        <v>0</v>
      </c>
      <c r="AZ215" s="762">
        <v>0</v>
      </c>
      <c r="BA215" s="762">
        <v>0</v>
      </c>
      <c r="BB215" s="762">
        <v>0</v>
      </c>
      <c r="BC215" s="762">
        <v>0</v>
      </c>
      <c r="BD215" s="762">
        <v>0</v>
      </c>
      <c r="BE215" s="762">
        <v>0</v>
      </c>
      <c r="BF215" s="762">
        <v>0</v>
      </c>
      <c r="BG215" s="762">
        <v>0</v>
      </c>
      <c r="BH215" s="762">
        <v>0</v>
      </c>
      <c r="BI215" s="762">
        <v>0</v>
      </c>
      <c r="BJ215" s="790">
        <v>0.5</v>
      </c>
      <c r="BK215" s="790">
        <v>0.4</v>
      </c>
      <c r="BL215" s="790">
        <v>0.09</v>
      </c>
      <c r="BM215" s="790">
        <v>0.01</v>
      </c>
      <c r="BN215" s="790">
        <v>1</v>
      </c>
      <c r="BO215" s="762">
        <v>-1177819</v>
      </c>
      <c r="BP215" s="762">
        <v>-942256</v>
      </c>
      <c r="BQ215" s="762">
        <v>-212008</v>
      </c>
      <c r="BR215" s="762">
        <v>-23556</v>
      </c>
      <c r="BS215" s="762">
        <v>-2355639</v>
      </c>
      <c r="BT215" s="790">
        <v>0.5</v>
      </c>
      <c r="BU215" s="790">
        <v>0.4</v>
      </c>
      <c r="BV215" s="790">
        <v>0.09</v>
      </c>
      <c r="BW215" s="790">
        <v>0.01</v>
      </c>
      <c r="BX215" s="790">
        <v>1</v>
      </c>
      <c r="BY215" s="762">
        <v>647827</v>
      </c>
      <c r="BZ215" s="762">
        <v>518262</v>
      </c>
      <c r="CA215" s="762">
        <v>116609</v>
      </c>
      <c r="CB215" s="762">
        <v>12957</v>
      </c>
      <c r="CC215" s="762">
        <v>1295655</v>
      </c>
      <c r="CD215" s="762">
        <v>-529991</v>
      </c>
      <c r="CE215" s="762">
        <v>-423994</v>
      </c>
      <c r="CF215" s="762">
        <v>-95399</v>
      </c>
      <c r="CG215" s="762">
        <v>-10600</v>
      </c>
      <c r="CH215" s="762">
        <v>-1059984</v>
      </c>
      <c r="CI215" s="762">
        <v>2771622</v>
      </c>
      <c r="CJ215" s="762">
        <v>6608122</v>
      </c>
      <c r="CK215" s="762">
        <v>2743989</v>
      </c>
      <c r="CL215" s="762">
        <v>121465</v>
      </c>
      <c r="CM215" s="762">
        <v>12245198</v>
      </c>
      <c r="CN215" s="762">
        <v>225935</v>
      </c>
      <c r="CO215" s="762">
        <v>92526</v>
      </c>
      <c r="CP215" s="762">
        <v>4304</v>
      </c>
      <c r="CQ215" s="762">
        <v>322765</v>
      </c>
      <c r="CR215" s="762">
        <v>1060054</v>
      </c>
      <c r="CS215" s="762">
        <v>434118</v>
      </c>
      <c r="CT215" s="762">
        <v>20192</v>
      </c>
      <c r="CU215" s="762">
        <v>1514364</v>
      </c>
      <c r="CV215" s="762">
        <v>12377</v>
      </c>
      <c r="CW215" s="762">
        <v>5069</v>
      </c>
      <c r="CX215" s="762">
        <v>236</v>
      </c>
      <c r="CY215" s="762">
        <v>17682</v>
      </c>
      <c r="CZ215" s="762">
        <v>43814</v>
      </c>
      <c r="DA215" s="762">
        <v>17943</v>
      </c>
      <c r="DB215" s="762">
        <v>835</v>
      </c>
      <c r="DC215" s="762">
        <v>62592</v>
      </c>
      <c r="DD215" s="762">
        <v>23883</v>
      </c>
      <c r="DE215" s="762">
        <v>9781</v>
      </c>
      <c r="DF215" s="762">
        <v>455</v>
      </c>
      <c r="DG215" s="762">
        <v>34119</v>
      </c>
      <c r="DH215" s="762">
        <v>0</v>
      </c>
      <c r="DI215" s="762">
        <v>0</v>
      </c>
      <c r="DJ215" s="762">
        <v>0</v>
      </c>
      <c r="DK215" s="762">
        <v>0</v>
      </c>
      <c r="DL215" s="762">
        <v>15657</v>
      </c>
      <c r="DM215" s="762">
        <v>6412</v>
      </c>
      <c r="DN215" s="762">
        <v>298</v>
      </c>
      <c r="DO215" s="762">
        <v>22367</v>
      </c>
      <c r="DP215" s="762">
        <v>23853</v>
      </c>
      <c r="DQ215" s="762">
        <v>9768</v>
      </c>
      <c r="DR215" s="762">
        <v>454</v>
      </c>
      <c r="DS215" s="762">
        <v>34075</v>
      </c>
      <c r="DT215" s="762">
        <v>0</v>
      </c>
      <c r="DU215" s="762">
        <v>0</v>
      </c>
      <c r="DV215" s="762">
        <v>0</v>
      </c>
      <c r="DW215" s="762">
        <v>0</v>
      </c>
      <c r="DX215" s="762">
        <v>6866</v>
      </c>
      <c r="DY215" s="762">
        <v>2812</v>
      </c>
      <c r="DZ215" s="762">
        <v>131</v>
      </c>
      <c r="EA215" s="762">
        <v>9809</v>
      </c>
      <c r="EB215" s="762">
        <v>376975</v>
      </c>
      <c r="EC215" s="762">
        <v>154380</v>
      </c>
      <c r="ED215" s="762">
        <v>7180</v>
      </c>
      <c r="EE215" s="762">
        <v>538535</v>
      </c>
      <c r="EF215" s="762">
        <v>1789414</v>
      </c>
      <c r="EG215" s="762">
        <v>732809</v>
      </c>
      <c r="EH215" s="762">
        <v>34085</v>
      </c>
      <c r="EI215" s="799">
        <v>2556308</v>
      </c>
      <c r="EJ215" s="763" t="s">
        <v>304</v>
      </c>
      <c r="EK215" s="607" t="s">
        <v>604</v>
      </c>
      <c r="EL215" s="805" t="s">
        <v>603</v>
      </c>
      <c r="EM215" t="s">
        <v>1781</v>
      </c>
    </row>
    <row r="216" spans="1:143" ht="12.75" x14ac:dyDescent="0.2">
      <c r="A216" s="764">
        <v>209</v>
      </c>
      <c r="B216" s="765" t="s">
        <v>307</v>
      </c>
      <c r="C216" s="766" t="s">
        <v>1224</v>
      </c>
      <c r="D216" s="767" t="s">
        <v>1219</v>
      </c>
      <c r="E216" s="768" t="s">
        <v>306</v>
      </c>
      <c r="F216" s="761">
        <v>62437000</v>
      </c>
      <c r="G216" s="762">
        <v>0</v>
      </c>
      <c r="H216" s="762">
        <v>341833</v>
      </c>
      <c r="I216" s="762">
        <v>275905</v>
      </c>
      <c r="J216" s="762">
        <v>0</v>
      </c>
      <c r="K216" s="762">
        <v>275905</v>
      </c>
      <c r="L216" s="762">
        <v>0</v>
      </c>
      <c r="M216" s="762">
        <v>0</v>
      </c>
      <c r="N216" s="762">
        <v>520494</v>
      </c>
      <c r="O216" s="762">
        <v>520494</v>
      </c>
      <c r="P216" s="762">
        <v>0</v>
      </c>
      <c r="Q216" s="762">
        <v>0</v>
      </c>
      <c r="R216" s="762">
        <v>61298768</v>
      </c>
      <c r="S216" s="790">
        <v>0</v>
      </c>
      <c r="T216" s="790">
        <v>0.99</v>
      </c>
      <c r="U216" s="790">
        <v>0</v>
      </c>
      <c r="V216" s="790">
        <v>0.01</v>
      </c>
      <c r="W216" s="790">
        <v>1</v>
      </c>
      <c r="X216" s="762">
        <v>0</v>
      </c>
      <c r="Y216" s="762">
        <v>60685780</v>
      </c>
      <c r="Z216" s="762">
        <v>0</v>
      </c>
      <c r="AA216" s="762">
        <v>612988</v>
      </c>
      <c r="AB216" s="762">
        <v>61298768</v>
      </c>
      <c r="AC216" s="762">
        <v>0</v>
      </c>
      <c r="AD216" s="762">
        <v>0</v>
      </c>
      <c r="AE216" s="762">
        <v>0</v>
      </c>
      <c r="AF216" s="762">
        <v>0</v>
      </c>
      <c r="AG216" s="762">
        <v>0</v>
      </c>
      <c r="AH216" s="762">
        <v>0</v>
      </c>
      <c r="AI216" s="762">
        <v>60685780</v>
      </c>
      <c r="AJ216" s="762">
        <v>0</v>
      </c>
      <c r="AK216" s="762">
        <v>612988</v>
      </c>
      <c r="AL216" s="762">
        <v>61298768</v>
      </c>
      <c r="AM216" s="762">
        <v>275905</v>
      </c>
      <c r="AN216" s="762">
        <v>275905</v>
      </c>
      <c r="AO216" s="762">
        <v>0</v>
      </c>
      <c r="AP216" s="762">
        <v>0</v>
      </c>
      <c r="AQ216" s="762">
        <v>520494</v>
      </c>
      <c r="AR216" s="762">
        <v>0</v>
      </c>
      <c r="AS216" s="762">
        <v>520494</v>
      </c>
      <c r="AT216" s="762">
        <v>0</v>
      </c>
      <c r="AU216" s="762">
        <v>0</v>
      </c>
      <c r="AV216" s="762">
        <v>0</v>
      </c>
      <c r="AW216" s="762">
        <v>0</v>
      </c>
      <c r="AX216" s="762">
        <v>0</v>
      </c>
      <c r="AY216" s="762">
        <v>0</v>
      </c>
      <c r="AZ216" s="762">
        <v>0</v>
      </c>
      <c r="BA216" s="762">
        <v>0</v>
      </c>
      <c r="BB216" s="762">
        <v>0</v>
      </c>
      <c r="BC216" s="762">
        <v>0</v>
      </c>
      <c r="BD216" s="762">
        <v>0</v>
      </c>
      <c r="BE216" s="762">
        <v>0</v>
      </c>
      <c r="BF216" s="762">
        <v>0</v>
      </c>
      <c r="BG216" s="762">
        <v>0</v>
      </c>
      <c r="BH216" s="762">
        <v>0</v>
      </c>
      <c r="BI216" s="762">
        <v>0</v>
      </c>
      <c r="BJ216" s="790">
        <v>0</v>
      </c>
      <c r="BK216" s="790">
        <v>0.99</v>
      </c>
      <c r="BL216" s="790">
        <v>0</v>
      </c>
      <c r="BM216" s="790">
        <v>0.01</v>
      </c>
      <c r="BN216" s="790">
        <v>1</v>
      </c>
      <c r="BO216" s="762">
        <v>0</v>
      </c>
      <c r="BP216" s="762">
        <v>2517417</v>
      </c>
      <c r="BQ216" s="762">
        <v>0</v>
      </c>
      <c r="BR216" s="762">
        <v>25428</v>
      </c>
      <c r="BS216" s="762">
        <v>2542845</v>
      </c>
      <c r="BT216" s="790">
        <v>0</v>
      </c>
      <c r="BU216" s="790">
        <v>0.99</v>
      </c>
      <c r="BV216" s="790">
        <v>0</v>
      </c>
      <c r="BW216" s="790">
        <v>0.01</v>
      </c>
      <c r="BX216" s="790">
        <v>1</v>
      </c>
      <c r="BY216" s="762">
        <v>0</v>
      </c>
      <c r="BZ216" s="762">
        <v>1554453</v>
      </c>
      <c r="CA216" s="762">
        <v>0</v>
      </c>
      <c r="CB216" s="762">
        <v>15702</v>
      </c>
      <c r="CC216" s="762">
        <v>1570155</v>
      </c>
      <c r="CD216" s="762">
        <v>0</v>
      </c>
      <c r="CE216" s="762">
        <v>4071870</v>
      </c>
      <c r="CF216" s="762">
        <v>0</v>
      </c>
      <c r="CG216" s="762">
        <v>41130</v>
      </c>
      <c r="CH216" s="762">
        <v>4113000</v>
      </c>
      <c r="CI216" s="762">
        <v>0</v>
      </c>
      <c r="CJ216" s="762">
        <v>65554049</v>
      </c>
      <c r="CK216" s="762">
        <v>0</v>
      </c>
      <c r="CL216" s="762">
        <v>654118</v>
      </c>
      <c r="CM216" s="762">
        <v>66208167</v>
      </c>
      <c r="CN216" s="762">
        <v>1994502</v>
      </c>
      <c r="CO216" s="762">
        <v>0</v>
      </c>
      <c r="CP216" s="762">
        <v>19975</v>
      </c>
      <c r="CQ216" s="762">
        <v>2014477</v>
      </c>
      <c r="CR216" s="762">
        <v>5651810</v>
      </c>
      <c r="CS216" s="762">
        <v>0</v>
      </c>
      <c r="CT216" s="762">
        <v>57089</v>
      </c>
      <c r="CU216" s="762">
        <v>5708899</v>
      </c>
      <c r="CV216" s="762">
        <v>299414</v>
      </c>
      <c r="CW216" s="762">
        <v>0</v>
      </c>
      <c r="CX216" s="762">
        <v>3024</v>
      </c>
      <c r="CY216" s="762">
        <v>302438</v>
      </c>
      <c r="CZ216" s="762">
        <v>2342</v>
      </c>
      <c r="DA216" s="762">
        <v>0</v>
      </c>
      <c r="DB216" s="762">
        <v>24</v>
      </c>
      <c r="DC216" s="762">
        <v>2366</v>
      </c>
      <c r="DD216" s="762">
        <v>0</v>
      </c>
      <c r="DE216" s="762">
        <v>0</v>
      </c>
      <c r="DF216" s="762">
        <v>0</v>
      </c>
      <c r="DG216" s="762">
        <v>0</v>
      </c>
      <c r="DH216" s="762">
        <v>0</v>
      </c>
      <c r="DI216" s="762">
        <v>0</v>
      </c>
      <c r="DJ216" s="762">
        <v>0</v>
      </c>
      <c r="DK216" s="762">
        <v>0</v>
      </c>
      <c r="DL216" s="762">
        <v>86054</v>
      </c>
      <c r="DM216" s="762">
        <v>0</v>
      </c>
      <c r="DN216" s="762">
        <v>869</v>
      </c>
      <c r="DO216" s="762">
        <v>86923</v>
      </c>
      <c r="DP216" s="762">
        <v>52918</v>
      </c>
      <c r="DQ216" s="762">
        <v>0</v>
      </c>
      <c r="DR216" s="762">
        <v>535</v>
      </c>
      <c r="DS216" s="762">
        <v>53453</v>
      </c>
      <c r="DT216" s="762">
        <v>0</v>
      </c>
      <c r="DU216" s="762">
        <v>0</v>
      </c>
      <c r="DV216" s="762">
        <v>0</v>
      </c>
      <c r="DW216" s="762">
        <v>0</v>
      </c>
      <c r="DX216" s="762">
        <v>0</v>
      </c>
      <c r="DY216" s="762">
        <v>0</v>
      </c>
      <c r="DZ216" s="762">
        <v>0</v>
      </c>
      <c r="EA216" s="762">
        <v>0</v>
      </c>
      <c r="EB216" s="762">
        <v>1533391</v>
      </c>
      <c r="EC216" s="762">
        <v>0</v>
      </c>
      <c r="ED216" s="762">
        <v>15489</v>
      </c>
      <c r="EE216" s="762">
        <v>1548880</v>
      </c>
      <c r="EF216" s="762">
        <v>9620431</v>
      </c>
      <c r="EG216" s="762">
        <v>0</v>
      </c>
      <c r="EH216" s="762">
        <v>97005</v>
      </c>
      <c r="EI216" s="799">
        <v>9717436</v>
      </c>
      <c r="EJ216" s="763" t="s">
        <v>306</v>
      </c>
      <c r="EK216" s="607" t="s">
        <v>621</v>
      </c>
      <c r="EL216" s="805" t="s">
        <v>622</v>
      </c>
      <c r="EM216" t="s">
        <v>1782</v>
      </c>
    </row>
    <row r="217" spans="1:143" ht="12.75" x14ac:dyDescent="0.2">
      <c r="A217" s="764">
        <v>210</v>
      </c>
      <c r="B217" s="765" t="s">
        <v>309</v>
      </c>
      <c r="C217" s="766" t="s">
        <v>1217</v>
      </c>
      <c r="D217" s="767" t="s">
        <v>1221</v>
      </c>
      <c r="E217" s="768" t="s">
        <v>308</v>
      </c>
      <c r="F217" s="761">
        <v>16306273</v>
      </c>
      <c r="G217" s="762">
        <v>124359</v>
      </c>
      <c r="H217" s="762">
        <v>0</v>
      </c>
      <c r="I217" s="762">
        <v>94331</v>
      </c>
      <c r="J217" s="762">
        <v>0</v>
      </c>
      <c r="K217" s="762">
        <v>94331</v>
      </c>
      <c r="L217" s="762">
        <v>0</v>
      </c>
      <c r="M217" s="762">
        <v>0</v>
      </c>
      <c r="N217" s="762">
        <v>42149</v>
      </c>
      <c r="O217" s="762">
        <v>42149</v>
      </c>
      <c r="P217" s="762">
        <v>0</v>
      </c>
      <c r="Q217" s="762">
        <v>0</v>
      </c>
      <c r="R217" s="762">
        <v>16294152</v>
      </c>
      <c r="S217" s="790">
        <v>0.5</v>
      </c>
      <c r="T217" s="790">
        <v>0.4</v>
      </c>
      <c r="U217" s="790">
        <v>0.09</v>
      </c>
      <c r="V217" s="790">
        <v>0.01</v>
      </c>
      <c r="W217" s="790">
        <v>1</v>
      </c>
      <c r="X217" s="762">
        <v>8147075</v>
      </c>
      <c r="Y217" s="762">
        <v>6517661</v>
      </c>
      <c r="Z217" s="762">
        <v>1466474</v>
      </c>
      <c r="AA217" s="762">
        <v>162942</v>
      </c>
      <c r="AB217" s="762">
        <v>16294152</v>
      </c>
      <c r="AC217" s="762">
        <v>0</v>
      </c>
      <c r="AD217" s="762">
        <v>0</v>
      </c>
      <c r="AE217" s="762">
        <v>0</v>
      </c>
      <c r="AF217" s="762">
        <v>0</v>
      </c>
      <c r="AG217" s="762">
        <v>0</v>
      </c>
      <c r="AH217" s="762">
        <v>8147075</v>
      </c>
      <c r="AI217" s="762">
        <v>6517661</v>
      </c>
      <c r="AJ217" s="762">
        <v>1466474</v>
      </c>
      <c r="AK217" s="762">
        <v>162942</v>
      </c>
      <c r="AL217" s="762">
        <v>16294152</v>
      </c>
      <c r="AM217" s="762">
        <v>94331</v>
      </c>
      <c r="AN217" s="762">
        <v>94331</v>
      </c>
      <c r="AO217" s="762">
        <v>0</v>
      </c>
      <c r="AP217" s="762">
        <v>0</v>
      </c>
      <c r="AQ217" s="762">
        <v>42149</v>
      </c>
      <c r="AR217" s="762">
        <v>0</v>
      </c>
      <c r="AS217" s="762">
        <v>42149</v>
      </c>
      <c r="AT217" s="762">
        <v>0</v>
      </c>
      <c r="AU217" s="762">
        <v>0</v>
      </c>
      <c r="AV217" s="762">
        <v>0</v>
      </c>
      <c r="AW217" s="762">
        <v>0</v>
      </c>
      <c r="AX217" s="762">
        <v>0</v>
      </c>
      <c r="AY217" s="762">
        <v>0</v>
      </c>
      <c r="AZ217" s="762">
        <v>0</v>
      </c>
      <c r="BA217" s="762">
        <v>0</v>
      </c>
      <c r="BB217" s="762">
        <v>0</v>
      </c>
      <c r="BC217" s="762">
        <v>0</v>
      </c>
      <c r="BD217" s="762">
        <v>0</v>
      </c>
      <c r="BE217" s="762">
        <v>0</v>
      </c>
      <c r="BF217" s="762">
        <v>0</v>
      </c>
      <c r="BG217" s="762">
        <v>0</v>
      </c>
      <c r="BH217" s="762">
        <v>0</v>
      </c>
      <c r="BI217" s="762">
        <v>0</v>
      </c>
      <c r="BJ217" s="790">
        <v>0.5</v>
      </c>
      <c r="BK217" s="790">
        <v>0.4</v>
      </c>
      <c r="BL217" s="790">
        <v>0.09</v>
      </c>
      <c r="BM217" s="790">
        <v>0.01</v>
      </c>
      <c r="BN217" s="790">
        <v>1</v>
      </c>
      <c r="BO217" s="762">
        <v>-407043</v>
      </c>
      <c r="BP217" s="762">
        <v>-325634</v>
      </c>
      <c r="BQ217" s="762">
        <v>-73268</v>
      </c>
      <c r="BR217" s="762">
        <v>-8141</v>
      </c>
      <c r="BS217" s="762">
        <v>-814086</v>
      </c>
      <c r="BT217" s="790">
        <v>0.5</v>
      </c>
      <c r="BU217" s="790">
        <v>0.4</v>
      </c>
      <c r="BV217" s="790">
        <v>0.09</v>
      </c>
      <c r="BW217" s="790">
        <v>0.01</v>
      </c>
      <c r="BX217" s="790">
        <v>1</v>
      </c>
      <c r="BY217" s="762">
        <v>-102219</v>
      </c>
      <c r="BZ217" s="762">
        <v>-81775</v>
      </c>
      <c r="CA217" s="762">
        <v>-18399</v>
      </c>
      <c r="CB217" s="762">
        <v>-2044</v>
      </c>
      <c r="CC217" s="762">
        <v>-204437</v>
      </c>
      <c r="CD217" s="762">
        <v>-509262</v>
      </c>
      <c r="CE217" s="762">
        <v>-407409</v>
      </c>
      <c r="CF217" s="762">
        <v>-91667</v>
      </c>
      <c r="CG217" s="762">
        <v>-10185</v>
      </c>
      <c r="CH217" s="762">
        <v>-1018523</v>
      </c>
      <c r="CI217" s="762">
        <v>7637813</v>
      </c>
      <c r="CJ217" s="762">
        <v>6246732</v>
      </c>
      <c r="CK217" s="762">
        <v>1374807</v>
      </c>
      <c r="CL217" s="762">
        <v>152757</v>
      </c>
      <c r="CM217" s="762">
        <v>15412109</v>
      </c>
      <c r="CN217" s="762">
        <v>213762</v>
      </c>
      <c r="CO217" s="762">
        <v>47787</v>
      </c>
      <c r="CP217" s="762">
        <v>5310</v>
      </c>
      <c r="CQ217" s="762">
        <v>266859</v>
      </c>
      <c r="CR217" s="762">
        <v>1033593</v>
      </c>
      <c r="CS217" s="762">
        <v>232558</v>
      </c>
      <c r="CT217" s="762">
        <v>25840</v>
      </c>
      <c r="CU217" s="762">
        <v>1291991</v>
      </c>
      <c r="CV217" s="762">
        <v>49422</v>
      </c>
      <c r="CW217" s="762">
        <v>11120</v>
      </c>
      <c r="CX217" s="762">
        <v>1236</v>
      </c>
      <c r="CY217" s="762">
        <v>61778</v>
      </c>
      <c r="CZ217" s="762">
        <v>2699</v>
      </c>
      <c r="DA217" s="762">
        <v>608</v>
      </c>
      <c r="DB217" s="762">
        <v>68</v>
      </c>
      <c r="DC217" s="762">
        <v>3375</v>
      </c>
      <c r="DD217" s="762">
        <v>0</v>
      </c>
      <c r="DE217" s="762">
        <v>0</v>
      </c>
      <c r="DF217" s="762">
        <v>0</v>
      </c>
      <c r="DG217" s="762">
        <v>0</v>
      </c>
      <c r="DH217" s="762">
        <v>0</v>
      </c>
      <c r="DI217" s="762">
        <v>0</v>
      </c>
      <c r="DJ217" s="762">
        <v>0</v>
      </c>
      <c r="DK217" s="762">
        <v>0</v>
      </c>
      <c r="DL217" s="762">
        <v>1796</v>
      </c>
      <c r="DM217" s="762">
        <v>404</v>
      </c>
      <c r="DN217" s="762">
        <v>45</v>
      </c>
      <c r="DO217" s="762">
        <v>2245</v>
      </c>
      <c r="DP217" s="762">
        <v>10326</v>
      </c>
      <c r="DQ217" s="762">
        <v>2323</v>
      </c>
      <c r="DR217" s="762">
        <v>258</v>
      </c>
      <c r="DS217" s="762">
        <v>12907</v>
      </c>
      <c r="DT217" s="762">
        <v>0</v>
      </c>
      <c r="DU217" s="762">
        <v>0</v>
      </c>
      <c r="DV217" s="762">
        <v>0</v>
      </c>
      <c r="DW217" s="762">
        <v>0</v>
      </c>
      <c r="DX217" s="762">
        <v>0</v>
      </c>
      <c r="DY217" s="762">
        <v>0</v>
      </c>
      <c r="DZ217" s="762">
        <v>0</v>
      </c>
      <c r="EA217" s="762">
        <v>0</v>
      </c>
      <c r="EB217" s="762">
        <v>365023</v>
      </c>
      <c r="EC217" s="762">
        <v>82130</v>
      </c>
      <c r="ED217" s="762">
        <v>9126</v>
      </c>
      <c r="EE217" s="762">
        <v>456279</v>
      </c>
      <c r="EF217" s="762">
        <v>1676621</v>
      </c>
      <c r="EG217" s="762">
        <v>376930</v>
      </c>
      <c r="EH217" s="762">
        <v>41883</v>
      </c>
      <c r="EI217" s="799">
        <v>2095434</v>
      </c>
      <c r="EJ217" s="763" t="s">
        <v>308</v>
      </c>
      <c r="EK217" s="607" t="s">
        <v>575</v>
      </c>
      <c r="EL217" s="805" t="s">
        <v>573</v>
      </c>
      <c r="EM217" t="s">
        <v>1783</v>
      </c>
    </row>
    <row r="218" spans="1:143" ht="12.75" x14ac:dyDescent="0.2">
      <c r="A218" s="764">
        <v>211</v>
      </c>
      <c r="B218" s="765" t="s">
        <v>311</v>
      </c>
      <c r="C218" s="766" t="s">
        <v>1217</v>
      </c>
      <c r="D218" s="767" t="s">
        <v>1219</v>
      </c>
      <c r="E218" s="768" t="s">
        <v>310</v>
      </c>
      <c r="F218" s="761">
        <v>12430699</v>
      </c>
      <c r="G218" s="762">
        <v>0</v>
      </c>
      <c r="H218" s="762">
        <v>27900</v>
      </c>
      <c r="I218" s="762">
        <v>96670</v>
      </c>
      <c r="J218" s="762">
        <v>0</v>
      </c>
      <c r="K218" s="762">
        <v>96670</v>
      </c>
      <c r="L218" s="762">
        <v>0</v>
      </c>
      <c r="M218" s="762">
        <v>0</v>
      </c>
      <c r="N218" s="762">
        <v>168160</v>
      </c>
      <c r="O218" s="762">
        <v>168160</v>
      </c>
      <c r="P218" s="762">
        <v>0</v>
      </c>
      <c r="Q218" s="762">
        <v>0</v>
      </c>
      <c r="R218" s="762">
        <v>12137969</v>
      </c>
      <c r="S218" s="790">
        <v>0.25</v>
      </c>
      <c r="T218" s="790">
        <v>0.56000000000000005</v>
      </c>
      <c r="U218" s="790">
        <v>0.17499999999999999</v>
      </c>
      <c r="V218" s="790">
        <v>1.4999999999999999E-2</v>
      </c>
      <c r="W218" s="790">
        <v>1</v>
      </c>
      <c r="X218" s="762">
        <v>3034491</v>
      </c>
      <c r="Y218" s="762">
        <v>6797263</v>
      </c>
      <c r="Z218" s="762">
        <v>2124145</v>
      </c>
      <c r="AA218" s="762">
        <v>182070</v>
      </c>
      <c r="AB218" s="762">
        <v>12137969</v>
      </c>
      <c r="AC218" s="762">
        <v>0</v>
      </c>
      <c r="AD218" s="762">
        <v>0</v>
      </c>
      <c r="AE218" s="762">
        <v>0</v>
      </c>
      <c r="AF218" s="762">
        <v>0</v>
      </c>
      <c r="AG218" s="762">
        <v>0</v>
      </c>
      <c r="AH218" s="762">
        <v>3034491</v>
      </c>
      <c r="AI218" s="762">
        <v>6797263</v>
      </c>
      <c r="AJ218" s="762">
        <v>2124145</v>
      </c>
      <c r="AK218" s="762">
        <v>182070</v>
      </c>
      <c r="AL218" s="762">
        <v>12137969</v>
      </c>
      <c r="AM218" s="762">
        <v>96670</v>
      </c>
      <c r="AN218" s="762">
        <v>96670</v>
      </c>
      <c r="AO218" s="762">
        <v>0</v>
      </c>
      <c r="AP218" s="762">
        <v>0</v>
      </c>
      <c r="AQ218" s="762">
        <v>168160</v>
      </c>
      <c r="AR218" s="762">
        <v>0</v>
      </c>
      <c r="AS218" s="762">
        <v>168160</v>
      </c>
      <c r="AT218" s="762">
        <v>0</v>
      </c>
      <c r="AU218" s="762">
        <v>0</v>
      </c>
      <c r="AV218" s="762">
        <v>0</v>
      </c>
      <c r="AW218" s="762">
        <v>0</v>
      </c>
      <c r="AX218" s="762">
        <v>0</v>
      </c>
      <c r="AY218" s="762">
        <v>0</v>
      </c>
      <c r="AZ218" s="762">
        <v>0</v>
      </c>
      <c r="BA218" s="762">
        <v>0</v>
      </c>
      <c r="BB218" s="762">
        <v>0</v>
      </c>
      <c r="BC218" s="762">
        <v>0</v>
      </c>
      <c r="BD218" s="762">
        <v>0</v>
      </c>
      <c r="BE218" s="762">
        <v>0</v>
      </c>
      <c r="BF218" s="762">
        <v>0</v>
      </c>
      <c r="BG218" s="762">
        <v>0</v>
      </c>
      <c r="BH218" s="762">
        <v>0</v>
      </c>
      <c r="BI218" s="762">
        <v>0</v>
      </c>
      <c r="BJ218" s="790">
        <v>0.5</v>
      </c>
      <c r="BK218" s="790">
        <v>0.4</v>
      </c>
      <c r="BL218" s="790">
        <v>0.09</v>
      </c>
      <c r="BM218" s="790">
        <v>0.01</v>
      </c>
      <c r="BN218" s="790">
        <v>1</v>
      </c>
      <c r="BO218" s="762">
        <v>302723</v>
      </c>
      <c r="BP218" s="762">
        <v>242178</v>
      </c>
      <c r="BQ218" s="762">
        <v>54490</v>
      </c>
      <c r="BR218" s="762">
        <v>6054</v>
      </c>
      <c r="BS218" s="762">
        <v>605445</v>
      </c>
      <c r="BT218" s="790">
        <v>0.5</v>
      </c>
      <c r="BU218" s="790">
        <v>0.4</v>
      </c>
      <c r="BV218" s="790">
        <v>0.09</v>
      </c>
      <c r="BW218" s="790">
        <v>0.01</v>
      </c>
      <c r="BX218" s="790">
        <v>1</v>
      </c>
      <c r="BY218" s="762">
        <v>510731</v>
      </c>
      <c r="BZ218" s="762">
        <v>408586</v>
      </c>
      <c r="CA218" s="762">
        <v>91932</v>
      </c>
      <c r="CB218" s="762">
        <v>10215</v>
      </c>
      <c r="CC218" s="762">
        <v>1021464</v>
      </c>
      <c r="CD218" s="762">
        <v>813454</v>
      </c>
      <c r="CE218" s="762">
        <v>650764</v>
      </c>
      <c r="CF218" s="762">
        <v>146422</v>
      </c>
      <c r="CG218" s="762">
        <v>16269</v>
      </c>
      <c r="CH218" s="762">
        <v>1626909</v>
      </c>
      <c r="CI218" s="762">
        <v>3847945</v>
      </c>
      <c r="CJ218" s="762">
        <v>7712857</v>
      </c>
      <c r="CK218" s="762">
        <v>2270567</v>
      </c>
      <c r="CL218" s="762">
        <v>198339</v>
      </c>
      <c r="CM218" s="762">
        <v>14029708</v>
      </c>
      <c r="CN218" s="762">
        <v>226979</v>
      </c>
      <c r="CO218" s="762">
        <v>69219</v>
      </c>
      <c r="CP218" s="762">
        <v>5933</v>
      </c>
      <c r="CQ218" s="762">
        <v>302131</v>
      </c>
      <c r="CR218" s="762">
        <v>1158450</v>
      </c>
      <c r="CS218" s="762">
        <v>362015</v>
      </c>
      <c r="CT218" s="762">
        <v>31030</v>
      </c>
      <c r="CU218" s="762">
        <v>1551495</v>
      </c>
      <c r="CV218" s="762">
        <v>36970</v>
      </c>
      <c r="CW218" s="762">
        <v>11553</v>
      </c>
      <c r="CX218" s="762">
        <v>990</v>
      </c>
      <c r="CY218" s="762">
        <v>49513</v>
      </c>
      <c r="CZ218" s="762">
        <v>0</v>
      </c>
      <c r="DA218" s="762">
        <v>0</v>
      </c>
      <c r="DB218" s="762">
        <v>0</v>
      </c>
      <c r="DC218" s="762">
        <v>0</v>
      </c>
      <c r="DD218" s="762">
        <v>597</v>
      </c>
      <c r="DE218" s="762">
        <v>187</v>
      </c>
      <c r="DF218" s="762">
        <v>16</v>
      </c>
      <c r="DG218" s="762">
        <v>800</v>
      </c>
      <c r="DH218" s="762">
        <v>0</v>
      </c>
      <c r="DI218" s="762">
        <v>0</v>
      </c>
      <c r="DJ218" s="762">
        <v>0</v>
      </c>
      <c r="DK218" s="762">
        <v>0</v>
      </c>
      <c r="DL218" s="762">
        <v>2726</v>
      </c>
      <c r="DM218" s="762">
        <v>852</v>
      </c>
      <c r="DN218" s="762">
        <v>73</v>
      </c>
      <c r="DO218" s="762">
        <v>3651</v>
      </c>
      <c r="DP218" s="762">
        <v>8384</v>
      </c>
      <c r="DQ218" s="762">
        <v>2620</v>
      </c>
      <c r="DR218" s="762">
        <v>225</v>
      </c>
      <c r="DS218" s="762">
        <v>11229</v>
      </c>
      <c r="DT218" s="762">
        <v>0</v>
      </c>
      <c r="DU218" s="762">
        <v>0</v>
      </c>
      <c r="DV218" s="762">
        <v>0</v>
      </c>
      <c r="DW218" s="762">
        <v>0</v>
      </c>
      <c r="DX218" s="762">
        <v>0</v>
      </c>
      <c r="DY218" s="762">
        <v>0</v>
      </c>
      <c r="DZ218" s="762">
        <v>0</v>
      </c>
      <c r="EA218" s="762">
        <v>0</v>
      </c>
      <c r="EB218" s="762">
        <v>123368</v>
      </c>
      <c r="EC218" s="762">
        <v>38552</v>
      </c>
      <c r="ED218" s="762">
        <v>3304</v>
      </c>
      <c r="EE218" s="762">
        <v>165224</v>
      </c>
      <c r="EF218" s="762">
        <v>1557474</v>
      </c>
      <c r="EG218" s="762">
        <v>484998</v>
      </c>
      <c r="EH218" s="762">
        <v>41571</v>
      </c>
      <c r="EI218" s="799">
        <v>2084043</v>
      </c>
      <c r="EJ218" s="763" t="s">
        <v>310</v>
      </c>
      <c r="EK218" s="607" t="s">
        <v>595</v>
      </c>
      <c r="EL218" s="805" t="s">
        <v>593</v>
      </c>
      <c r="EM218" t="s">
        <v>1784</v>
      </c>
    </row>
    <row r="219" spans="1:143" ht="12.75" x14ac:dyDescent="0.2">
      <c r="A219" s="764">
        <v>212</v>
      </c>
      <c r="B219" s="765" t="s">
        <v>313</v>
      </c>
      <c r="C219" s="766" t="s">
        <v>1217</v>
      </c>
      <c r="D219" s="767" t="s">
        <v>1218</v>
      </c>
      <c r="E219" s="768" t="s">
        <v>312</v>
      </c>
      <c r="F219" s="761">
        <v>16970390</v>
      </c>
      <c r="G219" s="762">
        <v>474554</v>
      </c>
      <c r="H219" s="762">
        <v>0</v>
      </c>
      <c r="I219" s="762">
        <v>151857</v>
      </c>
      <c r="J219" s="762">
        <v>0</v>
      </c>
      <c r="K219" s="762">
        <v>151857</v>
      </c>
      <c r="L219" s="762">
        <v>0</v>
      </c>
      <c r="M219" s="762">
        <v>0</v>
      </c>
      <c r="N219" s="762">
        <v>0</v>
      </c>
      <c r="O219" s="762">
        <v>0</v>
      </c>
      <c r="P219" s="762">
        <v>0</v>
      </c>
      <c r="Q219" s="762">
        <v>0</v>
      </c>
      <c r="R219" s="762">
        <v>17293087</v>
      </c>
      <c r="S219" s="790">
        <v>0.24999999999999994</v>
      </c>
      <c r="T219" s="790">
        <v>0.44</v>
      </c>
      <c r="U219" s="790">
        <v>0.26</v>
      </c>
      <c r="V219" s="790">
        <v>0.05</v>
      </c>
      <c r="W219" s="790">
        <v>1</v>
      </c>
      <c r="X219" s="762">
        <v>4323272</v>
      </c>
      <c r="Y219" s="762">
        <v>7608958</v>
      </c>
      <c r="Z219" s="762">
        <v>4496203</v>
      </c>
      <c r="AA219" s="762">
        <v>864654</v>
      </c>
      <c r="AB219" s="762">
        <v>17293087</v>
      </c>
      <c r="AC219" s="762">
        <v>0</v>
      </c>
      <c r="AD219" s="762">
        <v>0</v>
      </c>
      <c r="AE219" s="762">
        <v>0</v>
      </c>
      <c r="AF219" s="762">
        <v>0</v>
      </c>
      <c r="AG219" s="762">
        <v>0</v>
      </c>
      <c r="AH219" s="762">
        <v>4323272</v>
      </c>
      <c r="AI219" s="762">
        <v>7608958</v>
      </c>
      <c r="AJ219" s="762">
        <v>4496203</v>
      </c>
      <c r="AK219" s="762">
        <v>864654</v>
      </c>
      <c r="AL219" s="762">
        <v>17293087</v>
      </c>
      <c r="AM219" s="762">
        <v>151857</v>
      </c>
      <c r="AN219" s="762">
        <v>151857</v>
      </c>
      <c r="AO219" s="762">
        <v>0</v>
      </c>
      <c r="AP219" s="762">
        <v>0</v>
      </c>
      <c r="AQ219" s="762">
        <v>0</v>
      </c>
      <c r="AR219" s="762">
        <v>0</v>
      </c>
      <c r="AS219" s="762">
        <v>0</v>
      </c>
      <c r="AT219" s="762">
        <v>0</v>
      </c>
      <c r="AU219" s="762">
        <v>0</v>
      </c>
      <c r="AV219" s="762">
        <v>0</v>
      </c>
      <c r="AW219" s="762">
        <v>0</v>
      </c>
      <c r="AX219" s="762">
        <v>0</v>
      </c>
      <c r="AY219" s="762">
        <v>0</v>
      </c>
      <c r="AZ219" s="762">
        <v>0</v>
      </c>
      <c r="BA219" s="762">
        <v>0</v>
      </c>
      <c r="BB219" s="762">
        <v>0</v>
      </c>
      <c r="BC219" s="762">
        <v>0</v>
      </c>
      <c r="BD219" s="762">
        <v>0</v>
      </c>
      <c r="BE219" s="762">
        <v>0</v>
      </c>
      <c r="BF219" s="762">
        <v>0</v>
      </c>
      <c r="BG219" s="762">
        <v>0</v>
      </c>
      <c r="BH219" s="762">
        <v>0</v>
      </c>
      <c r="BI219" s="762">
        <v>0</v>
      </c>
      <c r="BJ219" s="790">
        <v>0.5</v>
      </c>
      <c r="BK219" s="790">
        <v>0.4</v>
      </c>
      <c r="BL219" s="790">
        <v>0.09</v>
      </c>
      <c r="BM219" s="790">
        <v>0.01</v>
      </c>
      <c r="BN219" s="790">
        <v>1</v>
      </c>
      <c r="BO219" s="762">
        <v>-544671</v>
      </c>
      <c r="BP219" s="762">
        <v>-435736</v>
      </c>
      <c r="BQ219" s="762">
        <v>-98041</v>
      </c>
      <c r="BR219" s="762">
        <v>-10893</v>
      </c>
      <c r="BS219" s="762">
        <v>-1089341</v>
      </c>
      <c r="BT219" s="790">
        <v>0.5</v>
      </c>
      <c r="BU219" s="790">
        <v>0.4</v>
      </c>
      <c r="BV219" s="790">
        <v>0.09</v>
      </c>
      <c r="BW219" s="790">
        <v>0.01</v>
      </c>
      <c r="BX219" s="790">
        <v>1</v>
      </c>
      <c r="BY219" s="762">
        <v>-68515</v>
      </c>
      <c r="BZ219" s="762">
        <v>-54812</v>
      </c>
      <c r="CA219" s="762">
        <v>-12333</v>
      </c>
      <c r="CB219" s="762">
        <v>-1370</v>
      </c>
      <c r="CC219" s="762">
        <v>-137030</v>
      </c>
      <c r="CD219" s="762">
        <v>-613186</v>
      </c>
      <c r="CE219" s="762">
        <v>-490548</v>
      </c>
      <c r="CF219" s="762">
        <v>-110373</v>
      </c>
      <c r="CG219" s="762">
        <v>-12264</v>
      </c>
      <c r="CH219" s="762">
        <v>-1226371</v>
      </c>
      <c r="CI219" s="762">
        <v>3710086</v>
      </c>
      <c r="CJ219" s="762">
        <v>7270267</v>
      </c>
      <c r="CK219" s="762">
        <v>4385830</v>
      </c>
      <c r="CL219" s="762">
        <v>852390</v>
      </c>
      <c r="CM219" s="762">
        <v>16218573</v>
      </c>
      <c r="CN219" s="762">
        <v>247950</v>
      </c>
      <c r="CO219" s="762">
        <v>146516</v>
      </c>
      <c r="CP219" s="762">
        <v>28176</v>
      </c>
      <c r="CQ219" s="762">
        <v>422642</v>
      </c>
      <c r="CR219" s="762">
        <v>1429590</v>
      </c>
      <c r="CS219" s="762">
        <v>844757</v>
      </c>
      <c r="CT219" s="762">
        <v>162453</v>
      </c>
      <c r="CU219" s="762">
        <v>2436800</v>
      </c>
      <c r="CV219" s="762">
        <v>53994</v>
      </c>
      <c r="CW219" s="762">
        <v>31906</v>
      </c>
      <c r="CX219" s="762">
        <v>6136</v>
      </c>
      <c r="CY219" s="762">
        <v>92036</v>
      </c>
      <c r="CZ219" s="762">
        <v>0</v>
      </c>
      <c r="DA219" s="762">
        <v>0</v>
      </c>
      <c r="DB219" s="762">
        <v>0</v>
      </c>
      <c r="DC219" s="762">
        <v>0</v>
      </c>
      <c r="DD219" s="762">
        <v>17575</v>
      </c>
      <c r="DE219" s="762">
        <v>10386</v>
      </c>
      <c r="DF219" s="762">
        <v>1997</v>
      </c>
      <c r="DG219" s="762">
        <v>29958</v>
      </c>
      <c r="DH219" s="762">
        <v>0</v>
      </c>
      <c r="DI219" s="762">
        <v>0</v>
      </c>
      <c r="DJ219" s="762">
        <v>0</v>
      </c>
      <c r="DK219" s="762">
        <v>0</v>
      </c>
      <c r="DL219" s="762">
        <v>20833</v>
      </c>
      <c r="DM219" s="762">
        <v>12310</v>
      </c>
      <c r="DN219" s="762">
        <v>2367</v>
      </c>
      <c r="DO219" s="762">
        <v>35510</v>
      </c>
      <c r="DP219" s="762">
        <v>6008</v>
      </c>
      <c r="DQ219" s="762">
        <v>3550</v>
      </c>
      <c r="DR219" s="762">
        <v>683</v>
      </c>
      <c r="DS219" s="762">
        <v>10241</v>
      </c>
      <c r="DT219" s="762">
        <v>0</v>
      </c>
      <c r="DU219" s="762">
        <v>0</v>
      </c>
      <c r="DV219" s="762">
        <v>0</v>
      </c>
      <c r="DW219" s="762">
        <v>0</v>
      </c>
      <c r="DX219" s="762">
        <v>0</v>
      </c>
      <c r="DY219" s="762">
        <v>0</v>
      </c>
      <c r="DZ219" s="762">
        <v>0</v>
      </c>
      <c r="EA219" s="762">
        <v>0</v>
      </c>
      <c r="EB219" s="762">
        <v>398162</v>
      </c>
      <c r="EC219" s="762">
        <v>235277</v>
      </c>
      <c r="ED219" s="762">
        <v>45246</v>
      </c>
      <c r="EE219" s="762">
        <v>678685</v>
      </c>
      <c r="EF219" s="762">
        <v>2174112</v>
      </c>
      <c r="EG219" s="762">
        <v>1284702</v>
      </c>
      <c r="EH219" s="762">
        <v>247058</v>
      </c>
      <c r="EI219" s="799">
        <v>3705872</v>
      </c>
      <c r="EJ219" s="763" t="s">
        <v>312</v>
      </c>
      <c r="EK219" s="607" t="s">
        <v>571</v>
      </c>
      <c r="EL219" s="805" t="s">
        <v>570</v>
      </c>
      <c r="EM219" t="s">
        <v>1785</v>
      </c>
    </row>
    <row r="220" spans="1:143" ht="12.75" x14ac:dyDescent="0.2">
      <c r="A220" s="764">
        <v>213</v>
      </c>
      <c r="B220" s="765" t="s">
        <v>315</v>
      </c>
      <c r="C220" s="766" t="s">
        <v>1224</v>
      </c>
      <c r="D220" s="767" t="s">
        <v>1225</v>
      </c>
      <c r="E220" s="768" t="s">
        <v>314</v>
      </c>
      <c r="F220" s="761">
        <v>74590997</v>
      </c>
      <c r="G220" s="762">
        <v>0</v>
      </c>
      <c r="H220" s="762">
        <v>1818070</v>
      </c>
      <c r="I220" s="762">
        <v>296509</v>
      </c>
      <c r="J220" s="762">
        <v>0</v>
      </c>
      <c r="K220" s="762">
        <v>296509</v>
      </c>
      <c r="L220" s="762">
        <v>0</v>
      </c>
      <c r="M220" s="762">
        <v>362454</v>
      </c>
      <c r="N220" s="762">
        <v>211490</v>
      </c>
      <c r="O220" s="762">
        <v>211490</v>
      </c>
      <c r="P220" s="762">
        <v>0</v>
      </c>
      <c r="Q220" s="762">
        <v>0</v>
      </c>
      <c r="R220" s="762">
        <v>71902474</v>
      </c>
      <c r="S220" s="790">
        <v>0.5</v>
      </c>
      <c r="T220" s="790">
        <v>0.49</v>
      </c>
      <c r="U220" s="790">
        <v>0</v>
      </c>
      <c r="V220" s="790">
        <v>0.01</v>
      </c>
      <c r="W220" s="790">
        <v>1</v>
      </c>
      <c r="X220" s="762">
        <v>35951237</v>
      </c>
      <c r="Y220" s="762">
        <v>35232212</v>
      </c>
      <c r="Z220" s="762">
        <v>0</v>
      </c>
      <c r="AA220" s="762">
        <v>719025</v>
      </c>
      <c r="AB220" s="762">
        <v>71902474</v>
      </c>
      <c r="AC220" s="762">
        <v>206859</v>
      </c>
      <c r="AD220" s="762">
        <v>0</v>
      </c>
      <c r="AE220" s="762">
        <v>0</v>
      </c>
      <c r="AF220" s="762">
        <v>0</v>
      </c>
      <c r="AG220" s="762">
        <v>206859</v>
      </c>
      <c r="AH220" s="762">
        <v>35744378</v>
      </c>
      <c r="AI220" s="762">
        <v>35232212</v>
      </c>
      <c r="AJ220" s="762">
        <v>0</v>
      </c>
      <c r="AK220" s="762">
        <v>719025</v>
      </c>
      <c r="AL220" s="762">
        <v>71695615</v>
      </c>
      <c r="AM220" s="762">
        <v>296509</v>
      </c>
      <c r="AN220" s="762">
        <v>296509</v>
      </c>
      <c r="AO220" s="762">
        <v>362454</v>
      </c>
      <c r="AP220" s="762">
        <v>362454</v>
      </c>
      <c r="AQ220" s="762">
        <v>211490</v>
      </c>
      <c r="AR220" s="762">
        <v>0</v>
      </c>
      <c r="AS220" s="762">
        <v>211490</v>
      </c>
      <c r="AT220" s="762">
        <v>0</v>
      </c>
      <c r="AU220" s="762">
        <v>0</v>
      </c>
      <c r="AV220" s="762">
        <v>0</v>
      </c>
      <c r="AW220" s="762">
        <v>0</v>
      </c>
      <c r="AX220" s="762">
        <v>206859</v>
      </c>
      <c r="AY220" s="762">
        <v>0</v>
      </c>
      <c r="AZ220" s="762">
        <v>0</v>
      </c>
      <c r="BA220" s="762">
        <v>206859</v>
      </c>
      <c r="BB220" s="762">
        <v>0</v>
      </c>
      <c r="BC220" s="762">
        <v>0</v>
      </c>
      <c r="BD220" s="762">
        <v>0</v>
      </c>
      <c r="BE220" s="762">
        <v>0</v>
      </c>
      <c r="BF220" s="762">
        <v>0</v>
      </c>
      <c r="BG220" s="762">
        <v>0</v>
      </c>
      <c r="BH220" s="762">
        <v>0</v>
      </c>
      <c r="BI220" s="762">
        <v>0</v>
      </c>
      <c r="BJ220" s="790">
        <v>0.5</v>
      </c>
      <c r="BK220" s="790">
        <v>0.49</v>
      </c>
      <c r="BL220" s="790">
        <v>0</v>
      </c>
      <c r="BM220" s="790">
        <v>0.01</v>
      </c>
      <c r="BN220" s="790">
        <v>1</v>
      </c>
      <c r="BO220" s="762">
        <v>1052319</v>
      </c>
      <c r="BP220" s="762">
        <v>1031272</v>
      </c>
      <c r="BQ220" s="762">
        <v>0</v>
      </c>
      <c r="BR220" s="762">
        <v>21046</v>
      </c>
      <c r="BS220" s="762">
        <v>2104637</v>
      </c>
      <c r="BT220" s="790">
        <v>0.5</v>
      </c>
      <c r="BU220" s="790">
        <v>0.49</v>
      </c>
      <c r="BV220" s="790">
        <v>0</v>
      </c>
      <c r="BW220" s="790">
        <v>0.01</v>
      </c>
      <c r="BX220" s="790">
        <v>1</v>
      </c>
      <c r="BY220" s="762">
        <v>12743</v>
      </c>
      <c r="BZ220" s="762">
        <v>12488</v>
      </c>
      <c r="CA220" s="762">
        <v>0</v>
      </c>
      <c r="CB220" s="762">
        <v>255</v>
      </c>
      <c r="CC220" s="762">
        <v>25486</v>
      </c>
      <c r="CD220" s="762">
        <v>1065062</v>
      </c>
      <c r="CE220" s="762">
        <v>1043760</v>
      </c>
      <c r="CF220" s="762">
        <v>0</v>
      </c>
      <c r="CG220" s="762">
        <v>21301</v>
      </c>
      <c r="CH220" s="762">
        <v>2130123</v>
      </c>
      <c r="CI220" s="762">
        <v>36809440</v>
      </c>
      <c r="CJ220" s="762">
        <v>37353284</v>
      </c>
      <c r="CK220" s="762">
        <v>0</v>
      </c>
      <c r="CL220" s="762">
        <v>740326</v>
      </c>
      <c r="CM220" s="762">
        <v>74903050</v>
      </c>
      <c r="CN220" s="762">
        <v>1173540</v>
      </c>
      <c r="CO220" s="762">
        <v>0</v>
      </c>
      <c r="CP220" s="762">
        <v>23431</v>
      </c>
      <c r="CQ220" s="762">
        <v>1196971</v>
      </c>
      <c r="CR220" s="762">
        <v>2902174</v>
      </c>
      <c r="CS220" s="762">
        <v>0</v>
      </c>
      <c r="CT220" s="762">
        <v>58826</v>
      </c>
      <c r="CU220" s="762">
        <v>2961000</v>
      </c>
      <c r="CV220" s="762">
        <v>136199</v>
      </c>
      <c r="CW220" s="762">
        <v>0</v>
      </c>
      <c r="CX220" s="762">
        <v>2613</v>
      </c>
      <c r="CY220" s="762">
        <v>138812</v>
      </c>
      <c r="CZ220" s="762">
        <v>10918</v>
      </c>
      <c r="DA220" s="762">
        <v>0</v>
      </c>
      <c r="DB220" s="762">
        <v>223</v>
      </c>
      <c r="DC220" s="762">
        <v>11141</v>
      </c>
      <c r="DD220" s="762">
        <v>7257</v>
      </c>
      <c r="DE220" s="762">
        <v>0</v>
      </c>
      <c r="DF220" s="762">
        <v>148</v>
      </c>
      <c r="DG220" s="762">
        <v>7405</v>
      </c>
      <c r="DH220" s="762">
        <v>0</v>
      </c>
      <c r="DI220" s="762">
        <v>0</v>
      </c>
      <c r="DJ220" s="762">
        <v>0</v>
      </c>
      <c r="DK220" s="762">
        <v>0</v>
      </c>
      <c r="DL220" s="762">
        <v>14310</v>
      </c>
      <c r="DM220" s="762">
        <v>0</v>
      </c>
      <c r="DN220" s="762">
        <v>292</v>
      </c>
      <c r="DO220" s="762">
        <v>14602</v>
      </c>
      <c r="DP220" s="762">
        <v>13990</v>
      </c>
      <c r="DQ220" s="762">
        <v>0</v>
      </c>
      <c r="DR220" s="762">
        <v>286</v>
      </c>
      <c r="DS220" s="762">
        <v>14276</v>
      </c>
      <c r="DT220" s="762">
        <v>0</v>
      </c>
      <c r="DU220" s="762">
        <v>0</v>
      </c>
      <c r="DV220" s="762">
        <v>0</v>
      </c>
      <c r="DW220" s="762">
        <v>0</v>
      </c>
      <c r="DX220" s="762">
        <v>0</v>
      </c>
      <c r="DY220" s="762">
        <v>0</v>
      </c>
      <c r="DZ220" s="762">
        <v>0</v>
      </c>
      <c r="EA220" s="762">
        <v>0</v>
      </c>
      <c r="EB220" s="762">
        <v>549781</v>
      </c>
      <c r="EC220" s="762">
        <v>0</v>
      </c>
      <c r="ED220" s="762">
        <v>11220</v>
      </c>
      <c r="EE220" s="762">
        <v>561001</v>
      </c>
      <c r="EF220" s="762">
        <v>4808169</v>
      </c>
      <c r="EG220" s="762">
        <v>0</v>
      </c>
      <c r="EH220" s="762">
        <v>97039</v>
      </c>
      <c r="EI220" s="799">
        <v>4905208</v>
      </c>
      <c r="EJ220" s="763" t="s">
        <v>314</v>
      </c>
      <c r="EK220" s="607" t="s">
        <v>621</v>
      </c>
      <c r="EL220" s="805" t="s">
        <v>624</v>
      </c>
      <c r="EM220" t="s">
        <v>1786</v>
      </c>
    </row>
    <row r="221" spans="1:143" ht="12.75" x14ac:dyDescent="0.2">
      <c r="A221" s="764">
        <v>214</v>
      </c>
      <c r="B221" s="765" t="s">
        <v>317</v>
      </c>
      <c r="C221" s="766" t="s">
        <v>1217</v>
      </c>
      <c r="D221" s="767" t="s">
        <v>1227</v>
      </c>
      <c r="E221" s="768" t="s">
        <v>316</v>
      </c>
      <c r="F221" s="761">
        <v>53206116</v>
      </c>
      <c r="G221" s="762">
        <v>0</v>
      </c>
      <c r="H221" s="762">
        <v>507131</v>
      </c>
      <c r="I221" s="762">
        <v>136804</v>
      </c>
      <c r="J221" s="762">
        <v>0</v>
      </c>
      <c r="K221" s="762">
        <v>136804</v>
      </c>
      <c r="L221" s="762">
        <v>0</v>
      </c>
      <c r="M221" s="762">
        <v>0</v>
      </c>
      <c r="N221" s="762">
        <v>0</v>
      </c>
      <c r="O221" s="762">
        <v>0</v>
      </c>
      <c r="P221" s="762">
        <v>0</v>
      </c>
      <c r="Q221" s="762">
        <v>0</v>
      </c>
      <c r="R221" s="762">
        <v>52562181</v>
      </c>
      <c r="S221" s="790">
        <v>0.5</v>
      </c>
      <c r="T221" s="790">
        <v>0.4</v>
      </c>
      <c r="U221" s="790">
        <v>0.1</v>
      </c>
      <c r="V221" s="790">
        <v>0</v>
      </c>
      <c r="W221" s="790">
        <v>1</v>
      </c>
      <c r="X221" s="762">
        <v>26281091</v>
      </c>
      <c r="Y221" s="762">
        <v>21024872</v>
      </c>
      <c r="Z221" s="762">
        <v>5256218</v>
      </c>
      <c r="AA221" s="762">
        <v>0</v>
      </c>
      <c r="AB221" s="762">
        <v>52562181</v>
      </c>
      <c r="AC221" s="762">
        <v>0</v>
      </c>
      <c r="AD221" s="762">
        <v>0</v>
      </c>
      <c r="AE221" s="762">
        <v>0</v>
      </c>
      <c r="AF221" s="762">
        <v>0</v>
      </c>
      <c r="AG221" s="762">
        <v>0</v>
      </c>
      <c r="AH221" s="762">
        <v>26281091</v>
      </c>
      <c r="AI221" s="762">
        <v>21024872</v>
      </c>
      <c r="AJ221" s="762">
        <v>5256218</v>
      </c>
      <c r="AK221" s="762">
        <v>0</v>
      </c>
      <c r="AL221" s="762">
        <v>52562181</v>
      </c>
      <c r="AM221" s="762">
        <v>136804</v>
      </c>
      <c r="AN221" s="762">
        <v>136804</v>
      </c>
      <c r="AO221" s="762">
        <v>0</v>
      </c>
      <c r="AP221" s="762">
        <v>0</v>
      </c>
      <c r="AQ221" s="762">
        <v>0</v>
      </c>
      <c r="AR221" s="762">
        <v>0</v>
      </c>
      <c r="AS221" s="762">
        <v>0</v>
      </c>
      <c r="AT221" s="762">
        <v>0</v>
      </c>
      <c r="AU221" s="762">
        <v>0</v>
      </c>
      <c r="AV221" s="762">
        <v>0</v>
      </c>
      <c r="AW221" s="762">
        <v>0</v>
      </c>
      <c r="AX221" s="762">
        <v>0</v>
      </c>
      <c r="AY221" s="762">
        <v>0</v>
      </c>
      <c r="AZ221" s="762">
        <v>0</v>
      </c>
      <c r="BA221" s="762">
        <v>0</v>
      </c>
      <c r="BB221" s="762">
        <v>0</v>
      </c>
      <c r="BC221" s="762">
        <v>0</v>
      </c>
      <c r="BD221" s="762">
        <v>0</v>
      </c>
      <c r="BE221" s="762">
        <v>0</v>
      </c>
      <c r="BF221" s="762">
        <v>0</v>
      </c>
      <c r="BG221" s="762">
        <v>0</v>
      </c>
      <c r="BH221" s="762">
        <v>0</v>
      </c>
      <c r="BI221" s="762">
        <v>0</v>
      </c>
      <c r="BJ221" s="790">
        <v>0.5</v>
      </c>
      <c r="BK221" s="790">
        <v>0.4</v>
      </c>
      <c r="BL221" s="790">
        <v>0.1</v>
      </c>
      <c r="BM221" s="790">
        <v>0</v>
      </c>
      <c r="BN221" s="790">
        <v>1</v>
      </c>
      <c r="BO221" s="762">
        <v>912661</v>
      </c>
      <c r="BP221" s="762">
        <v>730128</v>
      </c>
      <c r="BQ221" s="762">
        <v>182532</v>
      </c>
      <c r="BR221" s="762">
        <v>0</v>
      </c>
      <c r="BS221" s="762">
        <v>1825321</v>
      </c>
      <c r="BT221" s="790">
        <v>0.5</v>
      </c>
      <c r="BU221" s="790">
        <v>0.4</v>
      </c>
      <c r="BV221" s="790">
        <v>0.1</v>
      </c>
      <c r="BW221" s="790">
        <v>0</v>
      </c>
      <c r="BX221" s="790">
        <v>1</v>
      </c>
      <c r="BY221" s="762">
        <v>-1070078</v>
      </c>
      <c r="BZ221" s="762">
        <v>-856062</v>
      </c>
      <c r="CA221" s="762">
        <v>-214016</v>
      </c>
      <c r="CB221" s="762">
        <v>0</v>
      </c>
      <c r="CC221" s="762">
        <v>-2140156</v>
      </c>
      <c r="CD221" s="762">
        <v>-157417</v>
      </c>
      <c r="CE221" s="762">
        <v>-125934</v>
      </c>
      <c r="CF221" s="762">
        <v>-31484</v>
      </c>
      <c r="CG221" s="762">
        <v>0</v>
      </c>
      <c r="CH221" s="762">
        <v>-314835</v>
      </c>
      <c r="CI221" s="762">
        <v>26123674</v>
      </c>
      <c r="CJ221" s="762">
        <v>21035742</v>
      </c>
      <c r="CK221" s="762">
        <v>5224734</v>
      </c>
      <c r="CL221" s="762">
        <v>0</v>
      </c>
      <c r="CM221" s="762">
        <v>52384150</v>
      </c>
      <c r="CN221" s="762">
        <v>685128</v>
      </c>
      <c r="CO221" s="762">
        <v>171282</v>
      </c>
      <c r="CP221" s="762">
        <v>0</v>
      </c>
      <c r="CQ221" s="762">
        <v>856410</v>
      </c>
      <c r="CR221" s="762">
        <v>945338</v>
      </c>
      <c r="CS221" s="762">
        <v>236335</v>
      </c>
      <c r="CT221" s="762">
        <v>0</v>
      </c>
      <c r="CU221" s="762">
        <v>1181673</v>
      </c>
      <c r="CV221" s="762">
        <v>80787</v>
      </c>
      <c r="CW221" s="762">
        <v>20197</v>
      </c>
      <c r="CX221" s="762">
        <v>0</v>
      </c>
      <c r="CY221" s="762">
        <v>100984</v>
      </c>
      <c r="CZ221" s="762">
        <v>0</v>
      </c>
      <c r="DA221" s="762">
        <v>0</v>
      </c>
      <c r="DB221" s="762">
        <v>0</v>
      </c>
      <c r="DC221" s="762">
        <v>0</v>
      </c>
      <c r="DD221" s="762">
        <v>3104</v>
      </c>
      <c r="DE221" s="762">
        <v>776</v>
      </c>
      <c r="DF221" s="762">
        <v>0</v>
      </c>
      <c r="DG221" s="762">
        <v>3880</v>
      </c>
      <c r="DH221" s="762">
        <v>0</v>
      </c>
      <c r="DI221" s="762">
        <v>0</v>
      </c>
      <c r="DJ221" s="762">
        <v>0</v>
      </c>
      <c r="DK221" s="762">
        <v>0</v>
      </c>
      <c r="DL221" s="762">
        <v>8940</v>
      </c>
      <c r="DM221" s="762">
        <v>2235</v>
      </c>
      <c r="DN221" s="762">
        <v>0</v>
      </c>
      <c r="DO221" s="762">
        <v>11175</v>
      </c>
      <c r="DP221" s="762">
        <v>22982</v>
      </c>
      <c r="DQ221" s="762">
        <v>5745</v>
      </c>
      <c r="DR221" s="762">
        <v>0</v>
      </c>
      <c r="DS221" s="762">
        <v>28727</v>
      </c>
      <c r="DT221" s="762">
        <v>0</v>
      </c>
      <c r="DU221" s="762">
        <v>0</v>
      </c>
      <c r="DV221" s="762">
        <v>0</v>
      </c>
      <c r="DW221" s="762">
        <v>0</v>
      </c>
      <c r="DX221" s="762">
        <v>0</v>
      </c>
      <c r="DY221" s="762">
        <v>0</v>
      </c>
      <c r="DZ221" s="762">
        <v>0</v>
      </c>
      <c r="EA221" s="762">
        <v>0</v>
      </c>
      <c r="EB221" s="762">
        <v>206518</v>
      </c>
      <c r="EC221" s="762">
        <v>51629</v>
      </c>
      <c r="ED221" s="762">
        <v>0</v>
      </c>
      <c r="EE221" s="762">
        <v>258147</v>
      </c>
      <c r="EF221" s="762">
        <v>1952797</v>
      </c>
      <c r="EG221" s="762">
        <v>488199</v>
      </c>
      <c r="EH221" s="762">
        <v>0</v>
      </c>
      <c r="EI221" s="799">
        <v>2440996</v>
      </c>
      <c r="EJ221" s="763" t="s">
        <v>316</v>
      </c>
      <c r="EK221" s="607" t="s">
        <v>617</v>
      </c>
      <c r="EL221" s="805" t="s">
        <v>556</v>
      </c>
      <c r="EM221" t="s">
        <v>1787</v>
      </c>
    </row>
    <row r="222" spans="1:143" ht="12.75" x14ac:dyDescent="0.2">
      <c r="A222" s="764">
        <v>215</v>
      </c>
      <c r="B222" s="765" t="s">
        <v>319</v>
      </c>
      <c r="C222" s="766" t="s">
        <v>1217</v>
      </c>
      <c r="D222" s="767" t="s">
        <v>1218</v>
      </c>
      <c r="E222" s="768" t="s">
        <v>318</v>
      </c>
      <c r="F222" s="761">
        <v>58701375</v>
      </c>
      <c r="G222" s="762">
        <v>430788</v>
      </c>
      <c r="H222" s="762">
        <v>0</v>
      </c>
      <c r="I222" s="762">
        <v>135325</v>
      </c>
      <c r="J222" s="762">
        <v>0</v>
      </c>
      <c r="K222" s="762">
        <v>135325</v>
      </c>
      <c r="L222" s="762">
        <v>0</v>
      </c>
      <c r="M222" s="762">
        <v>0</v>
      </c>
      <c r="N222" s="762">
        <v>0</v>
      </c>
      <c r="O222" s="762">
        <v>0</v>
      </c>
      <c r="P222" s="762">
        <v>0</v>
      </c>
      <c r="Q222" s="762">
        <v>0</v>
      </c>
      <c r="R222" s="762">
        <v>58996838</v>
      </c>
      <c r="S222" s="790">
        <v>0.5</v>
      </c>
      <c r="T222" s="790">
        <v>0.4</v>
      </c>
      <c r="U222" s="790">
        <v>0.1</v>
      </c>
      <c r="V222" s="790">
        <v>0</v>
      </c>
      <c r="W222" s="790">
        <v>1</v>
      </c>
      <c r="X222" s="762">
        <v>29498419</v>
      </c>
      <c r="Y222" s="762">
        <v>23598735</v>
      </c>
      <c r="Z222" s="762">
        <v>5899684</v>
      </c>
      <c r="AA222" s="762">
        <v>0</v>
      </c>
      <c r="AB222" s="762">
        <v>58996838</v>
      </c>
      <c r="AC222" s="762">
        <v>0</v>
      </c>
      <c r="AD222" s="762">
        <v>0</v>
      </c>
      <c r="AE222" s="762">
        <v>0</v>
      </c>
      <c r="AF222" s="762">
        <v>0</v>
      </c>
      <c r="AG222" s="762">
        <v>0</v>
      </c>
      <c r="AH222" s="762">
        <v>29498419</v>
      </c>
      <c r="AI222" s="762">
        <v>23598735</v>
      </c>
      <c r="AJ222" s="762">
        <v>5899684</v>
      </c>
      <c r="AK222" s="762">
        <v>0</v>
      </c>
      <c r="AL222" s="762">
        <v>58996838</v>
      </c>
      <c r="AM222" s="762">
        <v>135325</v>
      </c>
      <c r="AN222" s="762">
        <v>135325</v>
      </c>
      <c r="AO222" s="762">
        <v>0</v>
      </c>
      <c r="AP222" s="762">
        <v>0</v>
      </c>
      <c r="AQ222" s="762">
        <v>0</v>
      </c>
      <c r="AR222" s="762">
        <v>0</v>
      </c>
      <c r="AS222" s="762">
        <v>0</v>
      </c>
      <c r="AT222" s="762">
        <v>0</v>
      </c>
      <c r="AU222" s="762">
        <v>0</v>
      </c>
      <c r="AV222" s="762">
        <v>0</v>
      </c>
      <c r="AW222" s="762">
        <v>0</v>
      </c>
      <c r="AX222" s="762">
        <v>0</v>
      </c>
      <c r="AY222" s="762">
        <v>0</v>
      </c>
      <c r="AZ222" s="762">
        <v>0</v>
      </c>
      <c r="BA222" s="762">
        <v>0</v>
      </c>
      <c r="BB222" s="762">
        <v>0</v>
      </c>
      <c r="BC222" s="762">
        <v>0</v>
      </c>
      <c r="BD222" s="762">
        <v>0</v>
      </c>
      <c r="BE222" s="762">
        <v>0</v>
      </c>
      <c r="BF222" s="762">
        <v>0</v>
      </c>
      <c r="BG222" s="762">
        <v>0</v>
      </c>
      <c r="BH222" s="762">
        <v>0</v>
      </c>
      <c r="BI222" s="762">
        <v>0</v>
      </c>
      <c r="BJ222" s="790">
        <v>0</v>
      </c>
      <c r="BK222" s="790">
        <v>0.3</v>
      </c>
      <c r="BL222" s="790">
        <v>0.7</v>
      </c>
      <c r="BM222" s="790">
        <v>0</v>
      </c>
      <c r="BN222" s="790">
        <v>1</v>
      </c>
      <c r="BO222" s="762">
        <v>0</v>
      </c>
      <c r="BP222" s="762">
        <v>2767259</v>
      </c>
      <c r="BQ222" s="762">
        <v>6456938</v>
      </c>
      <c r="BR222" s="762">
        <v>0</v>
      </c>
      <c r="BS222" s="762">
        <v>9224197</v>
      </c>
      <c r="BT222" s="790">
        <v>0.5</v>
      </c>
      <c r="BU222" s="790">
        <v>0.4</v>
      </c>
      <c r="BV222" s="790">
        <v>0.1</v>
      </c>
      <c r="BW222" s="790">
        <v>0</v>
      </c>
      <c r="BX222" s="790">
        <v>1</v>
      </c>
      <c r="BY222" s="762">
        <v>-1561697</v>
      </c>
      <c r="BZ222" s="762">
        <v>-1249358</v>
      </c>
      <c r="CA222" s="762">
        <v>-312340</v>
      </c>
      <c r="CB222" s="762">
        <v>0</v>
      </c>
      <c r="CC222" s="762">
        <v>-3123395</v>
      </c>
      <c r="CD222" s="762">
        <v>-1561697</v>
      </c>
      <c r="CE222" s="762">
        <v>1517901</v>
      </c>
      <c r="CF222" s="762">
        <v>6144598</v>
      </c>
      <c r="CG222" s="762">
        <v>0</v>
      </c>
      <c r="CH222" s="762">
        <v>6100802</v>
      </c>
      <c r="CI222" s="762">
        <v>27936722</v>
      </c>
      <c r="CJ222" s="762">
        <v>25251961</v>
      </c>
      <c r="CK222" s="762">
        <v>12044282</v>
      </c>
      <c r="CL222" s="762">
        <v>0</v>
      </c>
      <c r="CM222" s="762">
        <v>65232965</v>
      </c>
      <c r="CN222" s="762">
        <v>769002</v>
      </c>
      <c r="CO222" s="762">
        <v>192250</v>
      </c>
      <c r="CP222" s="762">
        <v>0</v>
      </c>
      <c r="CQ222" s="762">
        <v>961252</v>
      </c>
      <c r="CR222" s="762">
        <v>678274</v>
      </c>
      <c r="CS222" s="762">
        <v>169569</v>
      </c>
      <c r="CT222" s="762">
        <v>0</v>
      </c>
      <c r="CU222" s="762">
        <v>847843</v>
      </c>
      <c r="CV222" s="762">
        <v>69613</v>
      </c>
      <c r="CW222" s="762">
        <v>16812</v>
      </c>
      <c r="CX222" s="762">
        <v>0</v>
      </c>
      <c r="CY222" s="762">
        <v>86425</v>
      </c>
      <c r="CZ222" s="762">
        <v>0</v>
      </c>
      <c r="DA222" s="762">
        <v>0</v>
      </c>
      <c r="DB222" s="762">
        <v>0</v>
      </c>
      <c r="DC222" s="762">
        <v>0</v>
      </c>
      <c r="DD222" s="762">
        <v>7802</v>
      </c>
      <c r="DE222" s="762">
        <v>1951</v>
      </c>
      <c r="DF222" s="762">
        <v>0</v>
      </c>
      <c r="DG222" s="762">
        <v>9753</v>
      </c>
      <c r="DH222" s="762">
        <v>0</v>
      </c>
      <c r="DI222" s="762">
        <v>0</v>
      </c>
      <c r="DJ222" s="762">
        <v>0</v>
      </c>
      <c r="DK222" s="762">
        <v>0</v>
      </c>
      <c r="DL222" s="762">
        <v>9902</v>
      </c>
      <c r="DM222" s="762">
        <v>2476</v>
      </c>
      <c r="DN222" s="762">
        <v>0</v>
      </c>
      <c r="DO222" s="762">
        <v>12378</v>
      </c>
      <c r="DP222" s="762">
        <v>27256</v>
      </c>
      <c r="DQ222" s="762">
        <v>6630</v>
      </c>
      <c r="DR222" s="762">
        <v>0</v>
      </c>
      <c r="DS222" s="762">
        <v>33886</v>
      </c>
      <c r="DT222" s="762">
        <v>0</v>
      </c>
      <c r="DU222" s="762">
        <v>0</v>
      </c>
      <c r="DV222" s="762">
        <v>0</v>
      </c>
      <c r="DW222" s="762">
        <v>0</v>
      </c>
      <c r="DX222" s="762">
        <v>0</v>
      </c>
      <c r="DY222" s="762">
        <v>0</v>
      </c>
      <c r="DZ222" s="762">
        <v>0</v>
      </c>
      <c r="EA222" s="762">
        <v>0</v>
      </c>
      <c r="EB222" s="762">
        <v>251125</v>
      </c>
      <c r="EC222" s="762">
        <v>62781</v>
      </c>
      <c r="ED222" s="762">
        <v>0</v>
      </c>
      <c r="EE222" s="762">
        <v>313906</v>
      </c>
      <c r="EF222" s="762">
        <v>1812974</v>
      </c>
      <c r="EG222" s="762">
        <v>452469</v>
      </c>
      <c r="EH222" s="762">
        <v>0</v>
      </c>
      <c r="EI222" s="799">
        <v>2265443</v>
      </c>
      <c r="EJ222" s="763" t="s">
        <v>318</v>
      </c>
      <c r="EK222" s="607" t="s">
        <v>616</v>
      </c>
      <c r="EL222" s="805" t="s">
        <v>556</v>
      </c>
      <c r="EM222" t="s">
        <v>1788</v>
      </c>
    </row>
    <row r="223" spans="1:143" ht="12.75" x14ac:dyDescent="0.2">
      <c r="A223" s="764">
        <v>216</v>
      </c>
      <c r="B223" s="765" t="s">
        <v>321</v>
      </c>
      <c r="C223" s="766" t="s">
        <v>1217</v>
      </c>
      <c r="D223" s="767" t="s">
        <v>1220</v>
      </c>
      <c r="E223" s="768" t="s">
        <v>320</v>
      </c>
      <c r="F223" s="761">
        <v>28736124</v>
      </c>
      <c r="G223" s="762">
        <v>0</v>
      </c>
      <c r="H223" s="762">
        <v>2016540</v>
      </c>
      <c r="I223" s="762">
        <v>112270</v>
      </c>
      <c r="J223" s="762">
        <v>0</v>
      </c>
      <c r="K223" s="762">
        <v>112270</v>
      </c>
      <c r="L223" s="762">
        <v>0</v>
      </c>
      <c r="M223" s="762">
        <v>0</v>
      </c>
      <c r="N223" s="762">
        <v>401631</v>
      </c>
      <c r="O223" s="762">
        <v>401631</v>
      </c>
      <c r="P223" s="762">
        <v>0</v>
      </c>
      <c r="Q223" s="762">
        <v>0</v>
      </c>
      <c r="R223" s="762">
        <v>26205683</v>
      </c>
      <c r="S223" s="790">
        <v>0.5</v>
      </c>
      <c r="T223" s="790">
        <v>0.4</v>
      </c>
      <c r="U223" s="790">
        <v>0.09</v>
      </c>
      <c r="V223" s="790">
        <v>0.01</v>
      </c>
      <c r="W223" s="790">
        <v>1</v>
      </c>
      <c r="X223" s="762">
        <v>13102842</v>
      </c>
      <c r="Y223" s="762">
        <v>10482273</v>
      </c>
      <c r="Z223" s="762">
        <v>2358511</v>
      </c>
      <c r="AA223" s="762">
        <v>262057</v>
      </c>
      <c r="AB223" s="762">
        <v>26205683</v>
      </c>
      <c r="AC223" s="762">
        <v>0</v>
      </c>
      <c r="AD223" s="762">
        <v>0</v>
      </c>
      <c r="AE223" s="762">
        <v>0</v>
      </c>
      <c r="AF223" s="762">
        <v>0</v>
      </c>
      <c r="AG223" s="762">
        <v>0</v>
      </c>
      <c r="AH223" s="762">
        <v>13102842</v>
      </c>
      <c r="AI223" s="762">
        <v>10482273</v>
      </c>
      <c r="AJ223" s="762">
        <v>2358511</v>
      </c>
      <c r="AK223" s="762">
        <v>262057</v>
      </c>
      <c r="AL223" s="762">
        <v>26205683</v>
      </c>
      <c r="AM223" s="762">
        <v>112270</v>
      </c>
      <c r="AN223" s="762">
        <v>112270</v>
      </c>
      <c r="AO223" s="762">
        <v>0</v>
      </c>
      <c r="AP223" s="762">
        <v>0</v>
      </c>
      <c r="AQ223" s="762">
        <v>401631</v>
      </c>
      <c r="AR223" s="762">
        <v>0</v>
      </c>
      <c r="AS223" s="762">
        <v>401631</v>
      </c>
      <c r="AT223" s="762">
        <v>0</v>
      </c>
      <c r="AU223" s="762">
        <v>0</v>
      </c>
      <c r="AV223" s="762">
        <v>0</v>
      </c>
      <c r="AW223" s="762">
        <v>0</v>
      </c>
      <c r="AX223" s="762">
        <v>0</v>
      </c>
      <c r="AY223" s="762">
        <v>0</v>
      </c>
      <c r="AZ223" s="762">
        <v>0</v>
      </c>
      <c r="BA223" s="762">
        <v>0</v>
      </c>
      <c r="BB223" s="762">
        <v>0</v>
      </c>
      <c r="BC223" s="762">
        <v>0</v>
      </c>
      <c r="BD223" s="762">
        <v>0</v>
      </c>
      <c r="BE223" s="762">
        <v>0</v>
      </c>
      <c r="BF223" s="762">
        <v>0</v>
      </c>
      <c r="BG223" s="762">
        <v>0</v>
      </c>
      <c r="BH223" s="762">
        <v>0</v>
      </c>
      <c r="BI223" s="762">
        <v>0</v>
      </c>
      <c r="BJ223" s="790">
        <v>0.5</v>
      </c>
      <c r="BK223" s="790">
        <v>0.4</v>
      </c>
      <c r="BL223" s="790">
        <v>0.09</v>
      </c>
      <c r="BM223" s="790">
        <v>0.01</v>
      </c>
      <c r="BN223" s="790">
        <v>1</v>
      </c>
      <c r="BO223" s="762">
        <v>754736</v>
      </c>
      <c r="BP223" s="762">
        <v>603790</v>
      </c>
      <c r="BQ223" s="762">
        <v>135853</v>
      </c>
      <c r="BR223" s="762">
        <v>15095</v>
      </c>
      <c r="BS223" s="762">
        <v>1509474</v>
      </c>
      <c r="BT223" s="790">
        <v>0.5</v>
      </c>
      <c r="BU223" s="790">
        <v>0.4</v>
      </c>
      <c r="BV223" s="790">
        <v>0.09</v>
      </c>
      <c r="BW223" s="790">
        <v>0.01</v>
      </c>
      <c r="BX223" s="790">
        <v>1</v>
      </c>
      <c r="BY223" s="762">
        <v>-1004069</v>
      </c>
      <c r="BZ223" s="762">
        <v>-803255</v>
      </c>
      <c r="CA223" s="762">
        <v>-180732</v>
      </c>
      <c r="CB223" s="762">
        <v>-20081</v>
      </c>
      <c r="CC223" s="762">
        <v>-2008137</v>
      </c>
      <c r="CD223" s="762">
        <v>-249331</v>
      </c>
      <c r="CE223" s="762">
        <v>-199465</v>
      </c>
      <c r="CF223" s="762">
        <v>-44880</v>
      </c>
      <c r="CG223" s="762">
        <v>-4987</v>
      </c>
      <c r="CH223" s="762">
        <v>-498663</v>
      </c>
      <c r="CI223" s="762">
        <v>12853511</v>
      </c>
      <c r="CJ223" s="762">
        <v>10796709</v>
      </c>
      <c r="CK223" s="762">
        <v>2313631</v>
      </c>
      <c r="CL223" s="762">
        <v>257070</v>
      </c>
      <c r="CM223" s="762">
        <v>26220921</v>
      </c>
      <c r="CN223" s="762">
        <v>354669</v>
      </c>
      <c r="CO223" s="762">
        <v>76856</v>
      </c>
      <c r="CP223" s="762">
        <v>8540</v>
      </c>
      <c r="CQ223" s="762">
        <v>440065</v>
      </c>
      <c r="CR223" s="762">
        <v>871224</v>
      </c>
      <c r="CS223" s="762">
        <v>196026</v>
      </c>
      <c r="CT223" s="762">
        <v>21781</v>
      </c>
      <c r="CU223" s="762">
        <v>1089031</v>
      </c>
      <c r="CV223" s="762">
        <v>56307</v>
      </c>
      <c r="CW223" s="762">
        <v>12669</v>
      </c>
      <c r="CX223" s="762">
        <v>1408</v>
      </c>
      <c r="CY223" s="762">
        <v>70384</v>
      </c>
      <c r="CZ223" s="762">
        <v>1083</v>
      </c>
      <c r="DA223" s="762">
        <v>244</v>
      </c>
      <c r="DB223" s="762">
        <v>27</v>
      </c>
      <c r="DC223" s="762">
        <v>1354</v>
      </c>
      <c r="DD223" s="762">
        <v>2491</v>
      </c>
      <c r="DE223" s="762">
        <v>560</v>
      </c>
      <c r="DF223" s="762">
        <v>62</v>
      </c>
      <c r="DG223" s="762">
        <v>3113</v>
      </c>
      <c r="DH223" s="762">
        <v>0</v>
      </c>
      <c r="DI223" s="762">
        <v>0</v>
      </c>
      <c r="DJ223" s="762">
        <v>0</v>
      </c>
      <c r="DK223" s="762">
        <v>0</v>
      </c>
      <c r="DL223" s="762">
        <v>14639</v>
      </c>
      <c r="DM223" s="762">
        <v>3294</v>
      </c>
      <c r="DN223" s="762">
        <v>366</v>
      </c>
      <c r="DO223" s="762">
        <v>18299</v>
      </c>
      <c r="DP223" s="762">
        <v>22022</v>
      </c>
      <c r="DQ223" s="762">
        <v>4955</v>
      </c>
      <c r="DR223" s="762">
        <v>551</v>
      </c>
      <c r="DS223" s="762">
        <v>27528</v>
      </c>
      <c r="DT223" s="762">
        <v>0</v>
      </c>
      <c r="DU223" s="762">
        <v>0</v>
      </c>
      <c r="DV223" s="762">
        <v>0</v>
      </c>
      <c r="DW223" s="762">
        <v>0</v>
      </c>
      <c r="DX223" s="762">
        <v>0</v>
      </c>
      <c r="DY223" s="762">
        <v>0</v>
      </c>
      <c r="DZ223" s="762">
        <v>0</v>
      </c>
      <c r="EA223" s="762">
        <v>0</v>
      </c>
      <c r="EB223" s="762">
        <v>256945</v>
      </c>
      <c r="EC223" s="762">
        <v>57813</v>
      </c>
      <c r="ED223" s="762">
        <v>6424</v>
      </c>
      <c r="EE223" s="762">
        <v>321182</v>
      </c>
      <c r="EF223" s="762">
        <v>1579380</v>
      </c>
      <c r="EG223" s="762">
        <v>352417</v>
      </c>
      <c r="EH223" s="762">
        <v>39159</v>
      </c>
      <c r="EI223" s="799">
        <v>1970956</v>
      </c>
      <c r="EJ223" s="763" t="s">
        <v>320</v>
      </c>
      <c r="EK223" s="607" t="s">
        <v>608</v>
      </c>
      <c r="EL223" s="805" t="s">
        <v>607</v>
      </c>
      <c r="EM223" t="s">
        <v>1789</v>
      </c>
    </row>
    <row r="224" spans="1:143" ht="12.75" x14ac:dyDescent="0.2">
      <c r="A224" s="764">
        <v>217</v>
      </c>
      <c r="B224" s="765" t="s">
        <v>323</v>
      </c>
      <c r="C224" s="766" t="s">
        <v>1217</v>
      </c>
      <c r="D224" s="767" t="s">
        <v>1218</v>
      </c>
      <c r="E224" s="768" t="s">
        <v>322</v>
      </c>
      <c r="F224" s="761">
        <v>49779114</v>
      </c>
      <c r="G224" s="762">
        <v>116370</v>
      </c>
      <c r="H224" s="762">
        <v>0</v>
      </c>
      <c r="I224" s="762">
        <v>123989</v>
      </c>
      <c r="J224" s="762">
        <v>0</v>
      </c>
      <c r="K224" s="762">
        <v>123989</v>
      </c>
      <c r="L224" s="762">
        <v>0</v>
      </c>
      <c r="M224" s="762">
        <v>0</v>
      </c>
      <c r="N224" s="762">
        <v>0</v>
      </c>
      <c r="O224" s="762">
        <v>0</v>
      </c>
      <c r="P224" s="762">
        <v>0</v>
      </c>
      <c r="Q224" s="762">
        <v>0</v>
      </c>
      <c r="R224" s="762">
        <v>49771495</v>
      </c>
      <c r="S224" s="790">
        <v>0.5</v>
      </c>
      <c r="T224" s="790">
        <v>0.4</v>
      </c>
      <c r="U224" s="790">
        <v>0.09</v>
      </c>
      <c r="V224" s="790">
        <v>0.01</v>
      </c>
      <c r="W224" s="790">
        <v>1</v>
      </c>
      <c r="X224" s="762">
        <v>24885747</v>
      </c>
      <c r="Y224" s="762">
        <v>19908598</v>
      </c>
      <c r="Z224" s="762">
        <v>4479435</v>
      </c>
      <c r="AA224" s="762">
        <v>497715</v>
      </c>
      <c r="AB224" s="762">
        <v>49771495</v>
      </c>
      <c r="AC224" s="762">
        <v>0</v>
      </c>
      <c r="AD224" s="762">
        <v>0</v>
      </c>
      <c r="AE224" s="762">
        <v>0</v>
      </c>
      <c r="AF224" s="762">
        <v>0</v>
      </c>
      <c r="AG224" s="762">
        <v>0</v>
      </c>
      <c r="AH224" s="762">
        <v>24885747</v>
      </c>
      <c r="AI224" s="762">
        <v>19908598</v>
      </c>
      <c r="AJ224" s="762">
        <v>4479435</v>
      </c>
      <c r="AK224" s="762">
        <v>497715</v>
      </c>
      <c r="AL224" s="762">
        <v>49771495</v>
      </c>
      <c r="AM224" s="762">
        <v>123989</v>
      </c>
      <c r="AN224" s="762">
        <v>123989</v>
      </c>
      <c r="AO224" s="762">
        <v>0</v>
      </c>
      <c r="AP224" s="762">
        <v>0</v>
      </c>
      <c r="AQ224" s="762">
        <v>0</v>
      </c>
      <c r="AR224" s="762">
        <v>0</v>
      </c>
      <c r="AS224" s="762">
        <v>0</v>
      </c>
      <c r="AT224" s="762">
        <v>0</v>
      </c>
      <c r="AU224" s="762">
        <v>0</v>
      </c>
      <c r="AV224" s="762">
        <v>0</v>
      </c>
      <c r="AW224" s="762">
        <v>0</v>
      </c>
      <c r="AX224" s="762">
        <v>0</v>
      </c>
      <c r="AY224" s="762">
        <v>0</v>
      </c>
      <c r="AZ224" s="762">
        <v>0</v>
      </c>
      <c r="BA224" s="762">
        <v>0</v>
      </c>
      <c r="BB224" s="762">
        <v>0</v>
      </c>
      <c r="BC224" s="762">
        <v>0</v>
      </c>
      <c r="BD224" s="762">
        <v>0</v>
      </c>
      <c r="BE224" s="762">
        <v>0</v>
      </c>
      <c r="BF224" s="762">
        <v>0</v>
      </c>
      <c r="BG224" s="762">
        <v>0</v>
      </c>
      <c r="BH224" s="762">
        <v>0</v>
      </c>
      <c r="BI224" s="762">
        <v>0</v>
      </c>
      <c r="BJ224" s="790">
        <v>0.5</v>
      </c>
      <c r="BK224" s="790">
        <v>0.4</v>
      </c>
      <c r="BL224" s="790">
        <v>0.09</v>
      </c>
      <c r="BM224" s="790">
        <v>0.01</v>
      </c>
      <c r="BN224" s="790">
        <v>1</v>
      </c>
      <c r="BO224" s="762">
        <v>643496</v>
      </c>
      <c r="BP224" s="762">
        <v>514796</v>
      </c>
      <c r="BQ224" s="762">
        <v>115829</v>
      </c>
      <c r="BR224" s="762">
        <v>12870</v>
      </c>
      <c r="BS224" s="762">
        <v>1286991</v>
      </c>
      <c r="BT224" s="790">
        <v>0.5</v>
      </c>
      <c r="BU224" s="790">
        <v>0.4</v>
      </c>
      <c r="BV224" s="790">
        <v>0.09</v>
      </c>
      <c r="BW224" s="790">
        <v>0.01</v>
      </c>
      <c r="BX224" s="790">
        <v>1</v>
      </c>
      <c r="BY224" s="762">
        <v>-269993</v>
      </c>
      <c r="BZ224" s="762">
        <v>-215994</v>
      </c>
      <c r="CA224" s="762">
        <v>-48599</v>
      </c>
      <c r="CB224" s="762">
        <v>-5400</v>
      </c>
      <c r="CC224" s="762">
        <v>-539986</v>
      </c>
      <c r="CD224" s="762">
        <v>373503</v>
      </c>
      <c r="CE224" s="762">
        <v>298802</v>
      </c>
      <c r="CF224" s="762">
        <v>67230</v>
      </c>
      <c r="CG224" s="762">
        <v>7470</v>
      </c>
      <c r="CH224" s="762">
        <v>747005</v>
      </c>
      <c r="CI224" s="762">
        <v>25259250</v>
      </c>
      <c r="CJ224" s="762">
        <v>20331389</v>
      </c>
      <c r="CK224" s="762">
        <v>4546665</v>
      </c>
      <c r="CL224" s="762">
        <v>505185</v>
      </c>
      <c r="CM224" s="762">
        <v>50642489</v>
      </c>
      <c r="CN224" s="762">
        <v>648753</v>
      </c>
      <c r="CO224" s="762">
        <v>145969</v>
      </c>
      <c r="CP224" s="762">
        <v>16219</v>
      </c>
      <c r="CQ224" s="762">
        <v>810941</v>
      </c>
      <c r="CR224" s="762">
        <v>670300</v>
      </c>
      <c r="CS224" s="762">
        <v>150818</v>
      </c>
      <c r="CT224" s="762">
        <v>16758</v>
      </c>
      <c r="CU224" s="762">
        <v>837876</v>
      </c>
      <c r="CV224" s="762">
        <v>69042</v>
      </c>
      <c r="CW224" s="762">
        <v>15534</v>
      </c>
      <c r="CX224" s="762">
        <v>1726</v>
      </c>
      <c r="CY224" s="762">
        <v>86302</v>
      </c>
      <c r="CZ224" s="762">
        <v>1927</v>
      </c>
      <c r="DA224" s="762">
        <v>434</v>
      </c>
      <c r="DB224" s="762">
        <v>48</v>
      </c>
      <c r="DC224" s="762">
        <v>2409</v>
      </c>
      <c r="DD224" s="762">
        <v>0</v>
      </c>
      <c r="DE224" s="762">
        <v>0</v>
      </c>
      <c r="DF224" s="762">
        <v>0</v>
      </c>
      <c r="DG224" s="762">
        <v>0</v>
      </c>
      <c r="DH224" s="762">
        <v>0</v>
      </c>
      <c r="DI224" s="762">
        <v>0</v>
      </c>
      <c r="DJ224" s="762">
        <v>0</v>
      </c>
      <c r="DK224" s="762">
        <v>0</v>
      </c>
      <c r="DL224" s="762">
        <v>14748</v>
      </c>
      <c r="DM224" s="762">
        <v>3318</v>
      </c>
      <c r="DN224" s="762">
        <v>369</v>
      </c>
      <c r="DO224" s="762">
        <v>18435</v>
      </c>
      <c r="DP224" s="762">
        <v>25608</v>
      </c>
      <c r="DQ224" s="762">
        <v>5762</v>
      </c>
      <c r="DR224" s="762">
        <v>640</v>
      </c>
      <c r="DS224" s="762">
        <v>32010</v>
      </c>
      <c r="DT224" s="762">
        <v>0</v>
      </c>
      <c r="DU224" s="762">
        <v>0</v>
      </c>
      <c r="DV224" s="762">
        <v>0</v>
      </c>
      <c r="DW224" s="762">
        <v>0</v>
      </c>
      <c r="DX224" s="762">
        <v>0</v>
      </c>
      <c r="DY224" s="762">
        <v>0</v>
      </c>
      <c r="DZ224" s="762">
        <v>0</v>
      </c>
      <c r="EA224" s="762">
        <v>0</v>
      </c>
      <c r="EB224" s="762">
        <v>355223</v>
      </c>
      <c r="EC224" s="762">
        <v>79925</v>
      </c>
      <c r="ED224" s="762">
        <v>8881</v>
      </c>
      <c r="EE224" s="762">
        <v>444029</v>
      </c>
      <c r="EF224" s="762">
        <v>1785601</v>
      </c>
      <c r="EG224" s="762">
        <v>401760</v>
      </c>
      <c r="EH224" s="762">
        <v>44641</v>
      </c>
      <c r="EI224" s="799">
        <v>2232002</v>
      </c>
      <c r="EJ224" s="763" t="s">
        <v>322</v>
      </c>
      <c r="EK224" s="607" t="s">
        <v>580</v>
      </c>
      <c r="EL224" s="805" t="s">
        <v>578</v>
      </c>
      <c r="EM224" t="s">
        <v>1790</v>
      </c>
    </row>
    <row r="225" spans="1:143" ht="12.75" x14ac:dyDescent="0.2">
      <c r="A225" s="764">
        <v>218</v>
      </c>
      <c r="B225" s="765" t="s">
        <v>325</v>
      </c>
      <c r="C225" s="766" t="s">
        <v>529</v>
      </c>
      <c r="D225" s="767" t="s">
        <v>1220</v>
      </c>
      <c r="E225" s="768" t="s">
        <v>598</v>
      </c>
      <c r="F225" s="761">
        <v>10938430</v>
      </c>
      <c r="G225" s="762">
        <v>429063</v>
      </c>
      <c r="H225" s="762">
        <v>0</v>
      </c>
      <c r="I225" s="762">
        <v>61192</v>
      </c>
      <c r="J225" s="762">
        <v>0</v>
      </c>
      <c r="K225" s="762">
        <v>61192</v>
      </c>
      <c r="L225" s="762">
        <v>0</v>
      </c>
      <c r="M225" s="762">
        <v>0</v>
      </c>
      <c r="N225" s="762">
        <v>36504</v>
      </c>
      <c r="O225" s="762">
        <v>36504</v>
      </c>
      <c r="P225" s="762">
        <v>0</v>
      </c>
      <c r="Q225" s="762">
        <v>0</v>
      </c>
      <c r="R225" s="762">
        <v>11269797</v>
      </c>
      <c r="S225" s="790">
        <v>0.5</v>
      </c>
      <c r="T225" s="790">
        <v>0.49</v>
      </c>
      <c r="U225" s="790">
        <v>0</v>
      </c>
      <c r="V225" s="790">
        <v>0.01</v>
      </c>
      <c r="W225" s="790">
        <v>1</v>
      </c>
      <c r="X225" s="762">
        <v>5634898</v>
      </c>
      <c r="Y225" s="762">
        <v>5522201</v>
      </c>
      <c r="Z225" s="762">
        <v>0</v>
      </c>
      <c r="AA225" s="762">
        <v>112698</v>
      </c>
      <c r="AB225" s="762">
        <v>11269797</v>
      </c>
      <c r="AC225" s="762">
        <v>0</v>
      </c>
      <c r="AD225" s="762">
        <v>0</v>
      </c>
      <c r="AE225" s="762">
        <v>0</v>
      </c>
      <c r="AF225" s="762">
        <v>0</v>
      </c>
      <c r="AG225" s="762">
        <v>0</v>
      </c>
      <c r="AH225" s="762">
        <v>5634898</v>
      </c>
      <c r="AI225" s="762">
        <v>5522201</v>
      </c>
      <c r="AJ225" s="762">
        <v>0</v>
      </c>
      <c r="AK225" s="762">
        <v>112698</v>
      </c>
      <c r="AL225" s="762">
        <v>11269797</v>
      </c>
      <c r="AM225" s="762">
        <v>61192</v>
      </c>
      <c r="AN225" s="762">
        <v>61192</v>
      </c>
      <c r="AO225" s="762">
        <v>0</v>
      </c>
      <c r="AP225" s="762">
        <v>0</v>
      </c>
      <c r="AQ225" s="762">
        <v>36504</v>
      </c>
      <c r="AR225" s="762">
        <v>0</v>
      </c>
      <c r="AS225" s="762">
        <v>36504</v>
      </c>
      <c r="AT225" s="762">
        <v>0</v>
      </c>
      <c r="AU225" s="762">
        <v>0</v>
      </c>
      <c r="AV225" s="762">
        <v>0</v>
      </c>
      <c r="AW225" s="762">
        <v>0</v>
      </c>
      <c r="AX225" s="762">
        <v>0</v>
      </c>
      <c r="AY225" s="762">
        <v>0</v>
      </c>
      <c r="AZ225" s="762">
        <v>0</v>
      </c>
      <c r="BA225" s="762">
        <v>0</v>
      </c>
      <c r="BB225" s="762">
        <v>0</v>
      </c>
      <c r="BC225" s="762">
        <v>0</v>
      </c>
      <c r="BD225" s="762">
        <v>0</v>
      </c>
      <c r="BE225" s="762">
        <v>0</v>
      </c>
      <c r="BF225" s="762">
        <v>0</v>
      </c>
      <c r="BG225" s="762">
        <v>0</v>
      </c>
      <c r="BH225" s="762">
        <v>0</v>
      </c>
      <c r="BI225" s="762">
        <v>0</v>
      </c>
      <c r="BJ225" s="790">
        <v>0.5</v>
      </c>
      <c r="BK225" s="790">
        <v>0.49</v>
      </c>
      <c r="BL225" s="790">
        <v>0</v>
      </c>
      <c r="BM225" s="790">
        <v>0.01</v>
      </c>
      <c r="BN225" s="790">
        <v>1</v>
      </c>
      <c r="BO225" s="762">
        <v>65398</v>
      </c>
      <c r="BP225" s="762">
        <v>64091</v>
      </c>
      <c r="BQ225" s="762">
        <v>0</v>
      </c>
      <c r="BR225" s="762">
        <v>1308</v>
      </c>
      <c r="BS225" s="762">
        <v>130797</v>
      </c>
      <c r="BT225" s="790">
        <v>0.5</v>
      </c>
      <c r="BU225" s="790">
        <v>0.49</v>
      </c>
      <c r="BV225" s="790">
        <v>0</v>
      </c>
      <c r="BW225" s="790">
        <v>0.01</v>
      </c>
      <c r="BX225" s="790">
        <v>1</v>
      </c>
      <c r="BY225" s="762">
        <v>-63219</v>
      </c>
      <c r="BZ225" s="762">
        <v>-61954</v>
      </c>
      <c r="CA225" s="762">
        <v>0</v>
      </c>
      <c r="CB225" s="762">
        <v>-1264</v>
      </c>
      <c r="CC225" s="762">
        <v>-126437</v>
      </c>
      <c r="CD225" s="762">
        <v>2180</v>
      </c>
      <c r="CE225" s="762">
        <v>2136</v>
      </c>
      <c r="CF225" s="762">
        <v>0</v>
      </c>
      <c r="CG225" s="762">
        <v>44</v>
      </c>
      <c r="CH225" s="762">
        <v>4360</v>
      </c>
      <c r="CI225" s="762">
        <v>5637078</v>
      </c>
      <c r="CJ225" s="762">
        <v>5622033</v>
      </c>
      <c r="CK225" s="762">
        <v>0</v>
      </c>
      <c r="CL225" s="762">
        <v>112742</v>
      </c>
      <c r="CM225" s="762">
        <v>11371853</v>
      </c>
      <c r="CN225" s="762">
        <v>181139</v>
      </c>
      <c r="CO225" s="762">
        <v>0</v>
      </c>
      <c r="CP225" s="762">
        <v>3672</v>
      </c>
      <c r="CQ225" s="762">
        <v>184811</v>
      </c>
      <c r="CR225" s="762">
        <v>628856</v>
      </c>
      <c r="CS225" s="762">
        <v>0</v>
      </c>
      <c r="CT225" s="762">
        <v>12834</v>
      </c>
      <c r="CU225" s="762">
        <v>641690</v>
      </c>
      <c r="CV225" s="762">
        <v>27576</v>
      </c>
      <c r="CW225" s="762">
        <v>0</v>
      </c>
      <c r="CX225" s="762">
        <v>563</v>
      </c>
      <c r="CY225" s="762">
        <v>28139</v>
      </c>
      <c r="CZ225" s="762">
        <v>0</v>
      </c>
      <c r="DA225" s="762">
        <v>0</v>
      </c>
      <c r="DB225" s="762">
        <v>0</v>
      </c>
      <c r="DC225" s="762">
        <v>0</v>
      </c>
      <c r="DD225" s="762">
        <v>5236</v>
      </c>
      <c r="DE225" s="762">
        <v>0</v>
      </c>
      <c r="DF225" s="762">
        <v>107</v>
      </c>
      <c r="DG225" s="762">
        <v>5343</v>
      </c>
      <c r="DH225" s="762">
        <v>0</v>
      </c>
      <c r="DI225" s="762">
        <v>0</v>
      </c>
      <c r="DJ225" s="762">
        <v>0</v>
      </c>
      <c r="DK225" s="762">
        <v>0</v>
      </c>
      <c r="DL225" s="762">
        <v>9233</v>
      </c>
      <c r="DM225" s="762">
        <v>0</v>
      </c>
      <c r="DN225" s="762">
        <v>188</v>
      </c>
      <c r="DO225" s="762">
        <v>9421</v>
      </c>
      <c r="DP225" s="762">
        <v>19227</v>
      </c>
      <c r="DQ225" s="762">
        <v>0</v>
      </c>
      <c r="DR225" s="762">
        <v>392</v>
      </c>
      <c r="DS225" s="762">
        <v>19619</v>
      </c>
      <c r="DT225" s="762">
        <v>0</v>
      </c>
      <c r="DU225" s="762">
        <v>0</v>
      </c>
      <c r="DV225" s="762">
        <v>0</v>
      </c>
      <c r="DW225" s="762">
        <v>0</v>
      </c>
      <c r="DX225" s="762">
        <v>0</v>
      </c>
      <c r="DY225" s="762">
        <v>0</v>
      </c>
      <c r="DZ225" s="762">
        <v>0</v>
      </c>
      <c r="EA225" s="762">
        <v>0</v>
      </c>
      <c r="EB225" s="762">
        <v>83738</v>
      </c>
      <c r="EC225" s="762">
        <v>0</v>
      </c>
      <c r="ED225" s="762">
        <v>1709</v>
      </c>
      <c r="EE225" s="762">
        <v>85447</v>
      </c>
      <c r="EF225" s="762">
        <v>955005</v>
      </c>
      <c r="EG225" s="762">
        <v>0</v>
      </c>
      <c r="EH225" s="762">
        <v>19465</v>
      </c>
      <c r="EI225" s="799">
        <v>974470</v>
      </c>
      <c r="EJ225" s="763" t="s">
        <v>598</v>
      </c>
      <c r="EK225" s="607" t="s">
        <v>529</v>
      </c>
      <c r="EL225" s="805" t="s">
        <v>597</v>
      </c>
      <c r="EM225" t="s">
        <v>1791</v>
      </c>
    </row>
    <row r="226" spans="1:143" ht="12.75" x14ac:dyDescent="0.2">
      <c r="A226" s="764">
        <v>219</v>
      </c>
      <c r="B226" s="765" t="s">
        <v>327</v>
      </c>
      <c r="C226" s="766" t="s">
        <v>1217</v>
      </c>
      <c r="D226" s="767" t="s">
        <v>1225</v>
      </c>
      <c r="E226" s="768" t="s">
        <v>326</v>
      </c>
      <c r="F226" s="761">
        <v>16681870</v>
      </c>
      <c r="G226" s="762">
        <v>386980</v>
      </c>
      <c r="H226" s="762">
        <v>0</v>
      </c>
      <c r="I226" s="762">
        <v>109051</v>
      </c>
      <c r="J226" s="762">
        <v>0</v>
      </c>
      <c r="K226" s="762">
        <v>109051</v>
      </c>
      <c r="L226" s="762">
        <v>0</v>
      </c>
      <c r="M226" s="762">
        <v>0</v>
      </c>
      <c r="N226" s="762">
        <v>22095</v>
      </c>
      <c r="O226" s="762">
        <v>22095</v>
      </c>
      <c r="P226" s="762">
        <v>0</v>
      </c>
      <c r="Q226" s="762">
        <v>0</v>
      </c>
      <c r="R226" s="762">
        <v>16937704</v>
      </c>
      <c r="S226" s="790">
        <v>0.25</v>
      </c>
      <c r="T226" s="790">
        <v>0.52500000000000002</v>
      </c>
      <c r="U226" s="790">
        <v>0.215</v>
      </c>
      <c r="V226" s="790">
        <v>0.01</v>
      </c>
      <c r="W226" s="790">
        <v>1</v>
      </c>
      <c r="X226" s="762">
        <v>4234426</v>
      </c>
      <c r="Y226" s="762">
        <v>8892295</v>
      </c>
      <c r="Z226" s="762">
        <v>3641606</v>
      </c>
      <c r="AA226" s="762">
        <v>169377</v>
      </c>
      <c r="AB226" s="762">
        <v>16937704</v>
      </c>
      <c r="AC226" s="762">
        <v>0</v>
      </c>
      <c r="AD226" s="762">
        <v>0</v>
      </c>
      <c r="AE226" s="762">
        <v>0</v>
      </c>
      <c r="AF226" s="762">
        <v>0</v>
      </c>
      <c r="AG226" s="762">
        <v>0</v>
      </c>
      <c r="AH226" s="762">
        <v>4234426</v>
      </c>
      <c r="AI226" s="762">
        <v>8892295</v>
      </c>
      <c r="AJ226" s="762">
        <v>3641606</v>
      </c>
      <c r="AK226" s="762">
        <v>169377</v>
      </c>
      <c r="AL226" s="762">
        <v>16937704</v>
      </c>
      <c r="AM226" s="762">
        <v>109051</v>
      </c>
      <c r="AN226" s="762">
        <v>109051</v>
      </c>
      <c r="AO226" s="762">
        <v>0</v>
      </c>
      <c r="AP226" s="762">
        <v>0</v>
      </c>
      <c r="AQ226" s="762">
        <v>22095</v>
      </c>
      <c r="AR226" s="762">
        <v>0</v>
      </c>
      <c r="AS226" s="762">
        <v>22095</v>
      </c>
      <c r="AT226" s="762">
        <v>0</v>
      </c>
      <c r="AU226" s="762">
        <v>0</v>
      </c>
      <c r="AV226" s="762">
        <v>0</v>
      </c>
      <c r="AW226" s="762">
        <v>0</v>
      </c>
      <c r="AX226" s="762">
        <v>0</v>
      </c>
      <c r="AY226" s="762">
        <v>0</v>
      </c>
      <c r="AZ226" s="762">
        <v>0</v>
      </c>
      <c r="BA226" s="762">
        <v>0</v>
      </c>
      <c r="BB226" s="762">
        <v>0</v>
      </c>
      <c r="BC226" s="762">
        <v>0</v>
      </c>
      <c r="BD226" s="762">
        <v>0</v>
      </c>
      <c r="BE226" s="762">
        <v>0</v>
      </c>
      <c r="BF226" s="762">
        <v>0</v>
      </c>
      <c r="BG226" s="762">
        <v>0</v>
      </c>
      <c r="BH226" s="762">
        <v>0</v>
      </c>
      <c r="BI226" s="762">
        <v>0</v>
      </c>
      <c r="BJ226" s="790">
        <v>0.5</v>
      </c>
      <c r="BK226" s="790">
        <v>0.4</v>
      </c>
      <c r="BL226" s="790">
        <v>0.09</v>
      </c>
      <c r="BM226" s="790">
        <v>0.01</v>
      </c>
      <c r="BN226" s="790">
        <v>1</v>
      </c>
      <c r="BO226" s="762">
        <v>-45341</v>
      </c>
      <c r="BP226" s="762">
        <v>-36272</v>
      </c>
      <c r="BQ226" s="762">
        <v>-8161</v>
      </c>
      <c r="BR226" s="762">
        <v>-907</v>
      </c>
      <c r="BS226" s="762">
        <v>-90681</v>
      </c>
      <c r="BT226" s="790">
        <v>0.5</v>
      </c>
      <c r="BU226" s="790">
        <v>0.4</v>
      </c>
      <c r="BV226" s="790">
        <v>0.09</v>
      </c>
      <c r="BW226" s="790">
        <v>0.01</v>
      </c>
      <c r="BX226" s="790">
        <v>1</v>
      </c>
      <c r="BY226" s="762">
        <v>-423982</v>
      </c>
      <c r="BZ226" s="762">
        <v>-339186</v>
      </c>
      <c r="CA226" s="762">
        <v>-76317</v>
      </c>
      <c r="CB226" s="762">
        <v>-8480</v>
      </c>
      <c r="CC226" s="762">
        <v>-847965</v>
      </c>
      <c r="CD226" s="762">
        <v>-469324</v>
      </c>
      <c r="CE226" s="762">
        <v>-375458</v>
      </c>
      <c r="CF226" s="762">
        <v>-84478</v>
      </c>
      <c r="CG226" s="762">
        <v>-9386</v>
      </c>
      <c r="CH226" s="762">
        <v>-938646</v>
      </c>
      <c r="CI226" s="762">
        <v>3765102</v>
      </c>
      <c r="CJ226" s="762">
        <v>8647983</v>
      </c>
      <c r="CK226" s="762">
        <v>3557128</v>
      </c>
      <c r="CL226" s="762">
        <v>159991</v>
      </c>
      <c r="CM226" s="762">
        <v>16130204</v>
      </c>
      <c r="CN226" s="762">
        <v>290489</v>
      </c>
      <c r="CO226" s="762">
        <v>118667</v>
      </c>
      <c r="CP226" s="762">
        <v>5519</v>
      </c>
      <c r="CQ226" s="762">
        <v>414675</v>
      </c>
      <c r="CR226" s="762">
        <v>1313298</v>
      </c>
      <c r="CS226" s="762">
        <v>537826</v>
      </c>
      <c r="CT226" s="762">
        <v>25015</v>
      </c>
      <c r="CU226" s="762">
        <v>1876139</v>
      </c>
      <c r="CV226" s="762">
        <v>61341</v>
      </c>
      <c r="CW226" s="762">
        <v>25120</v>
      </c>
      <c r="CX226" s="762">
        <v>1168</v>
      </c>
      <c r="CY226" s="762">
        <v>87629</v>
      </c>
      <c r="CZ226" s="762">
        <v>5963</v>
      </c>
      <c r="DA226" s="762">
        <v>2442</v>
      </c>
      <c r="DB226" s="762">
        <v>114</v>
      </c>
      <c r="DC226" s="762">
        <v>8519</v>
      </c>
      <c r="DD226" s="762">
        <v>17618</v>
      </c>
      <c r="DE226" s="762">
        <v>7215</v>
      </c>
      <c r="DF226" s="762">
        <v>336</v>
      </c>
      <c r="DG226" s="762">
        <v>25169</v>
      </c>
      <c r="DH226" s="762">
        <v>814</v>
      </c>
      <c r="DI226" s="762">
        <v>333</v>
      </c>
      <c r="DJ226" s="762">
        <v>15</v>
      </c>
      <c r="DK226" s="762">
        <v>1162</v>
      </c>
      <c r="DL226" s="762">
        <v>18974</v>
      </c>
      <c r="DM226" s="762">
        <v>7770</v>
      </c>
      <c r="DN226" s="762">
        <v>361</v>
      </c>
      <c r="DO226" s="762">
        <v>27105</v>
      </c>
      <c r="DP226" s="762">
        <v>25208</v>
      </c>
      <c r="DQ226" s="762">
        <v>10323</v>
      </c>
      <c r="DR226" s="762">
        <v>480</v>
      </c>
      <c r="DS226" s="762">
        <v>36011</v>
      </c>
      <c r="DT226" s="762">
        <v>0</v>
      </c>
      <c r="DU226" s="762">
        <v>0</v>
      </c>
      <c r="DV226" s="762">
        <v>0</v>
      </c>
      <c r="DW226" s="762">
        <v>0</v>
      </c>
      <c r="DX226" s="762">
        <v>0</v>
      </c>
      <c r="DY226" s="762">
        <v>0</v>
      </c>
      <c r="DZ226" s="762">
        <v>0</v>
      </c>
      <c r="EA226" s="762">
        <v>0</v>
      </c>
      <c r="EB226" s="762">
        <v>303581</v>
      </c>
      <c r="EC226" s="762">
        <v>124323</v>
      </c>
      <c r="ED226" s="762">
        <v>5782</v>
      </c>
      <c r="EE226" s="762">
        <v>433686</v>
      </c>
      <c r="EF226" s="762">
        <v>2037286</v>
      </c>
      <c r="EG226" s="762">
        <v>834019</v>
      </c>
      <c r="EH226" s="762">
        <v>38790</v>
      </c>
      <c r="EI226" s="799">
        <v>2910095</v>
      </c>
      <c r="EJ226" s="763" t="s">
        <v>326</v>
      </c>
      <c r="EK226" s="607" t="s">
        <v>604</v>
      </c>
      <c r="EL226" s="805" t="s">
        <v>603</v>
      </c>
      <c r="EM226" t="s">
        <v>1792</v>
      </c>
    </row>
    <row r="227" spans="1:143" ht="12.75" x14ac:dyDescent="0.2">
      <c r="A227" s="764">
        <v>220</v>
      </c>
      <c r="B227" s="765" t="s">
        <v>329</v>
      </c>
      <c r="C227" s="766" t="s">
        <v>1224</v>
      </c>
      <c r="D227" s="767" t="s">
        <v>1219</v>
      </c>
      <c r="E227" s="768" t="s">
        <v>328</v>
      </c>
      <c r="F227" s="761">
        <v>91319871</v>
      </c>
      <c r="G227" s="762">
        <v>0</v>
      </c>
      <c r="H227" s="762">
        <v>1563831</v>
      </c>
      <c r="I227" s="762">
        <v>441918</v>
      </c>
      <c r="J227" s="762">
        <v>0</v>
      </c>
      <c r="K227" s="762">
        <v>441918</v>
      </c>
      <c r="L227" s="762">
        <v>0</v>
      </c>
      <c r="M227" s="762">
        <v>0</v>
      </c>
      <c r="N227" s="762">
        <v>0</v>
      </c>
      <c r="O227" s="762">
        <v>0</v>
      </c>
      <c r="P227" s="762">
        <v>0</v>
      </c>
      <c r="Q227" s="762">
        <v>0</v>
      </c>
      <c r="R227" s="762">
        <v>89314122</v>
      </c>
      <c r="S227" s="790">
        <v>0</v>
      </c>
      <c r="T227" s="790">
        <v>0.99</v>
      </c>
      <c r="U227" s="790">
        <v>0</v>
      </c>
      <c r="V227" s="790">
        <v>0.01</v>
      </c>
      <c r="W227" s="790">
        <v>1</v>
      </c>
      <c r="X227" s="762">
        <v>0</v>
      </c>
      <c r="Y227" s="762">
        <v>88420981</v>
      </c>
      <c r="Z227" s="762">
        <v>0</v>
      </c>
      <c r="AA227" s="762">
        <v>893141</v>
      </c>
      <c r="AB227" s="762">
        <v>89314122</v>
      </c>
      <c r="AC227" s="762">
        <v>0</v>
      </c>
      <c r="AD227" s="762">
        <v>0</v>
      </c>
      <c r="AE227" s="762">
        <v>0</v>
      </c>
      <c r="AF227" s="762">
        <v>0</v>
      </c>
      <c r="AG227" s="762">
        <v>0</v>
      </c>
      <c r="AH227" s="762">
        <v>0</v>
      </c>
      <c r="AI227" s="762">
        <v>88420981</v>
      </c>
      <c r="AJ227" s="762">
        <v>0</v>
      </c>
      <c r="AK227" s="762">
        <v>893141</v>
      </c>
      <c r="AL227" s="762">
        <v>89314122</v>
      </c>
      <c r="AM227" s="762">
        <v>441918</v>
      </c>
      <c r="AN227" s="762">
        <v>441918</v>
      </c>
      <c r="AO227" s="762">
        <v>0</v>
      </c>
      <c r="AP227" s="762">
        <v>0</v>
      </c>
      <c r="AQ227" s="762">
        <v>0</v>
      </c>
      <c r="AR227" s="762">
        <v>0</v>
      </c>
      <c r="AS227" s="762">
        <v>0</v>
      </c>
      <c r="AT227" s="762">
        <v>0</v>
      </c>
      <c r="AU227" s="762">
        <v>0</v>
      </c>
      <c r="AV227" s="762">
        <v>0</v>
      </c>
      <c r="AW227" s="762">
        <v>0</v>
      </c>
      <c r="AX227" s="762">
        <v>0</v>
      </c>
      <c r="AY227" s="762">
        <v>0</v>
      </c>
      <c r="AZ227" s="762">
        <v>0</v>
      </c>
      <c r="BA227" s="762">
        <v>0</v>
      </c>
      <c r="BB227" s="762">
        <v>0</v>
      </c>
      <c r="BC227" s="762">
        <v>0</v>
      </c>
      <c r="BD227" s="762">
        <v>0</v>
      </c>
      <c r="BE227" s="762">
        <v>0</v>
      </c>
      <c r="BF227" s="762">
        <v>0</v>
      </c>
      <c r="BG227" s="762">
        <v>0</v>
      </c>
      <c r="BH227" s="762">
        <v>0</v>
      </c>
      <c r="BI227" s="762">
        <v>0</v>
      </c>
      <c r="BJ227" s="790">
        <v>0</v>
      </c>
      <c r="BK227" s="790">
        <v>0.99</v>
      </c>
      <c r="BL227" s="790">
        <v>0</v>
      </c>
      <c r="BM227" s="790">
        <v>0.01</v>
      </c>
      <c r="BN227" s="790">
        <v>1</v>
      </c>
      <c r="BO227" s="762">
        <v>0</v>
      </c>
      <c r="BP227" s="762">
        <v>-1685252</v>
      </c>
      <c r="BQ227" s="762">
        <v>0</v>
      </c>
      <c r="BR227" s="762">
        <v>-17023</v>
      </c>
      <c r="BS227" s="762">
        <v>-1702275</v>
      </c>
      <c r="BT227" s="790">
        <v>0</v>
      </c>
      <c r="BU227" s="790">
        <v>0.99</v>
      </c>
      <c r="BV227" s="790">
        <v>0</v>
      </c>
      <c r="BW227" s="790">
        <v>0.01</v>
      </c>
      <c r="BX227" s="790">
        <v>1</v>
      </c>
      <c r="BY227" s="762">
        <v>0</v>
      </c>
      <c r="BZ227" s="762">
        <v>415664</v>
      </c>
      <c r="CA227" s="762">
        <v>0</v>
      </c>
      <c r="CB227" s="762">
        <v>4199</v>
      </c>
      <c r="CC227" s="762">
        <v>419863</v>
      </c>
      <c r="CD227" s="762">
        <v>0</v>
      </c>
      <c r="CE227" s="762">
        <v>-1269588</v>
      </c>
      <c r="CF227" s="762">
        <v>0</v>
      </c>
      <c r="CG227" s="762">
        <v>-12824</v>
      </c>
      <c r="CH227" s="762">
        <v>-1282412</v>
      </c>
      <c r="CI227" s="762">
        <v>0</v>
      </c>
      <c r="CJ227" s="762">
        <v>87593311</v>
      </c>
      <c r="CK227" s="762">
        <v>0</v>
      </c>
      <c r="CL227" s="762">
        <v>880317</v>
      </c>
      <c r="CM227" s="762">
        <v>88473628</v>
      </c>
      <c r="CN227" s="762">
        <v>2881335</v>
      </c>
      <c r="CO227" s="762">
        <v>0</v>
      </c>
      <c r="CP227" s="762">
        <v>29104</v>
      </c>
      <c r="CQ227" s="762">
        <v>2910439</v>
      </c>
      <c r="CR227" s="762">
        <v>5692024</v>
      </c>
      <c r="CS227" s="762">
        <v>0</v>
      </c>
      <c r="CT227" s="762">
        <v>57495</v>
      </c>
      <c r="CU227" s="762">
        <v>5749519</v>
      </c>
      <c r="CV227" s="762">
        <v>402807</v>
      </c>
      <c r="CW227" s="762">
        <v>0</v>
      </c>
      <c r="CX227" s="762">
        <v>4069</v>
      </c>
      <c r="CY227" s="762">
        <v>406876</v>
      </c>
      <c r="CZ227" s="762">
        <v>13777</v>
      </c>
      <c r="DA227" s="762">
        <v>0</v>
      </c>
      <c r="DB227" s="762">
        <v>139</v>
      </c>
      <c r="DC227" s="762">
        <v>13916</v>
      </c>
      <c r="DD227" s="762">
        <v>0</v>
      </c>
      <c r="DE227" s="762">
        <v>0</v>
      </c>
      <c r="DF227" s="762">
        <v>0</v>
      </c>
      <c r="DG227" s="762">
        <v>0</v>
      </c>
      <c r="DH227" s="762">
        <v>0</v>
      </c>
      <c r="DI227" s="762">
        <v>0</v>
      </c>
      <c r="DJ227" s="762">
        <v>0</v>
      </c>
      <c r="DK227" s="762">
        <v>0</v>
      </c>
      <c r="DL227" s="762">
        <v>6630</v>
      </c>
      <c r="DM227" s="762">
        <v>0</v>
      </c>
      <c r="DN227" s="762">
        <v>67</v>
      </c>
      <c r="DO227" s="762">
        <v>6697</v>
      </c>
      <c r="DP227" s="762">
        <v>52237</v>
      </c>
      <c r="DQ227" s="762">
        <v>0</v>
      </c>
      <c r="DR227" s="762">
        <v>528</v>
      </c>
      <c r="DS227" s="762">
        <v>52765</v>
      </c>
      <c r="DT227" s="762">
        <v>0</v>
      </c>
      <c r="DU227" s="762">
        <v>0</v>
      </c>
      <c r="DV227" s="762">
        <v>0</v>
      </c>
      <c r="DW227" s="762">
        <v>0</v>
      </c>
      <c r="DX227" s="762">
        <v>0</v>
      </c>
      <c r="DY227" s="762">
        <v>0</v>
      </c>
      <c r="DZ227" s="762">
        <v>0</v>
      </c>
      <c r="EA227" s="762">
        <v>0</v>
      </c>
      <c r="EB227" s="762">
        <v>2276911</v>
      </c>
      <c r="EC227" s="762">
        <v>0</v>
      </c>
      <c r="ED227" s="762">
        <v>22999</v>
      </c>
      <c r="EE227" s="762">
        <v>2299910</v>
      </c>
      <c r="EF227" s="762">
        <v>11325721</v>
      </c>
      <c r="EG227" s="762">
        <v>0</v>
      </c>
      <c r="EH227" s="762">
        <v>114401</v>
      </c>
      <c r="EI227" s="799">
        <v>11440122</v>
      </c>
      <c r="EJ227" s="763" t="s">
        <v>328</v>
      </c>
      <c r="EK227" s="607" t="s">
        <v>621</v>
      </c>
      <c r="EL227" s="805" t="s">
        <v>622</v>
      </c>
      <c r="EM227" t="s">
        <v>1793</v>
      </c>
    </row>
    <row r="228" spans="1:143" ht="12.75" x14ac:dyDescent="0.2">
      <c r="A228" s="764">
        <v>221</v>
      </c>
      <c r="B228" s="765" t="s">
        <v>331</v>
      </c>
      <c r="C228" s="766" t="s">
        <v>1224</v>
      </c>
      <c r="D228" s="767" t="s">
        <v>1227</v>
      </c>
      <c r="E228" s="768" t="s">
        <v>330</v>
      </c>
      <c r="F228" s="761">
        <v>99243392</v>
      </c>
      <c r="G228" s="762">
        <v>0</v>
      </c>
      <c r="H228" s="762">
        <v>1232885</v>
      </c>
      <c r="I228" s="762">
        <v>433540</v>
      </c>
      <c r="J228" s="762">
        <v>0</v>
      </c>
      <c r="K228" s="762">
        <v>433540</v>
      </c>
      <c r="L228" s="762">
        <v>0</v>
      </c>
      <c r="M228" s="762">
        <v>0</v>
      </c>
      <c r="N228" s="762">
        <v>0</v>
      </c>
      <c r="O228" s="762">
        <v>0</v>
      </c>
      <c r="P228" s="762">
        <v>0</v>
      </c>
      <c r="Q228" s="762">
        <v>0</v>
      </c>
      <c r="R228" s="762">
        <v>97576967</v>
      </c>
      <c r="S228" s="790">
        <v>0</v>
      </c>
      <c r="T228" s="790">
        <v>0.99</v>
      </c>
      <c r="U228" s="790">
        <v>0</v>
      </c>
      <c r="V228" s="790">
        <v>0.01</v>
      </c>
      <c r="W228" s="790">
        <v>1</v>
      </c>
      <c r="X228" s="762">
        <v>0</v>
      </c>
      <c r="Y228" s="762">
        <v>96601197</v>
      </c>
      <c r="Z228" s="762">
        <v>0</v>
      </c>
      <c r="AA228" s="762">
        <v>975770</v>
      </c>
      <c r="AB228" s="762">
        <v>97576967</v>
      </c>
      <c r="AC228" s="762">
        <v>0</v>
      </c>
      <c r="AD228" s="762">
        <v>0</v>
      </c>
      <c r="AE228" s="762">
        <v>0</v>
      </c>
      <c r="AF228" s="762">
        <v>0</v>
      </c>
      <c r="AG228" s="762">
        <v>0</v>
      </c>
      <c r="AH228" s="762">
        <v>0</v>
      </c>
      <c r="AI228" s="762">
        <v>96601197</v>
      </c>
      <c r="AJ228" s="762">
        <v>0</v>
      </c>
      <c r="AK228" s="762">
        <v>975770</v>
      </c>
      <c r="AL228" s="762">
        <v>97576967</v>
      </c>
      <c r="AM228" s="762">
        <v>433540</v>
      </c>
      <c r="AN228" s="762">
        <v>433540</v>
      </c>
      <c r="AO228" s="762">
        <v>0</v>
      </c>
      <c r="AP228" s="762">
        <v>0</v>
      </c>
      <c r="AQ228" s="762">
        <v>0</v>
      </c>
      <c r="AR228" s="762">
        <v>0</v>
      </c>
      <c r="AS228" s="762">
        <v>0</v>
      </c>
      <c r="AT228" s="762">
        <v>0</v>
      </c>
      <c r="AU228" s="762">
        <v>0</v>
      </c>
      <c r="AV228" s="762">
        <v>0</v>
      </c>
      <c r="AW228" s="762">
        <v>0</v>
      </c>
      <c r="AX228" s="762">
        <v>0</v>
      </c>
      <c r="AY228" s="762">
        <v>0</v>
      </c>
      <c r="AZ228" s="762">
        <v>0</v>
      </c>
      <c r="BA228" s="762">
        <v>0</v>
      </c>
      <c r="BB228" s="762">
        <v>0</v>
      </c>
      <c r="BC228" s="762">
        <v>0</v>
      </c>
      <c r="BD228" s="762">
        <v>0</v>
      </c>
      <c r="BE228" s="762">
        <v>0</v>
      </c>
      <c r="BF228" s="762">
        <v>0</v>
      </c>
      <c r="BG228" s="762">
        <v>0</v>
      </c>
      <c r="BH228" s="762">
        <v>0</v>
      </c>
      <c r="BI228" s="762">
        <v>0</v>
      </c>
      <c r="BJ228" s="790">
        <v>0</v>
      </c>
      <c r="BK228" s="790">
        <v>0.99</v>
      </c>
      <c r="BL228" s="790">
        <v>0</v>
      </c>
      <c r="BM228" s="790">
        <v>0.01</v>
      </c>
      <c r="BN228" s="790">
        <v>1</v>
      </c>
      <c r="BO228" s="762">
        <v>0</v>
      </c>
      <c r="BP228" s="762">
        <v>1095380</v>
      </c>
      <c r="BQ228" s="762">
        <v>0</v>
      </c>
      <c r="BR228" s="762">
        <v>11064</v>
      </c>
      <c r="BS228" s="762">
        <v>1106444</v>
      </c>
      <c r="BT228" s="790">
        <v>0</v>
      </c>
      <c r="BU228" s="790">
        <v>0.99</v>
      </c>
      <c r="BV228" s="790">
        <v>0</v>
      </c>
      <c r="BW228" s="790">
        <v>0.01</v>
      </c>
      <c r="BX228" s="790">
        <v>1</v>
      </c>
      <c r="BY228" s="762">
        <v>0</v>
      </c>
      <c r="BZ228" s="762">
        <v>92840</v>
      </c>
      <c r="CA228" s="762">
        <v>0</v>
      </c>
      <c r="CB228" s="762">
        <v>938</v>
      </c>
      <c r="CC228" s="762">
        <v>93778</v>
      </c>
      <c r="CD228" s="762">
        <v>0</v>
      </c>
      <c r="CE228" s="762">
        <v>1188220</v>
      </c>
      <c r="CF228" s="762">
        <v>0</v>
      </c>
      <c r="CG228" s="762">
        <v>12002</v>
      </c>
      <c r="CH228" s="762">
        <v>1200222</v>
      </c>
      <c r="CI228" s="762">
        <v>0</v>
      </c>
      <c r="CJ228" s="762">
        <v>98222957</v>
      </c>
      <c r="CK228" s="762">
        <v>0</v>
      </c>
      <c r="CL228" s="762">
        <v>987772</v>
      </c>
      <c r="CM228" s="762">
        <v>99210729</v>
      </c>
      <c r="CN228" s="762">
        <v>3147901</v>
      </c>
      <c r="CO228" s="762">
        <v>0</v>
      </c>
      <c r="CP228" s="762">
        <v>31797</v>
      </c>
      <c r="CQ228" s="762">
        <v>3179698</v>
      </c>
      <c r="CR228" s="762">
        <v>9292785</v>
      </c>
      <c r="CS228" s="762">
        <v>0</v>
      </c>
      <c r="CT228" s="762">
        <v>93867</v>
      </c>
      <c r="CU228" s="762">
        <v>9386652</v>
      </c>
      <c r="CV228" s="762">
        <v>496762</v>
      </c>
      <c r="CW228" s="762">
        <v>0</v>
      </c>
      <c r="CX228" s="762">
        <v>5018</v>
      </c>
      <c r="CY228" s="762">
        <v>501780</v>
      </c>
      <c r="CZ228" s="762">
        <v>43630</v>
      </c>
      <c r="DA228" s="762">
        <v>0</v>
      </c>
      <c r="DB228" s="762">
        <v>441</v>
      </c>
      <c r="DC228" s="762">
        <v>44071</v>
      </c>
      <c r="DD228" s="762">
        <v>0</v>
      </c>
      <c r="DE228" s="762">
        <v>0</v>
      </c>
      <c r="DF228" s="762">
        <v>0</v>
      </c>
      <c r="DG228" s="762">
        <v>0</v>
      </c>
      <c r="DH228" s="762">
        <v>1534</v>
      </c>
      <c r="DI228" s="762">
        <v>0</v>
      </c>
      <c r="DJ228" s="762">
        <v>15</v>
      </c>
      <c r="DK228" s="762">
        <v>1549</v>
      </c>
      <c r="DL228" s="762">
        <v>35780</v>
      </c>
      <c r="DM228" s="762">
        <v>0</v>
      </c>
      <c r="DN228" s="762">
        <v>361</v>
      </c>
      <c r="DO228" s="762">
        <v>36141</v>
      </c>
      <c r="DP228" s="762">
        <v>77692</v>
      </c>
      <c r="DQ228" s="762">
        <v>0</v>
      </c>
      <c r="DR228" s="762">
        <v>785</v>
      </c>
      <c r="DS228" s="762">
        <v>78477</v>
      </c>
      <c r="DT228" s="762">
        <v>0</v>
      </c>
      <c r="DU228" s="762">
        <v>0</v>
      </c>
      <c r="DV228" s="762">
        <v>0</v>
      </c>
      <c r="DW228" s="762">
        <v>0</v>
      </c>
      <c r="DX228" s="762">
        <v>0</v>
      </c>
      <c r="DY228" s="762">
        <v>0</v>
      </c>
      <c r="DZ228" s="762">
        <v>0</v>
      </c>
      <c r="EA228" s="762">
        <v>0</v>
      </c>
      <c r="EB228" s="762">
        <v>1730458</v>
      </c>
      <c r="EC228" s="762">
        <v>0</v>
      </c>
      <c r="ED228" s="762">
        <v>17479</v>
      </c>
      <c r="EE228" s="762">
        <v>1747937</v>
      </c>
      <c r="EF228" s="762">
        <v>14826542</v>
      </c>
      <c r="EG228" s="762">
        <v>0</v>
      </c>
      <c r="EH228" s="762">
        <v>149763</v>
      </c>
      <c r="EI228" s="799">
        <v>14976305</v>
      </c>
      <c r="EJ228" s="763" t="s">
        <v>330</v>
      </c>
      <c r="EK228" s="607" t="s">
        <v>621</v>
      </c>
      <c r="EL228" s="805" t="s">
        <v>626</v>
      </c>
      <c r="EM228" t="s">
        <v>1794</v>
      </c>
    </row>
    <row r="229" spans="1:143" ht="12.75" x14ac:dyDescent="0.2">
      <c r="A229" s="764">
        <v>222</v>
      </c>
      <c r="B229" s="765" t="s">
        <v>333</v>
      </c>
      <c r="C229" s="766" t="s">
        <v>1217</v>
      </c>
      <c r="D229" s="767" t="s">
        <v>1225</v>
      </c>
      <c r="E229" s="768" t="s">
        <v>332</v>
      </c>
      <c r="F229" s="761">
        <v>32951964</v>
      </c>
      <c r="G229" s="762">
        <v>1514576</v>
      </c>
      <c r="H229" s="762">
        <v>0</v>
      </c>
      <c r="I229" s="762">
        <v>264553</v>
      </c>
      <c r="J229" s="762">
        <v>0</v>
      </c>
      <c r="K229" s="762">
        <v>264553</v>
      </c>
      <c r="L229" s="762">
        <v>0</v>
      </c>
      <c r="M229" s="762">
        <v>0</v>
      </c>
      <c r="N229" s="762">
        <v>0</v>
      </c>
      <c r="O229" s="762">
        <v>0</v>
      </c>
      <c r="P229" s="762">
        <v>0</v>
      </c>
      <c r="Q229" s="762">
        <v>0</v>
      </c>
      <c r="R229" s="762">
        <v>34201987</v>
      </c>
      <c r="S229" s="790">
        <v>0.25</v>
      </c>
      <c r="T229" s="790">
        <v>0.52500000000000002</v>
      </c>
      <c r="U229" s="790">
        <v>0.215</v>
      </c>
      <c r="V229" s="790">
        <v>0.01</v>
      </c>
      <c r="W229" s="790">
        <v>1</v>
      </c>
      <c r="X229" s="762">
        <v>8550497</v>
      </c>
      <c r="Y229" s="762">
        <v>17956043</v>
      </c>
      <c r="Z229" s="762">
        <v>7353427</v>
      </c>
      <c r="AA229" s="762">
        <v>342020</v>
      </c>
      <c r="AB229" s="762">
        <v>34201987</v>
      </c>
      <c r="AC229" s="762">
        <v>0</v>
      </c>
      <c r="AD229" s="762">
        <v>0</v>
      </c>
      <c r="AE229" s="762">
        <v>0</v>
      </c>
      <c r="AF229" s="762">
        <v>0</v>
      </c>
      <c r="AG229" s="762">
        <v>0</v>
      </c>
      <c r="AH229" s="762">
        <v>8550497</v>
      </c>
      <c r="AI229" s="762">
        <v>17956043</v>
      </c>
      <c r="AJ229" s="762">
        <v>7353427</v>
      </c>
      <c r="AK229" s="762">
        <v>342020</v>
      </c>
      <c r="AL229" s="762">
        <v>34201987</v>
      </c>
      <c r="AM229" s="762">
        <v>264553</v>
      </c>
      <c r="AN229" s="762">
        <v>264553</v>
      </c>
      <c r="AO229" s="762">
        <v>0</v>
      </c>
      <c r="AP229" s="762">
        <v>0</v>
      </c>
      <c r="AQ229" s="762">
        <v>0</v>
      </c>
      <c r="AR229" s="762">
        <v>0</v>
      </c>
      <c r="AS229" s="762">
        <v>0</v>
      </c>
      <c r="AT229" s="762">
        <v>0</v>
      </c>
      <c r="AU229" s="762">
        <v>0</v>
      </c>
      <c r="AV229" s="762">
        <v>0</v>
      </c>
      <c r="AW229" s="762">
        <v>0</v>
      </c>
      <c r="AX229" s="762">
        <v>0</v>
      </c>
      <c r="AY229" s="762">
        <v>0</v>
      </c>
      <c r="AZ229" s="762">
        <v>0</v>
      </c>
      <c r="BA229" s="762">
        <v>0</v>
      </c>
      <c r="BB229" s="762">
        <v>0</v>
      </c>
      <c r="BC229" s="762">
        <v>0</v>
      </c>
      <c r="BD229" s="762">
        <v>0</v>
      </c>
      <c r="BE229" s="762">
        <v>0</v>
      </c>
      <c r="BF229" s="762">
        <v>0</v>
      </c>
      <c r="BG229" s="762">
        <v>0</v>
      </c>
      <c r="BH229" s="762">
        <v>0</v>
      </c>
      <c r="BI229" s="762">
        <v>0</v>
      </c>
      <c r="BJ229" s="790">
        <v>0.5</v>
      </c>
      <c r="BK229" s="790">
        <v>0.4</v>
      </c>
      <c r="BL229" s="790">
        <v>0.09</v>
      </c>
      <c r="BM229" s="790">
        <v>0.01</v>
      </c>
      <c r="BN229" s="790">
        <v>1</v>
      </c>
      <c r="BO229" s="762">
        <v>-561777</v>
      </c>
      <c r="BP229" s="762">
        <v>-449422</v>
      </c>
      <c r="BQ229" s="762">
        <v>-101120</v>
      </c>
      <c r="BR229" s="762">
        <v>-11236</v>
      </c>
      <c r="BS229" s="762">
        <v>-1123555</v>
      </c>
      <c r="BT229" s="790">
        <v>0.5</v>
      </c>
      <c r="BU229" s="790">
        <v>0.4</v>
      </c>
      <c r="BV229" s="790">
        <v>0.09</v>
      </c>
      <c r="BW229" s="790">
        <v>0.01</v>
      </c>
      <c r="BX229" s="790">
        <v>1</v>
      </c>
      <c r="BY229" s="762">
        <v>147655.71000000089</v>
      </c>
      <c r="BZ229" s="762">
        <v>118125</v>
      </c>
      <c r="CA229" s="762">
        <v>26578</v>
      </c>
      <c r="CB229" s="762">
        <v>2953</v>
      </c>
      <c r="CC229" s="762">
        <v>295311.71000000089</v>
      </c>
      <c r="CD229" s="762">
        <v>-414122</v>
      </c>
      <c r="CE229" s="762">
        <v>-331297</v>
      </c>
      <c r="CF229" s="762">
        <v>-74542</v>
      </c>
      <c r="CG229" s="762">
        <v>-8282</v>
      </c>
      <c r="CH229" s="762">
        <v>-828243.28999999911</v>
      </c>
      <c r="CI229" s="762">
        <v>8136375</v>
      </c>
      <c r="CJ229" s="762">
        <v>17889299</v>
      </c>
      <c r="CK229" s="762">
        <v>7278885</v>
      </c>
      <c r="CL229" s="762">
        <v>333738</v>
      </c>
      <c r="CM229" s="762">
        <v>33638297</v>
      </c>
      <c r="CN229" s="762">
        <v>585126</v>
      </c>
      <c r="CO229" s="762">
        <v>239623</v>
      </c>
      <c r="CP229" s="762">
        <v>11145</v>
      </c>
      <c r="CQ229" s="762">
        <v>835894</v>
      </c>
      <c r="CR229" s="762">
        <v>3239706</v>
      </c>
      <c r="CS229" s="762">
        <v>1326737</v>
      </c>
      <c r="CT229" s="762">
        <v>61709</v>
      </c>
      <c r="CU229" s="762">
        <v>4628152</v>
      </c>
      <c r="CV229" s="762">
        <v>123576</v>
      </c>
      <c r="CW229" s="762">
        <v>50607</v>
      </c>
      <c r="CX229" s="762">
        <v>2354</v>
      </c>
      <c r="CY229" s="762">
        <v>176537</v>
      </c>
      <c r="CZ229" s="762">
        <v>27145</v>
      </c>
      <c r="DA229" s="762">
        <v>11116</v>
      </c>
      <c r="DB229" s="762">
        <v>517</v>
      </c>
      <c r="DC229" s="762">
        <v>38778</v>
      </c>
      <c r="DD229" s="762">
        <v>16022</v>
      </c>
      <c r="DE229" s="762">
        <v>6561</v>
      </c>
      <c r="DF229" s="762">
        <v>305</v>
      </c>
      <c r="DG229" s="762">
        <v>22888</v>
      </c>
      <c r="DH229" s="762">
        <v>814</v>
      </c>
      <c r="DI229" s="762">
        <v>333</v>
      </c>
      <c r="DJ229" s="762">
        <v>15</v>
      </c>
      <c r="DK229" s="762">
        <v>1162</v>
      </c>
      <c r="DL229" s="762">
        <v>36214</v>
      </c>
      <c r="DM229" s="762">
        <v>14831</v>
      </c>
      <c r="DN229" s="762">
        <v>690</v>
      </c>
      <c r="DO229" s="762">
        <v>51735</v>
      </c>
      <c r="DP229" s="762">
        <v>67763</v>
      </c>
      <c r="DQ229" s="762">
        <v>27751</v>
      </c>
      <c r="DR229" s="762">
        <v>1291</v>
      </c>
      <c r="DS229" s="762">
        <v>96805</v>
      </c>
      <c r="DT229" s="762">
        <v>0</v>
      </c>
      <c r="DU229" s="762">
        <v>0</v>
      </c>
      <c r="DV229" s="762">
        <v>0</v>
      </c>
      <c r="DW229" s="762">
        <v>0</v>
      </c>
      <c r="DX229" s="762">
        <v>0</v>
      </c>
      <c r="DY229" s="762">
        <v>0</v>
      </c>
      <c r="DZ229" s="762">
        <v>0</v>
      </c>
      <c r="EA229" s="762">
        <v>0</v>
      </c>
      <c r="EB229" s="762">
        <v>797223</v>
      </c>
      <c r="EC229" s="762">
        <v>326482</v>
      </c>
      <c r="ED229" s="762">
        <v>15185</v>
      </c>
      <c r="EE229" s="762">
        <v>1138890</v>
      </c>
      <c r="EF229" s="762">
        <v>4893589</v>
      </c>
      <c r="EG229" s="762">
        <v>2004041</v>
      </c>
      <c r="EH229" s="762">
        <v>93211</v>
      </c>
      <c r="EI229" s="799">
        <v>6990841</v>
      </c>
      <c r="EJ229" s="763" t="s">
        <v>332</v>
      </c>
      <c r="EK229" s="607" t="s">
        <v>604</v>
      </c>
      <c r="EL229" s="805" t="s">
        <v>603</v>
      </c>
      <c r="EM229" t="s">
        <v>1795</v>
      </c>
    </row>
    <row r="230" spans="1:143" ht="12.75" x14ac:dyDescent="0.2">
      <c r="A230" s="764">
        <v>223</v>
      </c>
      <c r="B230" s="765" t="s">
        <v>335</v>
      </c>
      <c r="C230" s="766" t="s">
        <v>1217</v>
      </c>
      <c r="D230" s="767" t="s">
        <v>1226</v>
      </c>
      <c r="E230" s="768" t="s">
        <v>334</v>
      </c>
      <c r="F230" s="761">
        <v>41637305</v>
      </c>
      <c r="G230" s="762">
        <v>67177</v>
      </c>
      <c r="H230" s="762">
        <v>0</v>
      </c>
      <c r="I230" s="762">
        <v>166318</v>
      </c>
      <c r="J230" s="762">
        <v>0</v>
      </c>
      <c r="K230" s="762">
        <v>166318</v>
      </c>
      <c r="L230" s="762">
        <v>0</v>
      </c>
      <c r="M230" s="762">
        <v>0</v>
      </c>
      <c r="N230" s="762">
        <v>231348</v>
      </c>
      <c r="O230" s="762">
        <v>231348</v>
      </c>
      <c r="P230" s="762">
        <v>0</v>
      </c>
      <c r="Q230" s="762">
        <v>0</v>
      </c>
      <c r="R230" s="762">
        <v>41306816</v>
      </c>
      <c r="S230" s="790">
        <v>0.24999999999999994</v>
      </c>
      <c r="T230" s="790">
        <v>0.44</v>
      </c>
      <c r="U230" s="790">
        <v>0.3</v>
      </c>
      <c r="V230" s="790">
        <v>0.01</v>
      </c>
      <c r="W230" s="790">
        <v>1</v>
      </c>
      <c r="X230" s="762">
        <v>10326704</v>
      </c>
      <c r="Y230" s="762">
        <v>18174999</v>
      </c>
      <c r="Z230" s="762">
        <v>12392045</v>
      </c>
      <c r="AA230" s="762">
        <v>413068</v>
      </c>
      <c r="AB230" s="762">
        <v>41306816</v>
      </c>
      <c r="AC230" s="762">
        <v>0</v>
      </c>
      <c r="AD230" s="762">
        <v>0</v>
      </c>
      <c r="AE230" s="762">
        <v>0</v>
      </c>
      <c r="AF230" s="762">
        <v>0</v>
      </c>
      <c r="AG230" s="762">
        <v>0</v>
      </c>
      <c r="AH230" s="762">
        <v>10326704</v>
      </c>
      <c r="AI230" s="762">
        <v>18174999</v>
      </c>
      <c r="AJ230" s="762">
        <v>12392045</v>
      </c>
      <c r="AK230" s="762">
        <v>413068</v>
      </c>
      <c r="AL230" s="762">
        <v>41306816</v>
      </c>
      <c r="AM230" s="762">
        <v>166318</v>
      </c>
      <c r="AN230" s="762">
        <v>166318</v>
      </c>
      <c r="AO230" s="762">
        <v>0</v>
      </c>
      <c r="AP230" s="762">
        <v>0</v>
      </c>
      <c r="AQ230" s="762">
        <v>231348</v>
      </c>
      <c r="AR230" s="762">
        <v>0</v>
      </c>
      <c r="AS230" s="762">
        <v>231348</v>
      </c>
      <c r="AT230" s="762">
        <v>0</v>
      </c>
      <c r="AU230" s="762">
        <v>0</v>
      </c>
      <c r="AV230" s="762">
        <v>0</v>
      </c>
      <c r="AW230" s="762">
        <v>0</v>
      </c>
      <c r="AX230" s="762">
        <v>0</v>
      </c>
      <c r="AY230" s="762">
        <v>0</v>
      </c>
      <c r="AZ230" s="762">
        <v>0</v>
      </c>
      <c r="BA230" s="762">
        <v>0</v>
      </c>
      <c r="BB230" s="762">
        <v>0</v>
      </c>
      <c r="BC230" s="762">
        <v>0</v>
      </c>
      <c r="BD230" s="762">
        <v>0</v>
      </c>
      <c r="BE230" s="762">
        <v>0</v>
      </c>
      <c r="BF230" s="762">
        <v>0</v>
      </c>
      <c r="BG230" s="762">
        <v>0</v>
      </c>
      <c r="BH230" s="762">
        <v>0</v>
      </c>
      <c r="BI230" s="762">
        <v>0</v>
      </c>
      <c r="BJ230" s="790">
        <v>0.5</v>
      </c>
      <c r="BK230" s="790">
        <v>0.4</v>
      </c>
      <c r="BL230" s="790">
        <v>0.09</v>
      </c>
      <c r="BM230" s="790">
        <v>0.01</v>
      </c>
      <c r="BN230" s="790">
        <v>1</v>
      </c>
      <c r="BO230" s="762">
        <v>-200553</v>
      </c>
      <c r="BP230" s="762">
        <v>-160442</v>
      </c>
      <c r="BQ230" s="762">
        <v>-36100</v>
      </c>
      <c r="BR230" s="762">
        <v>-4011</v>
      </c>
      <c r="BS230" s="762">
        <v>-401106</v>
      </c>
      <c r="BT230" s="790">
        <v>0.5</v>
      </c>
      <c r="BU230" s="790">
        <v>0.4</v>
      </c>
      <c r="BV230" s="790">
        <v>0.09</v>
      </c>
      <c r="BW230" s="790">
        <v>0.01</v>
      </c>
      <c r="BX230" s="790">
        <v>1</v>
      </c>
      <c r="BY230" s="762">
        <v>275574</v>
      </c>
      <c r="BZ230" s="762">
        <v>220459</v>
      </c>
      <c r="CA230" s="762">
        <v>49603</v>
      </c>
      <c r="CB230" s="762">
        <v>5511</v>
      </c>
      <c r="CC230" s="762">
        <v>551147</v>
      </c>
      <c r="CD230" s="762">
        <v>75021</v>
      </c>
      <c r="CE230" s="762">
        <v>60016</v>
      </c>
      <c r="CF230" s="762">
        <v>13504</v>
      </c>
      <c r="CG230" s="762">
        <v>1500</v>
      </c>
      <c r="CH230" s="762">
        <v>150041</v>
      </c>
      <c r="CI230" s="762">
        <v>10401725</v>
      </c>
      <c r="CJ230" s="762">
        <v>18632681</v>
      </c>
      <c r="CK230" s="762">
        <v>12405549</v>
      </c>
      <c r="CL230" s="762">
        <v>414568</v>
      </c>
      <c r="CM230" s="762">
        <v>41854523</v>
      </c>
      <c r="CN230" s="762">
        <v>599799</v>
      </c>
      <c r="CO230" s="762">
        <v>403814</v>
      </c>
      <c r="CP230" s="762">
        <v>13460</v>
      </c>
      <c r="CQ230" s="762">
        <v>1017073</v>
      </c>
      <c r="CR230" s="762">
        <v>1470848</v>
      </c>
      <c r="CS230" s="762">
        <v>1000408</v>
      </c>
      <c r="CT230" s="762">
        <v>33347</v>
      </c>
      <c r="CU230" s="762">
        <v>2504603</v>
      </c>
      <c r="CV230" s="762">
        <v>91088</v>
      </c>
      <c r="CW230" s="762">
        <v>62105</v>
      </c>
      <c r="CX230" s="762">
        <v>2070</v>
      </c>
      <c r="CY230" s="762">
        <v>155263</v>
      </c>
      <c r="CZ230" s="762">
        <v>0</v>
      </c>
      <c r="DA230" s="762">
        <v>0</v>
      </c>
      <c r="DB230" s="762">
        <v>0</v>
      </c>
      <c r="DC230" s="762">
        <v>0</v>
      </c>
      <c r="DD230" s="762">
        <v>26531</v>
      </c>
      <c r="DE230" s="762">
        <v>18089</v>
      </c>
      <c r="DF230" s="762">
        <v>603</v>
      </c>
      <c r="DG230" s="762">
        <v>45223</v>
      </c>
      <c r="DH230" s="762">
        <v>0</v>
      </c>
      <c r="DI230" s="762">
        <v>0</v>
      </c>
      <c r="DJ230" s="762">
        <v>0</v>
      </c>
      <c r="DK230" s="762">
        <v>0</v>
      </c>
      <c r="DL230" s="762">
        <v>23010</v>
      </c>
      <c r="DM230" s="762">
        <v>15689</v>
      </c>
      <c r="DN230" s="762">
        <v>523</v>
      </c>
      <c r="DO230" s="762">
        <v>39222</v>
      </c>
      <c r="DP230" s="762">
        <v>27736</v>
      </c>
      <c r="DQ230" s="762">
        <v>18911</v>
      </c>
      <c r="DR230" s="762">
        <v>630</v>
      </c>
      <c r="DS230" s="762">
        <v>47277</v>
      </c>
      <c r="DT230" s="762">
        <v>0</v>
      </c>
      <c r="DU230" s="762">
        <v>0</v>
      </c>
      <c r="DV230" s="762">
        <v>0</v>
      </c>
      <c r="DW230" s="762">
        <v>0</v>
      </c>
      <c r="DX230" s="762">
        <v>0</v>
      </c>
      <c r="DY230" s="762">
        <v>0</v>
      </c>
      <c r="DZ230" s="762">
        <v>0</v>
      </c>
      <c r="EA230" s="762">
        <v>0</v>
      </c>
      <c r="EB230" s="762">
        <v>256383</v>
      </c>
      <c r="EC230" s="762">
        <v>174807</v>
      </c>
      <c r="ED230" s="762">
        <v>5827</v>
      </c>
      <c r="EE230" s="762">
        <v>437017</v>
      </c>
      <c r="EF230" s="762">
        <v>2495395</v>
      </c>
      <c r="EG230" s="762">
        <v>1693823</v>
      </c>
      <c r="EH230" s="762">
        <v>56460</v>
      </c>
      <c r="EI230" s="799">
        <v>4245678</v>
      </c>
      <c r="EJ230" s="763" t="s">
        <v>334</v>
      </c>
      <c r="EK230" s="607" t="s">
        <v>611</v>
      </c>
      <c r="EL230" s="805" t="s">
        <v>563</v>
      </c>
      <c r="EM230" t="s">
        <v>1796</v>
      </c>
    </row>
    <row r="231" spans="1:143" ht="12.75" x14ac:dyDescent="0.2">
      <c r="A231" s="764">
        <v>224</v>
      </c>
      <c r="B231" s="765" t="s">
        <v>337</v>
      </c>
      <c r="C231" s="766" t="s">
        <v>1224</v>
      </c>
      <c r="D231" s="767" t="s">
        <v>1219</v>
      </c>
      <c r="E231" s="768" t="s">
        <v>336</v>
      </c>
      <c r="F231" s="761">
        <v>65648683</v>
      </c>
      <c r="G231" s="762">
        <v>55553</v>
      </c>
      <c r="H231" s="762">
        <v>0</v>
      </c>
      <c r="I231" s="762">
        <v>311134</v>
      </c>
      <c r="J231" s="762">
        <v>0</v>
      </c>
      <c r="K231" s="762">
        <v>311134</v>
      </c>
      <c r="L231" s="762">
        <v>0</v>
      </c>
      <c r="M231" s="762">
        <v>0</v>
      </c>
      <c r="N231" s="762">
        <v>0</v>
      </c>
      <c r="O231" s="762">
        <v>0</v>
      </c>
      <c r="P231" s="762">
        <v>0</v>
      </c>
      <c r="Q231" s="762">
        <v>0</v>
      </c>
      <c r="R231" s="762">
        <v>65393102</v>
      </c>
      <c r="S231" s="790">
        <v>0</v>
      </c>
      <c r="T231" s="790">
        <v>0.99</v>
      </c>
      <c r="U231" s="790">
        <v>0</v>
      </c>
      <c r="V231" s="790">
        <v>0.01</v>
      </c>
      <c r="W231" s="790">
        <v>1</v>
      </c>
      <c r="X231" s="762">
        <v>0</v>
      </c>
      <c r="Y231" s="762">
        <v>64739171</v>
      </c>
      <c r="Z231" s="762">
        <v>0</v>
      </c>
      <c r="AA231" s="762">
        <v>653931</v>
      </c>
      <c r="AB231" s="762">
        <v>65393102</v>
      </c>
      <c r="AC231" s="762">
        <v>0</v>
      </c>
      <c r="AD231" s="762">
        <v>0</v>
      </c>
      <c r="AE231" s="762">
        <v>0</v>
      </c>
      <c r="AF231" s="762">
        <v>0</v>
      </c>
      <c r="AG231" s="762">
        <v>0</v>
      </c>
      <c r="AH231" s="762">
        <v>0</v>
      </c>
      <c r="AI231" s="762">
        <v>64739171</v>
      </c>
      <c r="AJ231" s="762">
        <v>0</v>
      </c>
      <c r="AK231" s="762">
        <v>653931</v>
      </c>
      <c r="AL231" s="762">
        <v>65393102</v>
      </c>
      <c r="AM231" s="762">
        <v>311134</v>
      </c>
      <c r="AN231" s="762">
        <v>311134</v>
      </c>
      <c r="AO231" s="762">
        <v>0</v>
      </c>
      <c r="AP231" s="762">
        <v>0</v>
      </c>
      <c r="AQ231" s="762">
        <v>0</v>
      </c>
      <c r="AR231" s="762">
        <v>0</v>
      </c>
      <c r="AS231" s="762">
        <v>0</v>
      </c>
      <c r="AT231" s="762">
        <v>0</v>
      </c>
      <c r="AU231" s="762">
        <v>0</v>
      </c>
      <c r="AV231" s="762">
        <v>0</v>
      </c>
      <c r="AW231" s="762">
        <v>0</v>
      </c>
      <c r="AX231" s="762">
        <v>0</v>
      </c>
      <c r="AY231" s="762">
        <v>0</v>
      </c>
      <c r="AZ231" s="762">
        <v>0</v>
      </c>
      <c r="BA231" s="762">
        <v>0</v>
      </c>
      <c r="BB231" s="762">
        <v>0</v>
      </c>
      <c r="BC231" s="762">
        <v>0</v>
      </c>
      <c r="BD231" s="762">
        <v>0</v>
      </c>
      <c r="BE231" s="762">
        <v>0</v>
      </c>
      <c r="BF231" s="762">
        <v>0</v>
      </c>
      <c r="BG231" s="762">
        <v>0</v>
      </c>
      <c r="BH231" s="762">
        <v>0</v>
      </c>
      <c r="BI231" s="762">
        <v>0</v>
      </c>
      <c r="BJ231" s="790">
        <v>0</v>
      </c>
      <c r="BK231" s="790">
        <v>0.99</v>
      </c>
      <c r="BL231" s="790">
        <v>0</v>
      </c>
      <c r="BM231" s="790">
        <v>0.01</v>
      </c>
      <c r="BN231" s="790">
        <v>1</v>
      </c>
      <c r="BO231" s="762">
        <v>0</v>
      </c>
      <c r="BP231" s="762">
        <v>-419251</v>
      </c>
      <c r="BQ231" s="762">
        <v>0</v>
      </c>
      <c r="BR231" s="762">
        <v>-4235</v>
      </c>
      <c r="BS231" s="762">
        <v>-423486</v>
      </c>
      <c r="BT231" s="790">
        <v>0</v>
      </c>
      <c r="BU231" s="790">
        <v>0.99</v>
      </c>
      <c r="BV231" s="790">
        <v>0</v>
      </c>
      <c r="BW231" s="790">
        <v>0.01</v>
      </c>
      <c r="BX231" s="790">
        <v>1</v>
      </c>
      <c r="BY231" s="762">
        <v>0</v>
      </c>
      <c r="BZ231" s="762">
        <v>2169450</v>
      </c>
      <c r="CA231" s="762">
        <v>0</v>
      </c>
      <c r="CB231" s="762">
        <v>21914</v>
      </c>
      <c r="CC231" s="762">
        <v>2191364</v>
      </c>
      <c r="CD231" s="762">
        <v>0</v>
      </c>
      <c r="CE231" s="762">
        <v>1750199</v>
      </c>
      <c r="CF231" s="762">
        <v>0</v>
      </c>
      <c r="CG231" s="762">
        <v>17679</v>
      </c>
      <c r="CH231" s="762">
        <v>1767878</v>
      </c>
      <c r="CI231" s="762">
        <v>0</v>
      </c>
      <c r="CJ231" s="762">
        <v>66800504</v>
      </c>
      <c r="CK231" s="762">
        <v>0</v>
      </c>
      <c r="CL231" s="762">
        <v>671610</v>
      </c>
      <c r="CM231" s="762">
        <v>67472114</v>
      </c>
      <c r="CN231" s="762">
        <v>2109627</v>
      </c>
      <c r="CO231" s="762">
        <v>0</v>
      </c>
      <c r="CP231" s="762">
        <v>21309</v>
      </c>
      <c r="CQ231" s="762">
        <v>2130936</v>
      </c>
      <c r="CR231" s="762">
        <v>6320307</v>
      </c>
      <c r="CS231" s="762">
        <v>0</v>
      </c>
      <c r="CT231" s="762">
        <v>63841</v>
      </c>
      <c r="CU231" s="762">
        <v>6384148</v>
      </c>
      <c r="CV231" s="762">
        <v>328021</v>
      </c>
      <c r="CW231" s="762">
        <v>0</v>
      </c>
      <c r="CX231" s="762">
        <v>3313</v>
      </c>
      <c r="CY231" s="762">
        <v>331334</v>
      </c>
      <c r="CZ231" s="762">
        <v>0</v>
      </c>
      <c r="DA231" s="762">
        <v>0</v>
      </c>
      <c r="DB231" s="762">
        <v>0</v>
      </c>
      <c r="DC231" s="762">
        <v>0</v>
      </c>
      <c r="DD231" s="762">
        <v>0</v>
      </c>
      <c r="DE231" s="762">
        <v>0</v>
      </c>
      <c r="DF231" s="762">
        <v>0</v>
      </c>
      <c r="DG231" s="762">
        <v>0</v>
      </c>
      <c r="DH231" s="762">
        <v>1534</v>
      </c>
      <c r="DI231" s="762">
        <v>0</v>
      </c>
      <c r="DJ231" s="762">
        <v>15</v>
      </c>
      <c r="DK231" s="762">
        <v>1549</v>
      </c>
      <c r="DL231" s="762">
        <v>24218</v>
      </c>
      <c r="DM231" s="762">
        <v>0</v>
      </c>
      <c r="DN231" s="762">
        <v>245</v>
      </c>
      <c r="DO231" s="762">
        <v>24463</v>
      </c>
      <c r="DP231" s="762">
        <v>112805</v>
      </c>
      <c r="DQ231" s="762">
        <v>0</v>
      </c>
      <c r="DR231" s="762">
        <v>1139</v>
      </c>
      <c r="DS231" s="762">
        <v>113944</v>
      </c>
      <c r="DT231" s="762">
        <v>0</v>
      </c>
      <c r="DU231" s="762">
        <v>0</v>
      </c>
      <c r="DV231" s="762">
        <v>0</v>
      </c>
      <c r="DW231" s="762">
        <v>0</v>
      </c>
      <c r="DX231" s="762">
        <v>0</v>
      </c>
      <c r="DY231" s="762">
        <v>0</v>
      </c>
      <c r="DZ231" s="762">
        <v>0</v>
      </c>
      <c r="EA231" s="762">
        <v>0</v>
      </c>
      <c r="EB231" s="762">
        <v>2904728</v>
      </c>
      <c r="EC231" s="762">
        <v>0</v>
      </c>
      <c r="ED231" s="762">
        <v>29341</v>
      </c>
      <c r="EE231" s="762">
        <v>2934069</v>
      </c>
      <c r="EF231" s="762">
        <v>11801240</v>
      </c>
      <c r="EG231" s="762">
        <v>0</v>
      </c>
      <c r="EH231" s="762">
        <v>119203</v>
      </c>
      <c r="EI231" s="799">
        <v>11920443</v>
      </c>
      <c r="EJ231" s="763" t="s">
        <v>336</v>
      </c>
      <c r="EK231" s="607" t="s">
        <v>621</v>
      </c>
      <c r="EL231" s="805" t="s">
        <v>623</v>
      </c>
      <c r="EM231" t="s">
        <v>1797</v>
      </c>
    </row>
    <row r="232" spans="1:143" ht="12.75" x14ac:dyDescent="0.2">
      <c r="A232" s="764">
        <v>225</v>
      </c>
      <c r="B232" s="765" t="s">
        <v>339</v>
      </c>
      <c r="C232" s="766" t="s">
        <v>1217</v>
      </c>
      <c r="D232" s="767" t="s">
        <v>1225</v>
      </c>
      <c r="E232" s="768" t="s">
        <v>338</v>
      </c>
      <c r="F232" s="761">
        <v>38409095</v>
      </c>
      <c r="G232" s="762">
        <v>0</v>
      </c>
      <c r="H232" s="762">
        <v>1561415</v>
      </c>
      <c r="I232" s="762">
        <v>110429</v>
      </c>
      <c r="J232" s="762">
        <v>0</v>
      </c>
      <c r="K232" s="762">
        <v>110429</v>
      </c>
      <c r="L232" s="762">
        <v>0</v>
      </c>
      <c r="M232" s="762">
        <v>0</v>
      </c>
      <c r="N232" s="762">
        <v>7997259</v>
      </c>
      <c r="O232" s="762">
        <v>7997259</v>
      </c>
      <c r="P232" s="762">
        <v>0</v>
      </c>
      <c r="Q232" s="762">
        <v>0</v>
      </c>
      <c r="R232" s="762">
        <v>28739992</v>
      </c>
      <c r="S232" s="790">
        <v>0.25</v>
      </c>
      <c r="T232" s="790">
        <v>0.52500000000000002</v>
      </c>
      <c r="U232" s="790">
        <v>0.215</v>
      </c>
      <c r="V232" s="790">
        <v>0.01</v>
      </c>
      <c r="W232" s="790">
        <v>1</v>
      </c>
      <c r="X232" s="762">
        <v>7184998</v>
      </c>
      <c r="Y232" s="762">
        <v>15088496</v>
      </c>
      <c r="Z232" s="762">
        <v>6179098</v>
      </c>
      <c r="AA232" s="762">
        <v>287400</v>
      </c>
      <c r="AB232" s="762">
        <v>28739992</v>
      </c>
      <c r="AC232" s="762">
        <v>0</v>
      </c>
      <c r="AD232" s="762">
        <v>0</v>
      </c>
      <c r="AE232" s="762">
        <v>0</v>
      </c>
      <c r="AF232" s="762">
        <v>0</v>
      </c>
      <c r="AG232" s="762">
        <v>0</v>
      </c>
      <c r="AH232" s="762">
        <v>7184998</v>
      </c>
      <c r="AI232" s="762">
        <v>15088496</v>
      </c>
      <c r="AJ232" s="762">
        <v>6179098</v>
      </c>
      <c r="AK232" s="762">
        <v>287400</v>
      </c>
      <c r="AL232" s="762">
        <v>28739992</v>
      </c>
      <c r="AM232" s="762">
        <v>110429</v>
      </c>
      <c r="AN232" s="762">
        <v>110429</v>
      </c>
      <c r="AO232" s="762">
        <v>0</v>
      </c>
      <c r="AP232" s="762">
        <v>0</v>
      </c>
      <c r="AQ232" s="762">
        <v>7997259</v>
      </c>
      <c r="AR232" s="762">
        <v>0</v>
      </c>
      <c r="AS232" s="762">
        <v>7997259</v>
      </c>
      <c r="AT232" s="762">
        <v>0</v>
      </c>
      <c r="AU232" s="762">
        <v>0</v>
      </c>
      <c r="AV232" s="762">
        <v>0</v>
      </c>
      <c r="AW232" s="762">
        <v>0</v>
      </c>
      <c r="AX232" s="762">
        <v>0</v>
      </c>
      <c r="AY232" s="762">
        <v>0</v>
      </c>
      <c r="AZ232" s="762">
        <v>0</v>
      </c>
      <c r="BA232" s="762">
        <v>0</v>
      </c>
      <c r="BB232" s="762">
        <v>0</v>
      </c>
      <c r="BC232" s="762">
        <v>0</v>
      </c>
      <c r="BD232" s="762">
        <v>0</v>
      </c>
      <c r="BE232" s="762">
        <v>0</v>
      </c>
      <c r="BF232" s="762">
        <v>0</v>
      </c>
      <c r="BG232" s="762">
        <v>0</v>
      </c>
      <c r="BH232" s="762">
        <v>0</v>
      </c>
      <c r="BI232" s="762">
        <v>0</v>
      </c>
      <c r="BJ232" s="790">
        <v>0.5</v>
      </c>
      <c r="BK232" s="790">
        <v>0.4</v>
      </c>
      <c r="BL232" s="790">
        <v>0.09</v>
      </c>
      <c r="BM232" s="790">
        <v>0.01</v>
      </c>
      <c r="BN232" s="790">
        <v>1</v>
      </c>
      <c r="BO232" s="762">
        <v>-211607</v>
      </c>
      <c r="BP232" s="762">
        <v>-169286</v>
      </c>
      <c r="BQ232" s="762">
        <v>-38089</v>
      </c>
      <c r="BR232" s="762">
        <v>-4232</v>
      </c>
      <c r="BS232" s="762">
        <v>-423214</v>
      </c>
      <c r="BT232" s="790">
        <v>0.5</v>
      </c>
      <c r="BU232" s="790">
        <v>0.4</v>
      </c>
      <c r="BV232" s="790">
        <v>0.09</v>
      </c>
      <c r="BW232" s="790">
        <v>0.01</v>
      </c>
      <c r="BX232" s="790">
        <v>1</v>
      </c>
      <c r="BY232" s="762">
        <v>281006</v>
      </c>
      <c r="BZ232" s="762">
        <v>224805</v>
      </c>
      <c r="CA232" s="762">
        <v>50581</v>
      </c>
      <c r="CB232" s="762">
        <v>5620</v>
      </c>
      <c r="CC232" s="762">
        <v>562012</v>
      </c>
      <c r="CD232" s="762">
        <v>69399</v>
      </c>
      <c r="CE232" s="762">
        <v>55519</v>
      </c>
      <c r="CF232" s="762">
        <v>12492</v>
      </c>
      <c r="CG232" s="762">
        <v>1388</v>
      </c>
      <c r="CH232" s="762">
        <v>138798</v>
      </c>
      <c r="CI232" s="762">
        <v>7254397</v>
      </c>
      <c r="CJ232" s="762">
        <v>23251703</v>
      </c>
      <c r="CK232" s="762">
        <v>6191590</v>
      </c>
      <c r="CL232" s="762">
        <v>288788</v>
      </c>
      <c r="CM232" s="762">
        <v>36986478</v>
      </c>
      <c r="CN232" s="762">
        <v>752285</v>
      </c>
      <c r="CO232" s="762">
        <v>201356</v>
      </c>
      <c r="CP232" s="762">
        <v>9365</v>
      </c>
      <c r="CQ232" s="762">
        <v>963006</v>
      </c>
      <c r="CR232" s="762">
        <v>1077520</v>
      </c>
      <c r="CS232" s="762">
        <v>441270</v>
      </c>
      <c r="CT232" s="762">
        <v>20524</v>
      </c>
      <c r="CU232" s="762">
        <v>1539314</v>
      </c>
      <c r="CV232" s="762">
        <v>67692</v>
      </c>
      <c r="CW232" s="762">
        <v>27722</v>
      </c>
      <c r="CX232" s="762">
        <v>1289</v>
      </c>
      <c r="CY232" s="762">
        <v>96703</v>
      </c>
      <c r="CZ232" s="762">
        <v>7339</v>
      </c>
      <c r="DA232" s="762">
        <v>3005</v>
      </c>
      <c r="DB232" s="762">
        <v>140</v>
      </c>
      <c r="DC232" s="762">
        <v>10484</v>
      </c>
      <c r="DD232" s="762">
        <v>7137</v>
      </c>
      <c r="DE232" s="762">
        <v>2923</v>
      </c>
      <c r="DF232" s="762">
        <v>136</v>
      </c>
      <c r="DG232" s="762">
        <v>10196</v>
      </c>
      <c r="DH232" s="762">
        <v>814</v>
      </c>
      <c r="DI232" s="762">
        <v>333</v>
      </c>
      <c r="DJ232" s="762">
        <v>15</v>
      </c>
      <c r="DK232" s="762">
        <v>1162</v>
      </c>
      <c r="DL232" s="762">
        <v>16339</v>
      </c>
      <c r="DM232" s="762">
        <v>6691</v>
      </c>
      <c r="DN232" s="762">
        <v>311</v>
      </c>
      <c r="DO232" s="762">
        <v>23341</v>
      </c>
      <c r="DP232" s="762">
        <v>20058</v>
      </c>
      <c r="DQ232" s="762">
        <v>8214</v>
      </c>
      <c r="DR232" s="762">
        <v>382</v>
      </c>
      <c r="DS232" s="762">
        <v>28654</v>
      </c>
      <c r="DT232" s="762">
        <v>0</v>
      </c>
      <c r="DU232" s="762">
        <v>0</v>
      </c>
      <c r="DV232" s="762">
        <v>0</v>
      </c>
      <c r="DW232" s="762">
        <v>0</v>
      </c>
      <c r="DX232" s="762">
        <v>0</v>
      </c>
      <c r="DY232" s="762">
        <v>0</v>
      </c>
      <c r="DZ232" s="762">
        <v>0</v>
      </c>
      <c r="EA232" s="762">
        <v>0</v>
      </c>
      <c r="EB232" s="762">
        <v>248216</v>
      </c>
      <c r="EC232" s="762">
        <v>101651</v>
      </c>
      <c r="ED232" s="762">
        <v>4728</v>
      </c>
      <c r="EE232" s="762">
        <v>354595</v>
      </c>
      <c r="EF232" s="762">
        <v>2197400</v>
      </c>
      <c r="EG232" s="762">
        <v>793165</v>
      </c>
      <c r="EH232" s="762">
        <v>36890</v>
      </c>
      <c r="EI232" s="799">
        <v>3027455</v>
      </c>
      <c r="EJ232" s="763" t="s">
        <v>338</v>
      </c>
      <c r="EK232" s="607" t="s">
        <v>604</v>
      </c>
      <c r="EL232" s="805" t="s">
        <v>603</v>
      </c>
      <c r="EM232" t="s">
        <v>1798</v>
      </c>
    </row>
    <row r="233" spans="1:143" ht="12.75" x14ac:dyDescent="0.2">
      <c r="A233" s="764">
        <v>226</v>
      </c>
      <c r="B233" s="765" t="s">
        <v>341</v>
      </c>
      <c r="C233" s="766" t="s">
        <v>1217</v>
      </c>
      <c r="D233" s="767" t="s">
        <v>1218</v>
      </c>
      <c r="E233" s="768" t="s">
        <v>340</v>
      </c>
      <c r="F233" s="761">
        <v>34627037</v>
      </c>
      <c r="G233" s="762">
        <v>254654</v>
      </c>
      <c r="H233" s="762">
        <v>0</v>
      </c>
      <c r="I233" s="762">
        <v>159224</v>
      </c>
      <c r="J233" s="762">
        <v>0</v>
      </c>
      <c r="K233" s="762">
        <v>159224</v>
      </c>
      <c r="L233" s="762">
        <v>0</v>
      </c>
      <c r="M233" s="762">
        <v>0</v>
      </c>
      <c r="N233" s="762">
        <v>0</v>
      </c>
      <c r="O233" s="762">
        <v>0</v>
      </c>
      <c r="P233" s="762">
        <v>0</v>
      </c>
      <c r="Q233" s="762">
        <v>0</v>
      </c>
      <c r="R233" s="762">
        <v>34722467</v>
      </c>
      <c r="S233" s="790">
        <v>0.5</v>
      </c>
      <c r="T233" s="790">
        <v>0.4</v>
      </c>
      <c r="U233" s="790">
        <v>0.09</v>
      </c>
      <c r="V233" s="790">
        <v>0.01</v>
      </c>
      <c r="W233" s="790">
        <v>1</v>
      </c>
      <c r="X233" s="762">
        <v>17361233</v>
      </c>
      <c r="Y233" s="762">
        <v>13888987</v>
      </c>
      <c r="Z233" s="762">
        <v>3125022</v>
      </c>
      <c r="AA233" s="762">
        <v>347225</v>
      </c>
      <c r="AB233" s="762">
        <v>34722467</v>
      </c>
      <c r="AC233" s="762">
        <v>0</v>
      </c>
      <c r="AD233" s="762">
        <v>0</v>
      </c>
      <c r="AE233" s="762">
        <v>0</v>
      </c>
      <c r="AF233" s="762">
        <v>0</v>
      </c>
      <c r="AG233" s="762">
        <v>0</v>
      </c>
      <c r="AH233" s="762">
        <v>17361233</v>
      </c>
      <c r="AI233" s="762">
        <v>13888987</v>
      </c>
      <c r="AJ233" s="762">
        <v>3125022</v>
      </c>
      <c r="AK233" s="762">
        <v>347225</v>
      </c>
      <c r="AL233" s="762">
        <v>34722467</v>
      </c>
      <c r="AM233" s="762">
        <v>159224</v>
      </c>
      <c r="AN233" s="762">
        <v>159224</v>
      </c>
      <c r="AO233" s="762">
        <v>0</v>
      </c>
      <c r="AP233" s="762">
        <v>0</v>
      </c>
      <c r="AQ233" s="762">
        <v>0</v>
      </c>
      <c r="AR233" s="762">
        <v>0</v>
      </c>
      <c r="AS233" s="762">
        <v>0</v>
      </c>
      <c r="AT233" s="762">
        <v>0</v>
      </c>
      <c r="AU233" s="762">
        <v>0</v>
      </c>
      <c r="AV233" s="762">
        <v>0</v>
      </c>
      <c r="AW233" s="762">
        <v>0</v>
      </c>
      <c r="AX233" s="762">
        <v>0</v>
      </c>
      <c r="AY233" s="762">
        <v>0</v>
      </c>
      <c r="AZ233" s="762">
        <v>0</v>
      </c>
      <c r="BA233" s="762">
        <v>0</v>
      </c>
      <c r="BB233" s="762">
        <v>0</v>
      </c>
      <c r="BC233" s="762">
        <v>0</v>
      </c>
      <c r="BD233" s="762">
        <v>0</v>
      </c>
      <c r="BE233" s="762">
        <v>0</v>
      </c>
      <c r="BF233" s="762">
        <v>0</v>
      </c>
      <c r="BG233" s="762">
        <v>0</v>
      </c>
      <c r="BH233" s="762">
        <v>0</v>
      </c>
      <c r="BI233" s="762">
        <v>0</v>
      </c>
      <c r="BJ233" s="790">
        <v>0</v>
      </c>
      <c r="BK233" s="790">
        <v>0.4</v>
      </c>
      <c r="BL233" s="790">
        <v>0.59</v>
      </c>
      <c r="BM233" s="790">
        <v>0.01</v>
      </c>
      <c r="BN233" s="790">
        <v>1</v>
      </c>
      <c r="BO233" s="762">
        <v>-1</v>
      </c>
      <c r="BP233" s="762">
        <v>241354</v>
      </c>
      <c r="BQ233" s="762">
        <v>355997</v>
      </c>
      <c r="BR233" s="762">
        <v>6034</v>
      </c>
      <c r="BS233" s="762">
        <v>603384</v>
      </c>
      <c r="BT233" s="790">
        <v>0.5</v>
      </c>
      <c r="BU233" s="790">
        <v>0.4</v>
      </c>
      <c r="BV233" s="790">
        <v>0.09</v>
      </c>
      <c r="BW233" s="790">
        <v>0.01</v>
      </c>
      <c r="BX233" s="790">
        <v>1</v>
      </c>
      <c r="BY233" s="762">
        <v>-24925</v>
      </c>
      <c r="BZ233" s="762">
        <v>-19940</v>
      </c>
      <c r="CA233" s="762">
        <v>-4487</v>
      </c>
      <c r="CB233" s="762">
        <v>-499</v>
      </c>
      <c r="CC233" s="762">
        <v>-49851</v>
      </c>
      <c r="CD233" s="762">
        <v>-24926</v>
      </c>
      <c r="CE233" s="762">
        <v>221414</v>
      </c>
      <c r="CF233" s="762">
        <v>351510</v>
      </c>
      <c r="CG233" s="762">
        <v>5535</v>
      </c>
      <c r="CH233" s="762">
        <v>553533</v>
      </c>
      <c r="CI233" s="762">
        <v>17336307</v>
      </c>
      <c r="CJ233" s="762">
        <v>14269625</v>
      </c>
      <c r="CK233" s="762">
        <v>3476532</v>
      </c>
      <c r="CL233" s="762">
        <v>352760</v>
      </c>
      <c r="CM233" s="762">
        <v>35435224</v>
      </c>
      <c r="CN233" s="762">
        <v>452594</v>
      </c>
      <c r="CO233" s="762">
        <v>101834</v>
      </c>
      <c r="CP233" s="762">
        <v>11315</v>
      </c>
      <c r="CQ233" s="762">
        <v>565743</v>
      </c>
      <c r="CR233" s="762">
        <v>1139953</v>
      </c>
      <c r="CS233" s="762">
        <v>256490</v>
      </c>
      <c r="CT233" s="762">
        <v>28499</v>
      </c>
      <c r="CU233" s="762">
        <v>1424942</v>
      </c>
      <c r="CV233" s="762">
        <v>90274</v>
      </c>
      <c r="CW233" s="762">
        <v>20312</v>
      </c>
      <c r="CX233" s="762">
        <v>2257</v>
      </c>
      <c r="CY233" s="762">
        <v>112843</v>
      </c>
      <c r="CZ233" s="762">
        <v>8860</v>
      </c>
      <c r="DA233" s="762">
        <v>1993</v>
      </c>
      <c r="DB233" s="762">
        <v>221</v>
      </c>
      <c r="DC233" s="762">
        <v>11074</v>
      </c>
      <c r="DD233" s="762">
        <v>5438</v>
      </c>
      <c r="DE233" s="762">
        <v>1224</v>
      </c>
      <c r="DF233" s="762">
        <v>136</v>
      </c>
      <c r="DG233" s="762">
        <v>6798</v>
      </c>
      <c r="DH233" s="762">
        <v>620</v>
      </c>
      <c r="DI233" s="762">
        <v>139</v>
      </c>
      <c r="DJ233" s="762">
        <v>15</v>
      </c>
      <c r="DK233" s="762">
        <v>774</v>
      </c>
      <c r="DL233" s="762">
        <v>13381</v>
      </c>
      <c r="DM233" s="762">
        <v>3011</v>
      </c>
      <c r="DN233" s="762">
        <v>335</v>
      </c>
      <c r="DO233" s="762">
        <v>16727</v>
      </c>
      <c r="DP233" s="762">
        <v>18563</v>
      </c>
      <c r="DQ233" s="762">
        <v>4177</v>
      </c>
      <c r="DR233" s="762">
        <v>464</v>
      </c>
      <c r="DS233" s="762">
        <v>23204</v>
      </c>
      <c r="DT233" s="762">
        <v>0</v>
      </c>
      <c r="DU233" s="762">
        <v>0</v>
      </c>
      <c r="DV233" s="762">
        <v>0</v>
      </c>
      <c r="DW233" s="762">
        <v>0</v>
      </c>
      <c r="DX233" s="762">
        <v>0</v>
      </c>
      <c r="DY233" s="762">
        <v>0</v>
      </c>
      <c r="DZ233" s="762">
        <v>0</v>
      </c>
      <c r="EA233" s="762">
        <v>0</v>
      </c>
      <c r="EB233" s="762">
        <v>399881</v>
      </c>
      <c r="EC233" s="762">
        <v>89973</v>
      </c>
      <c r="ED233" s="762">
        <v>9997</v>
      </c>
      <c r="EE233" s="762">
        <v>499851</v>
      </c>
      <c r="EF233" s="762">
        <v>2129564</v>
      </c>
      <c r="EG233" s="762">
        <v>479153</v>
      </c>
      <c r="EH233" s="762">
        <v>53239</v>
      </c>
      <c r="EI233" s="799">
        <v>2661956</v>
      </c>
      <c r="EJ233" s="763" t="s">
        <v>340</v>
      </c>
      <c r="EK233" s="607" t="s">
        <v>591</v>
      </c>
      <c r="EL233" s="805" t="s">
        <v>590</v>
      </c>
      <c r="EM233" t="s">
        <v>1799</v>
      </c>
    </row>
    <row r="234" spans="1:143" ht="12.75" x14ac:dyDescent="0.2">
      <c r="A234" s="764">
        <v>227</v>
      </c>
      <c r="B234" s="765" t="s">
        <v>343</v>
      </c>
      <c r="C234" s="766" t="s">
        <v>1224</v>
      </c>
      <c r="D234" s="767" t="s">
        <v>1225</v>
      </c>
      <c r="E234" s="768" t="s">
        <v>342</v>
      </c>
      <c r="F234" s="761">
        <v>204969755</v>
      </c>
      <c r="G234" s="762">
        <v>0</v>
      </c>
      <c r="H234" s="762">
        <v>2680341</v>
      </c>
      <c r="I234" s="762">
        <v>759401</v>
      </c>
      <c r="J234" s="762">
        <v>0</v>
      </c>
      <c r="K234" s="762">
        <v>759401</v>
      </c>
      <c r="L234" s="762">
        <v>0</v>
      </c>
      <c r="M234" s="762">
        <v>1243669</v>
      </c>
      <c r="N234" s="762">
        <v>1343425</v>
      </c>
      <c r="O234" s="762">
        <v>1343425</v>
      </c>
      <c r="P234" s="762">
        <v>0</v>
      </c>
      <c r="Q234" s="762">
        <v>0</v>
      </c>
      <c r="R234" s="762">
        <v>198942919</v>
      </c>
      <c r="S234" s="790">
        <v>0.5</v>
      </c>
      <c r="T234" s="790">
        <v>0.49</v>
      </c>
      <c r="U234" s="790">
        <v>0</v>
      </c>
      <c r="V234" s="790">
        <v>0.01</v>
      </c>
      <c r="W234" s="790">
        <v>1</v>
      </c>
      <c r="X234" s="762">
        <v>99471460</v>
      </c>
      <c r="Y234" s="762">
        <v>97482030</v>
      </c>
      <c r="Z234" s="762">
        <v>0</v>
      </c>
      <c r="AA234" s="762">
        <v>1989429</v>
      </c>
      <c r="AB234" s="762">
        <v>198942919</v>
      </c>
      <c r="AC234" s="762">
        <v>0</v>
      </c>
      <c r="AD234" s="762">
        <v>0</v>
      </c>
      <c r="AE234" s="762">
        <v>0</v>
      </c>
      <c r="AF234" s="762">
        <v>0</v>
      </c>
      <c r="AG234" s="762">
        <v>0</v>
      </c>
      <c r="AH234" s="762">
        <v>99471460</v>
      </c>
      <c r="AI234" s="762">
        <v>97482030</v>
      </c>
      <c r="AJ234" s="762">
        <v>0</v>
      </c>
      <c r="AK234" s="762">
        <v>1989429</v>
      </c>
      <c r="AL234" s="762">
        <v>198942919</v>
      </c>
      <c r="AM234" s="762">
        <v>759401</v>
      </c>
      <c r="AN234" s="762">
        <v>759401</v>
      </c>
      <c r="AO234" s="762">
        <v>1243669</v>
      </c>
      <c r="AP234" s="762">
        <v>1243669</v>
      </c>
      <c r="AQ234" s="762">
        <v>1343425</v>
      </c>
      <c r="AR234" s="762">
        <v>0</v>
      </c>
      <c r="AS234" s="762">
        <v>1343425</v>
      </c>
      <c r="AT234" s="762">
        <v>0</v>
      </c>
      <c r="AU234" s="762">
        <v>0</v>
      </c>
      <c r="AV234" s="762">
        <v>0</v>
      </c>
      <c r="AW234" s="762">
        <v>0</v>
      </c>
      <c r="AX234" s="762">
        <v>0</v>
      </c>
      <c r="AY234" s="762">
        <v>0</v>
      </c>
      <c r="AZ234" s="762">
        <v>0</v>
      </c>
      <c r="BA234" s="762">
        <v>0</v>
      </c>
      <c r="BB234" s="762">
        <v>0</v>
      </c>
      <c r="BC234" s="762">
        <v>0</v>
      </c>
      <c r="BD234" s="762">
        <v>0</v>
      </c>
      <c r="BE234" s="762">
        <v>0</v>
      </c>
      <c r="BF234" s="762">
        <v>0</v>
      </c>
      <c r="BG234" s="762">
        <v>0</v>
      </c>
      <c r="BH234" s="762">
        <v>0</v>
      </c>
      <c r="BI234" s="762">
        <v>0</v>
      </c>
      <c r="BJ234" s="790">
        <v>0.5</v>
      </c>
      <c r="BK234" s="790">
        <v>0.49</v>
      </c>
      <c r="BL234" s="790">
        <v>0</v>
      </c>
      <c r="BM234" s="790">
        <v>0.01</v>
      </c>
      <c r="BN234" s="790">
        <v>1</v>
      </c>
      <c r="BO234" s="762">
        <v>3100988</v>
      </c>
      <c r="BP234" s="762">
        <v>3038969</v>
      </c>
      <c r="BQ234" s="762">
        <v>0</v>
      </c>
      <c r="BR234" s="762">
        <v>62020</v>
      </c>
      <c r="BS234" s="762">
        <v>6201977</v>
      </c>
      <c r="BT234" s="790">
        <v>0.5</v>
      </c>
      <c r="BU234" s="790">
        <v>0.49</v>
      </c>
      <c r="BV234" s="790">
        <v>0</v>
      </c>
      <c r="BW234" s="790">
        <v>0.01</v>
      </c>
      <c r="BX234" s="790">
        <v>1</v>
      </c>
      <c r="BY234" s="762">
        <v>810355</v>
      </c>
      <c r="BZ234" s="762">
        <v>794148</v>
      </c>
      <c r="CA234" s="762">
        <v>0</v>
      </c>
      <c r="CB234" s="762">
        <v>16207</v>
      </c>
      <c r="CC234" s="762">
        <v>1620710</v>
      </c>
      <c r="CD234" s="762">
        <v>3911343</v>
      </c>
      <c r="CE234" s="762">
        <v>3833117</v>
      </c>
      <c r="CF234" s="762">
        <v>0</v>
      </c>
      <c r="CG234" s="762">
        <v>78227</v>
      </c>
      <c r="CH234" s="762">
        <v>7822687</v>
      </c>
      <c r="CI234" s="762">
        <v>103382803</v>
      </c>
      <c r="CJ234" s="762">
        <v>104661642</v>
      </c>
      <c r="CK234" s="762">
        <v>0</v>
      </c>
      <c r="CL234" s="762">
        <v>2067656</v>
      </c>
      <c r="CM234" s="762">
        <v>210112101</v>
      </c>
      <c r="CN234" s="762">
        <v>3260908</v>
      </c>
      <c r="CO234" s="762">
        <v>0</v>
      </c>
      <c r="CP234" s="762">
        <v>64829</v>
      </c>
      <c r="CQ234" s="762">
        <v>3325737</v>
      </c>
      <c r="CR234" s="762">
        <v>6446112</v>
      </c>
      <c r="CS234" s="762">
        <v>0</v>
      </c>
      <c r="CT234" s="762">
        <v>131085</v>
      </c>
      <c r="CU234" s="762">
        <v>6577197</v>
      </c>
      <c r="CV234" s="762">
        <v>394544</v>
      </c>
      <c r="CW234" s="762">
        <v>0</v>
      </c>
      <c r="CX234" s="762">
        <v>8019</v>
      </c>
      <c r="CY234" s="762">
        <v>402563</v>
      </c>
      <c r="CZ234" s="762">
        <v>0</v>
      </c>
      <c r="DA234" s="762">
        <v>0</v>
      </c>
      <c r="DB234" s="762">
        <v>0</v>
      </c>
      <c r="DC234" s="762">
        <v>0</v>
      </c>
      <c r="DD234" s="762">
        <v>0</v>
      </c>
      <c r="DE234" s="762">
        <v>0</v>
      </c>
      <c r="DF234" s="762">
        <v>0</v>
      </c>
      <c r="DG234" s="762">
        <v>0</v>
      </c>
      <c r="DH234" s="762">
        <v>0</v>
      </c>
      <c r="DI234" s="762">
        <v>0</v>
      </c>
      <c r="DJ234" s="762">
        <v>0</v>
      </c>
      <c r="DK234" s="762">
        <v>0</v>
      </c>
      <c r="DL234" s="762">
        <v>29108</v>
      </c>
      <c r="DM234" s="762">
        <v>0</v>
      </c>
      <c r="DN234" s="762">
        <v>594</v>
      </c>
      <c r="DO234" s="762">
        <v>29702</v>
      </c>
      <c r="DP234" s="762">
        <v>94363</v>
      </c>
      <c r="DQ234" s="762">
        <v>0</v>
      </c>
      <c r="DR234" s="762">
        <v>1926</v>
      </c>
      <c r="DS234" s="762">
        <v>96289</v>
      </c>
      <c r="DT234" s="762">
        <v>0</v>
      </c>
      <c r="DU234" s="762">
        <v>0</v>
      </c>
      <c r="DV234" s="762">
        <v>0</v>
      </c>
      <c r="DW234" s="762">
        <v>0</v>
      </c>
      <c r="DX234" s="762">
        <v>0</v>
      </c>
      <c r="DY234" s="762">
        <v>0</v>
      </c>
      <c r="DZ234" s="762">
        <v>0</v>
      </c>
      <c r="EA234" s="762">
        <v>0</v>
      </c>
      <c r="EB234" s="762">
        <v>1517902</v>
      </c>
      <c r="EC234" s="762">
        <v>0</v>
      </c>
      <c r="ED234" s="762">
        <v>30978</v>
      </c>
      <c r="EE234" s="762">
        <v>1548880</v>
      </c>
      <c r="EF234" s="762">
        <v>11742937</v>
      </c>
      <c r="EG234" s="762">
        <v>0</v>
      </c>
      <c r="EH234" s="762">
        <v>237431</v>
      </c>
      <c r="EI234" s="799">
        <v>11980368</v>
      </c>
      <c r="EJ234" s="763" t="s">
        <v>342</v>
      </c>
      <c r="EK234" s="607" t="s">
        <v>621</v>
      </c>
      <c r="EL234" s="805" t="s">
        <v>624</v>
      </c>
      <c r="EM234" t="s">
        <v>1800</v>
      </c>
    </row>
    <row r="235" spans="1:143" ht="12.75" x14ac:dyDescent="0.2">
      <c r="A235" s="764">
        <v>228</v>
      </c>
      <c r="B235" s="765" t="s">
        <v>347</v>
      </c>
      <c r="C235" s="766" t="s">
        <v>529</v>
      </c>
      <c r="D235" s="767" t="s">
        <v>1227</v>
      </c>
      <c r="E235" s="768" t="s">
        <v>346</v>
      </c>
      <c r="F235" s="761">
        <v>80449446</v>
      </c>
      <c r="G235" s="762">
        <v>2560622</v>
      </c>
      <c r="H235" s="762">
        <v>0</v>
      </c>
      <c r="I235" s="762">
        <v>456651</v>
      </c>
      <c r="J235" s="762">
        <v>0</v>
      </c>
      <c r="K235" s="762">
        <v>456651</v>
      </c>
      <c r="L235" s="762">
        <v>0</v>
      </c>
      <c r="M235" s="762">
        <v>0</v>
      </c>
      <c r="N235" s="762">
        <v>808674</v>
      </c>
      <c r="O235" s="762">
        <v>808674</v>
      </c>
      <c r="P235" s="762">
        <v>0</v>
      </c>
      <c r="Q235" s="762">
        <v>0</v>
      </c>
      <c r="R235" s="762">
        <v>81744743</v>
      </c>
      <c r="S235" s="790">
        <v>0.5</v>
      </c>
      <c r="T235" s="790">
        <v>0.49</v>
      </c>
      <c r="U235" s="790">
        <v>0</v>
      </c>
      <c r="V235" s="790">
        <v>0.01</v>
      </c>
      <c r="W235" s="790">
        <v>1</v>
      </c>
      <c r="X235" s="762">
        <v>40872372</v>
      </c>
      <c r="Y235" s="762">
        <v>40054924</v>
      </c>
      <c r="Z235" s="762">
        <v>0</v>
      </c>
      <c r="AA235" s="762">
        <v>817447</v>
      </c>
      <c r="AB235" s="762">
        <v>81744743</v>
      </c>
      <c r="AC235" s="762">
        <v>0</v>
      </c>
      <c r="AD235" s="762">
        <v>0</v>
      </c>
      <c r="AE235" s="762">
        <v>0</v>
      </c>
      <c r="AF235" s="762">
        <v>0</v>
      </c>
      <c r="AG235" s="762">
        <v>0</v>
      </c>
      <c r="AH235" s="762">
        <v>40872372</v>
      </c>
      <c r="AI235" s="762">
        <v>40054924</v>
      </c>
      <c r="AJ235" s="762">
        <v>0</v>
      </c>
      <c r="AK235" s="762">
        <v>817447</v>
      </c>
      <c r="AL235" s="762">
        <v>81744743</v>
      </c>
      <c r="AM235" s="762">
        <v>456651</v>
      </c>
      <c r="AN235" s="762">
        <v>456651</v>
      </c>
      <c r="AO235" s="762">
        <v>0</v>
      </c>
      <c r="AP235" s="762">
        <v>0</v>
      </c>
      <c r="AQ235" s="762">
        <v>808674</v>
      </c>
      <c r="AR235" s="762">
        <v>0</v>
      </c>
      <c r="AS235" s="762">
        <v>808674</v>
      </c>
      <c r="AT235" s="762">
        <v>0</v>
      </c>
      <c r="AU235" s="762">
        <v>0</v>
      </c>
      <c r="AV235" s="762">
        <v>0</v>
      </c>
      <c r="AW235" s="762">
        <v>0</v>
      </c>
      <c r="AX235" s="762">
        <v>0</v>
      </c>
      <c r="AY235" s="762">
        <v>0</v>
      </c>
      <c r="AZ235" s="762">
        <v>0</v>
      </c>
      <c r="BA235" s="762">
        <v>0</v>
      </c>
      <c r="BB235" s="762">
        <v>0</v>
      </c>
      <c r="BC235" s="762">
        <v>0</v>
      </c>
      <c r="BD235" s="762">
        <v>0</v>
      </c>
      <c r="BE235" s="762">
        <v>0</v>
      </c>
      <c r="BF235" s="762">
        <v>0</v>
      </c>
      <c r="BG235" s="762">
        <v>0</v>
      </c>
      <c r="BH235" s="762">
        <v>0</v>
      </c>
      <c r="BI235" s="762">
        <v>0</v>
      </c>
      <c r="BJ235" s="790">
        <v>0.5</v>
      </c>
      <c r="BK235" s="790">
        <v>0.49</v>
      </c>
      <c r="BL235" s="790">
        <v>0</v>
      </c>
      <c r="BM235" s="790">
        <v>0.01</v>
      </c>
      <c r="BN235" s="790">
        <v>1</v>
      </c>
      <c r="BO235" s="762">
        <v>-802838</v>
      </c>
      <c r="BP235" s="762">
        <v>-786781</v>
      </c>
      <c r="BQ235" s="762">
        <v>0</v>
      </c>
      <c r="BR235" s="762">
        <v>-16057</v>
      </c>
      <c r="BS235" s="762">
        <v>-1605676</v>
      </c>
      <c r="BT235" s="790">
        <v>0.5</v>
      </c>
      <c r="BU235" s="790">
        <v>0.49</v>
      </c>
      <c r="BV235" s="790">
        <v>0</v>
      </c>
      <c r="BW235" s="790">
        <v>0.01</v>
      </c>
      <c r="BX235" s="790">
        <v>1</v>
      </c>
      <c r="BY235" s="762">
        <v>-75503</v>
      </c>
      <c r="BZ235" s="762">
        <v>-73993</v>
      </c>
      <c r="CA235" s="762">
        <v>0</v>
      </c>
      <c r="CB235" s="762">
        <v>-1510</v>
      </c>
      <c r="CC235" s="762">
        <v>-151006</v>
      </c>
      <c r="CD235" s="762">
        <v>-878341</v>
      </c>
      <c r="CE235" s="762">
        <v>-860774</v>
      </c>
      <c r="CF235" s="762">
        <v>0</v>
      </c>
      <c r="CG235" s="762">
        <v>-17567</v>
      </c>
      <c r="CH235" s="762">
        <v>-1756682</v>
      </c>
      <c r="CI235" s="762">
        <v>39994031</v>
      </c>
      <c r="CJ235" s="762">
        <v>40459475</v>
      </c>
      <c r="CK235" s="762">
        <v>0</v>
      </c>
      <c r="CL235" s="762">
        <v>799880</v>
      </c>
      <c r="CM235" s="762">
        <v>81253386</v>
      </c>
      <c r="CN235" s="762">
        <v>1331604</v>
      </c>
      <c r="CO235" s="762">
        <v>0</v>
      </c>
      <c r="CP235" s="762">
        <v>26638</v>
      </c>
      <c r="CQ235" s="762">
        <v>1358242</v>
      </c>
      <c r="CR235" s="762">
        <v>4713409</v>
      </c>
      <c r="CS235" s="762">
        <v>0</v>
      </c>
      <c r="CT235" s="762">
        <v>96192</v>
      </c>
      <c r="CU235" s="762">
        <v>4809601</v>
      </c>
      <c r="CV235" s="762">
        <v>249664</v>
      </c>
      <c r="CW235" s="762">
        <v>0</v>
      </c>
      <c r="CX235" s="762">
        <v>5095</v>
      </c>
      <c r="CY235" s="762">
        <v>254759</v>
      </c>
      <c r="CZ235" s="762">
        <v>19120</v>
      </c>
      <c r="DA235" s="762">
        <v>0</v>
      </c>
      <c r="DB235" s="762">
        <v>390</v>
      </c>
      <c r="DC235" s="762">
        <v>19510</v>
      </c>
      <c r="DD235" s="762">
        <v>17238</v>
      </c>
      <c r="DE235" s="762">
        <v>0</v>
      </c>
      <c r="DF235" s="762">
        <v>352</v>
      </c>
      <c r="DG235" s="762">
        <v>17590</v>
      </c>
      <c r="DH235" s="762">
        <v>0</v>
      </c>
      <c r="DI235" s="762">
        <v>0</v>
      </c>
      <c r="DJ235" s="762">
        <v>0</v>
      </c>
      <c r="DK235" s="762">
        <v>0</v>
      </c>
      <c r="DL235" s="762">
        <v>102418</v>
      </c>
      <c r="DM235" s="762">
        <v>0</v>
      </c>
      <c r="DN235" s="762">
        <v>2090</v>
      </c>
      <c r="DO235" s="762">
        <v>104508</v>
      </c>
      <c r="DP235" s="762">
        <v>132390</v>
      </c>
      <c r="DQ235" s="762">
        <v>0</v>
      </c>
      <c r="DR235" s="762">
        <v>2702</v>
      </c>
      <c r="DS235" s="762">
        <v>135092</v>
      </c>
      <c r="DT235" s="762">
        <v>0</v>
      </c>
      <c r="DU235" s="762">
        <v>0</v>
      </c>
      <c r="DV235" s="762">
        <v>0</v>
      </c>
      <c r="DW235" s="762">
        <v>0</v>
      </c>
      <c r="DX235" s="762">
        <v>0</v>
      </c>
      <c r="DY235" s="762">
        <v>0</v>
      </c>
      <c r="DZ235" s="762">
        <v>0</v>
      </c>
      <c r="EA235" s="762">
        <v>0</v>
      </c>
      <c r="EB235" s="762">
        <v>1214322</v>
      </c>
      <c r="EC235" s="762">
        <v>0</v>
      </c>
      <c r="ED235" s="762">
        <v>24782</v>
      </c>
      <c r="EE235" s="762">
        <v>1239104</v>
      </c>
      <c r="EF235" s="762">
        <v>7780165</v>
      </c>
      <c r="EG235" s="762">
        <v>0</v>
      </c>
      <c r="EH235" s="762">
        <v>158241</v>
      </c>
      <c r="EI235" s="799">
        <v>7938406</v>
      </c>
      <c r="EJ235" s="763" t="s">
        <v>346</v>
      </c>
      <c r="EK235" s="607" t="s">
        <v>529</v>
      </c>
      <c r="EL235" s="805" t="s">
        <v>610</v>
      </c>
      <c r="EM235" t="s">
        <v>1801</v>
      </c>
    </row>
    <row r="236" spans="1:143" ht="12.75" x14ac:dyDescent="0.2">
      <c r="A236" s="764">
        <v>229</v>
      </c>
      <c r="B236" s="765" t="s">
        <v>349</v>
      </c>
      <c r="C236" s="766" t="s">
        <v>529</v>
      </c>
      <c r="D236" s="767" t="s">
        <v>1218</v>
      </c>
      <c r="E236" s="768" t="s">
        <v>540</v>
      </c>
      <c r="F236" s="761">
        <v>106635247</v>
      </c>
      <c r="G236" s="762">
        <v>0</v>
      </c>
      <c r="H236" s="762">
        <v>1046140</v>
      </c>
      <c r="I236" s="762">
        <v>205701</v>
      </c>
      <c r="J236" s="762">
        <v>0</v>
      </c>
      <c r="K236" s="762">
        <v>205701</v>
      </c>
      <c r="L236" s="762">
        <v>0</v>
      </c>
      <c r="M236" s="762">
        <v>0</v>
      </c>
      <c r="N236" s="762">
        <v>0</v>
      </c>
      <c r="O236" s="762">
        <v>0</v>
      </c>
      <c r="P236" s="762">
        <v>0</v>
      </c>
      <c r="Q236" s="762">
        <v>0</v>
      </c>
      <c r="R236" s="762">
        <v>105383406</v>
      </c>
      <c r="S236" s="790">
        <v>0.25</v>
      </c>
      <c r="T236" s="790">
        <v>0.74</v>
      </c>
      <c r="U236" s="790">
        <v>0</v>
      </c>
      <c r="V236" s="790">
        <v>0.01</v>
      </c>
      <c r="W236" s="790">
        <v>1</v>
      </c>
      <c r="X236" s="762">
        <v>26345852</v>
      </c>
      <c r="Y236" s="762">
        <v>77983720</v>
      </c>
      <c r="Z236" s="762">
        <v>0</v>
      </c>
      <c r="AA236" s="762">
        <v>1053834</v>
      </c>
      <c r="AB236" s="762">
        <v>105383406</v>
      </c>
      <c r="AC236" s="762">
        <v>0</v>
      </c>
      <c r="AD236" s="762">
        <v>0</v>
      </c>
      <c r="AE236" s="762">
        <v>0</v>
      </c>
      <c r="AF236" s="762">
        <v>0</v>
      </c>
      <c r="AG236" s="762">
        <v>0</v>
      </c>
      <c r="AH236" s="762">
        <v>26345852</v>
      </c>
      <c r="AI236" s="762">
        <v>77983720</v>
      </c>
      <c r="AJ236" s="762">
        <v>0</v>
      </c>
      <c r="AK236" s="762">
        <v>1053834</v>
      </c>
      <c r="AL236" s="762">
        <v>105383406</v>
      </c>
      <c r="AM236" s="762">
        <v>205701</v>
      </c>
      <c r="AN236" s="762">
        <v>205701</v>
      </c>
      <c r="AO236" s="762">
        <v>0</v>
      </c>
      <c r="AP236" s="762">
        <v>0</v>
      </c>
      <c r="AQ236" s="762">
        <v>0</v>
      </c>
      <c r="AR236" s="762">
        <v>0</v>
      </c>
      <c r="AS236" s="762">
        <v>0</v>
      </c>
      <c r="AT236" s="762">
        <v>0</v>
      </c>
      <c r="AU236" s="762">
        <v>0</v>
      </c>
      <c r="AV236" s="762">
        <v>0</v>
      </c>
      <c r="AW236" s="762">
        <v>0</v>
      </c>
      <c r="AX236" s="762">
        <v>0</v>
      </c>
      <c r="AY236" s="762">
        <v>0</v>
      </c>
      <c r="AZ236" s="762">
        <v>0</v>
      </c>
      <c r="BA236" s="762">
        <v>0</v>
      </c>
      <c r="BB236" s="762">
        <v>0</v>
      </c>
      <c r="BC236" s="762">
        <v>0</v>
      </c>
      <c r="BD236" s="762">
        <v>0</v>
      </c>
      <c r="BE236" s="762">
        <v>0</v>
      </c>
      <c r="BF236" s="762">
        <v>0</v>
      </c>
      <c r="BG236" s="762">
        <v>0</v>
      </c>
      <c r="BH236" s="762">
        <v>0</v>
      </c>
      <c r="BI236" s="762">
        <v>0</v>
      </c>
      <c r="BJ236" s="790">
        <v>0</v>
      </c>
      <c r="BK236" s="790">
        <v>0.99</v>
      </c>
      <c r="BL236" s="790">
        <v>0</v>
      </c>
      <c r="BM236" s="790">
        <v>0.01</v>
      </c>
      <c r="BN236" s="790">
        <v>1</v>
      </c>
      <c r="BO236" s="762">
        <v>0</v>
      </c>
      <c r="BP236" s="762">
        <v>-2551828</v>
      </c>
      <c r="BQ236" s="762">
        <v>0</v>
      </c>
      <c r="BR236" s="762">
        <v>-25776</v>
      </c>
      <c r="BS236" s="762">
        <v>-2577604</v>
      </c>
      <c r="BT236" s="790">
        <v>0.5</v>
      </c>
      <c r="BU236" s="790">
        <v>0.49</v>
      </c>
      <c r="BV236" s="790">
        <v>0</v>
      </c>
      <c r="BW236" s="790">
        <v>0.01</v>
      </c>
      <c r="BX236" s="790">
        <v>1</v>
      </c>
      <c r="BY236" s="762">
        <v>1458338</v>
      </c>
      <c r="BZ236" s="762">
        <v>1429171</v>
      </c>
      <c r="CA236" s="762">
        <v>0</v>
      </c>
      <c r="CB236" s="762">
        <v>29167</v>
      </c>
      <c r="CC236" s="762">
        <v>2916676</v>
      </c>
      <c r="CD236" s="762">
        <v>1458338</v>
      </c>
      <c r="CE236" s="762">
        <v>-1122657</v>
      </c>
      <c r="CF236" s="762">
        <v>0</v>
      </c>
      <c r="CG236" s="762">
        <v>3391</v>
      </c>
      <c r="CH236" s="762">
        <v>339072</v>
      </c>
      <c r="CI236" s="762">
        <v>27804190</v>
      </c>
      <c r="CJ236" s="762">
        <v>77066764</v>
      </c>
      <c r="CK236" s="762">
        <v>0</v>
      </c>
      <c r="CL236" s="762">
        <v>1057225</v>
      </c>
      <c r="CM236" s="762">
        <v>105928179</v>
      </c>
      <c r="CN236" s="762">
        <v>2541221</v>
      </c>
      <c r="CO236" s="762">
        <v>0</v>
      </c>
      <c r="CP236" s="762">
        <v>34341</v>
      </c>
      <c r="CQ236" s="762">
        <v>2575562</v>
      </c>
      <c r="CR236" s="762">
        <v>1677638</v>
      </c>
      <c r="CS236" s="762">
        <v>0</v>
      </c>
      <c r="CT236" s="762">
        <v>22671</v>
      </c>
      <c r="CU236" s="762">
        <v>1700309</v>
      </c>
      <c r="CV236" s="762">
        <v>204805</v>
      </c>
      <c r="CW236" s="762">
        <v>0</v>
      </c>
      <c r="CX236" s="762">
        <v>2768</v>
      </c>
      <c r="CY236" s="762">
        <v>207573</v>
      </c>
      <c r="CZ236" s="762">
        <v>5553</v>
      </c>
      <c r="DA236" s="762">
        <v>0</v>
      </c>
      <c r="DB236" s="762">
        <v>75</v>
      </c>
      <c r="DC236" s="762">
        <v>5628</v>
      </c>
      <c r="DD236" s="762">
        <v>0</v>
      </c>
      <c r="DE236" s="762">
        <v>0</v>
      </c>
      <c r="DF236" s="762">
        <v>0</v>
      </c>
      <c r="DG236" s="762">
        <v>0</v>
      </c>
      <c r="DH236" s="762">
        <v>0</v>
      </c>
      <c r="DI236" s="762">
        <v>0</v>
      </c>
      <c r="DJ236" s="762">
        <v>0</v>
      </c>
      <c r="DK236" s="762">
        <v>0</v>
      </c>
      <c r="DL236" s="762">
        <v>16608</v>
      </c>
      <c r="DM236" s="762">
        <v>0</v>
      </c>
      <c r="DN236" s="762">
        <v>224</v>
      </c>
      <c r="DO236" s="762">
        <v>16832</v>
      </c>
      <c r="DP236" s="762">
        <v>53477</v>
      </c>
      <c r="DQ236" s="762">
        <v>0</v>
      </c>
      <c r="DR236" s="762">
        <v>723</v>
      </c>
      <c r="DS236" s="762">
        <v>54200</v>
      </c>
      <c r="DT236" s="762">
        <v>0</v>
      </c>
      <c r="DU236" s="762">
        <v>0</v>
      </c>
      <c r="DV236" s="762">
        <v>0</v>
      </c>
      <c r="DW236" s="762">
        <v>0</v>
      </c>
      <c r="DX236" s="762">
        <v>0</v>
      </c>
      <c r="DY236" s="762">
        <v>0</v>
      </c>
      <c r="DZ236" s="762">
        <v>0</v>
      </c>
      <c r="EA236" s="762">
        <v>0</v>
      </c>
      <c r="EB236" s="762">
        <v>1520614</v>
      </c>
      <c r="EC236" s="762">
        <v>0</v>
      </c>
      <c r="ED236" s="762">
        <v>20549</v>
      </c>
      <c r="EE236" s="762">
        <v>1541163</v>
      </c>
      <c r="EF236" s="762">
        <v>6019916</v>
      </c>
      <c r="EG236" s="762">
        <v>0</v>
      </c>
      <c r="EH236" s="762">
        <v>81351</v>
      </c>
      <c r="EI236" s="799">
        <v>6101267</v>
      </c>
      <c r="EJ236" s="763" t="s">
        <v>540</v>
      </c>
      <c r="EK236" s="607" t="s">
        <v>529</v>
      </c>
      <c r="EL236" s="805" t="s">
        <v>537</v>
      </c>
      <c r="EM236" t="s">
        <v>1802</v>
      </c>
    </row>
    <row r="237" spans="1:143" ht="12.75" x14ac:dyDescent="0.2">
      <c r="A237" s="764">
        <v>230</v>
      </c>
      <c r="B237" s="765" t="s">
        <v>351</v>
      </c>
      <c r="C237" s="766" t="s">
        <v>1224</v>
      </c>
      <c r="D237" s="767" t="s">
        <v>1227</v>
      </c>
      <c r="E237" s="768" t="s">
        <v>350</v>
      </c>
      <c r="F237" s="761">
        <v>115874809</v>
      </c>
      <c r="G237" s="762">
        <v>0</v>
      </c>
      <c r="H237" s="762">
        <v>1265720</v>
      </c>
      <c r="I237" s="762">
        <v>251319</v>
      </c>
      <c r="J237" s="762">
        <v>0</v>
      </c>
      <c r="K237" s="762">
        <v>251319</v>
      </c>
      <c r="L237" s="762">
        <v>0</v>
      </c>
      <c r="M237" s="762">
        <v>0</v>
      </c>
      <c r="N237" s="762">
        <v>0</v>
      </c>
      <c r="O237" s="762">
        <v>0</v>
      </c>
      <c r="P237" s="762">
        <v>0</v>
      </c>
      <c r="Q237" s="762">
        <v>0</v>
      </c>
      <c r="R237" s="762">
        <v>114357770</v>
      </c>
      <c r="S237" s="790">
        <v>0</v>
      </c>
      <c r="T237" s="790">
        <v>0.99</v>
      </c>
      <c r="U237" s="790">
        <v>0</v>
      </c>
      <c r="V237" s="790">
        <v>0.01</v>
      </c>
      <c r="W237" s="790">
        <v>1</v>
      </c>
      <c r="X237" s="762">
        <v>0</v>
      </c>
      <c r="Y237" s="762">
        <v>113214192</v>
      </c>
      <c r="Z237" s="762">
        <v>0</v>
      </c>
      <c r="AA237" s="762">
        <v>1143578</v>
      </c>
      <c r="AB237" s="762">
        <v>114357770</v>
      </c>
      <c r="AC237" s="762">
        <v>0</v>
      </c>
      <c r="AD237" s="762">
        <v>0</v>
      </c>
      <c r="AE237" s="762">
        <v>0</v>
      </c>
      <c r="AF237" s="762">
        <v>0</v>
      </c>
      <c r="AG237" s="762">
        <v>0</v>
      </c>
      <c r="AH237" s="762">
        <v>0</v>
      </c>
      <c r="AI237" s="762">
        <v>113214192</v>
      </c>
      <c r="AJ237" s="762">
        <v>0</v>
      </c>
      <c r="AK237" s="762">
        <v>1143578</v>
      </c>
      <c r="AL237" s="762">
        <v>114357770</v>
      </c>
      <c r="AM237" s="762">
        <v>251319</v>
      </c>
      <c r="AN237" s="762">
        <v>251319</v>
      </c>
      <c r="AO237" s="762">
        <v>0</v>
      </c>
      <c r="AP237" s="762">
        <v>0</v>
      </c>
      <c r="AQ237" s="762">
        <v>0</v>
      </c>
      <c r="AR237" s="762">
        <v>0</v>
      </c>
      <c r="AS237" s="762">
        <v>0</v>
      </c>
      <c r="AT237" s="762">
        <v>0</v>
      </c>
      <c r="AU237" s="762">
        <v>0</v>
      </c>
      <c r="AV237" s="762">
        <v>0</v>
      </c>
      <c r="AW237" s="762">
        <v>0</v>
      </c>
      <c r="AX237" s="762">
        <v>0</v>
      </c>
      <c r="AY237" s="762">
        <v>0</v>
      </c>
      <c r="AZ237" s="762">
        <v>0</v>
      </c>
      <c r="BA237" s="762">
        <v>0</v>
      </c>
      <c r="BB237" s="762">
        <v>0</v>
      </c>
      <c r="BC237" s="762">
        <v>0</v>
      </c>
      <c r="BD237" s="762">
        <v>0</v>
      </c>
      <c r="BE237" s="762">
        <v>0</v>
      </c>
      <c r="BF237" s="762">
        <v>0</v>
      </c>
      <c r="BG237" s="762">
        <v>0</v>
      </c>
      <c r="BH237" s="762">
        <v>0</v>
      </c>
      <c r="BI237" s="762">
        <v>0</v>
      </c>
      <c r="BJ237" s="790">
        <v>0</v>
      </c>
      <c r="BK237" s="790">
        <v>0.99</v>
      </c>
      <c r="BL237" s="790">
        <v>0</v>
      </c>
      <c r="BM237" s="790">
        <v>0.01</v>
      </c>
      <c r="BN237" s="790">
        <v>1</v>
      </c>
      <c r="BO237" s="762">
        <v>0</v>
      </c>
      <c r="BP237" s="762">
        <v>1170755</v>
      </c>
      <c r="BQ237" s="762">
        <v>0</v>
      </c>
      <c r="BR237" s="762">
        <v>11826</v>
      </c>
      <c r="BS237" s="762">
        <v>1182581</v>
      </c>
      <c r="BT237" s="790">
        <v>0</v>
      </c>
      <c r="BU237" s="790">
        <v>0.99</v>
      </c>
      <c r="BV237" s="790">
        <v>0</v>
      </c>
      <c r="BW237" s="790">
        <v>0.01</v>
      </c>
      <c r="BX237" s="790">
        <v>1</v>
      </c>
      <c r="BY237" s="762">
        <v>-0.5</v>
      </c>
      <c r="BZ237" s="762">
        <v>-152962</v>
      </c>
      <c r="CA237" s="762">
        <v>0</v>
      </c>
      <c r="CB237" s="762">
        <v>-1545</v>
      </c>
      <c r="CC237" s="762">
        <v>-154507.5</v>
      </c>
      <c r="CD237" s="762">
        <v>-1</v>
      </c>
      <c r="CE237" s="762">
        <v>1017793</v>
      </c>
      <c r="CF237" s="762">
        <v>0</v>
      </c>
      <c r="CG237" s="762">
        <v>10281</v>
      </c>
      <c r="CH237" s="762">
        <v>1028073.5</v>
      </c>
      <c r="CI237" s="762">
        <v>-1</v>
      </c>
      <c r="CJ237" s="762">
        <v>114483304</v>
      </c>
      <c r="CK237" s="762">
        <v>0</v>
      </c>
      <c r="CL237" s="762">
        <v>1153859</v>
      </c>
      <c r="CM237" s="762">
        <v>115637163</v>
      </c>
      <c r="CN237" s="762">
        <v>3689261</v>
      </c>
      <c r="CO237" s="762">
        <v>0</v>
      </c>
      <c r="CP237" s="762">
        <v>37265</v>
      </c>
      <c r="CQ237" s="762">
        <v>3726526</v>
      </c>
      <c r="CR237" s="762">
        <v>2774335</v>
      </c>
      <c r="CS237" s="762">
        <v>0</v>
      </c>
      <c r="CT237" s="762">
        <v>28024</v>
      </c>
      <c r="CU237" s="762">
        <v>2802359</v>
      </c>
      <c r="CV237" s="762">
        <v>344092</v>
      </c>
      <c r="CW237" s="762">
        <v>0</v>
      </c>
      <c r="CX237" s="762">
        <v>3476</v>
      </c>
      <c r="CY237" s="762">
        <v>347568</v>
      </c>
      <c r="CZ237" s="762">
        <v>5923</v>
      </c>
      <c r="DA237" s="762">
        <v>0</v>
      </c>
      <c r="DB237" s="762">
        <v>60</v>
      </c>
      <c r="DC237" s="762">
        <v>5983</v>
      </c>
      <c r="DD237" s="762">
        <v>1358</v>
      </c>
      <c r="DE237" s="762">
        <v>0</v>
      </c>
      <c r="DF237" s="762">
        <v>14</v>
      </c>
      <c r="DG237" s="762">
        <v>1372</v>
      </c>
      <c r="DH237" s="762">
        <v>0</v>
      </c>
      <c r="DI237" s="762">
        <v>0</v>
      </c>
      <c r="DJ237" s="762">
        <v>0</v>
      </c>
      <c r="DK237" s="762">
        <v>0</v>
      </c>
      <c r="DL237" s="762">
        <v>22210</v>
      </c>
      <c r="DM237" s="762">
        <v>0</v>
      </c>
      <c r="DN237" s="762">
        <v>224</v>
      </c>
      <c r="DO237" s="762">
        <v>22434</v>
      </c>
      <c r="DP237" s="762">
        <v>46530</v>
      </c>
      <c r="DQ237" s="762">
        <v>0</v>
      </c>
      <c r="DR237" s="762">
        <v>470</v>
      </c>
      <c r="DS237" s="762">
        <v>47000</v>
      </c>
      <c r="DT237" s="762">
        <v>0</v>
      </c>
      <c r="DU237" s="762">
        <v>0</v>
      </c>
      <c r="DV237" s="762">
        <v>0</v>
      </c>
      <c r="DW237" s="762">
        <v>0</v>
      </c>
      <c r="DX237" s="762">
        <v>0</v>
      </c>
      <c r="DY237" s="762">
        <v>0</v>
      </c>
      <c r="DZ237" s="762">
        <v>0</v>
      </c>
      <c r="EA237" s="762">
        <v>0</v>
      </c>
      <c r="EB237" s="762">
        <v>1402571</v>
      </c>
      <c r="EC237" s="762">
        <v>0</v>
      </c>
      <c r="ED237" s="762">
        <v>14167</v>
      </c>
      <c r="EE237" s="762">
        <v>1416738</v>
      </c>
      <c r="EF237" s="762">
        <v>8286280</v>
      </c>
      <c r="EG237" s="762">
        <v>0</v>
      </c>
      <c r="EH237" s="762">
        <v>83700</v>
      </c>
      <c r="EI237" s="799">
        <v>8369980</v>
      </c>
      <c r="EJ237" s="763" t="s">
        <v>350</v>
      </c>
      <c r="EK237" s="607" t="s">
        <v>621</v>
      </c>
      <c r="EL237" s="805" t="s">
        <v>626</v>
      </c>
      <c r="EM237" t="s">
        <v>1803</v>
      </c>
    </row>
    <row r="238" spans="1:143" ht="12.75" x14ac:dyDescent="0.2">
      <c r="A238" s="764">
        <v>231</v>
      </c>
      <c r="B238" s="765" t="s">
        <v>1150</v>
      </c>
      <c r="C238" s="766" t="s">
        <v>1217</v>
      </c>
      <c r="D238" s="767" t="s">
        <v>1226</v>
      </c>
      <c r="E238" s="768" t="s">
        <v>1149</v>
      </c>
      <c r="F238" s="761">
        <v>58025050</v>
      </c>
      <c r="G238" s="762">
        <v>0</v>
      </c>
      <c r="H238" s="762">
        <v>528102</v>
      </c>
      <c r="I238" s="762">
        <v>250335</v>
      </c>
      <c r="J238" s="762">
        <v>1759</v>
      </c>
      <c r="K238" s="762">
        <v>252094</v>
      </c>
      <c r="L238" s="762">
        <v>0</v>
      </c>
      <c r="M238" s="762">
        <v>0</v>
      </c>
      <c r="N238" s="762">
        <v>204926</v>
      </c>
      <c r="O238" s="762">
        <v>204926</v>
      </c>
      <c r="P238" s="762">
        <v>0</v>
      </c>
      <c r="Q238" s="762">
        <v>0</v>
      </c>
      <c r="R238" s="762">
        <v>57039928</v>
      </c>
      <c r="S238" s="790">
        <v>0.24999999999999994</v>
      </c>
      <c r="T238" s="790">
        <v>0.44</v>
      </c>
      <c r="U238" s="790">
        <v>0.3</v>
      </c>
      <c r="V238" s="790">
        <v>0.01</v>
      </c>
      <c r="W238" s="790">
        <v>1</v>
      </c>
      <c r="X238" s="762">
        <v>14259983</v>
      </c>
      <c r="Y238" s="762">
        <v>25097568</v>
      </c>
      <c r="Z238" s="762">
        <v>17111978</v>
      </c>
      <c r="AA238" s="762">
        <v>570399</v>
      </c>
      <c r="AB238" s="762">
        <v>57039928</v>
      </c>
      <c r="AC238" s="762">
        <v>0</v>
      </c>
      <c r="AD238" s="762">
        <v>0</v>
      </c>
      <c r="AE238" s="762">
        <v>0</v>
      </c>
      <c r="AF238" s="762">
        <v>0</v>
      </c>
      <c r="AG238" s="762">
        <v>0</v>
      </c>
      <c r="AH238" s="762">
        <v>14259983</v>
      </c>
      <c r="AI238" s="762">
        <v>25097568</v>
      </c>
      <c r="AJ238" s="762">
        <v>17111978</v>
      </c>
      <c r="AK238" s="762">
        <v>570399</v>
      </c>
      <c r="AL238" s="762">
        <v>57039928</v>
      </c>
      <c r="AM238" s="762">
        <v>252094</v>
      </c>
      <c r="AN238" s="762">
        <v>252094</v>
      </c>
      <c r="AO238" s="762">
        <v>0</v>
      </c>
      <c r="AP238" s="762">
        <v>0</v>
      </c>
      <c r="AQ238" s="762">
        <v>204926</v>
      </c>
      <c r="AR238" s="762">
        <v>0</v>
      </c>
      <c r="AS238" s="762">
        <v>204926</v>
      </c>
      <c r="AT238" s="762">
        <v>0</v>
      </c>
      <c r="AU238" s="762">
        <v>0</v>
      </c>
      <c r="AV238" s="762">
        <v>0</v>
      </c>
      <c r="AW238" s="762">
        <v>0</v>
      </c>
      <c r="AX238" s="762">
        <v>0</v>
      </c>
      <c r="AY238" s="762">
        <v>0</v>
      </c>
      <c r="AZ238" s="762">
        <v>0</v>
      </c>
      <c r="BA238" s="762">
        <v>0</v>
      </c>
      <c r="BB238" s="762">
        <v>0</v>
      </c>
      <c r="BC238" s="762">
        <v>0</v>
      </c>
      <c r="BD238" s="762">
        <v>0</v>
      </c>
      <c r="BE238" s="762">
        <v>0</v>
      </c>
      <c r="BF238" s="762">
        <v>0</v>
      </c>
      <c r="BG238" s="762">
        <v>0</v>
      </c>
      <c r="BH238" s="762">
        <v>0</v>
      </c>
      <c r="BI238" s="762">
        <v>0</v>
      </c>
      <c r="BJ238" s="790">
        <v>0.5</v>
      </c>
      <c r="BK238" s="790">
        <v>0.4</v>
      </c>
      <c r="BL238" s="790">
        <v>0.09</v>
      </c>
      <c r="BM238" s="790">
        <v>0.01</v>
      </c>
      <c r="BN238" s="790">
        <v>1</v>
      </c>
      <c r="BO238" s="762">
        <v>1513298</v>
      </c>
      <c r="BP238" s="762">
        <v>1210638</v>
      </c>
      <c r="BQ238" s="762">
        <v>272394</v>
      </c>
      <c r="BR238" s="762">
        <v>30266</v>
      </c>
      <c r="BS238" s="762">
        <v>3026596</v>
      </c>
      <c r="BT238" s="790">
        <v>0.5</v>
      </c>
      <c r="BU238" s="790">
        <v>0.4</v>
      </c>
      <c r="BV238" s="790">
        <v>0.09</v>
      </c>
      <c r="BW238" s="790">
        <v>0.01</v>
      </c>
      <c r="BX238" s="790">
        <v>1</v>
      </c>
      <c r="BY238" s="762">
        <v>151583</v>
      </c>
      <c r="BZ238" s="762">
        <v>121267</v>
      </c>
      <c r="CA238" s="762">
        <v>27285</v>
      </c>
      <c r="CB238" s="762">
        <v>3032</v>
      </c>
      <c r="CC238" s="762">
        <v>303167</v>
      </c>
      <c r="CD238" s="762">
        <v>1664881</v>
      </c>
      <c r="CE238" s="762">
        <v>1331905</v>
      </c>
      <c r="CF238" s="762">
        <v>299679</v>
      </c>
      <c r="CG238" s="762">
        <v>33298</v>
      </c>
      <c r="CH238" s="762">
        <v>3329763</v>
      </c>
      <c r="CI238" s="762">
        <v>15924864</v>
      </c>
      <c r="CJ238" s="762">
        <v>26886493</v>
      </c>
      <c r="CK238" s="762">
        <v>17411657</v>
      </c>
      <c r="CL238" s="762">
        <v>603697</v>
      </c>
      <c r="CM238" s="762">
        <v>60826711</v>
      </c>
      <c r="CN238" s="762">
        <v>824521</v>
      </c>
      <c r="CO238" s="762">
        <v>557620</v>
      </c>
      <c r="CP238" s="762">
        <v>18587</v>
      </c>
      <c r="CQ238" s="762">
        <v>1400728</v>
      </c>
      <c r="CR238" s="762">
        <v>2117140</v>
      </c>
      <c r="CS238" s="762">
        <v>1443505</v>
      </c>
      <c r="CT238" s="762">
        <v>48117</v>
      </c>
      <c r="CU238" s="762">
        <v>3608762</v>
      </c>
      <c r="CV238" s="762">
        <v>124632</v>
      </c>
      <c r="CW238" s="762">
        <v>84976</v>
      </c>
      <c r="CX238" s="762">
        <v>2833</v>
      </c>
      <c r="CY238" s="762">
        <v>212441</v>
      </c>
      <c r="CZ238" s="762">
        <v>0</v>
      </c>
      <c r="DA238" s="762">
        <v>0</v>
      </c>
      <c r="DB238" s="762">
        <v>0</v>
      </c>
      <c r="DC238" s="762">
        <v>0</v>
      </c>
      <c r="DD238" s="762">
        <v>30805</v>
      </c>
      <c r="DE238" s="762">
        <v>21004</v>
      </c>
      <c r="DF238" s="762">
        <v>700</v>
      </c>
      <c r="DG238" s="762">
        <v>52509</v>
      </c>
      <c r="DH238" s="762">
        <v>2045</v>
      </c>
      <c r="DI238" s="762">
        <v>1394</v>
      </c>
      <c r="DJ238" s="762">
        <v>46</v>
      </c>
      <c r="DK238" s="762">
        <v>3485</v>
      </c>
      <c r="DL238" s="762">
        <v>26305</v>
      </c>
      <c r="DM238" s="762">
        <v>17936</v>
      </c>
      <c r="DN238" s="762">
        <v>598</v>
      </c>
      <c r="DO238" s="762">
        <v>44839</v>
      </c>
      <c r="DP238" s="762">
        <v>38473</v>
      </c>
      <c r="DQ238" s="762">
        <v>26232</v>
      </c>
      <c r="DR238" s="762">
        <v>874</v>
      </c>
      <c r="DS238" s="762">
        <v>65579</v>
      </c>
      <c r="DT238" s="762">
        <v>0</v>
      </c>
      <c r="DU238" s="762">
        <v>0</v>
      </c>
      <c r="DV238" s="762">
        <v>0</v>
      </c>
      <c r="DW238" s="762">
        <v>0</v>
      </c>
      <c r="DX238" s="762">
        <v>0</v>
      </c>
      <c r="DY238" s="762">
        <v>0</v>
      </c>
      <c r="DZ238" s="762">
        <v>0</v>
      </c>
      <c r="EA238" s="762">
        <v>0</v>
      </c>
      <c r="EB238" s="762">
        <v>605347</v>
      </c>
      <c r="EC238" s="762">
        <v>412736</v>
      </c>
      <c r="ED238" s="762">
        <v>13758</v>
      </c>
      <c r="EE238" s="762">
        <v>1031841</v>
      </c>
      <c r="EF238" s="762">
        <v>3769268</v>
      </c>
      <c r="EG238" s="762">
        <v>2565403</v>
      </c>
      <c r="EH238" s="762">
        <v>85513</v>
      </c>
      <c r="EI238" s="799">
        <v>6420184</v>
      </c>
      <c r="EJ238" s="763" t="s">
        <v>1149</v>
      </c>
      <c r="EK238" s="607" t="s">
        <v>611</v>
      </c>
      <c r="EL238" s="805" t="s">
        <v>563</v>
      </c>
      <c r="EM238" t="s">
        <v>1804</v>
      </c>
    </row>
    <row r="239" spans="1:143" ht="12.75" x14ac:dyDescent="0.2">
      <c r="A239" s="764">
        <v>232</v>
      </c>
      <c r="B239" s="765" t="s">
        <v>353</v>
      </c>
      <c r="C239" s="766" t="s">
        <v>1217</v>
      </c>
      <c r="D239" s="767" t="s">
        <v>1218</v>
      </c>
      <c r="E239" s="768" t="s">
        <v>352</v>
      </c>
      <c r="F239" s="761">
        <v>32710496</v>
      </c>
      <c r="G239" s="762">
        <v>414804</v>
      </c>
      <c r="H239" s="762">
        <v>0</v>
      </c>
      <c r="I239" s="762">
        <v>94740</v>
      </c>
      <c r="J239" s="762">
        <v>0</v>
      </c>
      <c r="K239" s="762">
        <v>94740</v>
      </c>
      <c r="L239" s="762">
        <v>0</v>
      </c>
      <c r="M239" s="762">
        <v>0</v>
      </c>
      <c r="N239" s="762">
        <v>0</v>
      </c>
      <c r="O239" s="762">
        <v>0</v>
      </c>
      <c r="P239" s="762">
        <v>0</v>
      </c>
      <c r="Q239" s="762">
        <v>0</v>
      </c>
      <c r="R239" s="762">
        <v>33030560</v>
      </c>
      <c r="S239" s="790">
        <v>0.25000000000000006</v>
      </c>
      <c r="T239" s="790">
        <v>0.42499999999999999</v>
      </c>
      <c r="U239" s="790">
        <v>0.315</v>
      </c>
      <c r="V239" s="790">
        <v>0.01</v>
      </c>
      <c r="W239" s="790">
        <v>1</v>
      </c>
      <c r="X239" s="762">
        <v>8257640</v>
      </c>
      <c r="Y239" s="762">
        <v>14037988</v>
      </c>
      <c r="Z239" s="762">
        <v>10404626</v>
      </c>
      <c r="AA239" s="762">
        <v>330306</v>
      </c>
      <c r="AB239" s="762">
        <v>33030560</v>
      </c>
      <c r="AC239" s="762">
        <v>0</v>
      </c>
      <c r="AD239" s="762">
        <v>0</v>
      </c>
      <c r="AE239" s="762">
        <v>0</v>
      </c>
      <c r="AF239" s="762">
        <v>0</v>
      </c>
      <c r="AG239" s="762">
        <v>0</v>
      </c>
      <c r="AH239" s="762">
        <v>8257640</v>
      </c>
      <c r="AI239" s="762">
        <v>14037988</v>
      </c>
      <c r="AJ239" s="762">
        <v>10404626</v>
      </c>
      <c r="AK239" s="762">
        <v>330306</v>
      </c>
      <c r="AL239" s="762">
        <v>33030560</v>
      </c>
      <c r="AM239" s="762">
        <v>94740</v>
      </c>
      <c r="AN239" s="762">
        <v>94740</v>
      </c>
      <c r="AO239" s="762">
        <v>0</v>
      </c>
      <c r="AP239" s="762">
        <v>0</v>
      </c>
      <c r="AQ239" s="762">
        <v>0</v>
      </c>
      <c r="AR239" s="762">
        <v>0</v>
      </c>
      <c r="AS239" s="762">
        <v>0</v>
      </c>
      <c r="AT239" s="762">
        <v>0</v>
      </c>
      <c r="AU239" s="762">
        <v>0</v>
      </c>
      <c r="AV239" s="762">
        <v>0</v>
      </c>
      <c r="AW239" s="762">
        <v>0</v>
      </c>
      <c r="AX239" s="762">
        <v>0</v>
      </c>
      <c r="AY239" s="762">
        <v>0</v>
      </c>
      <c r="AZ239" s="762">
        <v>0</v>
      </c>
      <c r="BA239" s="762">
        <v>0</v>
      </c>
      <c r="BB239" s="762">
        <v>0</v>
      </c>
      <c r="BC239" s="762">
        <v>0</v>
      </c>
      <c r="BD239" s="762">
        <v>0</v>
      </c>
      <c r="BE239" s="762">
        <v>0</v>
      </c>
      <c r="BF239" s="762">
        <v>0</v>
      </c>
      <c r="BG239" s="762">
        <v>0</v>
      </c>
      <c r="BH239" s="762">
        <v>0</v>
      </c>
      <c r="BI239" s="762">
        <v>0</v>
      </c>
      <c r="BJ239" s="790">
        <v>0.5</v>
      </c>
      <c r="BK239" s="790">
        <v>0.4</v>
      </c>
      <c r="BL239" s="790">
        <v>0.09</v>
      </c>
      <c r="BM239" s="790">
        <v>0.01</v>
      </c>
      <c r="BN239" s="790">
        <v>1</v>
      </c>
      <c r="BO239" s="762">
        <v>-51631</v>
      </c>
      <c r="BP239" s="762">
        <v>-41306</v>
      </c>
      <c r="BQ239" s="762">
        <v>-9294</v>
      </c>
      <c r="BR239" s="762">
        <v>-1033</v>
      </c>
      <c r="BS239" s="762">
        <v>-103264</v>
      </c>
      <c r="BT239" s="790">
        <v>0.5</v>
      </c>
      <c r="BU239" s="790">
        <v>0.4</v>
      </c>
      <c r="BV239" s="790">
        <v>0.09</v>
      </c>
      <c r="BW239" s="790">
        <v>0.01</v>
      </c>
      <c r="BX239" s="790">
        <v>1</v>
      </c>
      <c r="BY239" s="762">
        <v>-158156</v>
      </c>
      <c r="BZ239" s="762">
        <v>-126525</v>
      </c>
      <c r="CA239" s="762">
        <v>-28468</v>
      </c>
      <c r="CB239" s="762">
        <v>-3163</v>
      </c>
      <c r="CC239" s="762">
        <v>-316312</v>
      </c>
      <c r="CD239" s="762">
        <v>-209788</v>
      </c>
      <c r="CE239" s="762">
        <v>-167830</v>
      </c>
      <c r="CF239" s="762">
        <v>-37762</v>
      </c>
      <c r="CG239" s="762">
        <v>-4196</v>
      </c>
      <c r="CH239" s="762">
        <v>-419576</v>
      </c>
      <c r="CI239" s="762">
        <v>8047852</v>
      </c>
      <c r="CJ239" s="762">
        <v>13964898</v>
      </c>
      <c r="CK239" s="762">
        <v>10366864</v>
      </c>
      <c r="CL239" s="762">
        <v>326110</v>
      </c>
      <c r="CM239" s="762">
        <v>32705724</v>
      </c>
      <c r="CN239" s="762">
        <v>457450</v>
      </c>
      <c r="CO239" s="762">
        <v>339051</v>
      </c>
      <c r="CP239" s="762">
        <v>10764</v>
      </c>
      <c r="CQ239" s="762">
        <v>807265</v>
      </c>
      <c r="CR239" s="762">
        <v>542287</v>
      </c>
      <c r="CS239" s="762">
        <v>401931</v>
      </c>
      <c r="CT239" s="762">
        <v>12760</v>
      </c>
      <c r="CU239" s="762">
        <v>956978</v>
      </c>
      <c r="CV239" s="762">
        <v>70503</v>
      </c>
      <c r="CW239" s="762">
        <v>52255</v>
      </c>
      <c r="CX239" s="762">
        <v>1659</v>
      </c>
      <c r="CY239" s="762">
        <v>124417</v>
      </c>
      <c r="CZ239" s="762">
        <v>690</v>
      </c>
      <c r="DA239" s="762">
        <v>511</v>
      </c>
      <c r="DB239" s="762">
        <v>16</v>
      </c>
      <c r="DC239" s="762">
        <v>1217</v>
      </c>
      <c r="DD239" s="762">
        <v>0</v>
      </c>
      <c r="DE239" s="762">
        <v>0</v>
      </c>
      <c r="DF239" s="762">
        <v>0</v>
      </c>
      <c r="DG239" s="762">
        <v>0</v>
      </c>
      <c r="DH239" s="762">
        <v>0</v>
      </c>
      <c r="DI239" s="762">
        <v>0</v>
      </c>
      <c r="DJ239" s="762">
        <v>0</v>
      </c>
      <c r="DK239" s="762">
        <v>0</v>
      </c>
      <c r="DL239" s="762">
        <v>0</v>
      </c>
      <c r="DM239" s="762">
        <v>0</v>
      </c>
      <c r="DN239" s="762">
        <v>0</v>
      </c>
      <c r="DO239" s="762">
        <v>0</v>
      </c>
      <c r="DP239" s="762">
        <v>14381</v>
      </c>
      <c r="DQ239" s="762">
        <v>10659</v>
      </c>
      <c r="DR239" s="762">
        <v>338</v>
      </c>
      <c r="DS239" s="762">
        <v>25378</v>
      </c>
      <c r="DT239" s="762">
        <v>0</v>
      </c>
      <c r="DU239" s="762">
        <v>0</v>
      </c>
      <c r="DV239" s="762">
        <v>0</v>
      </c>
      <c r="DW239" s="762">
        <v>0</v>
      </c>
      <c r="DX239" s="762">
        <v>0</v>
      </c>
      <c r="DY239" s="762">
        <v>0</v>
      </c>
      <c r="DZ239" s="762">
        <v>0</v>
      </c>
      <c r="EA239" s="762">
        <v>0</v>
      </c>
      <c r="EB239" s="762">
        <v>434294</v>
      </c>
      <c r="EC239" s="762">
        <v>321889</v>
      </c>
      <c r="ED239" s="762">
        <v>10219</v>
      </c>
      <c r="EE239" s="762">
        <v>766402</v>
      </c>
      <c r="EF239" s="762">
        <v>1519605</v>
      </c>
      <c r="EG239" s="762">
        <v>1126296</v>
      </c>
      <c r="EH239" s="762">
        <v>35756</v>
      </c>
      <c r="EI239" s="799">
        <v>2681657</v>
      </c>
      <c r="EJ239" s="763" t="s">
        <v>352</v>
      </c>
      <c r="EK239" s="607" t="s">
        <v>544</v>
      </c>
      <c r="EL239" s="805" t="s">
        <v>543</v>
      </c>
      <c r="EM239" t="s">
        <v>1805</v>
      </c>
    </row>
    <row r="240" spans="1:143" ht="12.75" x14ac:dyDescent="0.2">
      <c r="A240" s="764">
        <v>233</v>
      </c>
      <c r="B240" s="765" t="s">
        <v>355</v>
      </c>
      <c r="C240" s="766" t="s">
        <v>1217</v>
      </c>
      <c r="D240" s="767" t="s">
        <v>1221</v>
      </c>
      <c r="E240" s="768" t="s">
        <v>354</v>
      </c>
      <c r="F240" s="761">
        <v>87195562</v>
      </c>
      <c r="G240" s="762">
        <v>0</v>
      </c>
      <c r="H240" s="762">
        <v>513367</v>
      </c>
      <c r="I240" s="762">
        <v>235104</v>
      </c>
      <c r="J240" s="762">
        <v>0</v>
      </c>
      <c r="K240" s="762">
        <v>235104</v>
      </c>
      <c r="L240" s="762">
        <v>0</v>
      </c>
      <c r="M240" s="762">
        <v>811125</v>
      </c>
      <c r="N240" s="762">
        <v>822366</v>
      </c>
      <c r="O240" s="762">
        <v>822366</v>
      </c>
      <c r="P240" s="762">
        <v>0</v>
      </c>
      <c r="Q240" s="762">
        <v>0</v>
      </c>
      <c r="R240" s="762">
        <v>84813600</v>
      </c>
      <c r="S240" s="790">
        <v>0.5</v>
      </c>
      <c r="T240" s="790">
        <v>0.4</v>
      </c>
      <c r="U240" s="790">
        <v>0.09</v>
      </c>
      <c r="V240" s="790">
        <v>0.01</v>
      </c>
      <c r="W240" s="790">
        <v>1</v>
      </c>
      <c r="X240" s="762">
        <v>42406800</v>
      </c>
      <c r="Y240" s="762">
        <v>33925440</v>
      </c>
      <c r="Z240" s="762">
        <v>7633224</v>
      </c>
      <c r="AA240" s="762">
        <v>848136</v>
      </c>
      <c r="AB240" s="762">
        <v>84813600</v>
      </c>
      <c r="AC240" s="762">
        <v>122010</v>
      </c>
      <c r="AD240" s="762">
        <v>0</v>
      </c>
      <c r="AE240" s="762">
        <v>0</v>
      </c>
      <c r="AF240" s="762">
        <v>0</v>
      </c>
      <c r="AG240" s="762">
        <v>122010</v>
      </c>
      <c r="AH240" s="762">
        <v>42284790</v>
      </c>
      <c r="AI240" s="762">
        <v>33925440</v>
      </c>
      <c r="AJ240" s="762">
        <v>7633224</v>
      </c>
      <c r="AK240" s="762">
        <v>848136</v>
      </c>
      <c r="AL240" s="762">
        <v>84691590</v>
      </c>
      <c r="AM240" s="762">
        <v>235104</v>
      </c>
      <c r="AN240" s="762">
        <v>235104</v>
      </c>
      <c r="AO240" s="762">
        <v>811125</v>
      </c>
      <c r="AP240" s="762">
        <v>811125</v>
      </c>
      <c r="AQ240" s="762">
        <v>822366</v>
      </c>
      <c r="AR240" s="762">
        <v>0</v>
      </c>
      <c r="AS240" s="762">
        <v>822366</v>
      </c>
      <c r="AT240" s="762">
        <v>0</v>
      </c>
      <c r="AU240" s="762">
        <v>0</v>
      </c>
      <c r="AV240" s="762">
        <v>0</v>
      </c>
      <c r="AW240" s="762">
        <v>0</v>
      </c>
      <c r="AX240" s="762">
        <v>122010</v>
      </c>
      <c r="AY240" s="762">
        <v>0</v>
      </c>
      <c r="AZ240" s="762">
        <v>0</v>
      </c>
      <c r="BA240" s="762">
        <v>122010</v>
      </c>
      <c r="BB240" s="762">
        <v>0</v>
      </c>
      <c r="BC240" s="762">
        <v>0</v>
      </c>
      <c r="BD240" s="762">
        <v>0</v>
      </c>
      <c r="BE240" s="762">
        <v>0</v>
      </c>
      <c r="BF240" s="762">
        <v>0</v>
      </c>
      <c r="BG240" s="762">
        <v>0</v>
      </c>
      <c r="BH240" s="762">
        <v>0</v>
      </c>
      <c r="BI240" s="762">
        <v>0</v>
      </c>
      <c r="BJ240" s="790">
        <v>0.5</v>
      </c>
      <c r="BK240" s="790">
        <v>0.4</v>
      </c>
      <c r="BL240" s="790">
        <v>0.09</v>
      </c>
      <c r="BM240" s="790">
        <v>0.01</v>
      </c>
      <c r="BN240" s="790">
        <v>1</v>
      </c>
      <c r="BO240" s="762">
        <v>4041819</v>
      </c>
      <c r="BP240" s="762">
        <v>3233455</v>
      </c>
      <c r="BQ240" s="762">
        <v>727527</v>
      </c>
      <c r="BR240" s="762">
        <v>80836</v>
      </c>
      <c r="BS240" s="762">
        <v>8083637</v>
      </c>
      <c r="BT240" s="790">
        <v>0.5</v>
      </c>
      <c r="BU240" s="790">
        <v>0.4</v>
      </c>
      <c r="BV240" s="790">
        <v>0.09</v>
      </c>
      <c r="BW240" s="790">
        <v>0.01</v>
      </c>
      <c r="BX240" s="790">
        <v>1</v>
      </c>
      <c r="BY240" s="762">
        <v>291460</v>
      </c>
      <c r="BZ240" s="762">
        <v>233168</v>
      </c>
      <c r="CA240" s="762">
        <v>52463</v>
      </c>
      <c r="CB240" s="762">
        <v>5829</v>
      </c>
      <c r="CC240" s="762">
        <v>582920</v>
      </c>
      <c r="CD240" s="762">
        <v>4333278</v>
      </c>
      <c r="CE240" s="762">
        <v>3466623</v>
      </c>
      <c r="CF240" s="762">
        <v>779990</v>
      </c>
      <c r="CG240" s="762">
        <v>86666</v>
      </c>
      <c r="CH240" s="762">
        <v>8666557</v>
      </c>
      <c r="CI240" s="762">
        <v>46618068</v>
      </c>
      <c r="CJ240" s="762">
        <v>39382668</v>
      </c>
      <c r="CK240" s="762">
        <v>8413214</v>
      </c>
      <c r="CL240" s="762">
        <v>934802</v>
      </c>
      <c r="CM240" s="762">
        <v>95348752</v>
      </c>
      <c r="CN240" s="762">
        <v>1162719</v>
      </c>
      <c r="CO240" s="762">
        <v>248740</v>
      </c>
      <c r="CP240" s="762">
        <v>27638</v>
      </c>
      <c r="CQ240" s="762">
        <v>1439097</v>
      </c>
      <c r="CR240" s="762">
        <v>1371950</v>
      </c>
      <c r="CS240" s="762">
        <v>308689</v>
      </c>
      <c r="CT240" s="762">
        <v>34299</v>
      </c>
      <c r="CU240" s="762">
        <v>1714938</v>
      </c>
      <c r="CV240" s="762">
        <v>140720</v>
      </c>
      <c r="CW240" s="762">
        <v>31296</v>
      </c>
      <c r="CX240" s="762">
        <v>3477</v>
      </c>
      <c r="CY240" s="762">
        <v>175493</v>
      </c>
      <c r="CZ240" s="762">
        <v>2782</v>
      </c>
      <c r="DA240" s="762">
        <v>626</v>
      </c>
      <c r="DB240" s="762">
        <v>70</v>
      </c>
      <c r="DC240" s="762">
        <v>3478</v>
      </c>
      <c r="DD240" s="762">
        <v>19221</v>
      </c>
      <c r="DE240" s="762">
        <v>4325</v>
      </c>
      <c r="DF240" s="762">
        <v>481</v>
      </c>
      <c r="DG240" s="762">
        <v>24027</v>
      </c>
      <c r="DH240" s="762">
        <v>620</v>
      </c>
      <c r="DI240" s="762">
        <v>139</v>
      </c>
      <c r="DJ240" s="762">
        <v>15</v>
      </c>
      <c r="DK240" s="762">
        <v>774</v>
      </c>
      <c r="DL240" s="762">
        <v>16455</v>
      </c>
      <c r="DM240" s="762">
        <v>3702</v>
      </c>
      <c r="DN240" s="762">
        <v>411</v>
      </c>
      <c r="DO240" s="762">
        <v>20568</v>
      </c>
      <c r="DP240" s="762">
        <v>40891</v>
      </c>
      <c r="DQ240" s="762">
        <v>9200</v>
      </c>
      <c r="DR240" s="762">
        <v>1022</v>
      </c>
      <c r="DS240" s="762">
        <v>51113</v>
      </c>
      <c r="DT240" s="762">
        <v>0</v>
      </c>
      <c r="DU240" s="762">
        <v>0</v>
      </c>
      <c r="DV240" s="762">
        <v>0</v>
      </c>
      <c r="DW240" s="762">
        <v>0</v>
      </c>
      <c r="DX240" s="762">
        <v>0</v>
      </c>
      <c r="DY240" s="762">
        <v>0</v>
      </c>
      <c r="DZ240" s="762">
        <v>0</v>
      </c>
      <c r="EA240" s="762">
        <v>0</v>
      </c>
      <c r="EB240" s="762">
        <v>250219</v>
      </c>
      <c r="EC240" s="762">
        <v>56299</v>
      </c>
      <c r="ED240" s="762">
        <v>6255</v>
      </c>
      <c r="EE240" s="762">
        <v>312773</v>
      </c>
      <c r="EF240" s="762">
        <v>3005577</v>
      </c>
      <c r="EG240" s="762">
        <v>663016</v>
      </c>
      <c r="EH240" s="762">
        <v>73668</v>
      </c>
      <c r="EI240" s="799">
        <v>3742261</v>
      </c>
      <c r="EJ240" s="763" t="s">
        <v>354</v>
      </c>
      <c r="EK240" s="607" t="s">
        <v>547</v>
      </c>
      <c r="EL240" s="805" t="s">
        <v>546</v>
      </c>
      <c r="EM240" t="s">
        <v>1806</v>
      </c>
    </row>
    <row r="241" spans="1:143" ht="12.75" x14ac:dyDescent="0.2">
      <c r="A241" s="764">
        <v>234</v>
      </c>
      <c r="B241" s="765" t="s">
        <v>357</v>
      </c>
      <c r="C241" s="766" t="s">
        <v>1217</v>
      </c>
      <c r="D241" s="767" t="s">
        <v>1220</v>
      </c>
      <c r="E241" s="768" t="s">
        <v>356</v>
      </c>
      <c r="F241" s="761">
        <v>26181399</v>
      </c>
      <c r="G241" s="762">
        <v>705466</v>
      </c>
      <c r="H241" s="762">
        <v>0</v>
      </c>
      <c r="I241" s="762">
        <v>91209</v>
      </c>
      <c r="J241" s="762">
        <v>0</v>
      </c>
      <c r="K241" s="762">
        <v>91209</v>
      </c>
      <c r="L241" s="762">
        <v>0</v>
      </c>
      <c r="M241" s="762">
        <v>0</v>
      </c>
      <c r="N241" s="762">
        <v>0</v>
      </c>
      <c r="O241" s="762">
        <v>0</v>
      </c>
      <c r="P241" s="762">
        <v>0</v>
      </c>
      <c r="Q241" s="762">
        <v>0</v>
      </c>
      <c r="R241" s="762">
        <v>26795656</v>
      </c>
      <c r="S241" s="790">
        <v>0.5</v>
      </c>
      <c r="T241" s="790">
        <v>0.4</v>
      </c>
      <c r="U241" s="790">
        <v>0.09</v>
      </c>
      <c r="V241" s="790">
        <v>0.01</v>
      </c>
      <c r="W241" s="790">
        <v>1</v>
      </c>
      <c r="X241" s="762">
        <v>13397828</v>
      </c>
      <c r="Y241" s="762">
        <v>10718262</v>
      </c>
      <c r="Z241" s="762">
        <v>2411609</v>
      </c>
      <c r="AA241" s="762">
        <v>267957</v>
      </c>
      <c r="AB241" s="762">
        <v>26795656</v>
      </c>
      <c r="AC241" s="762">
        <v>0</v>
      </c>
      <c r="AD241" s="762">
        <v>0</v>
      </c>
      <c r="AE241" s="762">
        <v>0</v>
      </c>
      <c r="AF241" s="762">
        <v>0</v>
      </c>
      <c r="AG241" s="762">
        <v>0</v>
      </c>
      <c r="AH241" s="762">
        <v>13397828</v>
      </c>
      <c r="AI241" s="762">
        <v>10718262</v>
      </c>
      <c r="AJ241" s="762">
        <v>2411609</v>
      </c>
      <c r="AK241" s="762">
        <v>267957</v>
      </c>
      <c r="AL241" s="762">
        <v>26795656</v>
      </c>
      <c r="AM241" s="762">
        <v>91209</v>
      </c>
      <c r="AN241" s="762">
        <v>91209</v>
      </c>
      <c r="AO241" s="762">
        <v>0</v>
      </c>
      <c r="AP241" s="762">
        <v>0</v>
      </c>
      <c r="AQ241" s="762">
        <v>0</v>
      </c>
      <c r="AR241" s="762">
        <v>0</v>
      </c>
      <c r="AS241" s="762">
        <v>0</v>
      </c>
      <c r="AT241" s="762">
        <v>0</v>
      </c>
      <c r="AU241" s="762">
        <v>0</v>
      </c>
      <c r="AV241" s="762">
        <v>0</v>
      </c>
      <c r="AW241" s="762">
        <v>0</v>
      </c>
      <c r="AX241" s="762">
        <v>0</v>
      </c>
      <c r="AY241" s="762">
        <v>0</v>
      </c>
      <c r="AZ241" s="762">
        <v>0</v>
      </c>
      <c r="BA241" s="762">
        <v>0</v>
      </c>
      <c r="BB241" s="762">
        <v>0</v>
      </c>
      <c r="BC241" s="762">
        <v>0</v>
      </c>
      <c r="BD241" s="762">
        <v>0</v>
      </c>
      <c r="BE241" s="762">
        <v>0</v>
      </c>
      <c r="BF241" s="762">
        <v>0</v>
      </c>
      <c r="BG241" s="762">
        <v>0</v>
      </c>
      <c r="BH241" s="762">
        <v>0</v>
      </c>
      <c r="BI241" s="762">
        <v>0</v>
      </c>
      <c r="BJ241" s="790">
        <v>0</v>
      </c>
      <c r="BK241" s="790">
        <v>0.5</v>
      </c>
      <c r="BL241" s="790">
        <v>0.49</v>
      </c>
      <c r="BM241" s="790">
        <v>0.01</v>
      </c>
      <c r="BN241" s="790">
        <v>1</v>
      </c>
      <c r="BO241" s="762">
        <v>0</v>
      </c>
      <c r="BP241" s="762">
        <v>-522116</v>
      </c>
      <c r="BQ241" s="762">
        <v>-511673</v>
      </c>
      <c r="BR241" s="762">
        <v>-10442</v>
      </c>
      <c r="BS241" s="762">
        <v>-1044231</v>
      </c>
      <c r="BT241" s="790">
        <v>0.5</v>
      </c>
      <c r="BU241" s="790">
        <v>0.4</v>
      </c>
      <c r="BV241" s="790">
        <v>0.09</v>
      </c>
      <c r="BW241" s="790">
        <v>0.01</v>
      </c>
      <c r="BX241" s="790">
        <v>1</v>
      </c>
      <c r="BY241" s="762">
        <v>285724</v>
      </c>
      <c r="BZ241" s="762">
        <v>228578</v>
      </c>
      <c r="CA241" s="762">
        <v>51430</v>
      </c>
      <c r="CB241" s="762">
        <v>5714</v>
      </c>
      <c r="CC241" s="762">
        <v>571446</v>
      </c>
      <c r="CD241" s="762">
        <v>285724</v>
      </c>
      <c r="CE241" s="762">
        <v>-293538</v>
      </c>
      <c r="CF241" s="762">
        <v>-460243</v>
      </c>
      <c r="CG241" s="762">
        <v>-4728</v>
      </c>
      <c r="CH241" s="762">
        <v>-472785</v>
      </c>
      <c r="CI241" s="762">
        <v>13683552</v>
      </c>
      <c r="CJ241" s="762">
        <v>10515933</v>
      </c>
      <c r="CK241" s="762">
        <v>1951366</v>
      </c>
      <c r="CL241" s="762">
        <v>263229</v>
      </c>
      <c r="CM241" s="762">
        <v>26414080</v>
      </c>
      <c r="CN241" s="762">
        <v>349271</v>
      </c>
      <c r="CO241" s="762">
        <v>78586</v>
      </c>
      <c r="CP241" s="762">
        <v>8732</v>
      </c>
      <c r="CQ241" s="762">
        <v>436589</v>
      </c>
      <c r="CR241" s="762">
        <v>700268</v>
      </c>
      <c r="CS241" s="762">
        <v>157561</v>
      </c>
      <c r="CT241" s="762">
        <v>17507</v>
      </c>
      <c r="CU241" s="762">
        <v>875336</v>
      </c>
      <c r="CV241" s="762">
        <v>40020</v>
      </c>
      <c r="CW241" s="762">
        <v>9004</v>
      </c>
      <c r="CX241" s="762">
        <v>1000</v>
      </c>
      <c r="CY241" s="762">
        <v>50024</v>
      </c>
      <c r="CZ241" s="762">
        <v>4989</v>
      </c>
      <c r="DA241" s="762">
        <v>1122</v>
      </c>
      <c r="DB241" s="762">
        <v>125</v>
      </c>
      <c r="DC241" s="762">
        <v>6236</v>
      </c>
      <c r="DD241" s="762">
        <v>10973</v>
      </c>
      <c r="DE241" s="762">
        <v>2469</v>
      </c>
      <c r="DF241" s="762">
        <v>274</v>
      </c>
      <c r="DG241" s="762">
        <v>13716</v>
      </c>
      <c r="DH241" s="762">
        <v>0</v>
      </c>
      <c r="DI241" s="762">
        <v>0</v>
      </c>
      <c r="DJ241" s="762">
        <v>0</v>
      </c>
      <c r="DK241" s="762">
        <v>0</v>
      </c>
      <c r="DL241" s="762">
        <v>19628</v>
      </c>
      <c r="DM241" s="762">
        <v>4417</v>
      </c>
      <c r="DN241" s="762">
        <v>491</v>
      </c>
      <c r="DO241" s="762">
        <v>24536</v>
      </c>
      <c r="DP241" s="762">
        <v>15282</v>
      </c>
      <c r="DQ241" s="762">
        <v>3439</v>
      </c>
      <c r="DR241" s="762">
        <v>382</v>
      </c>
      <c r="DS241" s="762">
        <v>19103</v>
      </c>
      <c r="DT241" s="762">
        <v>0</v>
      </c>
      <c r="DU241" s="762">
        <v>0</v>
      </c>
      <c r="DV241" s="762">
        <v>0</v>
      </c>
      <c r="DW241" s="762">
        <v>0</v>
      </c>
      <c r="DX241" s="762">
        <v>0</v>
      </c>
      <c r="DY241" s="762">
        <v>0</v>
      </c>
      <c r="DZ241" s="762">
        <v>0</v>
      </c>
      <c r="EA241" s="762">
        <v>0</v>
      </c>
      <c r="EB241" s="762">
        <v>228340</v>
      </c>
      <c r="EC241" s="762">
        <v>51376</v>
      </c>
      <c r="ED241" s="762">
        <v>5708</v>
      </c>
      <c r="EE241" s="762">
        <v>285424</v>
      </c>
      <c r="EF241" s="762">
        <v>1368771</v>
      </c>
      <c r="EG241" s="762">
        <v>307974</v>
      </c>
      <c r="EH241" s="762">
        <v>34219</v>
      </c>
      <c r="EI241" s="799">
        <v>1710964</v>
      </c>
      <c r="EJ241" s="763" t="s">
        <v>356</v>
      </c>
      <c r="EK241" s="607" t="s">
        <v>560</v>
      </c>
      <c r="EL241" s="805" t="s">
        <v>559</v>
      </c>
      <c r="EM241" t="s">
        <v>1807</v>
      </c>
    </row>
    <row r="242" spans="1:143" ht="12.75" x14ac:dyDescent="0.2">
      <c r="A242" s="764">
        <v>235</v>
      </c>
      <c r="B242" s="765" t="s">
        <v>359</v>
      </c>
      <c r="C242" s="766" t="s">
        <v>529</v>
      </c>
      <c r="D242" s="767" t="s">
        <v>1226</v>
      </c>
      <c r="E242" s="768" t="s">
        <v>532</v>
      </c>
      <c r="F242" s="761">
        <v>146285745</v>
      </c>
      <c r="G242" s="762">
        <v>0</v>
      </c>
      <c r="H242" s="762">
        <v>1679466</v>
      </c>
      <c r="I242" s="762">
        <v>347395</v>
      </c>
      <c r="J242" s="762">
        <v>0</v>
      </c>
      <c r="K242" s="762">
        <v>347395</v>
      </c>
      <c r="L242" s="762">
        <v>0</v>
      </c>
      <c r="M242" s="762">
        <v>13693810</v>
      </c>
      <c r="N242" s="762">
        <v>588471</v>
      </c>
      <c r="O242" s="762">
        <v>588471</v>
      </c>
      <c r="P242" s="762">
        <v>0</v>
      </c>
      <c r="Q242" s="762">
        <v>0</v>
      </c>
      <c r="R242" s="762">
        <v>129976603</v>
      </c>
      <c r="S242" s="790">
        <v>0</v>
      </c>
      <c r="T242" s="790">
        <v>0.94</v>
      </c>
      <c r="U242" s="790">
        <v>0.05</v>
      </c>
      <c r="V242" s="790">
        <v>0.01</v>
      </c>
      <c r="W242" s="790">
        <v>1</v>
      </c>
      <c r="X242" s="762">
        <v>0</v>
      </c>
      <c r="Y242" s="762">
        <v>122178007</v>
      </c>
      <c r="Z242" s="762">
        <v>6498830</v>
      </c>
      <c r="AA242" s="762">
        <v>1299766</v>
      </c>
      <c r="AB242" s="762">
        <v>129976603</v>
      </c>
      <c r="AC242" s="762">
        <v>0</v>
      </c>
      <c r="AD242" s="762">
        <v>0</v>
      </c>
      <c r="AE242" s="762">
        <v>0</v>
      </c>
      <c r="AF242" s="762">
        <v>0</v>
      </c>
      <c r="AG242" s="762">
        <v>0</v>
      </c>
      <c r="AH242" s="762">
        <v>0</v>
      </c>
      <c r="AI242" s="762">
        <v>122178007</v>
      </c>
      <c r="AJ242" s="762">
        <v>6498830</v>
      </c>
      <c r="AK242" s="762">
        <v>1299766</v>
      </c>
      <c r="AL242" s="762">
        <v>129976603</v>
      </c>
      <c r="AM242" s="762">
        <v>347395</v>
      </c>
      <c r="AN242" s="762">
        <v>347395</v>
      </c>
      <c r="AO242" s="762">
        <v>13693810</v>
      </c>
      <c r="AP242" s="762">
        <v>13693810</v>
      </c>
      <c r="AQ242" s="762">
        <v>588471</v>
      </c>
      <c r="AR242" s="762">
        <v>0</v>
      </c>
      <c r="AS242" s="762">
        <v>588471</v>
      </c>
      <c r="AT242" s="762">
        <v>0</v>
      </c>
      <c r="AU242" s="762">
        <v>0</v>
      </c>
      <c r="AV242" s="762">
        <v>0</v>
      </c>
      <c r="AW242" s="762">
        <v>0</v>
      </c>
      <c r="AX242" s="762">
        <v>0</v>
      </c>
      <c r="AY242" s="762">
        <v>0</v>
      </c>
      <c r="AZ242" s="762">
        <v>0</v>
      </c>
      <c r="BA242" s="762">
        <v>0</v>
      </c>
      <c r="BB242" s="762">
        <v>0</v>
      </c>
      <c r="BC242" s="762">
        <v>0</v>
      </c>
      <c r="BD242" s="762">
        <v>0</v>
      </c>
      <c r="BE242" s="762">
        <v>0</v>
      </c>
      <c r="BF242" s="762">
        <v>0</v>
      </c>
      <c r="BG242" s="762">
        <v>0</v>
      </c>
      <c r="BH242" s="762">
        <v>0</v>
      </c>
      <c r="BI242" s="762">
        <v>0</v>
      </c>
      <c r="BJ242" s="790">
        <v>0</v>
      </c>
      <c r="BK242" s="790">
        <v>0.94</v>
      </c>
      <c r="BL242" s="790">
        <v>0.05</v>
      </c>
      <c r="BM242" s="790">
        <v>0.01</v>
      </c>
      <c r="BN242" s="790">
        <v>1</v>
      </c>
      <c r="BO242" s="762">
        <v>0</v>
      </c>
      <c r="BP242" s="762">
        <v>1293972</v>
      </c>
      <c r="BQ242" s="762">
        <v>68828</v>
      </c>
      <c r="BR242" s="762">
        <v>13766</v>
      </c>
      <c r="BS242" s="762">
        <v>1376566</v>
      </c>
      <c r="BT242" s="790">
        <v>0</v>
      </c>
      <c r="BU242" s="790">
        <v>0.94</v>
      </c>
      <c r="BV242" s="790">
        <v>0.05</v>
      </c>
      <c r="BW242" s="790">
        <v>0.01</v>
      </c>
      <c r="BX242" s="790">
        <v>1</v>
      </c>
      <c r="BY242" s="762">
        <v>0</v>
      </c>
      <c r="BZ242" s="762">
        <v>-331252</v>
      </c>
      <c r="CA242" s="762">
        <v>-17620</v>
      </c>
      <c r="CB242" s="762">
        <v>-3524</v>
      </c>
      <c r="CC242" s="762">
        <v>-352396</v>
      </c>
      <c r="CD242" s="762">
        <v>0</v>
      </c>
      <c r="CE242" s="762">
        <v>962720</v>
      </c>
      <c r="CF242" s="762">
        <v>51208</v>
      </c>
      <c r="CG242" s="762">
        <v>10242</v>
      </c>
      <c r="CH242" s="762">
        <v>1024170</v>
      </c>
      <c r="CI242" s="762">
        <v>0</v>
      </c>
      <c r="CJ242" s="762">
        <v>137770403</v>
      </c>
      <c r="CK242" s="762">
        <v>6550038</v>
      </c>
      <c r="CL242" s="762">
        <v>1310008</v>
      </c>
      <c r="CM242" s="762">
        <v>145630449</v>
      </c>
      <c r="CN242" s="762">
        <v>4446771</v>
      </c>
      <c r="CO242" s="762">
        <v>211775</v>
      </c>
      <c r="CP242" s="762">
        <v>42355</v>
      </c>
      <c r="CQ242" s="762">
        <v>4700901</v>
      </c>
      <c r="CR242" s="762">
        <v>4263518</v>
      </c>
      <c r="CS242" s="762">
        <v>226246</v>
      </c>
      <c r="CT242" s="762">
        <v>45249</v>
      </c>
      <c r="CU242" s="762">
        <v>4535013</v>
      </c>
      <c r="CV242" s="762">
        <v>96520</v>
      </c>
      <c r="CW242" s="762">
        <v>5044</v>
      </c>
      <c r="CX242" s="762">
        <v>1009</v>
      </c>
      <c r="CY242" s="762">
        <v>102573</v>
      </c>
      <c r="CZ242" s="762">
        <v>20470</v>
      </c>
      <c r="DA242" s="762">
        <v>1089</v>
      </c>
      <c r="DB242" s="762">
        <v>218</v>
      </c>
      <c r="DC242" s="762">
        <v>21777</v>
      </c>
      <c r="DD242" s="762">
        <v>0</v>
      </c>
      <c r="DE242" s="762">
        <v>0</v>
      </c>
      <c r="DF242" s="762">
        <v>0</v>
      </c>
      <c r="DG242" s="762">
        <v>0</v>
      </c>
      <c r="DH242" s="762">
        <v>0</v>
      </c>
      <c r="DI242" s="762">
        <v>0</v>
      </c>
      <c r="DJ242" s="762">
        <v>0</v>
      </c>
      <c r="DK242" s="762">
        <v>0</v>
      </c>
      <c r="DL242" s="762">
        <v>974</v>
      </c>
      <c r="DM242" s="762">
        <v>52</v>
      </c>
      <c r="DN242" s="762">
        <v>10</v>
      </c>
      <c r="DO242" s="762">
        <v>1036</v>
      </c>
      <c r="DP242" s="762">
        <v>0</v>
      </c>
      <c r="DQ242" s="762">
        <v>0</v>
      </c>
      <c r="DR242" s="762">
        <v>0</v>
      </c>
      <c r="DS242" s="762">
        <v>0</v>
      </c>
      <c r="DT242" s="762">
        <v>0</v>
      </c>
      <c r="DU242" s="762">
        <v>0</v>
      </c>
      <c r="DV242" s="762">
        <v>0</v>
      </c>
      <c r="DW242" s="762">
        <v>0</v>
      </c>
      <c r="DX242" s="762">
        <v>0</v>
      </c>
      <c r="DY242" s="762">
        <v>0</v>
      </c>
      <c r="DZ242" s="762">
        <v>0</v>
      </c>
      <c r="EA242" s="762">
        <v>0</v>
      </c>
      <c r="EB242" s="762">
        <v>1466245</v>
      </c>
      <c r="EC242" s="762">
        <v>77947</v>
      </c>
      <c r="ED242" s="762">
        <v>15589</v>
      </c>
      <c r="EE242" s="762">
        <v>1559781</v>
      </c>
      <c r="EF242" s="762">
        <v>10294498</v>
      </c>
      <c r="EG242" s="762">
        <v>522153</v>
      </c>
      <c r="EH242" s="762">
        <v>104430</v>
      </c>
      <c r="EI242" s="799">
        <v>10921081</v>
      </c>
      <c r="EJ242" s="763" t="s">
        <v>532</v>
      </c>
      <c r="EK242" s="607" t="s">
        <v>529</v>
      </c>
      <c r="EL242" s="805" t="s">
        <v>530</v>
      </c>
      <c r="EM242" t="s">
        <v>1808</v>
      </c>
    </row>
    <row r="243" spans="1:143" ht="12.75" x14ac:dyDescent="0.2">
      <c r="A243" s="764">
        <v>236</v>
      </c>
      <c r="B243" s="765" t="s">
        <v>361</v>
      </c>
      <c r="C243" s="766" t="s">
        <v>1217</v>
      </c>
      <c r="D243" s="767" t="s">
        <v>1226</v>
      </c>
      <c r="E243" s="768" t="s">
        <v>360</v>
      </c>
      <c r="F243" s="761">
        <v>27769624</v>
      </c>
      <c r="G243" s="762">
        <v>146721</v>
      </c>
      <c r="H243" s="762">
        <v>0</v>
      </c>
      <c r="I243" s="762">
        <v>204380</v>
      </c>
      <c r="J243" s="762">
        <v>0</v>
      </c>
      <c r="K243" s="762">
        <v>204380</v>
      </c>
      <c r="L243" s="762">
        <v>0</v>
      </c>
      <c r="M243" s="762">
        <v>0</v>
      </c>
      <c r="N243" s="762">
        <v>0</v>
      </c>
      <c r="O243" s="762">
        <v>0</v>
      </c>
      <c r="P243" s="762">
        <v>0</v>
      </c>
      <c r="Q243" s="762">
        <v>0</v>
      </c>
      <c r="R243" s="762">
        <v>27711965</v>
      </c>
      <c r="S243" s="790">
        <v>0.5</v>
      </c>
      <c r="T243" s="790">
        <v>0.4</v>
      </c>
      <c r="U243" s="790">
        <v>0.09</v>
      </c>
      <c r="V243" s="790">
        <v>0.01</v>
      </c>
      <c r="W243" s="790">
        <v>1</v>
      </c>
      <c r="X243" s="762">
        <v>13855982</v>
      </c>
      <c r="Y243" s="762">
        <v>11084786</v>
      </c>
      <c r="Z243" s="762">
        <v>2494077</v>
      </c>
      <c r="AA243" s="762">
        <v>277120</v>
      </c>
      <c r="AB243" s="762">
        <v>27711965</v>
      </c>
      <c r="AC243" s="762">
        <v>0</v>
      </c>
      <c r="AD243" s="762">
        <v>0</v>
      </c>
      <c r="AE243" s="762">
        <v>0</v>
      </c>
      <c r="AF243" s="762">
        <v>0</v>
      </c>
      <c r="AG243" s="762">
        <v>0</v>
      </c>
      <c r="AH243" s="762">
        <v>13855982</v>
      </c>
      <c r="AI243" s="762">
        <v>11084786</v>
      </c>
      <c r="AJ243" s="762">
        <v>2494077</v>
      </c>
      <c r="AK243" s="762">
        <v>277120</v>
      </c>
      <c r="AL243" s="762">
        <v>27711965</v>
      </c>
      <c r="AM243" s="762">
        <v>204380</v>
      </c>
      <c r="AN243" s="762">
        <v>204380</v>
      </c>
      <c r="AO243" s="762">
        <v>0</v>
      </c>
      <c r="AP243" s="762">
        <v>0</v>
      </c>
      <c r="AQ243" s="762">
        <v>0</v>
      </c>
      <c r="AR243" s="762">
        <v>0</v>
      </c>
      <c r="AS243" s="762">
        <v>0</v>
      </c>
      <c r="AT243" s="762">
        <v>0</v>
      </c>
      <c r="AU243" s="762">
        <v>0</v>
      </c>
      <c r="AV243" s="762">
        <v>0</v>
      </c>
      <c r="AW243" s="762">
        <v>0</v>
      </c>
      <c r="AX243" s="762">
        <v>0</v>
      </c>
      <c r="AY243" s="762">
        <v>0</v>
      </c>
      <c r="AZ243" s="762">
        <v>0</v>
      </c>
      <c r="BA243" s="762">
        <v>0</v>
      </c>
      <c r="BB243" s="762">
        <v>0</v>
      </c>
      <c r="BC243" s="762">
        <v>0</v>
      </c>
      <c r="BD243" s="762">
        <v>0</v>
      </c>
      <c r="BE243" s="762">
        <v>0</v>
      </c>
      <c r="BF243" s="762">
        <v>0</v>
      </c>
      <c r="BG243" s="762">
        <v>0</v>
      </c>
      <c r="BH243" s="762">
        <v>0</v>
      </c>
      <c r="BI243" s="762">
        <v>0</v>
      </c>
      <c r="BJ243" s="790">
        <v>0</v>
      </c>
      <c r="BK243" s="790">
        <v>0.4</v>
      </c>
      <c r="BL243" s="790">
        <v>0.59</v>
      </c>
      <c r="BM243" s="790">
        <v>0.01</v>
      </c>
      <c r="BN243" s="790">
        <v>1</v>
      </c>
      <c r="BO243" s="762">
        <v>0</v>
      </c>
      <c r="BP243" s="762">
        <v>1005106</v>
      </c>
      <c r="BQ243" s="762">
        <v>1482532</v>
      </c>
      <c r="BR243" s="762">
        <v>25128</v>
      </c>
      <c r="BS243" s="762">
        <v>2512766</v>
      </c>
      <c r="BT243" s="790">
        <v>0.5</v>
      </c>
      <c r="BU243" s="790">
        <v>0.4</v>
      </c>
      <c r="BV243" s="790">
        <v>0.09</v>
      </c>
      <c r="BW243" s="790">
        <v>0.01</v>
      </c>
      <c r="BX243" s="790">
        <v>1</v>
      </c>
      <c r="BY243" s="762">
        <v>-512111</v>
      </c>
      <c r="BZ243" s="762">
        <v>-409688</v>
      </c>
      <c r="CA243" s="762">
        <v>-92180</v>
      </c>
      <c r="CB243" s="762">
        <v>-10242</v>
      </c>
      <c r="CC243" s="762">
        <v>-1024221</v>
      </c>
      <c r="CD243" s="762">
        <v>-512111</v>
      </c>
      <c r="CE243" s="762">
        <v>595418</v>
      </c>
      <c r="CF243" s="762">
        <v>1390352</v>
      </c>
      <c r="CG243" s="762">
        <v>14886</v>
      </c>
      <c r="CH243" s="762">
        <v>1488545</v>
      </c>
      <c r="CI243" s="762">
        <v>13343871</v>
      </c>
      <c r="CJ243" s="762">
        <v>11884584</v>
      </c>
      <c r="CK243" s="762">
        <v>3884429</v>
      </c>
      <c r="CL243" s="762">
        <v>292006</v>
      </c>
      <c r="CM243" s="762">
        <v>29404890</v>
      </c>
      <c r="CN243" s="762">
        <v>361215</v>
      </c>
      <c r="CO243" s="762">
        <v>81273</v>
      </c>
      <c r="CP243" s="762">
        <v>9030</v>
      </c>
      <c r="CQ243" s="762">
        <v>451518</v>
      </c>
      <c r="CR243" s="762">
        <v>2052438</v>
      </c>
      <c r="CS243" s="762">
        <v>461799</v>
      </c>
      <c r="CT243" s="762">
        <v>51311</v>
      </c>
      <c r="CU243" s="762">
        <v>2565548</v>
      </c>
      <c r="CV243" s="762">
        <v>88518</v>
      </c>
      <c r="CW243" s="762">
        <v>19916</v>
      </c>
      <c r="CX243" s="762">
        <v>2213</v>
      </c>
      <c r="CY243" s="762">
        <v>110647</v>
      </c>
      <c r="CZ243" s="762">
        <v>0</v>
      </c>
      <c r="DA243" s="762">
        <v>0</v>
      </c>
      <c r="DB243" s="762">
        <v>0</v>
      </c>
      <c r="DC243" s="762">
        <v>0</v>
      </c>
      <c r="DD243" s="762">
        <v>16739</v>
      </c>
      <c r="DE243" s="762">
        <v>3766</v>
      </c>
      <c r="DF243" s="762">
        <v>418</v>
      </c>
      <c r="DG243" s="762">
        <v>20923</v>
      </c>
      <c r="DH243" s="762">
        <v>2478</v>
      </c>
      <c r="DI243" s="762">
        <v>558</v>
      </c>
      <c r="DJ243" s="762">
        <v>62</v>
      </c>
      <c r="DK243" s="762">
        <v>3098</v>
      </c>
      <c r="DL243" s="762">
        <v>13603</v>
      </c>
      <c r="DM243" s="762">
        <v>3061</v>
      </c>
      <c r="DN243" s="762">
        <v>340</v>
      </c>
      <c r="DO243" s="762">
        <v>17004</v>
      </c>
      <c r="DP243" s="762">
        <v>25349</v>
      </c>
      <c r="DQ243" s="762">
        <v>5704</v>
      </c>
      <c r="DR243" s="762">
        <v>634</v>
      </c>
      <c r="DS243" s="762">
        <v>31687</v>
      </c>
      <c r="DT243" s="762">
        <v>0</v>
      </c>
      <c r="DU243" s="762">
        <v>0</v>
      </c>
      <c r="DV243" s="762">
        <v>0</v>
      </c>
      <c r="DW243" s="762">
        <v>0</v>
      </c>
      <c r="DX243" s="762">
        <v>0</v>
      </c>
      <c r="DY243" s="762">
        <v>0</v>
      </c>
      <c r="DZ243" s="762">
        <v>0</v>
      </c>
      <c r="EA243" s="762">
        <v>0</v>
      </c>
      <c r="EB243" s="762">
        <v>489527</v>
      </c>
      <c r="EC243" s="762">
        <v>110143</v>
      </c>
      <c r="ED243" s="762">
        <v>12238</v>
      </c>
      <c r="EE243" s="762">
        <v>611908</v>
      </c>
      <c r="EF243" s="762">
        <v>3049867</v>
      </c>
      <c r="EG243" s="762">
        <v>686220</v>
      </c>
      <c r="EH243" s="762">
        <v>76246</v>
      </c>
      <c r="EI243" s="799">
        <v>3812333</v>
      </c>
      <c r="EJ243" s="763" t="s">
        <v>360</v>
      </c>
      <c r="EK243" s="607" t="s">
        <v>565</v>
      </c>
      <c r="EL243" s="805" t="s">
        <v>563</v>
      </c>
      <c r="EM243" t="s">
        <v>1809</v>
      </c>
    </row>
    <row r="244" spans="1:143" ht="12.75" x14ac:dyDescent="0.2">
      <c r="A244" s="764">
        <v>237</v>
      </c>
      <c r="B244" s="765" t="s">
        <v>363</v>
      </c>
      <c r="C244" s="766" t="s">
        <v>1217</v>
      </c>
      <c r="D244" s="767" t="s">
        <v>1220</v>
      </c>
      <c r="E244" s="768" t="s">
        <v>362</v>
      </c>
      <c r="F244" s="761">
        <v>26476022</v>
      </c>
      <c r="G244" s="762">
        <v>0</v>
      </c>
      <c r="H244" s="762">
        <v>1997293</v>
      </c>
      <c r="I244" s="762">
        <v>105294</v>
      </c>
      <c r="J244" s="762">
        <v>0</v>
      </c>
      <c r="K244" s="762">
        <v>105294</v>
      </c>
      <c r="L244" s="762">
        <v>0</v>
      </c>
      <c r="M244" s="762">
        <v>0</v>
      </c>
      <c r="N244" s="762">
        <v>335402</v>
      </c>
      <c r="O244" s="762">
        <v>281978</v>
      </c>
      <c r="P244" s="762">
        <v>53424</v>
      </c>
      <c r="Q244" s="762">
        <v>0</v>
      </c>
      <c r="R244" s="762">
        <v>24038033</v>
      </c>
      <c r="S244" s="790">
        <v>0.5</v>
      </c>
      <c r="T244" s="790">
        <v>0.4</v>
      </c>
      <c r="U244" s="790">
        <v>0.1</v>
      </c>
      <c r="V244" s="790">
        <v>0</v>
      </c>
      <c r="W244" s="790">
        <v>1</v>
      </c>
      <c r="X244" s="762">
        <v>12019017</v>
      </c>
      <c r="Y244" s="762">
        <v>9615213</v>
      </c>
      <c r="Z244" s="762">
        <v>2403803</v>
      </c>
      <c r="AA244" s="762">
        <v>0</v>
      </c>
      <c r="AB244" s="762">
        <v>24038033</v>
      </c>
      <c r="AC244" s="762">
        <v>0</v>
      </c>
      <c r="AD244" s="762">
        <v>0</v>
      </c>
      <c r="AE244" s="762">
        <v>0</v>
      </c>
      <c r="AF244" s="762">
        <v>0</v>
      </c>
      <c r="AG244" s="762">
        <v>0</v>
      </c>
      <c r="AH244" s="762">
        <v>12019017</v>
      </c>
      <c r="AI244" s="762">
        <v>9615213</v>
      </c>
      <c r="AJ244" s="762">
        <v>2403803</v>
      </c>
      <c r="AK244" s="762">
        <v>0</v>
      </c>
      <c r="AL244" s="762">
        <v>24038033</v>
      </c>
      <c r="AM244" s="762">
        <v>105294</v>
      </c>
      <c r="AN244" s="762">
        <v>105294</v>
      </c>
      <c r="AO244" s="762">
        <v>0</v>
      </c>
      <c r="AP244" s="762">
        <v>0</v>
      </c>
      <c r="AQ244" s="762">
        <v>281978</v>
      </c>
      <c r="AR244" s="762">
        <v>53424</v>
      </c>
      <c r="AS244" s="762">
        <v>335402</v>
      </c>
      <c r="AT244" s="762">
        <v>0</v>
      </c>
      <c r="AU244" s="762">
        <v>0</v>
      </c>
      <c r="AV244" s="762">
        <v>0</v>
      </c>
      <c r="AW244" s="762">
        <v>0</v>
      </c>
      <c r="AX244" s="762">
        <v>0</v>
      </c>
      <c r="AY244" s="762">
        <v>0</v>
      </c>
      <c r="AZ244" s="762">
        <v>0</v>
      </c>
      <c r="BA244" s="762">
        <v>0</v>
      </c>
      <c r="BB244" s="762">
        <v>0</v>
      </c>
      <c r="BC244" s="762">
        <v>0</v>
      </c>
      <c r="BD244" s="762">
        <v>0</v>
      </c>
      <c r="BE244" s="762">
        <v>0</v>
      </c>
      <c r="BF244" s="762">
        <v>0</v>
      </c>
      <c r="BG244" s="762">
        <v>0</v>
      </c>
      <c r="BH244" s="762">
        <v>0</v>
      </c>
      <c r="BI244" s="762">
        <v>0</v>
      </c>
      <c r="BJ244" s="790">
        <v>0</v>
      </c>
      <c r="BK244" s="790">
        <v>0.6</v>
      </c>
      <c r="BL244" s="790">
        <v>0.4</v>
      </c>
      <c r="BM244" s="790">
        <v>0</v>
      </c>
      <c r="BN244" s="790">
        <v>1</v>
      </c>
      <c r="BO244" s="762">
        <v>0</v>
      </c>
      <c r="BP244" s="762">
        <v>1294133</v>
      </c>
      <c r="BQ244" s="762">
        <v>862756</v>
      </c>
      <c r="BR244" s="762">
        <v>0</v>
      </c>
      <c r="BS244" s="762">
        <v>2156889</v>
      </c>
      <c r="BT244" s="790">
        <v>0.5</v>
      </c>
      <c r="BU244" s="790">
        <v>0.4</v>
      </c>
      <c r="BV244" s="790">
        <v>0.1</v>
      </c>
      <c r="BW244" s="790">
        <v>0</v>
      </c>
      <c r="BX244" s="790">
        <v>1</v>
      </c>
      <c r="BY244" s="762">
        <v>-22445</v>
      </c>
      <c r="BZ244" s="762">
        <v>-17956</v>
      </c>
      <c r="CA244" s="762">
        <v>-4489</v>
      </c>
      <c r="CB244" s="762">
        <v>0</v>
      </c>
      <c r="CC244" s="762">
        <v>-44890</v>
      </c>
      <c r="CD244" s="762">
        <v>-22445</v>
      </c>
      <c r="CE244" s="762">
        <v>1276177</v>
      </c>
      <c r="CF244" s="762">
        <v>858267</v>
      </c>
      <c r="CG244" s="762">
        <v>0</v>
      </c>
      <c r="CH244" s="762">
        <v>2111999</v>
      </c>
      <c r="CI244" s="762">
        <v>11996572</v>
      </c>
      <c r="CJ244" s="762">
        <v>11278662</v>
      </c>
      <c r="CK244" s="762">
        <v>3315494</v>
      </c>
      <c r="CL244" s="762">
        <v>0</v>
      </c>
      <c r="CM244" s="762">
        <v>26590728</v>
      </c>
      <c r="CN244" s="762">
        <v>322515</v>
      </c>
      <c r="CO244" s="762">
        <v>80073</v>
      </c>
      <c r="CP244" s="762">
        <v>0</v>
      </c>
      <c r="CQ244" s="762">
        <v>402588</v>
      </c>
      <c r="CR244" s="762">
        <v>726308</v>
      </c>
      <c r="CS244" s="762">
        <v>181577</v>
      </c>
      <c r="CT244" s="762">
        <v>0</v>
      </c>
      <c r="CU244" s="762">
        <v>907885</v>
      </c>
      <c r="CV244" s="762">
        <v>50327</v>
      </c>
      <c r="CW244" s="762">
        <v>12582</v>
      </c>
      <c r="CX244" s="762">
        <v>0</v>
      </c>
      <c r="CY244" s="762">
        <v>62909</v>
      </c>
      <c r="CZ244" s="762">
        <v>0</v>
      </c>
      <c r="DA244" s="762">
        <v>0</v>
      </c>
      <c r="DB244" s="762">
        <v>0</v>
      </c>
      <c r="DC244" s="762">
        <v>0</v>
      </c>
      <c r="DD244" s="762">
        <v>12135</v>
      </c>
      <c r="DE244" s="762">
        <v>3034</v>
      </c>
      <c r="DF244" s="762">
        <v>0</v>
      </c>
      <c r="DG244" s="762">
        <v>15169</v>
      </c>
      <c r="DH244" s="762">
        <v>0</v>
      </c>
      <c r="DI244" s="762">
        <v>0</v>
      </c>
      <c r="DJ244" s="762">
        <v>0</v>
      </c>
      <c r="DK244" s="762">
        <v>0</v>
      </c>
      <c r="DL244" s="762">
        <v>13324</v>
      </c>
      <c r="DM244" s="762">
        <v>3331</v>
      </c>
      <c r="DN244" s="762">
        <v>0</v>
      </c>
      <c r="DO244" s="762">
        <v>16655</v>
      </c>
      <c r="DP244" s="762">
        <v>14043</v>
      </c>
      <c r="DQ244" s="762">
        <v>3511</v>
      </c>
      <c r="DR244" s="762">
        <v>0</v>
      </c>
      <c r="DS244" s="762">
        <v>17554</v>
      </c>
      <c r="DT244" s="762">
        <v>0</v>
      </c>
      <c r="DU244" s="762">
        <v>0</v>
      </c>
      <c r="DV244" s="762">
        <v>0</v>
      </c>
      <c r="DW244" s="762">
        <v>0</v>
      </c>
      <c r="DX244" s="762">
        <v>0</v>
      </c>
      <c r="DY244" s="762">
        <v>0</v>
      </c>
      <c r="DZ244" s="762">
        <v>0</v>
      </c>
      <c r="EA244" s="762">
        <v>0</v>
      </c>
      <c r="EB244" s="762">
        <v>144433</v>
      </c>
      <c r="EC244" s="762">
        <v>36108</v>
      </c>
      <c r="ED244" s="762">
        <v>0</v>
      </c>
      <c r="EE244" s="762">
        <v>180541</v>
      </c>
      <c r="EF244" s="762">
        <v>1283085</v>
      </c>
      <c r="EG244" s="762">
        <v>320216</v>
      </c>
      <c r="EH244" s="762">
        <v>0</v>
      </c>
      <c r="EI244" s="799">
        <v>1603301</v>
      </c>
      <c r="EJ244" s="763" t="s">
        <v>362</v>
      </c>
      <c r="EK244" s="607" t="s">
        <v>600</v>
      </c>
      <c r="EL244" s="805" t="s">
        <v>556</v>
      </c>
      <c r="EM244" t="s">
        <v>1810</v>
      </c>
    </row>
    <row r="245" spans="1:143" ht="12.75" x14ac:dyDescent="0.2">
      <c r="A245" s="764">
        <v>238</v>
      </c>
      <c r="B245" s="765" t="s">
        <v>365</v>
      </c>
      <c r="C245" s="766" t="s">
        <v>1217</v>
      </c>
      <c r="D245" s="767" t="s">
        <v>1220</v>
      </c>
      <c r="E245" s="768" t="s">
        <v>364</v>
      </c>
      <c r="F245" s="761">
        <v>41408381</v>
      </c>
      <c r="G245" s="762">
        <v>141340</v>
      </c>
      <c r="H245" s="762">
        <v>0</v>
      </c>
      <c r="I245" s="762">
        <v>175681</v>
      </c>
      <c r="J245" s="762">
        <v>0</v>
      </c>
      <c r="K245" s="762">
        <v>175681</v>
      </c>
      <c r="L245" s="762">
        <v>0</v>
      </c>
      <c r="M245" s="762">
        <v>0</v>
      </c>
      <c r="N245" s="762">
        <v>0</v>
      </c>
      <c r="O245" s="762">
        <v>0</v>
      </c>
      <c r="P245" s="762">
        <v>0</v>
      </c>
      <c r="Q245" s="762">
        <v>0</v>
      </c>
      <c r="R245" s="762">
        <v>41374040</v>
      </c>
      <c r="S245" s="790">
        <v>0.5</v>
      </c>
      <c r="T245" s="790">
        <v>0.4</v>
      </c>
      <c r="U245" s="790">
        <v>0.1</v>
      </c>
      <c r="V245" s="790">
        <v>0</v>
      </c>
      <c r="W245" s="790">
        <v>1</v>
      </c>
      <c r="X245" s="762">
        <v>20687020</v>
      </c>
      <c r="Y245" s="762">
        <v>16549616</v>
      </c>
      <c r="Z245" s="762">
        <v>4137404</v>
      </c>
      <c r="AA245" s="762">
        <v>0</v>
      </c>
      <c r="AB245" s="762">
        <v>41374040</v>
      </c>
      <c r="AC245" s="762">
        <v>0</v>
      </c>
      <c r="AD245" s="762">
        <v>0</v>
      </c>
      <c r="AE245" s="762">
        <v>0</v>
      </c>
      <c r="AF245" s="762">
        <v>0</v>
      </c>
      <c r="AG245" s="762">
        <v>0</v>
      </c>
      <c r="AH245" s="762">
        <v>20687020</v>
      </c>
      <c r="AI245" s="762">
        <v>16549616</v>
      </c>
      <c r="AJ245" s="762">
        <v>4137404</v>
      </c>
      <c r="AK245" s="762">
        <v>0</v>
      </c>
      <c r="AL245" s="762">
        <v>41374040</v>
      </c>
      <c r="AM245" s="762">
        <v>175681</v>
      </c>
      <c r="AN245" s="762">
        <v>175681</v>
      </c>
      <c r="AO245" s="762">
        <v>0</v>
      </c>
      <c r="AP245" s="762">
        <v>0</v>
      </c>
      <c r="AQ245" s="762">
        <v>0</v>
      </c>
      <c r="AR245" s="762">
        <v>0</v>
      </c>
      <c r="AS245" s="762">
        <v>0</v>
      </c>
      <c r="AT245" s="762">
        <v>0</v>
      </c>
      <c r="AU245" s="762">
        <v>0</v>
      </c>
      <c r="AV245" s="762">
        <v>0</v>
      </c>
      <c r="AW245" s="762">
        <v>0</v>
      </c>
      <c r="AX245" s="762">
        <v>0</v>
      </c>
      <c r="AY245" s="762">
        <v>0</v>
      </c>
      <c r="AZ245" s="762">
        <v>0</v>
      </c>
      <c r="BA245" s="762">
        <v>0</v>
      </c>
      <c r="BB245" s="762">
        <v>0</v>
      </c>
      <c r="BC245" s="762">
        <v>0</v>
      </c>
      <c r="BD245" s="762">
        <v>0</v>
      </c>
      <c r="BE245" s="762">
        <v>0</v>
      </c>
      <c r="BF245" s="762">
        <v>0</v>
      </c>
      <c r="BG245" s="762">
        <v>0</v>
      </c>
      <c r="BH245" s="762">
        <v>0</v>
      </c>
      <c r="BI245" s="762">
        <v>0</v>
      </c>
      <c r="BJ245" s="790">
        <v>0</v>
      </c>
      <c r="BK245" s="790">
        <v>0.6</v>
      </c>
      <c r="BL245" s="790">
        <v>0.4</v>
      </c>
      <c r="BM245" s="790">
        <v>0</v>
      </c>
      <c r="BN245" s="790">
        <v>1</v>
      </c>
      <c r="BO245" s="762">
        <v>0</v>
      </c>
      <c r="BP245" s="762">
        <v>1182738</v>
      </c>
      <c r="BQ245" s="762">
        <v>788492</v>
      </c>
      <c r="BR245" s="762">
        <v>0</v>
      </c>
      <c r="BS245" s="762">
        <v>1971230</v>
      </c>
      <c r="BT245" s="790">
        <v>0.5</v>
      </c>
      <c r="BU245" s="790">
        <v>0.4</v>
      </c>
      <c r="BV245" s="790">
        <v>0.1</v>
      </c>
      <c r="BW245" s="790">
        <v>0</v>
      </c>
      <c r="BX245" s="790">
        <v>1</v>
      </c>
      <c r="BY245" s="762">
        <v>167746</v>
      </c>
      <c r="BZ245" s="762">
        <v>134196</v>
      </c>
      <c r="CA245" s="762">
        <v>33549</v>
      </c>
      <c r="CB245" s="762">
        <v>0</v>
      </c>
      <c r="CC245" s="762">
        <v>335491</v>
      </c>
      <c r="CD245" s="762">
        <v>167746</v>
      </c>
      <c r="CE245" s="762">
        <v>1316934</v>
      </c>
      <c r="CF245" s="762">
        <v>822041</v>
      </c>
      <c r="CG245" s="762">
        <v>0</v>
      </c>
      <c r="CH245" s="762">
        <v>2306721</v>
      </c>
      <c r="CI245" s="762">
        <v>20854766</v>
      </c>
      <c r="CJ245" s="762">
        <v>18042231</v>
      </c>
      <c r="CK245" s="762">
        <v>4959445</v>
      </c>
      <c r="CL245" s="762">
        <v>0</v>
      </c>
      <c r="CM245" s="762">
        <v>43856442</v>
      </c>
      <c r="CN245" s="762">
        <v>539295</v>
      </c>
      <c r="CO245" s="762">
        <v>134824</v>
      </c>
      <c r="CP245" s="762">
        <v>0</v>
      </c>
      <c r="CQ245" s="762">
        <v>674119</v>
      </c>
      <c r="CR245" s="762">
        <v>1399044</v>
      </c>
      <c r="CS245" s="762">
        <v>349761</v>
      </c>
      <c r="CT245" s="762">
        <v>0</v>
      </c>
      <c r="CU245" s="762">
        <v>1748805</v>
      </c>
      <c r="CV245" s="762">
        <v>105807</v>
      </c>
      <c r="CW245" s="762">
        <v>26452</v>
      </c>
      <c r="CX245" s="762">
        <v>0</v>
      </c>
      <c r="CY245" s="762">
        <v>132259</v>
      </c>
      <c r="CZ245" s="762">
        <v>0</v>
      </c>
      <c r="DA245" s="762">
        <v>0</v>
      </c>
      <c r="DB245" s="762">
        <v>0</v>
      </c>
      <c r="DC245" s="762">
        <v>0</v>
      </c>
      <c r="DD245" s="762">
        <v>16302</v>
      </c>
      <c r="DE245" s="762">
        <v>4076</v>
      </c>
      <c r="DF245" s="762">
        <v>0</v>
      </c>
      <c r="DG245" s="762">
        <v>20378</v>
      </c>
      <c r="DH245" s="762">
        <v>1239</v>
      </c>
      <c r="DI245" s="762">
        <v>310</v>
      </c>
      <c r="DJ245" s="762">
        <v>0</v>
      </c>
      <c r="DK245" s="762">
        <v>1549</v>
      </c>
      <c r="DL245" s="762">
        <v>10326</v>
      </c>
      <c r="DM245" s="762">
        <v>2581</v>
      </c>
      <c r="DN245" s="762">
        <v>0</v>
      </c>
      <c r="DO245" s="762">
        <v>12907</v>
      </c>
      <c r="DP245" s="762">
        <v>27260</v>
      </c>
      <c r="DQ245" s="762">
        <v>6815</v>
      </c>
      <c r="DR245" s="762">
        <v>0</v>
      </c>
      <c r="DS245" s="762">
        <v>34075</v>
      </c>
      <c r="DT245" s="762">
        <v>0</v>
      </c>
      <c r="DU245" s="762">
        <v>0</v>
      </c>
      <c r="DV245" s="762">
        <v>0</v>
      </c>
      <c r="DW245" s="762">
        <v>0</v>
      </c>
      <c r="DX245" s="762">
        <v>0</v>
      </c>
      <c r="DY245" s="762">
        <v>0</v>
      </c>
      <c r="DZ245" s="762">
        <v>0</v>
      </c>
      <c r="EA245" s="762">
        <v>0</v>
      </c>
      <c r="EB245" s="762">
        <v>722810</v>
      </c>
      <c r="EC245" s="762">
        <v>180703</v>
      </c>
      <c r="ED245" s="762">
        <v>0</v>
      </c>
      <c r="EE245" s="762">
        <v>903513</v>
      </c>
      <c r="EF245" s="762">
        <v>2822083</v>
      </c>
      <c r="EG245" s="762">
        <v>705522</v>
      </c>
      <c r="EH245" s="762">
        <v>0</v>
      </c>
      <c r="EI245" s="799">
        <v>3527605</v>
      </c>
      <c r="EJ245" s="763" t="s">
        <v>364</v>
      </c>
      <c r="EK245" s="607" t="s">
        <v>600</v>
      </c>
      <c r="EL245" s="805" t="s">
        <v>556</v>
      </c>
      <c r="EM245" t="s">
        <v>1811</v>
      </c>
    </row>
    <row r="246" spans="1:143" ht="12.75" x14ac:dyDescent="0.2">
      <c r="A246" s="764">
        <v>239</v>
      </c>
      <c r="B246" s="765" t="s">
        <v>367</v>
      </c>
      <c r="C246" s="766" t="s">
        <v>1217</v>
      </c>
      <c r="D246" s="767" t="s">
        <v>1219</v>
      </c>
      <c r="E246" s="768" t="s">
        <v>366</v>
      </c>
      <c r="F246" s="761">
        <v>42155506</v>
      </c>
      <c r="G246" s="762">
        <v>753794</v>
      </c>
      <c r="H246" s="762">
        <v>0</v>
      </c>
      <c r="I246" s="762">
        <v>301048</v>
      </c>
      <c r="J246" s="762">
        <v>0</v>
      </c>
      <c r="K246" s="762">
        <v>301048</v>
      </c>
      <c r="L246" s="762">
        <v>0</v>
      </c>
      <c r="M246" s="762">
        <v>0</v>
      </c>
      <c r="N246" s="762">
        <v>0</v>
      </c>
      <c r="O246" s="762">
        <v>0</v>
      </c>
      <c r="P246" s="762">
        <v>0</v>
      </c>
      <c r="Q246" s="762">
        <v>0</v>
      </c>
      <c r="R246" s="762">
        <v>42608252</v>
      </c>
      <c r="S246" s="790">
        <v>0.5</v>
      </c>
      <c r="T246" s="790">
        <v>0.4</v>
      </c>
      <c r="U246" s="790">
        <v>0.1</v>
      </c>
      <c r="V246" s="790">
        <v>0</v>
      </c>
      <c r="W246" s="790">
        <v>1</v>
      </c>
      <c r="X246" s="762">
        <v>21304126</v>
      </c>
      <c r="Y246" s="762">
        <v>17043301</v>
      </c>
      <c r="Z246" s="762">
        <v>4260825</v>
      </c>
      <c r="AA246" s="762">
        <v>0</v>
      </c>
      <c r="AB246" s="762">
        <v>42608252</v>
      </c>
      <c r="AC246" s="762">
        <v>0</v>
      </c>
      <c r="AD246" s="762">
        <v>0</v>
      </c>
      <c r="AE246" s="762">
        <v>0</v>
      </c>
      <c r="AF246" s="762">
        <v>0</v>
      </c>
      <c r="AG246" s="762">
        <v>0</v>
      </c>
      <c r="AH246" s="762">
        <v>21304126</v>
      </c>
      <c r="AI246" s="762">
        <v>17043301</v>
      </c>
      <c r="AJ246" s="762">
        <v>4260825</v>
      </c>
      <c r="AK246" s="762">
        <v>0</v>
      </c>
      <c r="AL246" s="762">
        <v>42608252</v>
      </c>
      <c r="AM246" s="762">
        <v>301048</v>
      </c>
      <c r="AN246" s="762">
        <v>301048</v>
      </c>
      <c r="AO246" s="762">
        <v>0</v>
      </c>
      <c r="AP246" s="762">
        <v>0</v>
      </c>
      <c r="AQ246" s="762">
        <v>0</v>
      </c>
      <c r="AR246" s="762">
        <v>0</v>
      </c>
      <c r="AS246" s="762">
        <v>0</v>
      </c>
      <c r="AT246" s="762">
        <v>0</v>
      </c>
      <c r="AU246" s="762">
        <v>0</v>
      </c>
      <c r="AV246" s="762">
        <v>0</v>
      </c>
      <c r="AW246" s="762">
        <v>0</v>
      </c>
      <c r="AX246" s="762">
        <v>0</v>
      </c>
      <c r="AY246" s="762">
        <v>0</v>
      </c>
      <c r="AZ246" s="762">
        <v>0</v>
      </c>
      <c r="BA246" s="762">
        <v>0</v>
      </c>
      <c r="BB246" s="762">
        <v>0</v>
      </c>
      <c r="BC246" s="762">
        <v>0</v>
      </c>
      <c r="BD246" s="762">
        <v>0</v>
      </c>
      <c r="BE246" s="762">
        <v>0</v>
      </c>
      <c r="BF246" s="762">
        <v>0</v>
      </c>
      <c r="BG246" s="762">
        <v>0</v>
      </c>
      <c r="BH246" s="762">
        <v>0</v>
      </c>
      <c r="BI246" s="762">
        <v>0</v>
      </c>
      <c r="BJ246" s="790">
        <v>0.5</v>
      </c>
      <c r="BK246" s="790">
        <v>0.4</v>
      </c>
      <c r="BL246" s="790">
        <v>0.1</v>
      </c>
      <c r="BM246" s="790">
        <v>0</v>
      </c>
      <c r="BN246" s="790">
        <v>1</v>
      </c>
      <c r="BO246" s="762">
        <v>-45443</v>
      </c>
      <c r="BP246" s="762">
        <v>-36355</v>
      </c>
      <c r="BQ246" s="762">
        <v>-9089</v>
      </c>
      <c r="BR246" s="762">
        <v>0</v>
      </c>
      <c r="BS246" s="762">
        <v>-90887</v>
      </c>
      <c r="BT246" s="790">
        <v>0.5</v>
      </c>
      <c r="BU246" s="790">
        <v>0.4</v>
      </c>
      <c r="BV246" s="790">
        <v>0.1</v>
      </c>
      <c r="BW246" s="790">
        <v>0</v>
      </c>
      <c r="BX246" s="790">
        <v>1</v>
      </c>
      <c r="BY246" s="762">
        <v>493090</v>
      </c>
      <c r="BZ246" s="762">
        <v>394472</v>
      </c>
      <c r="CA246" s="762">
        <v>98618</v>
      </c>
      <c r="CB246" s="762">
        <v>0</v>
      </c>
      <c r="CC246" s="762">
        <v>986180</v>
      </c>
      <c r="CD246" s="762">
        <v>447647</v>
      </c>
      <c r="CE246" s="762">
        <v>358117</v>
      </c>
      <c r="CF246" s="762">
        <v>89529</v>
      </c>
      <c r="CG246" s="762">
        <v>0</v>
      </c>
      <c r="CH246" s="762">
        <v>895293</v>
      </c>
      <c r="CI246" s="762">
        <v>21751773</v>
      </c>
      <c r="CJ246" s="762">
        <v>17702466</v>
      </c>
      <c r="CK246" s="762">
        <v>4350354</v>
      </c>
      <c r="CL246" s="762">
        <v>0</v>
      </c>
      <c r="CM246" s="762">
        <v>43804593</v>
      </c>
      <c r="CN246" s="762">
        <v>555383</v>
      </c>
      <c r="CO246" s="762">
        <v>138846</v>
      </c>
      <c r="CP246" s="762">
        <v>0</v>
      </c>
      <c r="CQ246" s="762">
        <v>694229</v>
      </c>
      <c r="CR246" s="762">
        <v>2688948</v>
      </c>
      <c r="CS246" s="762">
        <v>672237</v>
      </c>
      <c r="CT246" s="762">
        <v>0</v>
      </c>
      <c r="CU246" s="762">
        <v>3361185</v>
      </c>
      <c r="CV246" s="762">
        <v>129637</v>
      </c>
      <c r="CW246" s="762">
        <v>32409</v>
      </c>
      <c r="CX246" s="762">
        <v>0</v>
      </c>
      <c r="CY246" s="762">
        <v>162046</v>
      </c>
      <c r="CZ246" s="762">
        <v>0</v>
      </c>
      <c r="DA246" s="762">
        <v>0</v>
      </c>
      <c r="DB246" s="762">
        <v>0</v>
      </c>
      <c r="DC246" s="762">
        <v>0</v>
      </c>
      <c r="DD246" s="762">
        <v>8880</v>
      </c>
      <c r="DE246" s="762">
        <v>2220</v>
      </c>
      <c r="DF246" s="762">
        <v>0</v>
      </c>
      <c r="DG246" s="762">
        <v>11100</v>
      </c>
      <c r="DH246" s="762">
        <v>619</v>
      </c>
      <c r="DI246" s="762">
        <v>155</v>
      </c>
      <c r="DJ246" s="762">
        <v>0</v>
      </c>
      <c r="DK246" s="762">
        <v>774</v>
      </c>
      <c r="DL246" s="762">
        <v>17434</v>
      </c>
      <c r="DM246" s="762">
        <v>4358</v>
      </c>
      <c r="DN246" s="762">
        <v>0</v>
      </c>
      <c r="DO246" s="762">
        <v>21792</v>
      </c>
      <c r="DP246" s="762">
        <v>26347</v>
      </c>
      <c r="DQ246" s="762">
        <v>6587</v>
      </c>
      <c r="DR246" s="762">
        <v>0</v>
      </c>
      <c r="DS246" s="762">
        <v>32934</v>
      </c>
      <c r="DT246" s="762">
        <v>0</v>
      </c>
      <c r="DU246" s="762">
        <v>0</v>
      </c>
      <c r="DV246" s="762">
        <v>0</v>
      </c>
      <c r="DW246" s="762">
        <v>0</v>
      </c>
      <c r="DX246" s="762">
        <v>0</v>
      </c>
      <c r="DY246" s="762">
        <v>0</v>
      </c>
      <c r="DZ246" s="762">
        <v>0</v>
      </c>
      <c r="EA246" s="762">
        <v>0</v>
      </c>
      <c r="EB246" s="762">
        <v>596112</v>
      </c>
      <c r="EC246" s="762">
        <v>149028</v>
      </c>
      <c r="ED246" s="762">
        <v>0</v>
      </c>
      <c r="EE246" s="762">
        <v>745140</v>
      </c>
      <c r="EF246" s="762">
        <v>4023360</v>
      </c>
      <c r="EG246" s="762">
        <v>1005840</v>
      </c>
      <c r="EH246" s="762">
        <v>0</v>
      </c>
      <c r="EI246" s="799">
        <v>5029200</v>
      </c>
      <c r="EJ246" s="763" t="s">
        <v>366</v>
      </c>
      <c r="EK246" s="607" t="s">
        <v>557</v>
      </c>
      <c r="EL246" s="805" t="s">
        <v>556</v>
      </c>
      <c r="EM246" t="s">
        <v>1812</v>
      </c>
    </row>
    <row r="247" spans="1:143" ht="12.75" x14ac:dyDescent="0.2">
      <c r="A247" s="764">
        <v>240</v>
      </c>
      <c r="B247" s="765" t="s">
        <v>369</v>
      </c>
      <c r="C247" s="766" t="s">
        <v>1217</v>
      </c>
      <c r="D247" s="767" t="s">
        <v>1221</v>
      </c>
      <c r="E247" s="768" t="s">
        <v>368</v>
      </c>
      <c r="F247" s="761">
        <v>30364780.530000001</v>
      </c>
      <c r="G247" s="762">
        <v>151443.47</v>
      </c>
      <c r="H247" s="762">
        <v>0</v>
      </c>
      <c r="I247" s="762">
        <v>169966</v>
      </c>
      <c r="J247" s="762">
        <v>0</v>
      </c>
      <c r="K247" s="762">
        <v>169966</v>
      </c>
      <c r="L247" s="762">
        <v>0</v>
      </c>
      <c r="M247" s="762">
        <v>3340</v>
      </c>
      <c r="N247" s="762">
        <v>154818</v>
      </c>
      <c r="O247" s="762">
        <v>154818</v>
      </c>
      <c r="P247" s="762">
        <v>0</v>
      </c>
      <c r="Q247" s="762">
        <v>0</v>
      </c>
      <c r="R247" s="762">
        <v>30188100</v>
      </c>
      <c r="S247" s="790">
        <v>0.25000000000000006</v>
      </c>
      <c r="T247" s="790">
        <v>0.42499999999999999</v>
      </c>
      <c r="U247" s="790">
        <v>0.32500000000000001</v>
      </c>
      <c r="V247" s="790">
        <v>0</v>
      </c>
      <c r="W247" s="790">
        <v>1</v>
      </c>
      <c r="X247" s="762">
        <v>7547024</v>
      </c>
      <c r="Y247" s="762">
        <v>12829943</v>
      </c>
      <c r="Z247" s="762">
        <v>9811133</v>
      </c>
      <c r="AA247" s="762">
        <v>0</v>
      </c>
      <c r="AB247" s="762">
        <v>30188100</v>
      </c>
      <c r="AC247" s="762">
        <v>307443</v>
      </c>
      <c r="AD247" s="762">
        <v>0</v>
      </c>
      <c r="AE247" s="762">
        <v>0</v>
      </c>
      <c r="AF247" s="762">
        <v>0</v>
      </c>
      <c r="AG247" s="762">
        <v>307443</v>
      </c>
      <c r="AH247" s="762">
        <v>7239581</v>
      </c>
      <c r="AI247" s="762">
        <v>12829943</v>
      </c>
      <c r="AJ247" s="762">
        <v>9811133</v>
      </c>
      <c r="AK247" s="762">
        <v>0</v>
      </c>
      <c r="AL247" s="762">
        <v>29880657</v>
      </c>
      <c r="AM247" s="762">
        <v>169966</v>
      </c>
      <c r="AN247" s="762">
        <v>169966</v>
      </c>
      <c r="AO247" s="762">
        <v>3340</v>
      </c>
      <c r="AP247" s="762">
        <v>3340</v>
      </c>
      <c r="AQ247" s="762">
        <v>154818</v>
      </c>
      <c r="AR247" s="762">
        <v>0</v>
      </c>
      <c r="AS247" s="762">
        <v>154818</v>
      </c>
      <c r="AT247" s="762">
        <v>0</v>
      </c>
      <c r="AU247" s="762">
        <v>0</v>
      </c>
      <c r="AV247" s="762">
        <v>0</v>
      </c>
      <c r="AW247" s="762">
        <v>0</v>
      </c>
      <c r="AX247" s="762">
        <v>307443</v>
      </c>
      <c r="AY247" s="762">
        <v>0</v>
      </c>
      <c r="AZ247" s="762">
        <v>0</v>
      </c>
      <c r="BA247" s="762">
        <v>307443</v>
      </c>
      <c r="BB247" s="762">
        <v>0</v>
      </c>
      <c r="BC247" s="762">
        <v>0</v>
      </c>
      <c r="BD247" s="762">
        <v>0</v>
      </c>
      <c r="BE247" s="762">
        <v>0</v>
      </c>
      <c r="BF247" s="762">
        <v>0</v>
      </c>
      <c r="BG247" s="762">
        <v>0</v>
      </c>
      <c r="BH247" s="762">
        <v>0</v>
      </c>
      <c r="BI247" s="762">
        <v>0</v>
      </c>
      <c r="BJ247" s="790">
        <v>0.5</v>
      </c>
      <c r="BK247" s="790">
        <v>0.4</v>
      </c>
      <c r="BL247" s="790">
        <v>0.1</v>
      </c>
      <c r="BM247" s="790">
        <v>0</v>
      </c>
      <c r="BN247" s="790">
        <v>1</v>
      </c>
      <c r="BO247" s="762">
        <v>94952</v>
      </c>
      <c r="BP247" s="762">
        <v>75961</v>
      </c>
      <c r="BQ247" s="762">
        <v>18990</v>
      </c>
      <c r="BR247" s="762">
        <v>0</v>
      </c>
      <c r="BS247" s="762">
        <v>189903</v>
      </c>
      <c r="BT247" s="790">
        <v>0.5</v>
      </c>
      <c r="BU247" s="790">
        <v>0.4</v>
      </c>
      <c r="BV247" s="790">
        <v>0.1</v>
      </c>
      <c r="BW247" s="790">
        <v>0</v>
      </c>
      <c r="BX247" s="790">
        <v>1</v>
      </c>
      <c r="BY247" s="762">
        <v>764887</v>
      </c>
      <c r="BZ247" s="762">
        <v>611910</v>
      </c>
      <c r="CA247" s="762">
        <v>152978</v>
      </c>
      <c r="CB247" s="762">
        <v>0</v>
      </c>
      <c r="CC247" s="762">
        <v>1529775</v>
      </c>
      <c r="CD247" s="762">
        <v>859839</v>
      </c>
      <c r="CE247" s="762">
        <v>687871</v>
      </c>
      <c r="CF247" s="762">
        <v>171968</v>
      </c>
      <c r="CG247" s="762">
        <v>0</v>
      </c>
      <c r="CH247" s="762">
        <v>1719678</v>
      </c>
      <c r="CI247" s="762">
        <v>8099420</v>
      </c>
      <c r="CJ247" s="762">
        <v>14153381</v>
      </c>
      <c r="CK247" s="762">
        <v>9983101</v>
      </c>
      <c r="CL247" s="762">
        <v>0</v>
      </c>
      <c r="CM247" s="762">
        <v>32235902</v>
      </c>
      <c r="CN247" s="762">
        <v>433256</v>
      </c>
      <c r="CO247" s="762">
        <v>319711</v>
      </c>
      <c r="CP247" s="762">
        <v>0</v>
      </c>
      <c r="CQ247" s="762">
        <v>752967</v>
      </c>
      <c r="CR247" s="762">
        <v>1360438</v>
      </c>
      <c r="CS247" s="762">
        <v>1037621</v>
      </c>
      <c r="CT247" s="762">
        <v>0</v>
      </c>
      <c r="CU247" s="762">
        <v>2398059</v>
      </c>
      <c r="CV247" s="762">
        <v>75629</v>
      </c>
      <c r="CW247" s="762">
        <v>57116</v>
      </c>
      <c r="CX247" s="762">
        <v>0</v>
      </c>
      <c r="CY247" s="762">
        <v>132745</v>
      </c>
      <c r="CZ247" s="762">
        <v>0</v>
      </c>
      <c r="DA247" s="762">
        <v>0</v>
      </c>
      <c r="DB247" s="762">
        <v>0</v>
      </c>
      <c r="DC247" s="762">
        <v>0</v>
      </c>
      <c r="DD247" s="762">
        <v>34010</v>
      </c>
      <c r="DE247" s="762">
        <v>26008</v>
      </c>
      <c r="DF247" s="762">
        <v>0</v>
      </c>
      <c r="DG247" s="762">
        <v>60018</v>
      </c>
      <c r="DH247" s="762">
        <v>659</v>
      </c>
      <c r="DI247" s="762">
        <v>503</v>
      </c>
      <c r="DJ247" s="762">
        <v>0</v>
      </c>
      <c r="DK247" s="762">
        <v>1162</v>
      </c>
      <c r="DL247" s="762">
        <v>17650</v>
      </c>
      <c r="DM247" s="762">
        <v>13497</v>
      </c>
      <c r="DN247" s="762">
        <v>0</v>
      </c>
      <c r="DO247" s="762">
        <v>31147</v>
      </c>
      <c r="DP247" s="762">
        <v>21298</v>
      </c>
      <c r="DQ247" s="762">
        <v>16286</v>
      </c>
      <c r="DR247" s="762">
        <v>0</v>
      </c>
      <c r="DS247" s="762">
        <v>37584</v>
      </c>
      <c r="DT247" s="762">
        <v>0</v>
      </c>
      <c r="DU247" s="762">
        <v>0</v>
      </c>
      <c r="DV247" s="762">
        <v>0</v>
      </c>
      <c r="DW247" s="762">
        <v>0</v>
      </c>
      <c r="DX247" s="762">
        <v>0</v>
      </c>
      <c r="DY247" s="762">
        <v>0</v>
      </c>
      <c r="DZ247" s="762">
        <v>0</v>
      </c>
      <c r="EA247" s="762">
        <v>0</v>
      </c>
      <c r="EB247" s="762">
        <v>304263</v>
      </c>
      <c r="EC247" s="762">
        <v>232671</v>
      </c>
      <c r="ED247" s="762">
        <v>0</v>
      </c>
      <c r="EE247" s="762">
        <v>536934</v>
      </c>
      <c r="EF247" s="762">
        <v>2247203</v>
      </c>
      <c r="EG247" s="762">
        <v>1703413</v>
      </c>
      <c r="EH247" s="762">
        <v>0</v>
      </c>
      <c r="EI247" s="799">
        <v>3950616</v>
      </c>
      <c r="EJ247" s="763" t="s">
        <v>368</v>
      </c>
      <c r="EK247" s="607" t="s">
        <v>601</v>
      </c>
      <c r="EL247" s="805" t="s">
        <v>556</v>
      </c>
      <c r="EM247" t="s">
        <v>1813</v>
      </c>
    </row>
    <row r="248" spans="1:143" ht="12.75" x14ac:dyDescent="0.2">
      <c r="A248" s="764">
        <v>241</v>
      </c>
      <c r="B248" s="765" t="s">
        <v>371</v>
      </c>
      <c r="C248" s="766" t="s">
        <v>1217</v>
      </c>
      <c r="D248" s="767" t="s">
        <v>1220</v>
      </c>
      <c r="E248" s="768" t="s">
        <v>370</v>
      </c>
      <c r="F248" s="761">
        <v>24003558</v>
      </c>
      <c r="G248" s="762">
        <v>243043</v>
      </c>
      <c r="H248" s="762">
        <v>0</v>
      </c>
      <c r="I248" s="762">
        <v>108890</v>
      </c>
      <c r="J248" s="762">
        <v>0</v>
      </c>
      <c r="K248" s="762">
        <v>108890</v>
      </c>
      <c r="L248" s="762">
        <v>0</v>
      </c>
      <c r="M248" s="762">
        <v>0</v>
      </c>
      <c r="N248" s="762">
        <v>331790</v>
      </c>
      <c r="O248" s="762">
        <v>331790</v>
      </c>
      <c r="P248" s="762">
        <v>0</v>
      </c>
      <c r="Q248" s="762">
        <v>0</v>
      </c>
      <c r="R248" s="762">
        <v>23805921</v>
      </c>
      <c r="S248" s="790">
        <v>0.25</v>
      </c>
      <c r="T248" s="790">
        <v>0.4</v>
      </c>
      <c r="U248" s="790">
        <v>0.33999999999999997</v>
      </c>
      <c r="V248" s="790">
        <v>0.01</v>
      </c>
      <c r="W248" s="790">
        <v>1</v>
      </c>
      <c r="X248" s="762">
        <v>5951481</v>
      </c>
      <c r="Y248" s="762">
        <v>9522368</v>
      </c>
      <c r="Z248" s="762">
        <v>8094013</v>
      </c>
      <c r="AA248" s="762">
        <v>238059</v>
      </c>
      <c r="AB248" s="762">
        <v>23805921</v>
      </c>
      <c r="AC248" s="762">
        <v>0</v>
      </c>
      <c r="AD248" s="762">
        <v>0</v>
      </c>
      <c r="AE248" s="762">
        <v>0</v>
      </c>
      <c r="AF248" s="762">
        <v>0</v>
      </c>
      <c r="AG248" s="762">
        <v>0</v>
      </c>
      <c r="AH248" s="762">
        <v>5951481</v>
      </c>
      <c r="AI248" s="762">
        <v>9522368</v>
      </c>
      <c r="AJ248" s="762">
        <v>8094013</v>
      </c>
      <c r="AK248" s="762">
        <v>238059</v>
      </c>
      <c r="AL248" s="762">
        <v>23805921</v>
      </c>
      <c r="AM248" s="762">
        <v>108890</v>
      </c>
      <c r="AN248" s="762">
        <v>108890</v>
      </c>
      <c r="AO248" s="762">
        <v>0</v>
      </c>
      <c r="AP248" s="762">
        <v>0</v>
      </c>
      <c r="AQ248" s="762">
        <v>331790</v>
      </c>
      <c r="AR248" s="762">
        <v>0</v>
      </c>
      <c r="AS248" s="762">
        <v>331790</v>
      </c>
      <c r="AT248" s="762">
        <v>0</v>
      </c>
      <c r="AU248" s="762">
        <v>0</v>
      </c>
      <c r="AV248" s="762">
        <v>0</v>
      </c>
      <c r="AW248" s="762">
        <v>0</v>
      </c>
      <c r="AX248" s="762">
        <v>0</v>
      </c>
      <c r="AY248" s="762">
        <v>0</v>
      </c>
      <c r="AZ248" s="762">
        <v>0</v>
      </c>
      <c r="BA248" s="762">
        <v>0</v>
      </c>
      <c r="BB248" s="762">
        <v>0</v>
      </c>
      <c r="BC248" s="762">
        <v>0</v>
      </c>
      <c r="BD248" s="762">
        <v>0</v>
      </c>
      <c r="BE248" s="762">
        <v>0</v>
      </c>
      <c r="BF248" s="762">
        <v>0</v>
      </c>
      <c r="BG248" s="762">
        <v>0</v>
      </c>
      <c r="BH248" s="762">
        <v>0</v>
      </c>
      <c r="BI248" s="762">
        <v>0</v>
      </c>
      <c r="BJ248" s="790">
        <v>0.5</v>
      </c>
      <c r="BK248" s="790">
        <v>0.4</v>
      </c>
      <c r="BL248" s="790">
        <v>0.1</v>
      </c>
      <c r="BM248" s="790">
        <v>0</v>
      </c>
      <c r="BN248" s="790">
        <v>1</v>
      </c>
      <c r="BO248" s="762">
        <v>289593</v>
      </c>
      <c r="BP248" s="762">
        <v>231675</v>
      </c>
      <c r="BQ248" s="762">
        <v>57919</v>
      </c>
      <c r="BR248" s="762">
        <v>0</v>
      </c>
      <c r="BS248" s="762">
        <v>579187</v>
      </c>
      <c r="BT248" s="790">
        <v>0.5</v>
      </c>
      <c r="BU248" s="790">
        <v>0.4</v>
      </c>
      <c r="BV248" s="790">
        <v>0.1</v>
      </c>
      <c r="BW248" s="790">
        <v>0</v>
      </c>
      <c r="BX248" s="790">
        <v>1</v>
      </c>
      <c r="BY248" s="762">
        <v>-29608</v>
      </c>
      <c r="BZ248" s="762">
        <v>-23686</v>
      </c>
      <c r="CA248" s="762">
        <v>-5922</v>
      </c>
      <c r="CB248" s="762">
        <v>0</v>
      </c>
      <c r="CC248" s="762">
        <v>-59216</v>
      </c>
      <c r="CD248" s="762">
        <v>259986</v>
      </c>
      <c r="CE248" s="762">
        <v>207988</v>
      </c>
      <c r="CF248" s="762">
        <v>51997</v>
      </c>
      <c r="CG248" s="762">
        <v>0</v>
      </c>
      <c r="CH248" s="762">
        <v>519971</v>
      </c>
      <c r="CI248" s="762">
        <v>6211467</v>
      </c>
      <c r="CJ248" s="762">
        <v>10171036</v>
      </c>
      <c r="CK248" s="762">
        <v>8146010</v>
      </c>
      <c r="CL248" s="762">
        <v>238059</v>
      </c>
      <c r="CM248" s="762">
        <v>24766572</v>
      </c>
      <c r="CN248" s="762">
        <v>321113</v>
      </c>
      <c r="CO248" s="762">
        <v>263756</v>
      </c>
      <c r="CP248" s="762">
        <v>7758</v>
      </c>
      <c r="CQ248" s="762">
        <v>592627</v>
      </c>
      <c r="CR248" s="762">
        <v>923122</v>
      </c>
      <c r="CS248" s="762">
        <v>784653</v>
      </c>
      <c r="CT248" s="762">
        <v>23078</v>
      </c>
      <c r="CU248" s="762">
        <v>1730853</v>
      </c>
      <c r="CV248" s="762">
        <v>51608</v>
      </c>
      <c r="CW248" s="762">
        <v>43867</v>
      </c>
      <c r="CX248" s="762">
        <v>1290</v>
      </c>
      <c r="CY248" s="762">
        <v>96765</v>
      </c>
      <c r="CZ248" s="762">
        <v>0</v>
      </c>
      <c r="DA248" s="762">
        <v>0</v>
      </c>
      <c r="DB248" s="762">
        <v>0</v>
      </c>
      <c r="DC248" s="762">
        <v>0</v>
      </c>
      <c r="DD248" s="762">
        <v>37483</v>
      </c>
      <c r="DE248" s="762">
        <v>31860</v>
      </c>
      <c r="DF248" s="762">
        <v>937</v>
      </c>
      <c r="DG248" s="762">
        <v>70280</v>
      </c>
      <c r="DH248" s="762">
        <v>0</v>
      </c>
      <c r="DI248" s="762">
        <v>0</v>
      </c>
      <c r="DJ248" s="762">
        <v>0</v>
      </c>
      <c r="DK248" s="762">
        <v>0</v>
      </c>
      <c r="DL248" s="762">
        <v>22670</v>
      </c>
      <c r="DM248" s="762">
        <v>19270</v>
      </c>
      <c r="DN248" s="762">
        <v>567</v>
      </c>
      <c r="DO248" s="762">
        <v>42507</v>
      </c>
      <c r="DP248" s="762">
        <v>9711</v>
      </c>
      <c r="DQ248" s="762">
        <v>8255</v>
      </c>
      <c r="DR248" s="762">
        <v>243</v>
      </c>
      <c r="DS248" s="762">
        <v>18209</v>
      </c>
      <c r="DT248" s="762">
        <v>0</v>
      </c>
      <c r="DU248" s="762">
        <v>0</v>
      </c>
      <c r="DV248" s="762">
        <v>0</v>
      </c>
      <c r="DW248" s="762">
        <v>0</v>
      </c>
      <c r="DX248" s="762">
        <v>0</v>
      </c>
      <c r="DY248" s="762">
        <v>0</v>
      </c>
      <c r="DZ248" s="762">
        <v>0</v>
      </c>
      <c r="EA248" s="762">
        <v>0</v>
      </c>
      <c r="EB248" s="762">
        <v>175982</v>
      </c>
      <c r="EC248" s="762">
        <v>149585</v>
      </c>
      <c r="ED248" s="762">
        <v>4400</v>
      </c>
      <c r="EE248" s="762">
        <v>329967</v>
      </c>
      <c r="EF248" s="762">
        <v>1541689</v>
      </c>
      <c r="EG248" s="762">
        <v>1301246</v>
      </c>
      <c r="EH248" s="762">
        <v>38273</v>
      </c>
      <c r="EI248" s="799">
        <v>2881208</v>
      </c>
      <c r="EJ248" s="763" t="s">
        <v>370</v>
      </c>
      <c r="EK248" s="607" t="s">
        <v>605</v>
      </c>
      <c r="EL248" s="805" t="s">
        <v>556</v>
      </c>
      <c r="EM248" t="s">
        <v>1814</v>
      </c>
    </row>
    <row r="249" spans="1:143" ht="12.75" x14ac:dyDescent="0.2">
      <c r="A249" s="764">
        <v>242</v>
      </c>
      <c r="B249" s="765" t="s">
        <v>373</v>
      </c>
      <c r="C249" s="766" t="s">
        <v>1217</v>
      </c>
      <c r="D249" s="767" t="s">
        <v>1218</v>
      </c>
      <c r="E249" s="768" t="s">
        <v>372</v>
      </c>
      <c r="F249" s="761">
        <v>43256055</v>
      </c>
      <c r="G249" s="762">
        <v>351406</v>
      </c>
      <c r="H249" s="762">
        <v>0</v>
      </c>
      <c r="I249" s="762">
        <v>178491</v>
      </c>
      <c r="J249" s="762">
        <v>0</v>
      </c>
      <c r="K249" s="762">
        <v>178491</v>
      </c>
      <c r="L249" s="762">
        <v>0</v>
      </c>
      <c r="M249" s="762">
        <v>38481</v>
      </c>
      <c r="N249" s="762">
        <v>84287</v>
      </c>
      <c r="O249" s="762">
        <v>84287</v>
      </c>
      <c r="P249" s="762">
        <v>0</v>
      </c>
      <c r="Q249" s="762">
        <v>0</v>
      </c>
      <c r="R249" s="762">
        <v>43306202</v>
      </c>
      <c r="S249" s="790">
        <v>0.5</v>
      </c>
      <c r="T249" s="790">
        <v>0.4</v>
      </c>
      <c r="U249" s="790">
        <v>0.1</v>
      </c>
      <c r="V249" s="790">
        <v>0</v>
      </c>
      <c r="W249" s="790">
        <v>1</v>
      </c>
      <c r="X249" s="762">
        <v>21653101</v>
      </c>
      <c r="Y249" s="762">
        <v>17322481</v>
      </c>
      <c r="Z249" s="762">
        <v>4330620</v>
      </c>
      <c r="AA249" s="762">
        <v>0</v>
      </c>
      <c r="AB249" s="762">
        <v>43306202</v>
      </c>
      <c r="AC249" s="762">
        <v>0</v>
      </c>
      <c r="AD249" s="762">
        <v>0</v>
      </c>
      <c r="AE249" s="762">
        <v>0</v>
      </c>
      <c r="AF249" s="762">
        <v>0</v>
      </c>
      <c r="AG249" s="762">
        <v>0</v>
      </c>
      <c r="AH249" s="762">
        <v>21653101</v>
      </c>
      <c r="AI249" s="762">
        <v>17322481</v>
      </c>
      <c r="AJ249" s="762">
        <v>4330620</v>
      </c>
      <c r="AK249" s="762">
        <v>0</v>
      </c>
      <c r="AL249" s="762">
        <v>43306202</v>
      </c>
      <c r="AM249" s="762">
        <v>178491</v>
      </c>
      <c r="AN249" s="762">
        <v>178491</v>
      </c>
      <c r="AO249" s="762">
        <v>38481</v>
      </c>
      <c r="AP249" s="762">
        <v>38481</v>
      </c>
      <c r="AQ249" s="762">
        <v>84287</v>
      </c>
      <c r="AR249" s="762">
        <v>0</v>
      </c>
      <c r="AS249" s="762">
        <v>84287</v>
      </c>
      <c r="AT249" s="762">
        <v>0</v>
      </c>
      <c r="AU249" s="762">
        <v>0</v>
      </c>
      <c r="AV249" s="762">
        <v>0</v>
      </c>
      <c r="AW249" s="762">
        <v>0</v>
      </c>
      <c r="AX249" s="762">
        <v>0</v>
      </c>
      <c r="AY249" s="762">
        <v>0</v>
      </c>
      <c r="AZ249" s="762">
        <v>0</v>
      </c>
      <c r="BA249" s="762">
        <v>0</v>
      </c>
      <c r="BB249" s="762">
        <v>0</v>
      </c>
      <c r="BC249" s="762">
        <v>0</v>
      </c>
      <c r="BD249" s="762">
        <v>0</v>
      </c>
      <c r="BE249" s="762">
        <v>0</v>
      </c>
      <c r="BF249" s="762">
        <v>0</v>
      </c>
      <c r="BG249" s="762">
        <v>0</v>
      </c>
      <c r="BH249" s="762">
        <v>0</v>
      </c>
      <c r="BI249" s="762">
        <v>0</v>
      </c>
      <c r="BJ249" s="790">
        <v>0.5</v>
      </c>
      <c r="BK249" s="790">
        <v>0.4</v>
      </c>
      <c r="BL249" s="790">
        <v>0.1</v>
      </c>
      <c r="BM249" s="790">
        <v>0</v>
      </c>
      <c r="BN249" s="790">
        <v>1</v>
      </c>
      <c r="BO249" s="762">
        <v>275413</v>
      </c>
      <c r="BP249" s="762">
        <v>220331</v>
      </c>
      <c r="BQ249" s="762">
        <v>55083</v>
      </c>
      <c r="BR249" s="762">
        <v>0</v>
      </c>
      <c r="BS249" s="762">
        <v>550827</v>
      </c>
      <c r="BT249" s="790">
        <v>0.5</v>
      </c>
      <c r="BU249" s="790">
        <v>0.4</v>
      </c>
      <c r="BV249" s="790">
        <v>0.1</v>
      </c>
      <c r="BW249" s="790">
        <v>0</v>
      </c>
      <c r="BX249" s="790">
        <v>1</v>
      </c>
      <c r="BY249" s="762">
        <v>-290316</v>
      </c>
      <c r="BZ249" s="762">
        <v>-232253</v>
      </c>
      <c r="CA249" s="762">
        <v>-58063</v>
      </c>
      <c r="CB249" s="762">
        <v>0</v>
      </c>
      <c r="CC249" s="762">
        <v>-580632</v>
      </c>
      <c r="CD249" s="762">
        <v>-14902</v>
      </c>
      <c r="CE249" s="762">
        <v>-11922</v>
      </c>
      <c r="CF249" s="762">
        <v>-2981</v>
      </c>
      <c r="CG249" s="762">
        <v>0</v>
      </c>
      <c r="CH249" s="762">
        <v>-29805</v>
      </c>
      <c r="CI249" s="762">
        <v>21638199</v>
      </c>
      <c r="CJ249" s="762">
        <v>17611818</v>
      </c>
      <c r="CK249" s="762">
        <v>4327639</v>
      </c>
      <c r="CL249" s="762">
        <v>0</v>
      </c>
      <c r="CM249" s="762">
        <v>43577656</v>
      </c>
      <c r="CN249" s="762">
        <v>568481</v>
      </c>
      <c r="CO249" s="762">
        <v>141120</v>
      </c>
      <c r="CP249" s="762">
        <v>0</v>
      </c>
      <c r="CQ249" s="762">
        <v>709601</v>
      </c>
      <c r="CR249" s="762">
        <v>1250764</v>
      </c>
      <c r="CS249" s="762">
        <v>312691</v>
      </c>
      <c r="CT249" s="762">
        <v>0</v>
      </c>
      <c r="CU249" s="762">
        <v>1563455</v>
      </c>
      <c r="CV249" s="762">
        <v>107560</v>
      </c>
      <c r="CW249" s="762">
        <v>26890</v>
      </c>
      <c r="CX249" s="762">
        <v>0</v>
      </c>
      <c r="CY249" s="762">
        <v>134450</v>
      </c>
      <c r="CZ249" s="762">
        <v>0</v>
      </c>
      <c r="DA249" s="762">
        <v>0</v>
      </c>
      <c r="DB249" s="762">
        <v>0</v>
      </c>
      <c r="DC249" s="762">
        <v>0</v>
      </c>
      <c r="DD249" s="762">
        <v>17191</v>
      </c>
      <c r="DE249" s="762">
        <v>4298</v>
      </c>
      <c r="DF249" s="762">
        <v>0</v>
      </c>
      <c r="DG249" s="762">
        <v>21489</v>
      </c>
      <c r="DH249" s="762">
        <v>0</v>
      </c>
      <c r="DI249" s="762">
        <v>0</v>
      </c>
      <c r="DJ249" s="762">
        <v>0</v>
      </c>
      <c r="DK249" s="762">
        <v>0</v>
      </c>
      <c r="DL249" s="762">
        <v>19561</v>
      </c>
      <c r="DM249" s="762">
        <v>4890</v>
      </c>
      <c r="DN249" s="762">
        <v>0</v>
      </c>
      <c r="DO249" s="762">
        <v>24451</v>
      </c>
      <c r="DP249" s="762">
        <v>0</v>
      </c>
      <c r="DQ249" s="762">
        <v>0</v>
      </c>
      <c r="DR249" s="762">
        <v>0</v>
      </c>
      <c r="DS249" s="762">
        <v>0</v>
      </c>
      <c r="DT249" s="762">
        <v>0</v>
      </c>
      <c r="DU249" s="762">
        <v>0</v>
      </c>
      <c r="DV249" s="762">
        <v>0</v>
      </c>
      <c r="DW249" s="762">
        <v>0</v>
      </c>
      <c r="DX249" s="762">
        <v>0</v>
      </c>
      <c r="DY249" s="762">
        <v>0</v>
      </c>
      <c r="DZ249" s="762">
        <v>0</v>
      </c>
      <c r="EA249" s="762">
        <v>0</v>
      </c>
      <c r="EB249" s="762">
        <v>594172</v>
      </c>
      <c r="EC249" s="762">
        <v>148543</v>
      </c>
      <c r="ED249" s="762">
        <v>0</v>
      </c>
      <c r="EE249" s="762">
        <v>742715</v>
      </c>
      <c r="EF249" s="762">
        <v>2557729</v>
      </c>
      <c r="EG249" s="762">
        <v>638432</v>
      </c>
      <c r="EH249" s="762">
        <v>0</v>
      </c>
      <c r="EI249" s="799">
        <v>3196161</v>
      </c>
      <c r="EJ249" s="763" t="s">
        <v>372</v>
      </c>
      <c r="EK249" s="607" t="s">
        <v>609</v>
      </c>
      <c r="EL249" s="805" t="s">
        <v>556</v>
      </c>
      <c r="EM249" t="s">
        <v>1815</v>
      </c>
    </row>
    <row r="250" spans="1:143" ht="12.75" x14ac:dyDescent="0.2">
      <c r="A250" s="764">
        <v>243</v>
      </c>
      <c r="B250" s="765" t="s">
        <v>375</v>
      </c>
      <c r="C250" s="766" t="s">
        <v>1217</v>
      </c>
      <c r="D250" s="767" t="s">
        <v>1219</v>
      </c>
      <c r="E250" s="768" t="s">
        <v>374</v>
      </c>
      <c r="F250" s="761">
        <v>34770999</v>
      </c>
      <c r="G250" s="762">
        <v>0</v>
      </c>
      <c r="H250" s="762">
        <v>332149</v>
      </c>
      <c r="I250" s="762">
        <v>126800</v>
      </c>
      <c r="J250" s="762">
        <v>0</v>
      </c>
      <c r="K250" s="762">
        <v>126800</v>
      </c>
      <c r="L250" s="762">
        <v>0</v>
      </c>
      <c r="M250" s="762">
        <v>174478</v>
      </c>
      <c r="N250" s="762">
        <v>39069</v>
      </c>
      <c r="O250" s="762">
        <v>39069</v>
      </c>
      <c r="P250" s="762">
        <v>0</v>
      </c>
      <c r="Q250" s="762">
        <v>0</v>
      </c>
      <c r="R250" s="762">
        <v>34098503</v>
      </c>
      <c r="S250" s="790">
        <v>0.25</v>
      </c>
      <c r="T250" s="790">
        <v>0.56000000000000005</v>
      </c>
      <c r="U250" s="790">
        <v>0.17499999999999999</v>
      </c>
      <c r="V250" s="790">
        <v>1.4999999999999999E-2</v>
      </c>
      <c r="W250" s="790">
        <v>1</v>
      </c>
      <c r="X250" s="762">
        <v>8524625</v>
      </c>
      <c r="Y250" s="762">
        <v>19095162</v>
      </c>
      <c r="Z250" s="762">
        <v>5967238</v>
      </c>
      <c r="AA250" s="762">
        <v>511478</v>
      </c>
      <c r="AB250" s="762">
        <v>34098503</v>
      </c>
      <c r="AC250" s="762">
        <v>0</v>
      </c>
      <c r="AD250" s="762">
        <v>0</v>
      </c>
      <c r="AE250" s="762">
        <v>0</v>
      </c>
      <c r="AF250" s="762">
        <v>0</v>
      </c>
      <c r="AG250" s="762">
        <v>0</v>
      </c>
      <c r="AH250" s="762">
        <v>8524625</v>
      </c>
      <c r="AI250" s="762">
        <v>19095162</v>
      </c>
      <c r="AJ250" s="762">
        <v>5967238</v>
      </c>
      <c r="AK250" s="762">
        <v>511478</v>
      </c>
      <c r="AL250" s="762">
        <v>34098503</v>
      </c>
      <c r="AM250" s="762">
        <v>126800</v>
      </c>
      <c r="AN250" s="762">
        <v>126800</v>
      </c>
      <c r="AO250" s="762">
        <v>174478</v>
      </c>
      <c r="AP250" s="762">
        <v>174478</v>
      </c>
      <c r="AQ250" s="762">
        <v>39069</v>
      </c>
      <c r="AR250" s="762">
        <v>0</v>
      </c>
      <c r="AS250" s="762">
        <v>39069</v>
      </c>
      <c r="AT250" s="762">
        <v>0</v>
      </c>
      <c r="AU250" s="762">
        <v>0</v>
      </c>
      <c r="AV250" s="762">
        <v>0</v>
      </c>
      <c r="AW250" s="762">
        <v>0</v>
      </c>
      <c r="AX250" s="762">
        <v>0</v>
      </c>
      <c r="AY250" s="762">
        <v>0</v>
      </c>
      <c r="AZ250" s="762">
        <v>0</v>
      </c>
      <c r="BA250" s="762">
        <v>0</v>
      </c>
      <c r="BB250" s="762">
        <v>0</v>
      </c>
      <c r="BC250" s="762">
        <v>0</v>
      </c>
      <c r="BD250" s="762">
        <v>0</v>
      </c>
      <c r="BE250" s="762">
        <v>0</v>
      </c>
      <c r="BF250" s="762">
        <v>0</v>
      </c>
      <c r="BG250" s="762">
        <v>0</v>
      </c>
      <c r="BH250" s="762">
        <v>0</v>
      </c>
      <c r="BI250" s="762">
        <v>0</v>
      </c>
      <c r="BJ250" s="790">
        <v>0.5</v>
      </c>
      <c r="BK250" s="790">
        <v>0.4</v>
      </c>
      <c r="BL250" s="790">
        <v>0.09</v>
      </c>
      <c r="BM250" s="790">
        <v>0.01</v>
      </c>
      <c r="BN250" s="790">
        <v>1</v>
      </c>
      <c r="BO250" s="762">
        <v>-71985</v>
      </c>
      <c r="BP250" s="762">
        <v>-57588</v>
      </c>
      <c r="BQ250" s="762">
        <v>-12957</v>
      </c>
      <c r="BR250" s="762">
        <v>-1440</v>
      </c>
      <c r="BS250" s="762">
        <v>-143970</v>
      </c>
      <c r="BT250" s="790">
        <v>0.5</v>
      </c>
      <c r="BU250" s="790">
        <v>0.4</v>
      </c>
      <c r="BV250" s="790">
        <v>0.09</v>
      </c>
      <c r="BW250" s="790">
        <v>0.01</v>
      </c>
      <c r="BX250" s="790">
        <v>1</v>
      </c>
      <c r="BY250" s="762">
        <v>302869</v>
      </c>
      <c r="BZ250" s="762">
        <v>242295</v>
      </c>
      <c r="CA250" s="762">
        <v>54516</v>
      </c>
      <c r="CB250" s="762">
        <v>6057</v>
      </c>
      <c r="CC250" s="762">
        <v>605737</v>
      </c>
      <c r="CD250" s="762">
        <v>230883</v>
      </c>
      <c r="CE250" s="762">
        <v>184707</v>
      </c>
      <c r="CF250" s="762">
        <v>41559</v>
      </c>
      <c r="CG250" s="762">
        <v>4618</v>
      </c>
      <c r="CH250" s="762">
        <v>461767</v>
      </c>
      <c r="CI250" s="762">
        <v>8755508</v>
      </c>
      <c r="CJ250" s="762">
        <v>19620216</v>
      </c>
      <c r="CK250" s="762">
        <v>6008797</v>
      </c>
      <c r="CL250" s="762">
        <v>516096</v>
      </c>
      <c r="CM250" s="762">
        <v>34900617</v>
      </c>
      <c r="CN250" s="762">
        <v>629204</v>
      </c>
      <c r="CO250" s="762">
        <v>194452</v>
      </c>
      <c r="CP250" s="762">
        <v>16667</v>
      </c>
      <c r="CQ250" s="762">
        <v>840323</v>
      </c>
      <c r="CR250" s="762">
        <v>1471505</v>
      </c>
      <c r="CS250" s="762">
        <v>459845</v>
      </c>
      <c r="CT250" s="762">
        <v>39415</v>
      </c>
      <c r="CU250" s="762">
        <v>1970765</v>
      </c>
      <c r="CV250" s="762">
        <v>96417</v>
      </c>
      <c r="CW250" s="762">
        <v>30130</v>
      </c>
      <c r="CX250" s="762">
        <v>2583</v>
      </c>
      <c r="CY250" s="762">
        <v>129130</v>
      </c>
      <c r="CZ250" s="762">
        <v>4345</v>
      </c>
      <c r="DA250" s="762">
        <v>1357</v>
      </c>
      <c r="DB250" s="762">
        <v>116</v>
      </c>
      <c r="DC250" s="762">
        <v>5818</v>
      </c>
      <c r="DD250" s="762">
        <v>2521</v>
      </c>
      <c r="DE250" s="762">
        <v>788</v>
      </c>
      <c r="DF250" s="762">
        <v>68</v>
      </c>
      <c r="DG250" s="762">
        <v>3377</v>
      </c>
      <c r="DH250" s="762">
        <v>0</v>
      </c>
      <c r="DI250" s="762">
        <v>0</v>
      </c>
      <c r="DJ250" s="762">
        <v>0</v>
      </c>
      <c r="DK250" s="762">
        <v>0</v>
      </c>
      <c r="DL250" s="762">
        <v>23801</v>
      </c>
      <c r="DM250" s="762">
        <v>7438</v>
      </c>
      <c r="DN250" s="762">
        <v>638</v>
      </c>
      <c r="DO250" s="762">
        <v>31877</v>
      </c>
      <c r="DP250" s="762">
        <v>9413</v>
      </c>
      <c r="DQ250" s="762">
        <v>2942</v>
      </c>
      <c r="DR250" s="762">
        <v>252</v>
      </c>
      <c r="DS250" s="762">
        <v>12607</v>
      </c>
      <c r="DT250" s="762">
        <v>0</v>
      </c>
      <c r="DU250" s="762">
        <v>0</v>
      </c>
      <c r="DV250" s="762">
        <v>0</v>
      </c>
      <c r="DW250" s="762">
        <v>0</v>
      </c>
      <c r="DX250" s="762">
        <v>0</v>
      </c>
      <c r="DY250" s="762">
        <v>0</v>
      </c>
      <c r="DZ250" s="762">
        <v>0</v>
      </c>
      <c r="EA250" s="762">
        <v>0</v>
      </c>
      <c r="EB250" s="762">
        <v>297798</v>
      </c>
      <c r="EC250" s="762">
        <v>93062</v>
      </c>
      <c r="ED250" s="762">
        <v>7977</v>
      </c>
      <c r="EE250" s="762">
        <v>398837</v>
      </c>
      <c r="EF250" s="762">
        <v>2535004</v>
      </c>
      <c r="EG250" s="762">
        <v>790014</v>
      </c>
      <c r="EH250" s="762">
        <v>67716</v>
      </c>
      <c r="EI250" s="799">
        <v>3392734</v>
      </c>
      <c r="EJ250" s="763" t="s">
        <v>374</v>
      </c>
      <c r="EK250" s="607" t="s">
        <v>595</v>
      </c>
      <c r="EL250" s="805" t="s">
        <v>593</v>
      </c>
      <c r="EM250" t="s">
        <v>1816</v>
      </c>
    </row>
    <row r="251" spans="1:143" ht="12.75" x14ac:dyDescent="0.2">
      <c r="A251" s="764">
        <v>244</v>
      </c>
      <c r="B251" s="765" t="s">
        <v>377</v>
      </c>
      <c r="C251" s="766" t="s">
        <v>1217</v>
      </c>
      <c r="D251" s="767" t="s">
        <v>1226</v>
      </c>
      <c r="E251" s="768" t="s">
        <v>376</v>
      </c>
      <c r="F251" s="761">
        <v>44183119</v>
      </c>
      <c r="G251" s="762">
        <v>0</v>
      </c>
      <c r="H251" s="762">
        <v>281595</v>
      </c>
      <c r="I251" s="762">
        <v>223944</v>
      </c>
      <c r="J251" s="762">
        <v>1466</v>
      </c>
      <c r="K251" s="762">
        <v>225410</v>
      </c>
      <c r="L251" s="762">
        <v>0</v>
      </c>
      <c r="M251" s="762">
        <v>0</v>
      </c>
      <c r="N251" s="762">
        <v>472944</v>
      </c>
      <c r="O251" s="762">
        <v>472944</v>
      </c>
      <c r="P251" s="762">
        <v>0</v>
      </c>
      <c r="Q251" s="762">
        <v>0</v>
      </c>
      <c r="R251" s="762">
        <v>43203170</v>
      </c>
      <c r="S251" s="790">
        <v>0.24999999999999994</v>
      </c>
      <c r="T251" s="790">
        <v>0.44</v>
      </c>
      <c r="U251" s="790">
        <v>0.3</v>
      </c>
      <c r="V251" s="790">
        <v>0.01</v>
      </c>
      <c r="W251" s="790">
        <v>1</v>
      </c>
      <c r="X251" s="762">
        <v>10800792</v>
      </c>
      <c r="Y251" s="762">
        <v>19009395</v>
      </c>
      <c r="Z251" s="762">
        <v>12960951</v>
      </c>
      <c r="AA251" s="762">
        <v>432032</v>
      </c>
      <c r="AB251" s="762">
        <v>43203170</v>
      </c>
      <c r="AC251" s="762">
        <v>0</v>
      </c>
      <c r="AD251" s="762">
        <v>0</v>
      </c>
      <c r="AE251" s="762">
        <v>0</v>
      </c>
      <c r="AF251" s="762">
        <v>0</v>
      </c>
      <c r="AG251" s="762">
        <v>0</v>
      </c>
      <c r="AH251" s="762">
        <v>10800792</v>
      </c>
      <c r="AI251" s="762">
        <v>19009395</v>
      </c>
      <c r="AJ251" s="762">
        <v>12960951</v>
      </c>
      <c r="AK251" s="762">
        <v>432032</v>
      </c>
      <c r="AL251" s="762">
        <v>43203170</v>
      </c>
      <c r="AM251" s="762">
        <v>225410</v>
      </c>
      <c r="AN251" s="762">
        <v>225410</v>
      </c>
      <c r="AO251" s="762">
        <v>0</v>
      </c>
      <c r="AP251" s="762">
        <v>0</v>
      </c>
      <c r="AQ251" s="762">
        <v>472944</v>
      </c>
      <c r="AR251" s="762">
        <v>0</v>
      </c>
      <c r="AS251" s="762">
        <v>472944</v>
      </c>
      <c r="AT251" s="762">
        <v>0</v>
      </c>
      <c r="AU251" s="762">
        <v>0</v>
      </c>
      <c r="AV251" s="762">
        <v>0</v>
      </c>
      <c r="AW251" s="762">
        <v>0</v>
      </c>
      <c r="AX251" s="762">
        <v>0</v>
      </c>
      <c r="AY251" s="762">
        <v>0</v>
      </c>
      <c r="AZ251" s="762">
        <v>0</v>
      </c>
      <c r="BA251" s="762">
        <v>0</v>
      </c>
      <c r="BB251" s="762">
        <v>0</v>
      </c>
      <c r="BC251" s="762">
        <v>0</v>
      </c>
      <c r="BD251" s="762">
        <v>0</v>
      </c>
      <c r="BE251" s="762">
        <v>0</v>
      </c>
      <c r="BF251" s="762">
        <v>0</v>
      </c>
      <c r="BG251" s="762">
        <v>0</v>
      </c>
      <c r="BH251" s="762">
        <v>0</v>
      </c>
      <c r="BI251" s="762">
        <v>0</v>
      </c>
      <c r="BJ251" s="790">
        <v>0.5</v>
      </c>
      <c r="BK251" s="790">
        <v>0.4</v>
      </c>
      <c r="BL251" s="790">
        <v>0.09</v>
      </c>
      <c r="BM251" s="790">
        <v>0.01</v>
      </c>
      <c r="BN251" s="790">
        <v>1</v>
      </c>
      <c r="BO251" s="762">
        <v>839566</v>
      </c>
      <c r="BP251" s="762">
        <v>671653</v>
      </c>
      <c r="BQ251" s="762">
        <v>151122</v>
      </c>
      <c r="BR251" s="762">
        <v>16791</v>
      </c>
      <c r="BS251" s="762">
        <v>1679132</v>
      </c>
      <c r="BT251" s="790">
        <v>0.5</v>
      </c>
      <c r="BU251" s="790">
        <v>0.4</v>
      </c>
      <c r="BV251" s="790">
        <v>0.09</v>
      </c>
      <c r="BW251" s="790">
        <v>0.01</v>
      </c>
      <c r="BX251" s="790">
        <v>1</v>
      </c>
      <c r="BY251" s="762">
        <v>-97463</v>
      </c>
      <c r="BZ251" s="762">
        <v>-77970</v>
      </c>
      <c r="CA251" s="762">
        <v>-17543</v>
      </c>
      <c r="CB251" s="762">
        <v>-1949</v>
      </c>
      <c r="CC251" s="762">
        <v>-194925</v>
      </c>
      <c r="CD251" s="762">
        <v>742103</v>
      </c>
      <c r="CE251" s="762">
        <v>593683</v>
      </c>
      <c r="CF251" s="762">
        <v>133579</v>
      </c>
      <c r="CG251" s="762">
        <v>14842</v>
      </c>
      <c r="CH251" s="762">
        <v>1484207</v>
      </c>
      <c r="CI251" s="762">
        <v>11542895</v>
      </c>
      <c r="CJ251" s="762">
        <v>20301432</v>
      </c>
      <c r="CK251" s="762">
        <v>13094530</v>
      </c>
      <c r="CL251" s="762">
        <v>446874</v>
      </c>
      <c r="CM251" s="762">
        <v>45385731</v>
      </c>
      <c r="CN251" s="762">
        <v>634862</v>
      </c>
      <c r="CO251" s="762">
        <v>422353</v>
      </c>
      <c r="CP251" s="762">
        <v>14078</v>
      </c>
      <c r="CQ251" s="762">
        <v>1071293</v>
      </c>
      <c r="CR251" s="762">
        <v>1964488</v>
      </c>
      <c r="CS251" s="762">
        <v>1339423</v>
      </c>
      <c r="CT251" s="762">
        <v>44647</v>
      </c>
      <c r="CU251" s="762">
        <v>3348558</v>
      </c>
      <c r="CV251" s="762">
        <v>118962</v>
      </c>
      <c r="CW251" s="762">
        <v>81110</v>
      </c>
      <c r="CX251" s="762">
        <v>2704</v>
      </c>
      <c r="CY251" s="762">
        <v>202776</v>
      </c>
      <c r="CZ251" s="762">
        <v>6128</v>
      </c>
      <c r="DA251" s="762">
        <v>4178</v>
      </c>
      <c r="DB251" s="762">
        <v>139</v>
      </c>
      <c r="DC251" s="762">
        <v>10445</v>
      </c>
      <c r="DD251" s="762">
        <v>33525</v>
      </c>
      <c r="DE251" s="762">
        <v>22857</v>
      </c>
      <c r="DF251" s="762">
        <v>762</v>
      </c>
      <c r="DG251" s="762">
        <v>57144</v>
      </c>
      <c r="DH251" s="762">
        <v>682</v>
      </c>
      <c r="DI251" s="762">
        <v>465</v>
      </c>
      <c r="DJ251" s="762">
        <v>15</v>
      </c>
      <c r="DK251" s="762">
        <v>1162</v>
      </c>
      <c r="DL251" s="762">
        <v>16044</v>
      </c>
      <c r="DM251" s="762">
        <v>10939</v>
      </c>
      <c r="DN251" s="762">
        <v>365</v>
      </c>
      <c r="DO251" s="762">
        <v>27348</v>
      </c>
      <c r="DP251" s="762">
        <v>26700</v>
      </c>
      <c r="DQ251" s="762">
        <v>18205</v>
      </c>
      <c r="DR251" s="762">
        <v>607</v>
      </c>
      <c r="DS251" s="762">
        <v>45512</v>
      </c>
      <c r="DT251" s="762">
        <v>0</v>
      </c>
      <c r="DU251" s="762">
        <v>0</v>
      </c>
      <c r="DV251" s="762">
        <v>0</v>
      </c>
      <c r="DW251" s="762">
        <v>0</v>
      </c>
      <c r="DX251" s="762">
        <v>0</v>
      </c>
      <c r="DY251" s="762">
        <v>0</v>
      </c>
      <c r="DZ251" s="762">
        <v>0</v>
      </c>
      <c r="EA251" s="762">
        <v>0</v>
      </c>
      <c r="EB251" s="762">
        <v>344786</v>
      </c>
      <c r="EC251" s="762">
        <v>235082</v>
      </c>
      <c r="ED251" s="762">
        <v>7836</v>
      </c>
      <c r="EE251" s="762">
        <v>587704</v>
      </c>
      <c r="EF251" s="762">
        <v>3146177</v>
      </c>
      <c r="EG251" s="762">
        <v>2134612</v>
      </c>
      <c r="EH251" s="762">
        <v>71153</v>
      </c>
      <c r="EI251" s="799">
        <v>5351942</v>
      </c>
      <c r="EJ251" s="763" t="s">
        <v>376</v>
      </c>
      <c r="EK251" s="607" t="s">
        <v>611</v>
      </c>
      <c r="EL251" s="805" t="s">
        <v>563</v>
      </c>
      <c r="EM251" t="s">
        <v>1817</v>
      </c>
    </row>
    <row r="252" spans="1:143" ht="12.75" x14ac:dyDescent="0.2">
      <c r="A252" s="764">
        <v>245</v>
      </c>
      <c r="B252" s="765" t="s">
        <v>379</v>
      </c>
      <c r="C252" s="766" t="s">
        <v>1217</v>
      </c>
      <c r="D252" s="767" t="s">
        <v>1227</v>
      </c>
      <c r="E252" s="768" t="s">
        <v>378</v>
      </c>
      <c r="F252" s="761">
        <v>25463808</v>
      </c>
      <c r="G252" s="762">
        <v>183957</v>
      </c>
      <c r="H252" s="762">
        <v>0</v>
      </c>
      <c r="I252" s="762">
        <v>104318</v>
      </c>
      <c r="J252" s="762">
        <v>0</v>
      </c>
      <c r="K252" s="762">
        <v>104318</v>
      </c>
      <c r="L252" s="762">
        <v>0</v>
      </c>
      <c r="M252" s="762">
        <v>3310546</v>
      </c>
      <c r="N252" s="762">
        <v>237305</v>
      </c>
      <c r="O252" s="762">
        <v>42005</v>
      </c>
      <c r="P252" s="762">
        <v>195300</v>
      </c>
      <c r="Q252" s="762">
        <v>0</v>
      </c>
      <c r="R252" s="762">
        <v>21995596</v>
      </c>
      <c r="S252" s="790">
        <v>0.25</v>
      </c>
      <c r="T252" s="790">
        <v>0.4</v>
      </c>
      <c r="U252" s="790">
        <v>0.33999999999999997</v>
      </c>
      <c r="V252" s="790">
        <v>0.01</v>
      </c>
      <c r="W252" s="790">
        <v>1</v>
      </c>
      <c r="X252" s="762">
        <v>5498899</v>
      </c>
      <c r="Y252" s="762">
        <v>8798238</v>
      </c>
      <c r="Z252" s="762">
        <v>7478503</v>
      </c>
      <c r="AA252" s="762">
        <v>219956</v>
      </c>
      <c r="AB252" s="762">
        <v>21995596</v>
      </c>
      <c r="AC252" s="762">
        <v>162387</v>
      </c>
      <c r="AD252" s="762">
        <v>0</v>
      </c>
      <c r="AE252" s="762">
        <v>0</v>
      </c>
      <c r="AF252" s="762">
        <v>0</v>
      </c>
      <c r="AG252" s="762">
        <v>162387</v>
      </c>
      <c r="AH252" s="762">
        <v>5336512</v>
      </c>
      <c r="AI252" s="762">
        <v>8798238</v>
      </c>
      <c r="AJ252" s="762">
        <v>7478503</v>
      </c>
      <c r="AK252" s="762">
        <v>219956</v>
      </c>
      <c r="AL252" s="762">
        <v>21833209</v>
      </c>
      <c r="AM252" s="762">
        <v>104318</v>
      </c>
      <c r="AN252" s="762">
        <v>104318</v>
      </c>
      <c r="AO252" s="762">
        <v>3310546</v>
      </c>
      <c r="AP252" s="762">
        <v>3310546</v>
      </c>
      <c r="AQ252" s="762">
        <v>42005</v>
      </c>
      <c r="AR252" s="762">
        <v>195300</v>
      </c>
      <c r="AS252" s="762">
        <v>237305</v>
      </c>
      <c r="AT252" s="762">
        <v>0</v>
      </c>
      <c r="AU252" s="762">
        <v>0</v>
      </c>
      <c r="AV252" s="762">
        <v>0</v>
      </c>
      <c r="AW252" s="762">
        <v>0</v>
      </c>
      <c r="AX252" s="762">
        <v>162387</v>
      </c>
      <c r="AY252" s="762">
        <v>0</v>
      </c>
      <c r="AZ252" s="762">
        <v>0</v>
      </c>
      <c r="BA252" s="762">
        <v>162387</v>
      </c>
      <c r="BB252" s="762">
        <v>0</v>
      </c>
      <c r="BC252" s="762">
        <v>0</v>
      </c>
      <c r="BD252" s="762">
        <v>0</v>
      </c>
      <c r="BE252" s="762">
        <v>0</v>
      </c>
      <c r="BF252" s="762">
        <v>0</v>
      </c>
      <c r="BG252" s="762">
        <v>0</v>
      </c>
      <c r="BH252" s="762">
        <v>0</v>
      </c>
      <c r="BI252" s="762">
        <v>0</v>
      </c>
      <c r="BJ252" s="790">
        <v>0.5</v>
      </c>
      <c r="BK252" s="790">
        <v>0.4</v>
      </c>
      <c r="BL252" s="790">
        <v>0.09</v>
      </c>
      <c r="BM252" s="790">
        <v>0.01</v>
      </c>
      <c r="BN252" s="790">
        <v>1</v>
      </c>
      <c r="BO252" s="762">
        <v>159077</v>
      </c>
      <c r="BP252" s="762">
        <v>127262</v>
      </c>
      <c r="BQ252" s="762">
        <v>28634</v>
      </c>
      <c r="BR252" s="762">
        <v>3182</v>
      </c>
      <c r="BS252" s="762">
        <v>318155</v>
      </c>
      <c r="BT252" s="790">
        <v>0.5</v>
      </c>
      <c r="BU252" s="790">
        <v>0.4</v>
      </c>
      <c r="BV252" s="790">
        <v>0.09</v>
      </c>
      <c r="BW252" s="790">
        <v>0.01</v>
      </c>
      <c r="BX252" s="790">
        <v>1</v>
      </c>
      <c r="BY252" s="762">
        <v>185605</v>
      </c>
      <c r="BZ252" s="762">
        <v>148484</v>
      </c>
      <c r="CA252" s="762">
        <v>33409</v>
      </c>
      <c r="CB252" s="762">
        <v>3712</v>
      </c>
      <c r="CC252" s="762">
        <v>371210</v>
      </c>
      <c r="CD252" s="762">
        <v>344682</v>
      </c>
      <c r="CE252" s="762">
        <v>275746</v>
      </c>
      <c r="CF252" s="762">
        <v>62043</v>
      </c>
      <c r="CG252" s="762">
        <v>6894</v>
      </c>
      <c r="CH252" s="762">
        <v>689365</v>
      </c>
      <c r="CI252" s="762">
        <v>5681194</v>
      </c>
      <c r="CJ252" s="762">
        <v>12693240</v>
      </c>
      <c r="CK252" s="762">
        <v>7735846</v>
      </c>
      <c r="CL252" s="762">
        <v>226850</v>
      </c>
      <c r="CM252" s="762">
        <v>26337130</v>
      </c>
      <c r="CN252" s="762">
        <v>401244</v>
      </c>
      <c r="CO252" s="762">
        <v>250063</v>
      </c>
      <c r="CP252" s="762">
        <v>7168</v>
      </c>
      <c r="CQ252" s="762">
        <v>658475</v>
      </c>
      <c r="CR252" s="762">
        <v>930246</v>
      </c>
      <c r="CS252" s="762">
        <v>790710</v>
      </c>
      <c r="CT252" s="762">
        <v>23256</v>
      </c>
      <c r="CU252" s="762">
        <v>1744212</v>
      </c>
      <c r="CV252" s="762">
        <v>43264</v>
      </c>
      <c r="CW252" s="762">
        <v>36775</v>
      </c>
      <c r="CX252" s="762">
        <v>1082</v>
      </c>
      <c r="CY252" s="762">
        <v>81121</v>
      </c>
      <c r="CZ252" s="762">
        <v>1318</v>
      </c>
      <c r="DA252" s="762">
        <v>1121</v>
      </c>
      <c r="DB252" s="762">
        <v>33</v>
      </c>
      <c r="DC252" s="762">
        <v>2472</v>
      </c>
      <c r="DD252" s="762">
        <v>3020</v>
      </c>
      <c r="DE252" s="762">
        <v>2567</v>
      </c>
      <c r="DF252" s="762">
        <v>76</v>
      </c>
      <c r="DG252" s="762">
        <v>5663</v>
      </c>
      <c r="DH252" s="762">
        <v>0</v>
      </c>
      <c r="DI252" s="762">
        <v>0</v>
      </c>
      <c r="DJ252" s="762">
        <v>0</v>
      </c>
      <c r="DK252" s="762">
        <v>0</v>
      </c>
      <c r="DL252" s="762">
        <v>6725</v>
      </c>
      <c r="DM252" s="762">
        <v>5717</v>
      </c>
      <c r="DN252" s="762">
        <v>168</v>
      </c>
      <c r="DO252" s="762">
        <v>12610</v>
      </c>
      <c r="DP252" s="762">
        <v>15155</v>
      </c>
      <c r="DQ252" s="762">
        <v>12882</v>
      </c>
      <c r="DR252" s="762">
        <v>379</v>
      </c>
      <c r="DS252" s="762">
        <v>28416</v>
      </c>
      <c r="DT252" s="762">
        <v>0</v>
      </c>
      <c r="DU252" s="762">
        <v>0</v>
      </c>
      <c r="DV252" s="762">
        <v>0</v>
      </c>
      <c r="DW252" s="762">
        <v>0</v>
      </c>
      <c r="DX252" s="762">
        <v>0</v>
      </c>
      <c r="DY252" s="762">
        <v>0</v>
      </c>
      <c r="DZ252" s="762">
        <v>0</v>
      </c>
      <c r="EA252" s="762">
        <v>0</v>
      </c>
      <c r="EB252" s="762">
        <v>190407</v>
      </c>
      <c r="EC252" s="762">
        <v>161846</v>
      </c>
      <c r="ED252" s="762">
        <v>4760</v>
      </c>
      <c r="EE252" s="762">
        <v>357013</v>
      </c>
      <c r="EF252" s="762">
        <v>1591379</v>
      </c>
      <c r="EG252" s="762">
        <v>1261681</v>
      </c>
      <c r="EH252" s="762">
        <v>36922</v>
      </c>
      <c r="EI252" s="799">
        <v>2889982</v>
      </c>
      <c r="EJ252" s="763" t="s">
        <v>378</v>
      </c>
      <c r="EK252" s="607" t="s">
        <v>614</v>
      </c>
      <c r="EL252" s="805" t="s">
        <v>613</v>
      </c>
      <c r="EM252" t="s">
        <v>1818</v>
      </c>
    </row>
    <row r="253" spans="1:143" ht="12.75" x14ac:dyDescent="0.2">
      <c r="A253" s="764">
        <v>246</v>
      </c>
      <c r="B253" s="765" t="s">
        <v>381</v>
      </c>
      <c r="C253" s="766" t="s">
        <v>1224</v>
      </c>
      <c r="D253" s="767" t="s">
        <v>1229</v>
      </c>
      <c r="E253" s="768" t="s">
        <v>380</v>
      </c>
      <c r="F253" s="761">
        <v>29931795</v>
      </c>
      <c r="G253" s="762">
        <v>0</v>
      </c>
      <c r="H253" s="762">
        <v>592050</v>
      </c>
      <c r="I253" s="762">
        <v>144941</v>
      </c>
      <c r="J253" s="762">
        <v>0</v>
      </c>
      <c r="K253" s="762">
        <v>144941</v>
      </c>
      <c r="L253" s="762">
        <v>0</v>
      </c>
      <c r="M253" s="762">
        <v>0</v>
      </c>
      <c r="N253" s="762">
        <v>0</v>
      </c>
      <c r="O253" s="762">
        <v>0</v>
      </c>
      <c r="P253" s="762">
        <v>0</v>
      </c>
      <c r="Q253" s="762">
        <v>0</v>
      </c>
      <c r="R253" s="762">
        <v>29194804</v>
      </c>
      <c r="S253" s="790">
        <v>0.5</v>
      </c>
      <c r="T253" s="790">
        <v>0.49</v>
      </c>
      <c r="U253" s="790">
        <v>0</v>
      </c>
      <c r="V253" s="790">
        <v>0.01</v>
      </c>
      <c r="W253" s="790">
        <v>1</v>
      </c>
      <c r="X253" s="762">
        <v>14597402</v>
      </c>
      <c r="Y253" s="762">
        <v>14305454</v>
      </c>
      <c r="Z253" s="762">
        <v>0</v>
      </c>
      <c r="AA253" s="762">
        <v>291948</v>
      </c>
      <c r="AB253" s="762">
        <v>29194804</v>
      </c>
      <c r="AC253" s="762">
        <v>0</v>
      </c>
      <c r="AD253" s="762">
        <v>0</v>
      </c>
      <c r="AE253" s="762">
        <v>0</v>
      </c>
      <c r="AF253" s="762">
        <v>0</v>
      </c>
      <c r="AG253" s="762">
        <v>0</v>
      </c>
      <c r="AH253" s="762">
        <v>14597402</v>
      </c>
      <c r="AI253" s="762">
        <v>14305454</v>
      </c>
      <c r="AJ253" s="762">
        <v>0</v>
      </c>
      <c r="AK253" s="762">
        <v>291948</v>
      </c>
      <c r="AL253" s="762">
        <v>29194804</v>
      </c>
      <c r="AM253" s="762">
        <v>144941</v>
      </c>
      <c r="AN253" s="762">
        <v>144941</v>
      </c>
      <c r="AO253" s="762">
        <v>0</v>
      </c>
      <c r="AP253" s="762">
        <v>0</v>
      </c>
      <c r="AQ253" s="762">
        <v>0</v>
      </c>
      <c r="AR253" s="762">
        <v>0</v>
      </c>
      <c r="AS253" s="762">
        <v>0</v>
      </c>
      <c r="AT253" s="762">
        <v>0</v>
      </c>
      <c r="AU253" s="762">
        <v>0</v>
      </c>
      <c r="AV253" s="762">
        <v>0</v>
      </c>
      <c r="AW253" s="762">
        <v>0</v>
      </c>
      <c r="AX253" s="762">
        <v>0</v>
      </c>
      <c r="AY253" s="762">
        <v>0</v>
      </c>
      <c r="AZ253" s="762">
        <v>0</v>
      </c>
      <c r="BA253" s="762">
        <v>0</v>
      </c>
      <c r="BB253" s="762">
        <v>0</v>
      </c>
      <c r="BC253" s="762">
        <v>0</v>
      </c>
      <c r="BD253" s="762">
        <v>0</v>
      </c>
      <c r="BE253" s="762">
        <v>0</v>
      </c>
      <c r="BF253" s="762">
        <v>0</v>
      </c>
      <c r="BG253" s="762">
        <v>0</v>
      </c>
      <c r="BH253" s="762">
        <v>0</v>
      </c>
      <c r="BI253" s="762">
        <v>0</v>
      </c>
      <c r="BJ253" s="790">
        <v>0.5</v>
      </c>
      <c r="BK253" s="790">
        <v>0.49</v>
      </c>
      <c r="BL253" s="790">
        <v>0</v>
      </c>
      <c r="BM253" s="790">
        <v>0.01</v>
      </c>
      <c r="BN253" s="790">
        <v>1</v>
      </c>
      <c r="BO253" s="762">
        <v>-201653</v>
      </c>
      <c r="BP253" s="762">
        <v>-197619</v>
      </c>
      <c r="BQ253" s="762">
        <v>0</v>
      </c>
      <c r="BR253" s="762">
        <v>-4033</v>
      </c>
      <c r="BS253" s="762">
        <v>-403305</v>
      </c>
      <c r="BT253" s="790">
        <v>0.5</v>
      </c>
      <c r="BU253" s="790">
        <v>0.49</v>
      </c>
      <c r="BV253" s="790">
        <v>0</v>
      </c>
      <c r="BW253" s="790">
        <v>0.01</v>
      </c>
      <c r="BX253" s="790">
        <v>1</v>
      </c>
      <c r="BY253" s="762">
        <v>-354030</v>
      </c>
      <c r="BZ253" s="762">
        <v>-346950</v>
      </c>
      <c r="CA253" s="762">
        <v>0</v>
      </c>
      <c r="CB253" s="762">
        <v>-7081</v>
      </c>
      <c r="CC253" s="762">
        <v>-708061</v>
      </c>
      <c r="CD253" s="762">
        <v>-555683</v>
      </c>
      <c r="CE253" s="762">
        <v>-544569</v>
      </c>
      <c r="CF253" s="762">
        <v>0</v>
      </c>
      <c r="CG253" s="762">
        <v>-11114</v>
      </c>
      <c r="CH253" s="762">
        <v>-1111366</v>
      </c>
      <c r="CI253" s="762">
        <v>14041719</v>
      </c>
      <c r="CJ253" s="762">
        <v>13905826</v>
      </c>
      <c r="CK253" s="762">
        <v>0</v>
      </c>
      <c r="CL253" s="762">
        <v>280834</v>
      </c>
      <c r="CM253" s="762">
        <v>28228379</v>
      </c>
      <c r="CN253" s="762">
        <v>466166</v>
      </c>
      <c r="CO253" s="762">
        <v>0</v>
      </c>
      <c r="CP253" s="762">
        <v>9514</v>
      </c>
      <c r="CQ253" s="762">
        <v>475680</v>
      </c>
      <c r="CR253" s="762">
        <v>1339802</v>
      </c>
      <c r="CS253" s="762">
        <v>0</v>
      </c>
      <c r="CT253" s="762">
        <v>27343</v>
      </c>
      <c r="CU253" s="762">
        <v>1367145</v>
      </c>
      <c r="CV253" s="762">
        <v>80304</v>
      </c>
      <c r="CW253" s="762">
        <v>0</v>
      </c>
      <c r="CX253" s="762">
        <v>1639</v>
      </c>
      <c r="CY253" s="762">
        <v>81943</v>
      </c>
      <c r="CZ253" s="762">
        <v>0</v>
      </c>
      <c r="DA253" s="762">
        <v>0</v>
      </c>
      <c r="DB253" s="762">
        <v>0</v>
      </c>
      <c r="DC253" s="762">
        <v>0</v>
      </c>
      <c r="DD253" s="762">
        <v>0</v>
      </c>
      <c r="DE253" s="762">
        <v>0</v>
      </c>
      <c r="DF253" s="762">
        <v>0</v>
      </c>
      <c r="DG253" s="762">
        <v>0</v>
      </c>
      <c r="DH253" s="762">
        <v>0</v>
      </c>
      <c r="DI253" s="762">
        <v>0</v>
      </c>
      <c r="DJ253" s="762">
        <v>0</v>
      </c>
      <c r="DK253" s="762">
        <v>0</v>
      </c>
      <c r="DL253" s="762">
        <v>9360</v>
      </c>
      <c r="DM253" s="762">
        <v>0</v>
      </c>
      <c r="DN253" s="762">
        <v>191</v>
      </c>
      <c r="DO253" s="762">
        <v>9551</v>
      </c>
      <c r="DP253" s="762">
        <v>22010</v>
      </c>
      <c r="DQ253" s="762">
        <v>0</v>
      </c>
      <c r="DR253" s="762">
        <v>449</v>
      </c>
      <c r="DS253" s="762">
        <v>22459</v>
      </c>
      <c r="DT253" s="762">
        <v>0</v>
      </c>
      <c r="DU253" s="762">
        <v>0</v>
      </c>
      <c r="DV253" s="762">
        <v>0</v>
      </c>
      <c r="DW253" s="762">
        <v>0</v>
      </c>
      <c r="DX253" s="762">
        <v>0</v>
      </c>
      <c r="DY253" s="762">
        <v>0</v>
      </c>
      <c r="DZ253" s="762">
        <v>0</v>
      </c>
      <c r="EA253" s="762">
        <v>0</v>
      </c>
      <c r="EB253" s="762">
        <v>354177</v>
      </c>
      <c r="EC253" s="762">
        <v>0</v>
      </c>
      <c r="ED253" s="762">
        <v>7228</v>
      </c>
      <c r="EE253" s="762">
        <v>361405</v>
      </c>
      <c r="EF253" s="762">
        <v>2271819</v>
      </c>
      <c r="EG253" s="762">
        <v>0</v>
      </c>
      <c r="EH253" s="762">
        <v>46364</v>
      </c>
      <c r="EI253" s="799">
        <v>2318183</v>
      </c>
      <c r="EJ253" s="763" t="s">
        <v>380</v>
      </c>
      <c r="EK253" s="607" t="s">
        <v>621</v>
      </c>
      <c r="EL253" s="805" t="s">
        <v>625</v>
      </c>
      <c r="EM253" t="s">
        <v>1819</v>
      </c>
    </row>
    <row r="254" spans="1:143" ht="12.75" x14ac:dyDescent="0.2">
      <c r="A254" s="764">
        <v>247</v>
      </c>
      <c r="B254" s="765" t="s">
        <v>383</v>
      </c>
      <c r="C254" s="766" t="s">
        <v>529</v>
      </c>
      <c r="D254" s="767" t="s">
        <v>1218</v>
      </c>
      <c r="E254" s="768" t="s">
        <v>579</v>
      </c>
      <c r="F254" s="761">
        <v>110509957</v>
      </c>
      <c r="G254" s="762">
        <v>0</v>
      </c>
      <c r="H254" s="762">
        <v>1419591</v>
      </c>
      <c r="I254" s="762">
        <v>310046</v>
      </c>
      <c r="J254" s="762">
        <v>0</v>
      </c>
      <c r="K254" s="762">
        <v>310046</v>
      </c>
      <c r="L254" s="762">
        <v>0</v>
      </c>
      <c r="M254" s="762">
        <v>0</v>
      </c>
      <c r="N254" s="762">
        <v>0</v>
      </c>
      <c r="O254" s="762">
        <v>0</v>
      </c>
      <c r="P254" s="762">
        <v>0</v>
      </c>
      <c r="Q254" s="762">
        <v>0</v>
      </c>
      <c r="R254" s="762">
        <v>108780320</v>
      </c>
      <c r="S254" s="790">
        <v>0.25</v>
      </c>
      <c r="T254" s="790">
        <v>0.74</v>
      </c>
      <c r="U254" s="790">
        <v>0</v>
      </c>
      <c r="V254" s="790">
        <v>0.01</v>
      </c>
      <c r="W254" s="790">
        <v>1</v>
      </c>
      <c r="X254" s="762">
        <v>27195080</v>
      </c>
      <c r="Y254" s="762">
        <v>80497437</v>
      </c>
      <c r="Z254" s="762">
        <v>0</v>
      </c>
      <c r="AA254" s="762">
        <v>1087803</v>
      </c>
      <c r="AB254" s="762">
        <v>108780320</v>
      </c>
      <c r="AC254" s="762">
        <v>0</v>
      </c>
      <c r="AD254" s="762">
        <v>0</v>
      </c>
      <c r="AE254" s="762">
        <v>0</v>
      </c>
      <c r="AF254" s="762">
        <v>0</v>
      </c>
      <c r="AG254" s="762">
        <v>0</v>
      </c>
      <c r="AH254" s="762">
        <v>27195080</v>
      </c>
      <c r="AI254" s="762">
        <v>80497437</v>
      </c>
      <c r="AJ254" s="762">
        <v>0</v>
      </c>
      <c r="AK254" s="762">
        <v>1087803</v>
      </c>
      <c r="AL254" s="762">
        <v>108780320</v>
      </c>
      <c r="AM254" s="762">
        <v>310046</v>
      </c>
      <c r="AN254" s="762">
        <v>310046</v>
      </c>
      <c r="AO254" s="762">
        <v>0</v>
      </c>
      <c r="AP254" s="762">
        <v>0</v>
      </c>
      <c r="AQ254" s="762">
        <v>0</v>
      </c>
      <c r="AR254" s="762">
        <v>0</v>
      </c>
      <c r="AS254" s="762">
        <v>0</v>
      </c>
      <c r="AT254" s="762">
        <v>0</v>
      </c>
      <c r="AU254" s="762">
        <v>0</v>
      </c>
      <c r="AV254" s="762">
        <v>0</v>
      </c>
      <c r="AW254" s="762">
        <v>0</v>
      </c>
      <c r="AX254" s="762">
        <v>0</v>
      </c>
      <c r="AY254" s="762">
        <v>0</v>
      </c>
      <c r="AZ254" s="762">
        <v>0</v>
      </c>
      <c r="BA254" s="762">
        <v>0</v>
      </c>
      <c r="BB254" s="762">
        <v>0</v>
      </c>
      <c r="BC254" s="762">
        <v>0</v>
      </c>
      <c r="BD254" s="762">
        <v>0</v>
      </c>
      <c r="BE254" s="762">
        <v>0</v>
      </c>
      <c r="BF254" s="762">
        <v>0</v>
      </c>
      <c r="BG254" s="762">
        <v>0</v>
      </c>
      <c r="BH254" s="762">
        <v>0</v>
      </c>
      <c r="BI254" s="762">
        <v>0</v>
      </c>
      <c r="BJ254" s="790">
        <v>0</v>
      </c>
      <c r="BK254" s="790">
        <v>0.99</v>
      </c>
      <c r="BL254" s="790">
        <v>0</v>
      </c>
      <c r="BM254" s="790">
        <v>0.01</v>
      </c>
      <c r="BN254" s="790">
        <v>1</v>
      </c>
      <c r="BO254" s="762">
        <v>0</v>
      </c>
      <c r="BP254" s="762">
        <v>981782</v>
      </c>
      <c r="BQ254" s="762">
        <v>0</v>
      </c>
      <c r="BR254" s="762">
        <v>9917</v>
      </c>
      <c r="BS254" s="762">
        <v>991699</v>
      </c>
      <c r="BT254" s="790">
        <v>0.5</v>
      </c>
      <c r="BU254" s="790">
        <v>0.49</v>
      </c>
      <c r="BV254" s="790">
        <v>0</v>
      </c>
      <c r="BW254" s="790">
        <v>0.01</v>
      </c>
      <c r="BX254" s="790">
        <v>1</v>
      </c>
      <c r="BY254" s="762">
        <v>1053336</v>
      </c>
      <c r="BZ254" s="762">
        <v>1032269</v>
      </c>
      <c r="CA254" s="762">
        <v>0</v>
      </c>
      <c r="CB254" s="762">
        <v>21067</v>
      </c>
      <c r="CC254" s="762">
        <v>2106672</v>
      </c>
      <c r="CD254" s="762">
        <v>1053336</v>
      </c>
      <c r="CE254" s="762">
        <v>2014051</v>
      </c>
      <c r="CF254" s="762">
        <v>0</v>
      </c>
      <c r="CG254" s="762">
        <v>30984</v>
      </c>
      <c r="CH254" s="762">
        <v>3098371</v>
      </c>
      <c r="CI254" s="762">
        <v>28248416</v>
      </c>
      <c r="CJ254" s="762">
        <v>82821534</v>
      </c>
      <c r="CK254" s="762">
        <v>0</v>
      </c>
      <c r="CL254" s="762">
        <v>1118787</v>
      </c>
      <c r="CM254" s="762">
        <v>112188737</v>
      </c>
      <c r="CN254" s="762">
        <v>2623134</v>
      </c>
      <c r="CO254" s="762">
        <v>0</v>
      </c>
      <c r="CP254" s="762">
        <v>35448</v>
      </c>
      <c r="CQ254" s="762">
        <v>2658582</v>
      </c>
      <c r="CR254" s="762">
        <v>3300412</v>
      </c>
      <c r="CS254" s="762">
        <v>0</v>
      </c>
      <c r="CT254" s="762">
        <v>44600</v>
      </c>
      <c r="CU254" s="762">
        <v>3345012</v>
      </c>
      <c r="CV254" s="762">
        <v>299073</v>
      </c>
      <c r="CW254" s="762">
        <v>0</v>
      </c>
      <c r="CX254" s="762">
        <v>4042</v>
      </c>
      <c r="CY254" s="762">
        <v>303115</v>
      </c>
      <c r="CZ254" s="762">
        <v>13062</v>
      </c>
      <c r="DA254" s="762">
        <v>0</v>
      </c>
      <c r="DB254" s="762">
        <v>177</v>
      </c>
      <c r="DC254" s="762">
        <v>13239</v>
      </c>
      <c r="DD254" s="762">
        <v>0</v>
      </c>
      <c r="DE254" s="762">
        <v>0</v>
      </c>
      <c r="DF254" s="762">
        <v>0</v>
      </c>
      <c r="DG254" s="762">
        <v>0</v>
      </c>
      <c r="DH254" s="762">
        <v>0</v>
      </c>
      <c r="DI254" s="762">
        <v>0</v>
      </c>
      <c r="DJ254" s="762">
        <v>0</v>
      </c>
      <c r="DK254" s="762">
        <v>0</v>
      </c>
      <c r="DL254" s="762">
        <v>12146</v>
      </c>
      <c r="DM254" s="762">
        <v>0</v>
      </c>
      <c r="DN254" s="762">
        <v>164</v>
      </c>
      <c r="DO254" s="762">
        <v>12310</v>
      </c>
      <c r="DP254" s="762">
        <v>63422</v>
      </c>
      <c r="DQ254" s="762">
        <v>0</v>
      </c>
      <c r="DR254" s="762">
        <v>857</v>
      </c>
      <c r="DS254" s="762">
        <v>64279</v>
      </c>
      <c r="DT254" s="762">
        <v>0</v>
      </c>
      <c r="DU254" s="762">
        <v>0</v>
      </c>
      <c r="DV254" s="762">
        <v>0</v>
      </c>
      <c r="DW254" s="762">
        <v>0</v>
      </c>
      <c r="DX254" s="762">
        <v>0</v>
      </c>
      <c r="DY254" s="762">
        <v>0</v>
      </c>
      <c r="DZ254" s="762">
        <v>0</v>
      </c>
      <c r="EA254" s="762">
        <v>0</v>
      </c>
      <c r="EB254" s="762">
        <v>1895169</v>
      </c>
      <c r="EC254" s="762">
        <v>0</v>
      </c>
      <c r="ED254" s="762">
        <v>25610</v>
      </c>
      <c r="EE254" s="762">
        <v>1920779</v>
      </c>
      <c r="EF254" s="762">
        <v>8206418</v>
      </c>
      <c r="EG254" s="762">
        <v>0</v>
      </c>
      <c r="EH254" s="762">
        <v>110898</v>
      </c>
      <c r="EI254" s="799">
        <v>8317316</v>
      </c>
      <c r="EJ254" s="763" t="s">
        <v>579</v>
      </c>
      <c r="EK254" s="607" t="s">
        <v>529</v>
      </c>
      <c r="EL254" s="805" t="s">
        <v>578</v>
      </c>
      <c r="EM254" t="s">
        <v>1820</v>
      </c>
    </row>
    <row r="255" spans="1:143" ht="12.75" x14ac:dyDescent="0.2">
      <c r="A255" s="764">
        <v>248</v>
      </c>
      <c r="B255" s="765" t="s">
        <v>385</v>
      </c>
      <c r="C255" s="766" t="s">
        <v>529</v>
      </c>
      <c r="D255" s="767" t="s">
        <v>1221</v>
      </c>
      <c r="E255" s="768" t="s">
        <v>572</v>
      </c>
      <c r="F255" s="761">
        <v>43859573</v>
      </c>
      <c r="G255" s="762">
        <v>0</v>
      </c>
      <c r="H255" s="762">
        <v>498230</v>
      </c>
      <c r="I255" s="762">
        <v>227876</v>
      </c>
      <c r="J255" s="762">
        <v>0</v>
      </c>
      <c r="K255" s="762">
        <v>227876</v>
      </c>
      <c r="L255" s="762">
        <v>0</v>
      </c>
      <c r="M255" s="762">
        <v>0</v>
      </c>
      <c r="N255" s="762">
        <v>0</v>
      </c>
      <c r="O255" s="762">
        <v>0</v>
      </c>
      <c r="P255" s="762">
        <v>0</v>
      </c>
      <c r="Q255" s="762">
        <v>0</v>
      </c>
      <c r="R255" s="762">
        <v>43133467</v>
      </c>
      <c r="S255" s="790">
        <v>0.5</v>
      </c>
      <c r="T255" s="790">
        <v>0.49</v>
      </c>
      <c r="U255" s="790">
        <v>0</v>
      </c>
      <c r="V255" s="790">
        <v>0.01</v>
      </c>
      <c r="W255" s="790">
        <v>1</v>
      </c>
      <c r="X255" s="762">
        <v>21566733</v>
      </c>
      <c r="Y255" s="762">
        <v>21135399</v>
      </c>
      <c r="Z255" s="762">
        <v>0</v>
      </c>
      <c r="AA255" s="762">
        <v>431335</v>
      </c>
      <c r="AB255" s="762">
        <v>43133467</v>
      </c>
      <c r="AC255" s="762">
        <v>0</v>
      </c>
      <c r="AD255" s="762">
        <v>0</v>
      </c>
      <c r="AE255" s="762">
        <v>0</v>
      </c>
      <c r="AF255" s="762">
        <v>0</v>
      </c>
      <c r="AG255" s="762">
        <v>0</v>
      </c>
      <c r="AH255" s="762">
        <v>21566733</v>
      </c>
      <c r="AI255" s="762">
        <v>21135399</v>
      </c>
      <c r="AJ255" s="762">
        <v>0</v>
      </c>
      <c r="AK255" s="762">
        <v>431335</v>
      </c>
      <c r="AL255" s="762">
        <v>43133467</v>
      </c>
      <c r="AM255" s="762">
        <v>227876</v>
      </c>
      <c r="AN255" s="762">
        <v>227876</v>
      </c>
      <c r="AO255" s="762">
        <v>0</v>
      </c>
      <c r="AP255" s="762">
        <v>0</v>
      </c>
      <c r="AQ255" s="762">
        <v>0</v>
      </c>
      <c r="AR255" s="762">
        <v>0</v>
      </c>
      <c r="AS255" s="762">
        <v>0</v>
      </c>
      <c r="AT255" s="762">
        <v>0</v>
      </c>
      <c r="AU255" s="762">
        <v>0</v>
      </c>
      <c r="AV255" s="762">
        <v>0</v>
      </c>
      <c r="AW255" s="762">
        <v>0</v>
      </c>
      <c r="AX255" s="762">
        <v>0</v>
      </c>
      <c r="AY255" s="762">
        <v>0</v>
      </c>
      <c r="AZ255" s="762">
        <v>0</v>
      </c>
      <c r="BA255" s="762">
        <v>0</v>
      </c>
      <c r="BB255" s="762">
        <v>0</v>
      </c>
      <c r="BC255" s="762">
        <v>0</v>
      </c>
      <c r="BD255" s="762">
        <v>0</v>
      </c>
      <c r="BE255" s="762">
        <v>0</v>
      </c>
      <c r="BF255" s="762">
        <v>0</v>
      </c>
      <c r="BG255" s="762">
        <v>0</v>
      </c>
      <c r="BH255" s="762">
        <v>0</v>
      </c>
      <c r="BI255" s="762">
        <v>0</v>
      </c>
      <c r="BJ255" s="790">
        <v>0.5</v>
      </c>
      <c r="BK255" s="790">
        <v>0.49</v>
      </c>
      <c r="BL255" s="790">
        <v>0</v>
      </c>
      <c r="BM255" s="790">
        <v>0.01</v>
      </c>
      <c r="BN255" s="790">
        <v>1</v>
      </c>
      <c r="BO255" s="762">
        <v>304068</v>
      </c>
      <c r="BP255" s="762">
        <v>297987</v>
      </c>
      <c r="BQ255" s="762">
        <v>0</v>
      </c>
      <c r="BR255" s="762">
        <v>6081</v>
      </c>
      <c r="BS255" s="762">
        <v>608136</v>
      </c>
      <c r="BT255" s="790">
        <v>0.5</v>
      </c>
      <c r="BU255" s="790">
        <v>0.49</v>
      </c>
      <c r="BV255" s="790">
        <v>0</v>
      </c>
      <c r="BW255" s="790">
        <v>0.01</v>
      </c>
      <c r="BX255" s="790">
        <v>1</v>
      </c>
      <c r="BY255" s="762">
        <v>-152089.77000000328</v>
      </c>
      <c r="BZ255" s="762">
        <v>-149048</v>
      </c>
      <c r="CA255" s="762">
        <v>0</v>
      </c>
      <c r="CB255" s="762">
        <v>-3042</v>
      </c>
      <c r="CC255" s="762">
        <v>-304179.77000000328</v>
      </c>
      <c r="CD255" s="762">
        <v>151977</v>
      </c>
      <c r="CE255" s="762">
        <v>148939</v>
      </c>
      <c r="CF255" s="762">
        <v>0</v>
      </c>
      <c r="CG255" s="762">
        <v>3040</v>
      </c>
      <c r="CH255" s="762">
        <v>303956.22999999672</v>
      </c>
      <c r="CI255" s="762">
        <v>21718710</v>
      </c>
      <c r="CJ255" s="762">
        <v>21512214</v>
      </c>
      <c r="CK255" s="762">
        <v>0</v>
      </c>
      <c r="CL255" s="762">
        <v>434375</v>
      </c>
      <c r="CM255" s="762">
        <v>43665299</v>
      </c>
      <c r="CN255" s="762">
        <v>688730</v>
      </c>
      <c r="CO255" s="762">
        <v>0</v>
      </c>
      <c r="CP255" s="762">
        <v>14056</v>
      </c>
      <c r="CQ255" s="762">
        <v>702786</v>
      </c>
      <c r="CR255" s="762">
        <v>2575444</v>
      </c>
      <c r="CS255" s="762">
        <v>0</v>
      </c>
      <c r="CT255" s="762">
        <v>52560</v>
      </c>
      <c r="CU255" s="762">
        <v>2628004</v>
      </c>
      <c r="CV255" s="762">
        <v>123972</v>
      </c>
      <c r="CW255" s="762">
        <v>0</v>
      </c>
      <c r="CX255" s="762">
        <v>2530</v>
      </c>
      <c r="CY255" s="762">
        <v>126502</v>
      </c>
      <c r="CZ255" s="762">
        <v>12322</v>
      </c>
      <c r="DA255" s="762">
        <v>0</v>
      </c>
      <c r="DB255" s="762">
        <v>251</v>
      </c>
      <c r="DC255" s="762">
        <v>12573</v>
      </c>
      <c r="DD255" s="762">
        <v>0</v>
      </c>
      <c r="DE255" s="762">
        <v>0</v>
      </c>
      <c r="DF255" s="762">
        <v>0</v>
      </c>
      <c r="DG255" s="762">
        <v>0</v>
      </c>
      <c r="DH255" s="762">
        <v>0</v>
      </c>
      <c r="DI255" s="762">
        <v>0</v>
      </c>
      <c r="DJ255" s="762">
        <v>0</v>
      </c>
      <c r="DK255" s="762">
        <v>0</v>
      </c>
      <c r="DL255" s="762">
        <v>11611</v>
      </c>
      <c r="DM255" s="762">
        <v>0</v>
      </c>
      <c r="DN255" s="762">
        <v>237</v>
      </c>
      <c r="DO255" s="762">
        <v>11848</v>
      </c>
      <c r="DP255" s="762">
        <v>32618</v>
      </c>
      <c r="DQ255" s="762">
        <v>0</v>
      </c>
      <c r="DR255" s="762">
        <v>666</v>
      </c>
      <c r="DS255" s="762">
        <v>33284</v>
      </c>
      <c r="DT255" s="762">
        <v>0</v>
      </c>
      <c r="DU255" s="762">
        <v>0</v>
      </c>
      <c r="DV255" s="762">
        <v>0</v>
      </c>
      <c r="DW255" s="762">
        <v>0</v>
      </c>
      <c r="DX255" s="762">
        <v>0</v>
      </c>
      <c r="DY255" s="762">
        <v>0</v>
      </c>
      <c r="DZ255" s="762">
        <v>0</v>
      </c>
      <c r="EA255" s="762">
        <v>0</v>
      </c>
      <c r="EB255" s="762">
        <v>550474</v>
      </c>
      <c r="EC255" s="762">
        <v>0</v>
      </c>
      <c r="ED255" s="762">
        <v>11234</v>
      </c>
      <c r="EE255" s="762">
        <v>561708</v>
      </c>
      <c r="EF255" s="762">
        <v>3995171</v>
      </c>
      <c r="EG255" s="762">
        <v>0</v>
      </c>
      <c r="EH255" s="762">
        <v>81534</v>
      </c>
      <c r="EI255" s="799">
        <v>4076705</v>
      </c>
      <c r="EJ255" s="763" t="s">
        <v>572</v>
      </c>
      <c r="EK255" s="607" t="s">
        <v>529</v>
      </c>
      <c r="EL255" s="805" t="s">
        <v>573</v>
      </c>
      <c r="EM255" t="s">
        <v>1821</v>
      </c>
    </row>
    <row r="256" spans="1:143" ht="12.75" x14ac:dyDescent="0.2">
      <c r="A256" s="764">
        <v>249</v>
      </c>
      <c r="B256" s="765" t="s">
        <v>387</v>
      </c>
      <c r="C256" s="766" t="s">
        <v>1228</v>
      </c>
      <c r="D256" s="767" t="s">
        <v>1223</v>
      </c>
      <c r="E256" s="768" t="s">
        <v>386</v>
      </c>
      <c r="F256" s="761">
        <v>328012509</v>
      </c>
      <c r="G256" s="762">
        <v>9851349</v>
      </c>
      <c r="H256" s="762">
        <v>0</v>
      </c>
      <c r="I256" s="762">
        <v>756729</v>
      </c>
      <c r="J256" s="762">
        <v>0</v>
      </c>
      <c r="K256" s="762">
        <v>756729</v>
      </c>
      <c r="L256" s="762">
        <v>0</v>
      </c>
      <c r="M256" s="762">
        <v>0</v>
      </c>
      <c r="N256" s="762">
        <v>0</v>
      </c>
      <c r="O256" s="762">
        <v>0</v>
      </c>
      <c r="P256" s="762">
        <v>0</v>
      </c>
      <c r="Q256" s="762">
        <v>0</v>
      </c>
      <c r="R256" s="762">
        <v>337107129</v>
      </c>
      <c r="S256" s="790">
        <v>0.25</v>
      </c>
      <c r="T256" s="790">
        <v>0.48</v>
      </c>
      <c r="U256" s="790">
        <v>0.27</v>
      </c>
      <c r="V256" s="790">
        <v>0</v>
      </c>
      <c r="W256" s="790">
        <v>1</v>
      </c>
      <c r="X256" s="762">
        <v>84276782</v>
      </c>
      <c r="Y256" s="762">
        <v>161811422</v>
      </c>
      <c r="Z256" s="762">
        <v>91018925</v>
      </c>
      <c r="AA256" s="762">
        <v>0</v>
      </c>
      <c r="AB256" s="762">
        <v>337107129</v>
      </c>
      <c r="AC256" s="762">
        <v>0</v>
      </c>
      <c r="AD256" s="762">
        <v>0</v>
      </c>
      <c r="AE256" s="762">
        <v>0</v>
      </c>
      <c r="AF256" s="762">
        <v>0</v>
      </c>
      <c r="AG256" s="762">
        <v>0</v>
      </c>
      <c r="AH256" s="762">
        <v>84276782</v>
      </c>
      <c r="AI256" s="762">
        <v>161811422</v>
      </c>
      <c r="AJ256" s="762">
        <v>91018925</v>
      </c>
      <c r="AK256" s="762">
        <v>0</v>
      </c>
      <c r="AL256" s="762">
        <v>337107129</v>
      </c>
      <c r="AM256" s="762">
        <v>756729</v>
      </c>
      <c r="AN256" s="762">
        <v>756729</v>
      </c>
      <c r="AO256" s="762">
        <v>0</v>
      </c>
      <c r="AP256" s="762">
        <v>0</v>
      </c>
      <c r="AQ256" s="762">
        <v>0</v>
      </c>
      <c r="AR256" s="762">
        <v>0</v>
      </c>
      <c r="AS256" s="762">
        <v>0</v>
      </c>
      <c r="AT256" s="762">
        <v>0</v>
      </c>
      <c r="AU256" s="762">
        <v>0</v>
      </c>
      <c r="AV256" s="762">
        <v>0</v>
      </c>
      <c r="AW256" s="762">
        <v>0</v>
      </c>
      <c r="AX256" s="762">
        <v>0</v>
      </c>
      <c r="AY256" s="762">
        <v>0</v>
      </c>
      <c r="AZ256" s="762">
        <v>0</v>
      </c>
      <c r="BA256" s="762">
        <v>0</v>
      </c>
      <c r="BB256" s="762">
        <v>0</v>
      </c>
      <c r="BC256" s="762">
        <v>0</v>
      </c>
      <c r="BD256" s="762">
        <v>0</v>
      </c>
      <c r="BE256" s="762">
        <v>0</v>
      </c>
      <c r="BF256" s="762">
        <v>0</v>
      </c>
      <c r="BG256" s="762">
        <v>0</v>
      </c>
      <c r="BH256" s="762">
        <v>0</v>
      </c>
      <c r="BI256" s="762">
        <v>0</v>
      </c>
      <c r="BJ256" s="790">
        <v>0</v>
      </c>
      <c r="BK256" s="790">
        <v>0.64</v>
      </c>
      <c r="BL256" s="790">
        <v>0.36</v>
      </c>
      <c r="BM256" s="790">
        <v>0</v>
      </c>
      <c r="BN256" s="790">
        <v>1</v>
      </c>
      <c r="BO256" s="762">
        <v>0</v>
      </c>
      <c r="BP256" s="762">
        <v>-506</v>
      </c>
      <c r="BQ256" s="762">
        <v>-284</v>
      </c>
      <c r="BR256" s="762">
        <v>0</v>
      </c>
      <c r="BS256" s="762">
        <v>-790</v>
      </c>
      <c r="BT256" s="790">
        <v>0.33</v>
      </c>
      <c r="BU256" s="790">
        <v>0.3</v>
      </c>
      <c r="BV256" s="790">
        <v>0.37</v>
      </c>
      <c r="BW256" s="790">
        <v>0</v>
      </c>
      <c r="BX256" s="790">
        <v>1</v>
      </c>
      <c r="BY256" s="762">
        <v>1274356</v>
      </c>
      <c r="BZ256" s="762">
        <v>1158506</v>
      </c>
      <c r="CA256" s="762">
        <v>1428824</v>
      </c>
      <c r="CB256" s="762">
        <v>0</v>
      </c>
      <c r="CC256" s="762">
        <v>3861686</v>
      </c>
      <c r="CD256" s="762">
        <v>1274356</v>
      </c>
      <c r="CE256" s="762">
        <v>1158000</v>
      </c>
      <c r="CF256" s="762">
        <v>1428540</v>
      </c>
      <c r="CG256" s="762">
        <v>0</v>
      </c>
      <c r="CH256" s="762">
        <v>3860896</v>
      </c>
      <c r="CI256" s="762">
        <v>85551138</v>
      </c>
      <c r="CJ256" s="762">
        <v>163726151</v>
      </c>
      <c r="CK256" s="762">
        <v>92447465</v>
      </c>
      <c r="CL256" s="762">
        <v>0</v>
      </c>
      <c r="CM256" s="762">
        <v>341724754</v>
      </c>
      <c r="CN256" s="762">
        <v>5272877</v>
      </c>
      <c r="CO256" s="762">
        <v>2965993</v>
      </c>
      <c r="CP256" s="762">
        <v>0</v>
      </c>
      <c r="CQ256" s="762">
        <v>8238870</v>
      </c>
      <c r="CR256" s="762">
        <v>3147563</v>
      </c>
      <c r="CS256" s="762">
        <v>1770505</v>
      </c>
      <c r="CT256" s="762">
        <v>0</v>
      </c>
      <c r="CU256" s="762">
        <v>4918068</v>
      </c>
      <c r="CV256" s="762">
        <v>307443</v>
      </c>
      <c r="CW256" s="762">
        <v>172937</v>
      </c>
      <c r="CX256" s="762">
        <v>0</v>
      </c>
      <c r="CY256" s="762">
        <v>480380</v>
      </c>
      <c r="CZ256" s="762">
        <v>13282</v>
      </c>
      <c r="DA256" s="762">
        <v>7471</v>
      </c>
      <c r="DB256" s="762">
        <v>0</v>
      </c>
      <c r="DC256" s="762">
        <v>20753</v>
      </c>
      <c r="DD256" s="762">
        <v>0</v>
      </c>
      <c r="DE256" s="762">
        <v>0</v>
      </c>
      <c r="DF256" s="762">
        <v>0</v>
      </c>
      <c r="DG256" s="762">
        <v>0</v>
      </c>
      <c r="DH256" s="762">
        <v>0</v>
      </c>
      <c r="DI256" s="762">
        <v>0</v>
      </c>
      <c r="DJ256" s="762">
        <v>0</v>
      </c>
      <c r="DK256" s="762">
        <v>0</v>
      </c>
      <c r="DL256" s="762">
        <v>212479</v>
      </c>
      <c r="DM256" s="762">
        <v>119519</v>
      </c>
      <c r="DN256" s="762">
        <v>0</v>
      </c>
      <c r="DO256" s="762">
        <v>331998</v>
      </c>
      <c r="DP256" s="762">
        <v>396513</v>
      </c>
      <c r="DQ256" s="762">
        <v>223039</v>
      </c>
      <c r="DR256" s="762">
        <v>0</v>
      </c>
      <c r="DS256" s="762">
        <v>619552</v>
      </c>
      <c r="DT256" s="762">
        <v>0</v>
      </c>
      <c r="DU256" s="762">
        <v>0</v>
      </c>
      <c r="DV256" s="762">
        <v>0</v>
      </c>
      <c r="DW256" s="762">
        <v>0</v>
      </c>
      <c r="DX256" s="762">
        <v>0</v>
      </c>
      <c r="DY256" s="762">
        <v>0</v>
      </c>
      <c r="DZ256" s="762">
        <v>0</v>
      </c>
      <c r="EA256" s="762">
        <v>0</v>
      </c>
      <c r="EB256" s="762">
        <v>2050958</v>
      </c>
      <c r="EC256" s="762">
        <v>1153664</v>
      </c>
      <c r="ED256" s="762">
        <v>0</v>
      </c>
      <c r="EE256" s="762">
        <v>3204622</v>
      </c>
      <c r="EF256" s="762">
        <v>11401115</v>
      </c>
      <c r="EG256" s="762">
        <v>6413128</v>
      </c>
      <c r="EH256" s="762">
        <v>0</v>
      </c>
      <c r="EI256" s="799">
        <v>17814243</v>
      </c>
      <c r="EJ256" s="763" t="s">
        <v>386</v>
      </c>
      <c r="EK256" s="607" t="s">
        <v>628</v>
      </c>
      <c r="EL256" s="272" t="s">
        <v>528</v>
      </c>
      <c r="EM256" t="s">
        <v>1822</v>
      </c>
    </row>
    <row r="257" spans="1:143" ht="12.75" x14ac:dyDescent="0.2">
      <c r="A257" s="764">
        <v>250</v>
      </c>
      <c r="B257" s="765" t="s">
        <v>389</v>
      </c>
      <c r="C257" s="766" t="s">
        <v>1217</v>
      </c>
      <c r="D257" s="767" t="s">
        <v>1218</v>
      </c>
      <c r="E257" s="768" t="s">
        <v>388</v>
      </c>
      <c r="F257" s="761">
        <v>50461991</v>
      </c>
      <c r="G257" s="762">
        <v>249333</v>
      </c>
      <c r="H257" s="762">
        <v>0</v>
      </c>
      <c r="I257" s="762">
        <v>124363</v>
      </c>
      <c r="J257" s="762">
        <v>0</v>
      </c>
      <c r="K257" s="762">
        <v>124363</v>
      </c>
      <c r="L257" s="762">
        <v>0</v>
      </c>
      <c r="M257" s="762">
        <v>0</v>
      </c>
      <c r="N257" s="762">
        <v>0</v>
      </c>
      <c r="O257" s="762">
        <v>0</v>
      </c>
      <c r="P257" s="762">
        <v>0</v>
      </c>
      <c r="Q257" s="762">
        <v>0</v>
      </c>
      <c r="R257" s="762">
        <v>50586961</v>
      </c>
      <c r="S257" s="790">
        <v>0.5</v>
      </c>
      <c r="T257" s="790">
        <v>0.4</v>
      </c>
      <c r="U257" s="790">
        <v>0.1</v>
      </c>
      <c r="V257" s="790">
        <v>0</v>
      </c>
      <c r="W257" s="790">
        <v>1</v>
      </c>
      <c r="X257" s="762">
        <v>25293481</v>
      </c>
      <c r="Y257" s="762">
        <v>20234784</v>
      </c>
      <c r="Z257" s="762">
        <v>5058696</v>
      </c>
      <c r="AA257" s="762">
        <v>0</v>
      </c>
      <c r="AB257" s="762">
        <v>50586961</v>
      </c>
      <c r="AC257" s="762">
        <v>0</v>
      </c>
      <c r="AD257" s="762">
        <v>0</v>
      </c>
      <c r="AE257" s="762">
        <v>0</v>
      </c>
      <c r="AF257" s="762">
        <v>0</v>
      </c>
      <c r="AG257" s="762">
        <v>0</v>
      </c>
      <c r="AH257" s="762">
        <v>25293481</v>
      </c>
      <c r="AI257" s="762">
        <v>20234784</v>
      </c>
      <c r="AJ257" s="762">
        <v>5058696</v>
      </c>
      <c r="AK257" s="762">
        <v>0</v>
      </c>
      <c r="AL257" s="762">
        <v>50586961</v>
      </c>
      <c r="AM257" s="762">
        <v>124363</v>
      </c>
      <c r="AN257" s="762">
        <v>124363</v>
      </c>
      <c r="AO257" s="762">
        <v>0</v>
      </c>
      <c r="AP257" s="762">
        <v>0</v>
      </c>
      <c r="AQ257" s="762">
        <v>0</v>
      </c>
      <c r="AR257" s="762">
        <v>0</v>
      </c>
      <c r="AS257" s="762">
        <v>0</v>
      </c>
      <c r="AT257" s="762">
        <v>0</v>
      </c>
      <c r="AU257" s="762">
        <v>0</v>
      </c>
      <c r="AV257" s="762">
        <v>0</v>
      </c>
      <c r="AW257" s="762">
        <v>0</v>
      </c>
      <c r="AX257" s="762">
        <v>0</v>
      </c>
      <c r="AY257" s="762">
        <v>0</v>
      </c>
      <c r="AZ257" s="762">
        <v>0</v>
      </c>
      <c r="BA257" s="762">
        <v>0</v>
      </c>
      <c r="BB257" s="762">
        <v>0</v>
      </c>
      <c r="BC257" s="762">
        <v>0</v>
      </c>
      <c r="BD257" s="762">
        <v>0</v>
      </c>
      <c r="BE257" s="762">
        <v>0</v>
      </c>
      <c r="BF257" s="762">
        <v>0</v>
      </c>
      <c r="BG257" s="762">
        <v>0</v>
      </c>
      <c r="BH257" s="762">
        <v>0</v>
      </c>
      <c r="BI257" s="762">
        <v>0</v>
      </c>
      <c r="BJ257" s="790">
        <v>0</v>
      </c>
      <c r="BK257" s="790">
        <v>0.3</v>
      </c>
      <c r="BL257" s="790">
        <v>0.7</v>
      </c>
      <c r="BM257" s="790">
        <v>0</v>
      </c>
      <c r="BN257" s="790">
        <v>1</v>
      </c>
      <c r="BO257" s="762">
        <v>0</v>
      </c>
      <c r="BP257" s="762">
        <v>2016300</v>
      </c>
      <c r="BQ257" s="762">
        <v>4704700</v>
      </c>
      <c r="BR257" s="762">
        <v>0</v>
      </c>
      <c r="BS257" s="762">
        <v>6721000</v>
      </c>
      <c r="BT257" s="790">
        <v>0.5</v>
      </c>
      <c r="BU257" s="790">
        <v>0.4</v>
      </c>
      <c r="BV257" s="790">
        <v>0.1</v>
      </c>
      <c r="BW257" s="790">
        <v>0</v>
      </c>
      <c r="BX257" s="790">
        <v>1</v>
      </c>
      <c r="BY257" s="762">
        <v>-1228080</v>
      </c>
      <c r="BZ257" s="762">
        <v>-982464</v>
      </c>
      <c r="CA257" s="762">
        <v>-245616</v>
      </c>
      <c r="CB257" s="762">
        <v>0</v>
      </c>
      <c r="CC257" s="762">
        <v>-2456160</v>
      </c>
      <c r="CD257" s="762">
        <v>-1228080</v>
      </c>
      <c r="CE257" s="762">
        <v>1033836</v>
      </c>
      <c r="CF257" s="762">
        <v>4459084</v>
      </c>
      <c r="CG257" s="762">
        <v>0</v>
      </c>
      <c r="CH257" s="762">
        <v>4264840</v>
      </c>
      <c r="CI257" s="762">
        <v>24065401</v>
      </c>
      <c r="CJ257" s="762">
        <v>21392983</v>
      </c>
      <c r="CK257" s="762">
        <v>9517780</v>
      </c>
      <c r="CL257" s="762">
        <v>0</v>
      </c>
      <c r="CM257" s="762">
        <v>54976164</v>
      </c>
      <c r="CN257" s="762">
        <v>659382</v>
      </c>
      <c r="CO257" s="762">
        <v>164845</v>
      </c>
      <c r="CP257" s="762">
        <v>0</v>
      </c>
      <c r="CQ257" s="762">
        <v>824227</v>
      </c>
      <c r="CR257" s="762">
        <v>688958</v>
      </c>
      <c r="CS257" s="762">
        <v>172240</v>
      </c>
      <c r="CT257" s="762">
        <v>0</v>
      </c>
      <c r="CU257" s="762">
        <v>861198</v>
      </c>
      <c r="CV257" s="762">
        <v>68967</v>
      </c>
      <c r="CW257" s="762">
        <v>17242</v>
      </c>
      <c r="CX257" s="762">
        <v>0</v>
      </c>
      <c r="CY257" s="762">
        <v>86209</v>
      </c>
      <c r="CZ257" s="762">
        <v>0</v>
      </c>
      <c r="DA257" s="762">
        <v>0</v>
      </c>
      <c r="DB257" s="762">
        <v>0</v>
      </c>
      <c r="DC257" s="762">
        <v>0</v>
      </c>
      <c r="DD257" s="762">
        <v>0</v>
      </c>
      <c r="DE257" s="762">
        <v>0</v>
      </c>
      <c r="DF257" s="762">
        <v>0</v>
      </c>
      <c r="DG257" s="762">
        <v>0</v>
      </c>
      <c r="DH257" s="762">
        <v>0</v>
      </c>
      <c r="DI257" s="762">
        <v>0</v>
      </c>
      <c r="DJ257" s="762">
        <v>0</v>
      </c>
      <c r="DK257" s="762">
        <v>0</v>
      </c>
      <c r="DL257" s="762">
        <v>8261</v>
      </c>
      <c r="DM257" s="762">
        <v>2065</v>
      </c>
      <c r="DN257" s="762">
        <v>0</v>
      </c>
      <c r="DO257" s="762">
        <v>10326</v>
      </c>
      <c r="DP257" s="762">
        <v>29263</v>
      </c>
      <c r="DQ257" s="762">
        <v>7316</v>
      </c>
      <c r="DR257" s="762">
        <v>0</v>
      </c>
      <c r="DS257" s="762">
        <v>36579</v>
      </c>
      <c r="DT257" s="762">
        <v>0</v>
      </c>
      <c r="DU257" s="762">
        <v>0</v>
      </c>
      <c r="DV257" s="762">
        <v>0</v>
      </c>
      <c r="DW257" s="762">
        <v>0</v>
      </c>
      <c r="DX257" s="762">
        <v>0</v>
      </c>
      <c r="DY257" s="762">
        <v>0</v>
      </c>
      <c r="DZ257" s="762">
        <v>0</v>
      </c>
      <c r="EA257" s="762">
        <v>0</v>
      </c>
      <c r="EB257" s="762">
        <v>403167</v>
      </c>
      <c r="EC257" s="762">
        <v>100792</v>
      </c>
      <c r="ED257" s="762">
        <v>0</v>
      </c>
      <c r="EE257" s="762">
        <v>503959</v>
      </c>
      <c r="EF257" s="762">
        <v>1857998</v>
      </c>
      <c r="EG257" s="762">
        <v>464500</v>
      </c>
      <c r="EH257" s="762">
        <v>0</v>
      </c>
      <c r="EI257" s="799">
        <v>2322498</v>
      </c>
      <c r="EJ257" s="763" t="s">
        <v>388</v>
      </c>
      <c r="EK257" s="607" t="s">
        <v>616</v>
      </c>
      <c r="EL257" s="805" t="s">
        <v>556</v>
      </c>
      <c r="EM257" t="s">
        <v>1823</v>
      </c>
    </row>
    <row r="258" spans="1:143" ht="12.75" x14ac:dyDescent="0.2">
      <c r="A258" s="764">
        <v>251</v>
      </c>
      <c r="B258" s="765" t="s">
        <v>391</v>
      </c>
      <c r="C258" s="766" t="s">
        <v>1217</v>
      </c>
      <c r="D258" s="767" t="s">
        <v>1221</v>
      </c>
      <c r="E258" s="768" t="s">
        <v>390</v>
      </c>
      <c r="F258" s="761">
        <v>59836736</v>
      </c>
      <c r="G258" s="762">
        <v>0</v>
      </c>
      <c r="H258" s="762">
        <v>73517</v>
      </c>
      <c r="I258" s="762">
        <v>187221</v>
      </c>
      <c r="J258" s="762">
        <v>0</v>
      </c>
      <c r="K258" s="762">
        <v>187221</v>
      </c>
      <c r="L258" s="762">
        <v>0</v>
      </c>
      <c r="M258" s="762">
        <v>125169</v>
      </c>
      <c r="N258" s="762">
        <v>0</v>
      </c>
      <c r="O258" s="762">
        <v>0</v>
      </c>
      <c r="P258" s="762">
        <v>0</v>
      </c>
      <c r="Q258" s="762">
        <v>0</v>
      </c>
      <c r="R258" s="762">
        <v>59450829</v>
      </c>
      <c r="S258" s="790">
        <v>0.25</v>
      </c>
      <c r="T258" s="790">
        <v>0.35</v>
      </c>
      <c r="U258" s="790">
        <v>0.4</v>
      </c>
      <c r="V258" s="790">
        <v>0</v>
      </c>
      <c r="W258" s="790">
        <v>1</v>
      </c>
      <c r="X258" s="762">
        <v>14862707</v>
      </c>
      <c r="Y258" s="762">
        <v>20807790</v>
      </c>
      <c r="Z258" s="762">
        <v>23780332</v>
      </c>
      <c r="AA258" s="762">
        <v>0</v>
      </c>
      <c r="AB258" s="762">
        <v>59450829</v>
      </c>
      <c r="AC258" s="762">
        <v>0</v>
      </c>
      <c r="AD258" s="762">
        <v>0</v>
      </c>
      <c r="AE258" s="762">
        <v>0</v>
      </c>
      <c r="AF258" s="762">
        <v>0</v>
      </c>
      <c r="AG258" s="762">
        <v>0</v>
      </c>
      <c r="AH258" s="762">
        <v>14862707</v>
      </c>
      <c r="AI258" s="762">
        <v>20807790</v>
      </c>
      <c r="AJ258" s="762">
        <v>23780332</v>
      </c>
      <c r="AK258" s="762">
        <v>0</v>
      </c>
      <c r="AL258" s="762">
        <v>59450829</v>
      </c>
      <c r="AM258" s="762">
        <v>187221</v>
      </c>
      <c r="AN258" s="762">
        <v>187221</v>
      </c>
      <c r="AO258" s="762">
        <v>125169</v>
      </c>
      <c r="AP258" s="762">
        <v>125169</v>
      </c>
      <c r="AQ258" s="762">
        <v>0</v>
      </c>
      <c r="AR258" s="762">
        <v>0</v>
      </c>
      <c r="AS258" s="762">
        <v>0</v>
      </c>
      <c r="AT258" s="762">
        <v>0</v>
      </c>
      <c r="AU258" s="762">
        <v>0</v>
      </c>
      <c r="AV258" s="762">
        <v>0</v>
      </c>
      <c r="AW258" s="762">
        <v>0</v>
      </c>
      <c r="AX258" s="762">
        <v>0</v>
      </c>
      <c r="AY258" s="762">
        <v>0</v>
      </c>
      <c r="AZ258" s="762">
        <v>0</v>
      </c>
      <c r="BA258" s="762">
        <v>0</v>
      </c>
      <c r="BB258" s="762">
        <v>0</v>
      </c>
      <c r="BC258" s="762">
        <v>0</v>
      </c>
      <c r="BD258" s="762">
        <v>0</v>
      </c>
      <c r="BE258" s="762">
        <v>0</v>
      </c>
      <c r="BF258" s="762">
        <v>0</v>
      </c>
      <c r="BG258" s="762">
        <v>0</v>
      </c>
      <c r="BH258" s="762">
        <v>0</v>
      </c>
      <c r="BI258" s="762">
        <v>0</v>
      </c>
      <c r="BJ258" s="790">
        <v>0.5</v>
      </c>
      <c r="BK258" s="790">
        <v>0.4</v>
      </c>
      <c r="BL258" s="790">
        <v>0.1</v>
      </c>
      <c r="BM258" s="790">
        <v>0</v>
      </c>
      <c r="BN258" s="790">
        <v>1</v>
      </c>
      <c r="BO258" s="762">
        <v>1656502</v>
      </c>
      <c r="BP258" s="762">
        <v>1325201</v>
      </c>
      <c r="BQ258" s="762">
        <v>331300</v>
      </c>
      <c r="BR258" s="762">
        <v>0</v>
      </c>
      <c r="BS258" s="762">
        <v>3313003</v>
      </c>
      <c r="BT258" s="790">
        <v>0.5</v>
      </c>
      <c r="BU258" s="790">
        <v>0.4</v>
      </c>
      <c r="BV258" s="790">
        <v>0.1</v>
      </c>
      <c r="BW258" s="790">
        <v>0</v>
      </c>
      <c r="BX258" s="790">
        <v>1</v>
      </c>
      <c r="BY258" s="762">
        <v>49417</v>
      </c>
      <c r="BZ258" s="762">
        <v>39534</v>
      </c>
      <c r="CA258" s="762">
        <v>9884</v>
      </c>
      <c r="CB258" s="762">
        <v>0</v>
      </c>
      <c r="CC258" s="762">
        <v>98835</v>
      </c>
      <c r="CD258" s="762">
        <v>1705919</v>
      </c>
      <c r="CE258" s="762">
        <v>1364735</v>
      </c>
      <c r="CF258" s="762">
        <v>341184</v>
      </c>
      <c r="CG258" s="762">
        <v>0</v>
      </c>
      <c r="CH258" s="762">
        <v>3411838</v>
      </c>
      <c r="CI258" s="762">
        <v>16568626</v>
      </c>
      <c r="CJ258" s="762">
        <v>22484915</v>
      </c>
      <c r="CK258" s="762">
        <v>24121516</v>
      </c>
      <c r="CL258" s="762">
        <v>0</v>
      </c>
      <c r="CM258" s="762">
        <v>63175057</v>
      </c>
      <c r="CN258" s="762">
        <v>682133</v>
      </c>
      <c r="CO258" s="762">
        <v>774919</v>
      </c>
      <c r="CP258" s="762">
        <v>0</v>
      </c>
      <c r="CQ258" s="762">
        <v>1457052</v>
      </c>
      <c r="CR258" s="762">
        <v>917151</v>
      </c>
      <c r="CS258" s="762">
        <v>1019469</v>
      </c>
      <c r="CT258" s="762">
        <v>0</v>
      </c>
      <c r="CU258" s="762">
        <v>1936620</v>
      </c>
      <c r="CV258" s="762">
        <v>0</v>
      </c>
      <c r="CW258" s="762">
        <v>0</v>
      </c>
      <c r="CX258" s="762">
        <v>0</v>
      </c>
      <c r="CY258" s="762">
        <v>0</v>
      </c>
      <c r="CZ258" s="762">
        <v>0</v>
      </c>
      <c r="DA258" s="762">
        <v>0</v>
      </c>
      <c r="DB258" s="762">
        <v>0</v>
      </c>
      <c r="DC258" s="762">
        <v>0</v>
      </c>
      <c r="DD258" s="762">
        <v>0</v>
      </c>
      <c r="DE258" s="762">
        <v>0</v>
      </c>
      <c r="DF258" s="762">
        <v>0</v>
      </c>
      <c r="DG258" s="762">
        <v>0</v>
      </c>
      <c r="DH258" s="762">
        <v>542</v>
      </c>
      <c r="DI258" s="762">
        <v>620</v>
      </c>
      <c r="DJ258" s="762">
        <v>0</v>
      </c>
      <c r="DK258" s="762">
        <v>1162</v>
      </c>
      <c r="DL258" s="762">
        <v>5005</v>
      </c>
      <c r="DM258" s="762">
        <v>5719</v>
      </c>
      <c r="DN258" s="762">
        <v>0</v>
      </c>
      <c r="DO258" s="762">
        <v>10724</v>
      </c>
      <c r="DP258" s="762">
        <v>17983</v>
      </c>
      <c r="DQ258" s="762">
        <v>20552</v>
      </c>
      <c r="DR258" s="762">
        <v>0</v>
      </c>
      <c r="DS258" s="762">
        <v>38535</v>
      </c>
      <c r="DT258" s="762">
        <v>0</v>
      </c>
      <c r="DU258" s="762">
        <v>0</v>
      </c>
      <c r="DV258" s="762">
        <v>0</v>
      </c>
      <c r="DW258" s="762">
        <v>0</v>
      </c>
      <c r="DX258" s="762">
        <v>0</v>
      </c>
      <c r="DY258" s="762">
        <v>0</v>
      </c>
      <c r="DZ258" s="762">
        <v>0</v>
      </c>
      <c r="EA258" s="762">
        <v>0</v>
      </c>
      <c r="EB258" s="762">
        <v>693525</v>
      </c>
      <c r="EC258" s="762">
        <v>792601</v>
      </c>
      <c r="ED258" s="762">
        <v>0</v>
      </c>
      <c r="EE258" s="762">
        <v>1486126</v>
      </c>
      <c r="EF258" s="762">
        <v>2316339</v>
      </c>
      <c r="EG258" s="762">
        <v>2613880</v>
      </c>
      <c r="EH258" s="762">
        <v>0</v>
      </c>
      <c r="EI258" s="799">
        <v>4930219</v>
      </c>
      <c r="EJ258" s="763" t="s">
        <v>390</v>
      </c>
      <c r="EK258" s="607" t="s">
        <v>584</v>
      </c>
      <c r="EL258" s="805" t="s">
        <v>556</v>
      </c>
      <c r="EM258" t="s">
        <v>1824</v>
      </c>
    </row>
    <row r="259" spans="1:143" ht="12.75" x14ac:dyDescent="0.2">
      <c r="A259" s="764">
        <v>252</v>
      </c>
      <c r="B259" s="765" t="s">
        <v>395</v>
      </c>
      <c r="C259" s="766" t="s">
        <v>1224</v>
      </c>
      <c r="D259" s="767" t="s">
        <v>1219</v>
      </c>
      <c r="E259" s="768" t="s">
        <v>895</v>
      </c>
      <c r="F259" s="761">
        <v>48779124</v>
      </c>
      <c r="G259" s="762">
        <v>0</v>
      </c>
      <c r="H259" s="762">
        <v>886324</v>
      </c>
      <c r="I259" s="762">
        <v>185713</v>
      </c>
      <c r="J259" s="762">
        <v>0</v>
      </c>
      <c r="K259" s="762">
        <v>185713</v>
      </c>
      <c r="L259" s="762">
        <v>0</v>
      </c>
      <c r="M259" s="762">
        <v>0</v>
      </c>
      <c r="N259" s="762">
        <v>0</v>
      </c>
      <c r="O259" s="762">
        <v>0</v>
      </c>
      <c r="P259" s="762">
        <v>0</v>
      </c>
      <c r="Q259" s="762">
        <v>0</v>
      </c>
      <c r="R259" s="762">
        <v>47707087</v>
      </c>
      <c r="S259" s="790">
        <v>0</v>
      </c>
      <c r="T259" s="790">
        <v>0.99</v>
      </c>
      <c r="U259" s="790">
        <v>0</v>
      </c>
      <c r="V259" s="790">
        <v>0.01</v>
      </c>
      <c r="W259" s="790">
        <v>1</v>
      </c>
      <c r="X259" s="762">
        <v>0</v>
      </c>
      <c r="Y259" s="762">
        <v>47230016</v>
      </c>
      <c r="Z259" s="762">
        <v>0</v>
      </c>
      <c r="AA259" s="762">
        <v>477071</v>
      </c>
      <c r="AB259" s="762">
        <v>47707087</v>
      </c>
      <c r="AC259" s="762">
        <v>0</v>
      </c>
      <c r="AD259" s="762">
        <v>0</v>
      </c>
      <c r="AE259" s="762">
        <v>0</v>
      </c>
      <c r="AF259" s="762">
        <v>0</v>
      </c>
      <c r="AG259" s="762">
        <v>0</v>
      </c>
      <c r="AH259" s="762">
        <v>0</v>
      </c>
      <c r="AI259" s="762">
        <v>47230016</v>
      </c>
      <c r="AJ259" s="762">
        <v>0</v>
      </c>
      <c r="AK259" s="762">
        <v>477071</v>
      </c>
      <c r="AL259" s="762">
        <v>47707087</v>
      </c>
      <c r="AM259" s="762">
        <v>185713</v>
      </c>
      <c r="AN259" s="762">
        <v>185713</v>
      </c>
      <c r="AO259" s="762">
        <v>0</v>
      </c>
      <c r="AP259" s="762">
        <v>0</v>
      </c>
      <c r="AQ259" s="762">
        <v>0</v>
      </c>
      <c r="AR259" s="762">
        <v>0</v>
      </c>
      <c r="AS259" s="762">
        <v>0</v>
      </c>
      <c r="AT259" s="762">
        <v>0</v>
      </c>
      <c r="AU259" s="762">
        <v>0</v>
      </c>
      <c r="AV259" s="762">
        <v>0</v>
      </c>
      <c r="AW259" s="762">
        <v>0</v>
      </c>
      <c r="AX259" s="762">
        <v>0</v>
      </c>
      <c r="AY259" s="762">
        <v>0</v>
      </c>
      <c r="AZ259" s="762">
        <v>0</v>
      </c>
      <c r="BA259" s="762">
        <v>0</v>
      </c>
      <c r="BB259" s="762">
        <v>0</v>
      </c>
      <c r="BC259" s="762">
        <v>0</v>
      </c>
      <c r="BD259" s="762">
        <v>0</v>
      </c>
      <c r="BE259" s="762">
        <v>0</v>
      </c>
      <c r="BF259" s="762">
        <v>0</v>
      </c>
      <c r="BG259" s="762">
        <v>0</v>
      </c>
      <c r="BH259" s="762">
        <v>0</v>
      </c>
      <c r="BI259" s="762">
        <v>0</v>
      </c>
      <c r="BJ259" s="790">
        <v>0</v>
      </c>
      <c r="BK259" s="790">
        <v>0.99</v>
      </c>
      <c r="BL259" s="790">
        <v>0</v>
      </c>
      <c r="BM259" s="790">
        <v>0.01</v>
      </c>
      <c r="BN259" s="790">
        <v>1</v>
      </c>
      <c r="BO259" s="762">
        <v>0</v>
      </c>
      <c r="BP259" s="762">
        <v>782162</v>
      </c>
      <c r="BQ259" s="762">
        <v>0</v>
      </c>
      <c r="BR259" s="762">
        <v>7901</v>
      </c>
      <c r="BS259" s="762">
        <v>790063</v>
      </c>
      <c r="BT259" s="790">
        <v>0</v>
      </c>
      <c r="BU259" s="790">
        <v>0.99</v>
      </c>
      <c r="BV259" s="790">
        <v>0</v>
      </c>
      <c r="BW259" s="790">
        <v>0.01</v>
      </c>
      <c r="BX259" s="790">
        <v>1</v>
      </c>
      <c r="BY259" s="762">
        <v>0</v>
      </c>
      <c r="BZ259" s="762">
        <v>116838</v>
      </c>
      <c r="CA259" s="762">
        <v>0</v>
      </c>
      <c r="CB259" s="762">
        <v>1180</v>
      </c>
      <c r="CC259" s="762">
        <v>118018</v>
      </c>
      <c r="CD259" s="762">
        <v>0</v>
      </c>
      <c r="CE259" s="762">
        <v>899000</v>
      </c>
      <c r="CF259" s="762">
        <v>0</v>
      </c>
      <c r="CG259" s="762">
        <v>9081</v>
      </c>
      <c r="CH259" s="762">
        <v>908081</v>
      </c>
      <c r="CI259" s="762">
        <v>0</v>
      </c>
      <c r="CJ259" s="762">
        <v>48314729</v>
      </c>
      <c r="CK259" s="762">
        <v>0</v>
      </c>
      <c r="CL259" s="762">
        <v>486152</v>
      </c>
      <c r="CM259" s="762">
        <v>48800881</v>
      </c>
      <c r="CN259" s="762">
        <v>1539064</v>
      </c>
      <c r="CO259" s="762">
        <v>0</v>
      </c>
      <c r="CP259" s="762">
        <v>15546</v>
      </c>
      <c r="CQ259" s="762">
        <v>1554610</v>
      </c>
      <c r="CR259" s="762">
        <v>3622298</v>
      </c>
      <c r="CS259" s="762">
        <v>0</v>
      </c>
      <c r="CT259" s="762">
        <v>36589</v>
      </c>
      <c r="CU259" s="762">
        <v>3658887</v>
      </c>
      <c r="CV259" s="762">
        <v>231295</v>
      </c>
      <c r="CW259" s="762">
        <v>0</v>
      </c>
      <c r="CX259" s="762">
        <v>2336</v>
      </c>
      <c r="CY259" s="762">
        <v>233631</v>
      </c>
      <c r="CZ259" s="762">
        <v>9166</v>
      </c>
      <c r="DA259" s="762">
        <v>0</v>
      </c>
      <c r="DB259" s="762">
        <v>93</v>
      </c>
      <c r="DC259" s="762">
        <v>9259</v>
      </c>
      <c r="DD259" s="762">
        <v>0</v>
      </c>
      <c r="DE259" s="762">
        <v>0</v>
      </c>
      <c r="DF259" s="762">
        <v>0</v>
      </c>
      <c r="DG259" s="762">
        <v>0</v>
      </c>
      <c r="DH259" s="762">
        <v>0</v>
      </c>
      <c r="DI259" s="762">
        <v>0</v>
      </c>
      <c r="DJ259" s="762">
        <v>0</v>
      </c>
      <c r="DK259" s="762">
        <v>0</v>
      </c>
      <c r="DL259" s="762">
        <v>34428</v>
      </c>
      <c r="DM259" s="762">
        <v>0</v>
      </c>
      <c r="DN259" s="762">
        <v>348</v>
      </c>
      <c r="DO259" s="762">
        <v>34776</v>
      </c>
      <c r="DP259" s="762">
        <v>47024</v>
      </c>
      <c r="DQ259" s="762">
        <v>0</v>
      </c>
      <c r="DR259" s="762">
        <v>475</v>
      </c>
      <c r="DS259" s="762">
        <v>47499</v>
      </c>
      <c r="DT259" s="762">
        <v>0</v>
      </c>
      <c r="DU259" s="762">
        <v>0</v>
      </c>
      <c r="DV259" s="762">
        <v>0</v>
      </c>
      <c r="DW259" s="762">
        <v>0</v>
      </c>
      <c r="DX259" s="762">
        <v>0</v>
      </c>
      <c r="DY259" s="762">
        <v>0</v>
      </c>
      <c r="DZ259" s="762">
        <v>0</v>
      </c>
      <c r="EA259" s="762">
        <v>0</v>
      </c>
      <c r="EB259" s="762">
        <v>725686</v>
      </c>
      <c r="EC259" s="762">
        <v>0</v>
      </c>
      <c r="ED259" s="762">
        <v>7330</v>
      </c>
      <c r="EE259" s="762">
        <v>733016</v>
      </c>
      <c r="EF259" s="762">
        <v>6208961</v>
      </c>
      <c r="EG259" s="762">
        <v>0</v>
      </c>
      <c r="EH259" s="762">
        <v>62717</v>
      </c>
      <c r="EI259" s="799">
        <v>6271678</v>
      </c>
      <c r="EJ259" s="763" t="s">
        <v>895</v>
      </c>
      <c r="EK259" s="607" t="s">
        <v>621</v>
      </c>
      <c r="EL259" s="805" t="s">
        <v>623</v>
      </c>
      <c r="EM259" t="s">
        <v>1825</v>
      </c>
    </row>
    <row r="260" spans="1:143" ht="12.75" x14ac:dyDescent="0.2">
      <c r="A260" s="764">
        <v>253</v>
      </c>
      <c r="B260" s="765" t="s">
        <v>397</v>
      </c>
      <c r="C260" s="766" t="s">
        <v>1217</v>
      </c>
      <c r="D260" s="767" t="s">
        <v>1227</v>
      </c>
      <c r="E260" s="768" t="s">
        <v>396</v>
      </c>
      <c r="F260" s="761">
        <v>50369775</v>
      </c>
      <c r="G260" s="762">
        <v>221373</v>
      </c>
      <c r="H260" s="762">
        <v>0</v>
      </c>
      <c r="I260" s="762">
        <v>173311</v>
      </c>
      <c r="J260" s="762">
        <v>0</v>
      </c>
      <c r="K260" s="762">
        <v>173311</v>
      </c>
      <c r="L260" s="762">
        <v>0</v>
      </c>
      <c r="M260" s="762">
        <v>0</v>
      </c>
      <c r="N260" s="762">
        <v>0</v>
      </c>
      <c r="O260" s="762">
        <v>0</v>
      </c>
      <c r="P260" s="762">
        <v>0</v>
      </c>
      <c r="Q260" s="762">
        <v>0</v>
      </c>
      <c r="R260" s="762">
        <v>50417837</v>
      </c>
      <c r="S260" s="790">
        <v>0.25</v>
      </c>
      <c r="T260" s="790">
        <v>0.4</v>
      </c>
      <c r="U260" s="790">
        <v>0.33999999999999997</v>
      </c>
      <c r="V260" s="790">
        <v>0.01</v>
      </c>
      <c r="W260" s="790">
        <v>1</v>
      </c>
      <c r="X260" s="762">
        <v>12604459</v>
      </c>
      <c r="Y260" s="762">
        <v>20167135</v>
      </c>
      <c r="Z260" s="762">
        <v>17142065</v>
      </c>
      <c r="AA260" s="762">
        <v>504178</v>
      </c>
      <c r="AB260" s="762">
        <v>50417837</v>
      </c>
      <c r="AC260" s="762">
        <v>0</v>
      </c>
      <c r="AD260" s="762">
        <v>0</v>
      </c>
      <c r="AE260" s="762">
        <v>0</v>
      </c>
      <c r="AF260" s="762">
        <v>0</v>
      </c>
      <c r="AG260" s="762">
        <v>0</v>
      </c>
      <c r="AH260" s="762">
        <v>12604459</v>
      </c>
      <c r="AI260" s="762">
        <v>20167135</v>
      </c>
      <c r="AJ260" s="762">
        <v>17142065</v>
      </c>
      <c r="AK260" s="762">
        <v>504178</v>
      </c>
      <c r="AL260" s="762">
        <v>50417837</v>
      </c>
      <c r="AM260" s="762">
        <v>173311</v>
      </c>
      <c r="AN260" s="762">
        <v>173311</v>
      </c>
      <c r="AO260" s="762">
        <v>0</v>
      </c>
      <c r="AP260" s="762">
        <v>0</v>
      </c>
      <c r="AQ260" s="762">
        <v>0</v>
      </c>
      <c r="AR260" s="762">
        <v>0</v>
      </c>
      <c r="AS260" s="762">
        <v>0</v>
      </c>
      <c r="AT260" s="762">
        <v>0</v>
      </c>
      <c r="AU260" s="762">
        <v>0</v>
      </c>
      <c r="AV260" s="762">
        <v>0</v>
      </c>
      <c r="AW260" s="762">
        <v>0</v>
      </c>
      <c r="AX260" s="762">
        <v>0</v>
      </c>
      <c r="AY260" s="762">
        <v>0</v>
      </c>
      <c r="AZ260" s="762">
        <v>0</v>
      </c>
      <c r="BA260" s="762">
        <v>0</v>
      </c>
      <c r="BB260" s="762">
        <v>0</v>
      </c>
      <c r="BC260" s="762">
        <v>0</v>
      </c>
      <c r="BD260" s="762">
        <v>0</v>
      </c>
      <c r="BE260" s="762">
        <v>0</v>
      </c>
      <c r="BF260" s="762">
        <v>0</v>
      </c>
      <c r="BG260" s="762">
        <v>0</v>
      </c>
      <c r="BH260" s="762">
        <v>0</v>
      </c>
      <c r="BI260" s="762">
        <v>0</v>
      </c>
      <c r="BJ260" s="790">
        <v>0.5</v>
      </c>
      <c r="BK260" s="790">
        <v>0.4</v>
      </c>
      <c r="BL260" s="790">
        <v>0.09</v>
      </c>
      <c r="BM260" s="790">
        <v>0.01</v>
      </c>
      <c r="BN260" s="790">
        <v>1</v>
      </c>
      <c r="BO260" s="762">
        <v>448171</v>
      </c>
      <c r="BP260" s="762">
        <v>358537</v>
      </c>
      <c r="BQ260" s="762">
        <v>80671</v>
      </c>
      <c r="BR260" s="762">
        <v>8963</v>
      </c>
      <c r="BS260" s="762">
        <v>896342</v>
      </c>
      <c r="BT260" s="790">
        <v>0.5</v>
      </c>
      <c r="BU260" s="790">
        <v>0.4</v>
      </c>
      <c r="BV260" s="790">
        <v>0.09</v>
      </c>
      <c r="BW260" s="790">
        <v>0.01</v>
      </c>
      <c r="BX260" s="790">
        <v>1</v>
      </c>
      <c r="BY260" s="762">
        <v>329081</v>
      </c>
      <c r="BZ260" s="762">
        <v>263264</v>
      </c>
      <c r="CA260" s="762">
        <v>59234</v>
      </c>
      <c r="CB260" s="762">
        <v>6582</v>
      </c>
      <c r="CC260" s="762">
        <v>658161</v>
      </c>
      <c r="CD260" s="762">
        <v>777252</v>
      </c>
      <c r="CE260" s="762">
        <v>621801</v>
      </c>
      <c r="CF260" s="762">
        <v>139905</v>
      </c>
      <c r="CG260" s="762">
        <v>15545</v>
      </c>
      <c r="CH260" s="762">
        <v>1554503</v>
      </c>
      <c r="CI260" s="762">
        <v>13381711</v>
      </c>
      <c r="CJ260" s="762">
        <v>20962247</v>
      </c>
      <c r="CK260" s="762">
        <v>17281970</v>
      </c>
      <c r="CL260" s="762">
        <v>519723</v>
      </c>
      <c r="CM260" s="762">
        <v>52145651</v>
      </c>
      <c r="CN260" s="762">
        <v>657178</v>
      </c>
      <c r="CO260" s="762">
        <v>558601</v>
      </c>
      <c r="CP260" s="762">
        <v>16429</v>
      </c>
      <c r="CQ260" s="762">
        <v>1232208</v>
      </c>
      <c r="CR260" s="762">
        <v>1307018</v>
      </c>
      <c r="CS260" s="762">
        <v>1110965</v>
      </c>
      <c r="CT260" s="762">
        <v>32675</v>
      </c>
      <c r="CU260" s="762">
        <v>2450658</v>
      </c>
      <c r="CV260" s="762">
        <v>94191</v>
      </c>
      <c r="CW260" s="762">
        <v>80062</v>
      </c>
      <c r="CX260" s="762">
        <v>2355</v>
      </c>
      <c r="CY260" s="762">
        <v>176608</v>
      </c>
      <c r="CZ260" s="762">
        <v>0</v>
      </c>
      <c r="DA260" s="762">
        <v>0</v>
      </c>
      <c r="DB260" s="762">
        <v>0</v>
      </c>
      <c r="DC260" s="762">
        <v>0</v>
      </c>
      <c r="DD260" s="762">
        <v>6521</v>
      </c>
      <c r="DE260" s="762">
        <v>5542</v>
      </c>
      <c r="DF260" s="762">
        <v>163</v>
      </c>
      <c r="DG260" s="762">
        <v>12226</v>
      </c>
      <c r="DH260" s="762">
        <v>620</v>
      </c>
      <c r="DI260" s="762">
        <v>527</v>
      </c>
      <c r="DJ260" s="762">
        <v>15</v>
      </c>
      <c r="DK260" s="762">
        <v>1162</v>
      </c>
      <c r="DL260" s="762">
        <v>13763</v>
      </c>
      <c r="DM260" s="762">
        <v>11699</v>
      </c>
      <c r="DN260" s="762">
        <v>344</v>
      </c>
      <c r="DO260" s="762">
        <v>25806</v>
      </c>
      <c r="DP260" s="762">
        <v>30759</v>
      </c>
      <c r="DQ260" s="762">
        <v>26146</v>
      </c>
      <c r="DR260" s="762">
        <v>769</v>
      </c>
      <c r="DS260" s="762">
        <v>57674</v>
      </c>
      <c r="DT260" s="762">
        <v>0</v>
      </c>
      <c r="DU260" s="762">
        <v>0</v>
      </c>
      <c r="DV260" s="762">
        <v>0</v>
      </c>
      <c r="DW260" s="762">
        <v>0</v>
      </c>
      <c r="DX260" s="762">
        <v>0</v>
      </c>
      <c r="DY260" s="762">
        <v>0</v>
      </c>
      <c r="DZ260" s="762">
        <v>0</v>
      </c>
      <c r="EA260" s="762">
        <v>0</v>
      </c>
      <c r="EB260" s="762">
        <v>520470</v>
      </c>
      <c r="EC260" s="762">
        <v>442399</v>
      </c>
      <c r="ED260" s="762">
        <v>13012</v>
      </c>
      <c r="EE260" s="762">
        <v>975881</v>
      </c>
      <c r="EF260" s="762">
        <v>2630520</v>
      </c>
      <c r="EG260" s="762">
        <v>2235941</v>
      </c>
      <c r="EH260" s="762">
        <v>65762</v>
      </c>
      <c r="EI260" s="799">
        <v>4932223</v>
      </c>
      <c r="EJ260" s="763" t="s">
        <v>396</v>
      </c>
      <c r="EK260" s="607" t="s">
        <v>614</v>
      </c>
      <c r="EL260" s="805" t="s">
        <v>613</v>
      </c>
      <c r="EM260" t="s">
        <v>1826</v>
      </c>
    </row>
    <row r="261" spans="1:143" ht="12.75" x14ac:dyDescent="0.2">
      <c r="A261" s="764">
        <v>254</v>
      </c>
      <c r="B261" s="765" t="s">
        <v>399</v>
      </c>
      <c r="C261" s="766" t="s">
        <v>1217</v>
      </c>
      <c r="D261" s="767" t="s">
        <v>1227</v>
      </c>
      <c r="E261" s="768" t="s">
        <v>398</v>
      </c>
      <c r="F261" s="761">
        <v>18867703</v>
      </c>
      <c r="G261" s="762">
        <v>947429</v>
      </c>
      <c r="H261" s="762">
        <v>0</v>
      </c>
      <c r="I261" s="762">
        <v>112496</v>
      </c>
      <c r="J261" s="762">
        <v>0</v>
      </c>
      <c r="K261" s="762">
        <v>112496</v>
      </c>
      <c r="L261" s="762">
        <v>0</v>
      </c>
      <c r="M261" s="762">
        <v>0</v>
      </c>
      <c r="N261" s="762">
        <v>0</v>
      </c>
      <c r="O261" s="762">
        <v>0</v>
      </c>
      <c r="P261" s="762">
        <v>0</v>
      </c>
      <c r="Q261" s="762">
        <v>0</v>
      </c>
      <c r="R261" s="762">
        <v>19702636</v>
      </c>
      <c r="S261" s="790">
        <v>0.25</v>
      </c>
      <c r="T261" s="790">
        <v>0.4</v>
      </c>
      <c r="U261" s="790">
        <v>0.33999999999999997</v>
      </c>
      <c r="V261" s="790">
        <v>0.01</v>
      </c>
      <c r="W261" s="790">
        <v>1</v>
      </c>
      <c r="X261" s="762">
        <v>4925660</v>
      </c>
      <c r="Y261" s="762">
        <v>7881054</v>
      </c>
      <c r="Z261" s="762">
        <v>6698896</v>
      </c>
      <c r="AA261" s="762">
        <v>197026</v>
      </c>
      <c r="AB261" s="762">
        <v>19702636</v>
      </c>
      <c r="AC261" s="762">
        <v>0</v>
      </c>
      <c r="AD261" s="762">
        <v>0</v>
      </c>
      <c r="AE261" s="762">
        <v>0</v>
      </c>
      <c r="AF261" s="762">
        <v>0</v>
      </c>
      <c r="AG261" s="762">
        <v>0</v>
      </c>
      <c r="AH261" s="762">
        <v>4925660</v>
      </c>
      <c r="AI261" s="762">
        <v>7881054</v>
      </c>
      <c r="AJ261" s="762">
        <v>6698896</v>
      </c>
      <c r="AK261" s="762">
        <v>197026</v>
      </c>
      <c r="AL261" s="762">
        <v>19702636</v>
      </c>
      <c r="AM261" s="762">
        <v>112496</v>
      </c>
      <c r="AN261" s="762">
        <v>112496</v>
      </c>
      <c r="AO261" s="762">
        <v>0</v>
      </c>
      <c r="AP261" s="762">
        <v>0</v>
      </c>
      <c r="AQ261" s="762">
        <v>0</v>
      </c>
      <c r="AR261" s="762">
        <v>0</v>
      </c>
      <c r="AS261" s="762">
        <v>0</v>
      </c>
      <c r="AT261" s="762">
        <v>0</v>
      </c>
      <c r="AU261" s="762">
        <v>0</v>
      </c>
      <c r="AV261" s="762">
        <v>0</v>
      </c>
      <c r="AW261" s="762">
        <v>0</v>
      </c>
      <c r="AX261" s="762">
        <v>0</v>
      </c>
      <c r="AY261" s="762">
        <v>0</v>
      </c>
      <c r="AZ261" s="762">
        <v>0</v>
      </c>
      <c r="BA261" s="762">
        <v>0</v>
      </c>
      <c r="BB261" s="762">
        <v>0</v>
      </c>
      <c r="BC261" s="762">
        <v>0</v>
      </c>
      <c r="BD261" s="762">
        <v>0</v>
      </c>
      <c r="BE261" s="762">
        <v>0</v>
      </c>
      <c r="BF261" s="762">
        <v>0</v>
      </c>
      <c r="BG261" s="762">
        <v>0</v>
      </c>
      <c r="BH261" s="762">
        <v>0</v>
      </c>
      <c r="BI261" s="762">
        <v>0</v>
      </c>
      <c r="BJ261" s="790">
        <v>0.5</v>
      </c>
      <c r="BK261" s="790">
        <v>0.4</v>
      </c>
      <c r="BL261" s="790">
        <v>0.09</v>
      </c>
      <c r="BM261" s="790">
        <v>0.01</v>
      </c>
      <c r="BN261" s="790">
        <v>1</v>
      </c>
      <c r="BO261" s="762">
        <v>-189225</v>
      </c>
      <c r="BP261" s="762">
        <v>-151380</v>
      </c>
      <c r="BQ261" s="762">
        <v>-34060</v>
      </c>
      <c r="BR261" s="762">
        <v>-3784</v>
      </c>
      <c r="BS261" s="762">
        <v>-378449</v>
      </c>
      <c r="BT261" s="790">
        <v>0.5</v>
      </c>
      <c r="BU261" s="790">
        <v>0.4</v>
      </c>
      <c r="BV261" s="790">
        <v>0.09</v>
      </c>
      <c r="BW261" s="790">
        <v>0.01</v>
      </c>
      <c r="BX261" s="790">
        <v>1</v>
      </c>
      <c r="BY261" s="762">
        <v>-143912</v>
      </c>
      <c r="BZ261" s="762">
        <v>-115130</v>
      </c>
      <c r="CA261" s="762">
        <v>-25904</v>
      </c>
      <c r="CB261" s="762">
        <v>-2878</v>
      </c>
      <c r="CC261" s="762">
        <v>-287824</v>
      </c>
      <c r="CD261" s="762">
        <v>-333136</v>
      </c>
      <c r="CE261" s="762">
        <v>-266509</v>
      </c>
      <c r="CF261" s="762">
        <v>-59965</v>
      </c>
      <c r="CG261" s="762">
        <v>-6663</v>
      </c>
      <c r="CH261" s="762">
        <v>-666273</v>
      </c>
      <c r="CI261" s="762">
        <v>4592524</v>
      </c>
      <c r="CJ261" s="762">
        <v>7727041</v>
      </c>
      <c r="CK261" s="762">
        <v>6638931</v>
      </c>
      <c r="CL261" s="762">
        <v>190363</v>
      </c>
      <c r="CM261" s="762">
        <v>19148859</v>
      </c>
      <c r="CN261" s="762">
        <v>256816</v>
      </c>
      <c r="CO261" s="762">
        <v>218294</v>
      </c>
      <c r="CP261" s="762">
        <v>6420</v>
      </c>
      <c r="CQ261" s="762">
        <v>481530</v>
      </c>
      <c r="CR261" s="762">
        <v>977058</v>
      </c>
      <c r="CS261" s="762">
        <v>830499</v>
      </c>
      <c r="CT261" s="762">
        <v>24426</v>
      </c>
      <c r="CU261" s="762">
        <v>1831983</v>
      </c>
      <c r="CV261" s="762">
        <v>39796</v>
      </c>
      <c r="CW261" s="762">
        <v>33827</v>
      </c>
      <c r="CX261" s="762">
        <v>995</v>
      </c>
      <c r="CY261" s="762">
        <v>74618</v>
      </c>
      <c r="CZ261" s="762">
        <v>0</v>
      </c>
      <c r="DA261" s="762">
        <v>0</v>
      </c>
      <c r="DB261" s="762">
        <v>0</v>
      </c>
      <c r="DC261" s="762">
        <v>0</v>
      </c>
      <c r="DD261" s="762">
        <v>1354</v>
      </c>
      <c r="DE261" s="762">
        <v>1152</v>
      </c>
      <c r="DF261" s="762">
        <v>34</v>
      </c>
      <c r="DG261" s="762">
        <v>2540</v>
      </c>
      <c r="DH261" s="762">
        <v>0</v>
      </c>
      <c r="DI261" s="762">
        <v>0</v>
      </c>
      <c r="DJ261" s="762">
        <v>0</v>
      </c>
      <c r="DK261" s="762">
        <v>0</v>
      </c>
      <c r="DL261" s="762">
        <v>30543</v>
      </c>
      <c r="DM261" s="762">
        <v>25961</v>
      </c>
      <c r="DN261" s="762">
        <v>764</v>
      </c>
      <c r="DO261" s="762">
        <v>57268</v>
      </c>
      <c r="DP261" s="762">
        <v>27756</v>
      </c>
      <c r="DQ261" s="762">
        <v>23593</v>
      </c>
      <c r="DR261" s="762">
        <v>694</v>
      </c>
      <c r="DS261" s="762">
        <v>52043</v>
      </c>
      <c r="DT261" s="762">
        <v>0</v>
      </c>
      <c r="DU261" s="762">
        <v>0</v>
      </c>
      <c r="DV261" s="762">
        <v>0</v>
      </c>
      <c r="DW261" s="762">
        <v>0</v>
      </c>
      <c r="DX261" s="762">
        <v>0</v>
      </c>
      <c r="DY261" s="762">
        <v>0</v>
      </c>
      <c r="DZ261" s="762">
        <v>0</v>
      </c>
      <c r="EA261" s="762">
        <v>0</v>
      </c>
      <c r="EB261" s="762">
        <v>494834</v>
      </c>
      <c r="EC261" s="762">
        <v>420610</v>
      </c>
      <c r="ED261" s="762">
        <v>12371</v>
      </c>
      <c r="EE261" s="762">
        <v>927815</v>
      </c>
      <c r="EF261" s="762">
        <v>1828157</v>
      </c>
      <c r="EG261" s="762">
        <v>1553936</v>
      </c>
      <c r="EH261" s="762">
        <v>45704</v>
      </c>
      <c r="EI261" s="799">
        <v>3427797</v>
      </c>
      <c r="EJ261" s="763" t="s">
        <v>398</v>
      </c>
      <c r="EK261" s="607" t="s">
        <v>614</v>
      </c>
      <c r="EL261" s="805" t="s">
        <v>613</v>
      </c>
      <c r="EM261" t="s">
        <v>1827</v>
      </c>
    </row>
    <row r="262" spans="1:143" ht="12.75" x14ac:dyDescent="0.2">
      <c r="A262" s="764">
        <v>255</v>
      </c>
      <c r="B262" s="765" t="s">
        <v>401</v>
      </c>
      <c r="C262" s="766" t="s">
        <v>1217</v>
      </c>
      <c r="D262" s="767" t="s">
        <v>1221</v>
      </c>
      <c r="E262" s="768" t="s">
        <v>400</v>
      </c>
      <c r="F262" s="761">
        <v>46246592</v>
      </c>
      <c r="G262" s="762">
        <v>0</v>
      </c>
      <c r="H262" s="762">
        <v>772814</v>
      </c>
      <c r="I262" s="762">
        <v>110264</v>
      </c>
      <c r="J262" s="762">
        <v>0</v>
      </c>
      <c r="K262" s="762">
        <v>110264</v>
      </c>
      <c r="L262" s="762">
        <v>0</v>
      </c>
      <c r="M262" s="762">
        <v>0</v>
      </c>
      <c r="N262" s="762">
        <v>0</v>
      </c>
      <c r="O262" s="762">
        <v>0</v>
      </c>
      <c r="P262" s="762">
        <v>0</v>
      </c>
      <c r="Q262" s="762">
        <v>0</v>
      </c>
      <c r="R262" s="762">
        <v>45363514</v>
      </c>
      <c r="S262" s="790">
        <v>0.25</v>
      </c>
      <c r="T262" s="790">
        <v>0.35</v>
      </c>
      <c r="U262" s="790">
        <v>0.4</v>
      </c>
      <c r="V262" s="790">
        <v>0</v>
      </c>
      <c r="W262" s="790">
        <v>1</v>
      </c>
      <c r="X262" s="762">
        <v>11340878</v>
      </c>
      <c r="Y262" s="762">
        <v>15877230</v>
      </c>
      <c r="Z262" s="762">
        <v>18145406</v>
      </c>
      <c r="AA262" s="762">
        <v>0</v>
      </c>
      <c r="AB262" s="762">
        <v>45363514</v>
      </c>
      <c r="AC262" s="762">
        <v>0</v>
      </c>
      <c r="AD262" s="762">
        <v>0</v>
      </c>
      <c r="AE262" s="762">
        <v>0</v>
      </c>
      <c r="AF262" s="762">
        <v>0</v>
      </c>
      <c r="AG262" s="762">
        <v>0</v>
      </c>
      <c r="AH262" s="762">
        <v>11340878</v>
      </c>
      <c r="AI262" s="762">
        <v>15877230</v>
      </c>
      <c r="AJ262" s="762">
        <v>18145406</v>
      </c>
      <c r="AK262" s="762">
        <v>0</v>
      </c>
      <c r="AL262" s="762">
        <v>45363514</v>
      </c>
      <c r="AM262" s="762">
        <v>110264</v>
      </c>
      <c r="AN262" s="762">
        <v>110264</v>
      </c>
      <c r="AO262" s="762">
        <v>0</v>
      </c>
      <c r="AP262" s="762">
        <v>0</v>
      </c>
      <c r="AQ262" s="762">
        <v>0</v>
      </c>
      <c r="AR262" s="762">
        <v>0</v>
      </c>
      <c r="AS262" s="762">
        <v>0</v>
      </c>
      <c r="AT262" s="762">
        <v>0</v>
      </c>
      <c r="AU262" s="762">
        <v>0</v>
      </c>
      <c r="AV262" s="762">
        <v>0</v>
      </c>
      <c r="AW262" s="762">
        <v>0</v>
      </c>
      <c r="AX262" s="762">
        <v>0</v>
      </c>
      <c r="AY262" s="762">
        <v>0</v>
      </c>
      <c r="AZ262" s="762">
        <v>0</v>
      </c>
      <c r="BA262" s="762">
        <v>0</v>
      </c>
      <c r="BB262" s="762">
        <v>0</v>
      </c>
      <c r="BC262" s="762">
        <v>0</v>
      </c>
      <c r="BD262" s="762">
        <v>0</v>
      </c>
      <c r="BE262" s="762">
        <v>0</v>
      </c>
      <c r="BF262" s="762">
        <v>0</v>
      </c>
      <c r="BG262" s="762">
        <v>0</v>
      </c>
      <c r="BH262" s="762">
        <v>0</v>
      </c>
      <c r="BI262" s="762">
        <v>0</v>
      </c>
      <c r="BJ262" s="790">
        <v>0.5</v>
      </c>
      <c r="BK262" s="790">
        <v>0.4</v>
      </c>
      <c r="BL262" s="790">
        <v>0.1</v>
      </c>
      <c r="BM262" s="790">
        <v>0</v>
      </c>
      <c r="BN262" s="790">
        <v>1</v>
      </c>
      <c r="BO262" s="762">
        <v>0</v>
      </c>
      <c r="BP262" s="762">
        <v>0</v>
      </c>
      <c r="BQ262" s="762">
        <v>0</v>
      </c>
      <c r="BR262" s="762">
        <v>0</v>
      </c>
      <c r="BS262" s="762">
        <v>0</v>
      </c>
      <c r="BT262" s="790">
        <v>0.5</v>
      </c>
      <c r="BU262" s="790">
        <v>0.4</v>
      </c>
      <c r="BV262" s="790">
        <v>0.1</v>
      </c>
      <c r="BW262" s="790">
        <v>0</v>
      </c>
      <c r="BX262" s="790">
        <v>1</v>
      </c>
      <c r="BY262" s="762">
        <v>476201</v>
      </c>
      <c r="BZ262" s="762">
        <v>380960</v>
      </c>
      <c r="CA262" s="762">
        <v>95240</v>
      </c>
      <c r="CB262" s="762">
        <v>0</v>
      </c>
      <c r="CC262" s="762">
        <v>952401</v>
      </c>
      <c r="CD262" s="762">
        <v>476201</v>
      </c>
      <c r="CE262" s="762">
        <v>380960</v>
      </c>
      <c r="CF262" s="762">
        <v>95240</v>
      </c>
      <c r="CG262" s="762">
        <v>0</v>
      </c>
      <c r="CH262" s="762">
        <v>952401</v>
      </c>
      <c r="CI262" s="762">
        <v>11817079</v>
      </c>
      <c r="CJ262" s="762">
        <v>16368454</v>
      </c>
      <c r="CK262" s="762">
        <v>18240646</v>
      </c>
      <c r="CL262" s="762">
        <v>0</v>
      </c>
      <c r="CM262" s="762">
        <v>46426179</v>
      </c>
      <c r="CN262" s="762">
        <v>517384</v>
      </c>
      <c r="CO262" s="762">
        <v>591296</v>
      </c>
      <c r="CP262" s="762">
        <v>0</v>
      </c>
      <c r="CQ262" s="762">
        <v>1108680</v>
      </c>
      <c r="CR262" s="762">
        <v>506228</v>
      </c>
      <c r="CS262" s="762">
        <v>578546</v>
      </c>
      <c r="CT262" s="762">
        <v>0</v>
      </c>
      <c r="CU262" s="762">
        <v>1084774</v>
      </c>
      <c r="CV262" s="762">
        <v>53915</v>
      </c>
      <c r="CW262" s="762">
        <v>61617</v>
      </c>
      <c r="CX262" s="762">
        <v>0</v>
      </c>
      <c r="CY262" s="762">
        <v>115532</v>
      </c>
      <c r="CZ262" s="762">
        <v>0</v>
      </c>
      <c r="DA262" s="762">
        <v>0</v>
      </c>
      <c r="DB262" s="762">
        <v>0</v>
      </c>
      <c r="DC262" s="762">
        <v>0</v>
      </c>
      <c r="DD262" s="762">
        <v>0</v>
      </c>
      <c r="DE262" s="762">
        <v>0</v>
      </c>
      <c r="DF262" s="762">
        <v>0</v>
      </c>
      <c r="DG262" s="762">
        <v>0</v>
      </c>
      <c r="DH262" s="762">
        <v>0</v>
      </c>
      <c r="DI262" s="762">
        <v>0</v>
      </c>
      <c r="DJ262" s="762">
        <v>0</v>
      </c>
      <c r="DK262" s="762">
        <v>0</v>
      </c>
      <c r="DL262" s="762">
        <v>1119</v>
      </c>
      <c r="DM262" s="762">
        <v>1279</v>
      </c>
      <c r="DN262" s="762">
        <v>0</v>
      </c>
      <c r="DO262" s="762">
        <v>2398</v>
      </c>
      <c r="DP262" s="762">
        <v>5358</v>
      </c>
      <c r="DQ262" s="762">
        <v>6123</v>
      </c>
      <c r="DR262" s="762">
        <v>0</v>
      </c>
      <c r="DS262" s="762">
        <v>11481</v>
      </c>
      <c r="DT262" s="762">
        <v>0</v>
      </c>
      <c r="DU262" s="762">
        <v>0</v>
      </c>
      <c r="DV262" s="762">
        <v>0</v>
      </c>
      <c r="DW262" s="762">
        <v>0</v>
      </c>
      <c r="DX262" s="762">
        <v>0</v>
      </c>
      <c r="DY262" s="762">
        <v>0</v>
      </c>
      <c r="DZ262" s="762">
        <v>0</v>
      </c>
      <c r="EA262" s="762">
        <v>0</v>
      </c>
      <c r="EB262" s="762">
        <v>269585</v>
      </c>
      <c r="EC262" s="762">
        <v>308097</v>
      </c>
      <c r="ED262" s="762">
        <v>0</v>
      </c>
      <c r="EE262" s="762">
        <v>577682</v>
      </c>
      <c r="EF262" s="762">
        <v>1353589</v>
      </c>
      <c r="EG262" s="762">
        <v>1546958</v>
      </c>
      <c r="EH262" s="762">
        <v>0</v>
      </c>
      <c r="EI262" s="799">
        <v>2900547</v>
      </c>
      <c r="EJ262" s="763" t="s">
        <v>400</v>
      </c>
      <c r="EK262" s="607" t="s">
        <v>584</v>
      </c>
      <c r="EL262" s="805" t="s">
        <v>556</v>
      </c>
      <c r="EM262" t="s">
        <v>1828</v>
      </c>
    </row>
    <row r="263" spans="1:143" ht="12.75" x14ac:dyDescent="0.2">
      <c r="A263" s="764">
        <v>256</v>
      </c>
      <c r="B263" s="765" t="s">
        <v>403</v>
      </c>
      <c r="C263" s="766" t="s">
        <v>1224</v>
      </c>
      <c r="D263" s="767" t="s">
        <v>1219</v>
      </c>
      <c r="E263" s="768" t="s">
        <v>402</v>
      </c>
      <c r="F263" s="761">
        <v>82224920</v>
      </c>
      <c r="G263" s="762">
        <v>0</v>
      </c>
      <c r="H263" s="762">
        <v>3007079</v>
      </c>
      <c r="I263" s="762">
        <v>429209</v>
      </c>
      <c r="J263" s="762">
        <v>0</v>
      </c>
      <c r="K263" s="762">
        <v>429209</v>
      </c>
      <c r="L263" s="762">
        <v>0</v>
      </c>
      <c r="M263" s="762">
        <v>0</v>
      </c>
      <c r="N263" s="762">
        <v>0</v>
      </c>
      <c r="O263" s="762">
        <v>0</v>
      </c>
      <c r="P263" s="762">
        <v>0</v>
      </c>
      <c r="Q263" s="762">
        <v>0</v>
      </c>
      <c r="R263" s="762">
        <v>78788632</v>
      </c>
      <c r="S263" s="790">
        <v>0</v>
      </c>
      <c r="T263" s="790">
        <v>0.99</v>
      </c>
      <c r="U263" s="790">
        <v>0</v>
      </c>
      <c r="V263" s="790">
        <v>0.01</v>
      </c>
      <c r="W263" s="790">
        <v>1</v>
      </c>
      <c r="X263" s="762">
        <v>0</v>
      </c>
      <c r="Y263" s="762">
        <v>78000746</v>
      </c>
      <c r="Z263" s="762">
        <v>0</v>
      </c>
      <c r="AA263" s="762">
        <v>787886</v>
      </c>
      <c r="AB263" s="762">
        <v>78788632</v>
      </c>
      <c r="AC263" s="762">
        <v>0</v>
      </c>
      <c r="AD263" s="762">
        <v>0</v>
      </c>
      <c r="AE263" s="762">
        <v>0</v>
      </c>
      <c r="AF263" s="762">
        <v>0</v>
      </c>
      <c r="AG263" s="762">
        <v>0</v>
      </c>
      <c r="AH263" s="762">
        <v>0</v>
      </c>
      <c r="AI263" s="762">
        <v>78000746</v>
      </c>
      <c r="AJ263" s="762">
        <v>0</v>
      </c>
      <c r="AK263" s="762">
        <v>787886</v>
      </c>
      <c r="AL263" s="762">
        <v>78788632</v>
      </c>
      <c r="AM263" s="762">
        <v>429209</v>
      </c>
      <c r="AN263" s="762">
        <v>429209</v>
      </c>
      <c r="AO263" s="762">
        <v>0</v>
      </c>
      <c r="AP263" s="762">
        <v>0</v>
      </c>
      <c r="AQ263" s="762">
        <v>0</v>
      </c>
      <c r="AR263" s="762">
        <v>0</v>
      </c>
      <c r="AS263" s="762">
        <v>0</v>
      </c>
      <c r="AT263" s="762">
        <v>0</v>
      </c>
      <c r="AU263" s="762">
        <v>0</v>
      </c>
      <c r="AV263" s="762">
        <v>0</v>
      </c>
      <c r="AW263" s="762">
        <v>0</v>
      </c>
      <c r="AX263" s="762">
        <v>0</v>
      </c>
      <c r="AY263" s="762">
        <v>0</v>
      </c>
      <c r="AZ263" s="762">
        <v>0</v>
      </c>
      <c r="BA263" s="762">
        <v>0</v>
      </c>
      <c r="BB263" s="762">
        <v>0</v>
      </c>
      <c r="BC263" s="762">
        <v>0</v>
      </c>
      <c r="BD263" s="762">
        <v>0</v>
      </c>
      <c r="BE263" s="762">
        <v>0</v>
      </c>
      <c r="BF263" s="762">
        <v>0</v>
      </c>
      <c r="BG263" s="762">
        <v>0</v>
      </c>
      <c r="BH263" s="762">
        <v>0</v>
      </c>
      <c r="BI263" s="762">
        <v>0</v>
      </c>
      <c r="BJ263" s="790">
        <v>0</v>
      </c>
      <c r="BK263" s="790">
        <v>0.99</v>
      </c>
      <c r="BL263" s="790">
        <v>0</v>
      </c>
      <c r="BM263" s="790">
        <v>0.01</v>
      </c>
      <c r="BN263" s="790">
        <v>1</v>
      </c>
      <c r="BO263" s="762">
        <v>0</v>
      </c>
      <c r="BP263" s="762">
        <v>-86519</v>
      </c>
      <c r="BQ263" s="762">
        <v>0</v>
      </c>
      <c r="BR263" s="762">
        <v>-874</v>
      </c>
      <c r="BS263" s="762">
        <v>-87393</v>
      </c>
      <c r="BT263" s="790">
        <v>0</v>
      </c>
      <c r="BU263" s="790">
        <v>0.99</v>
      </c>
      <c r="BV263" s="790">
        <v>0</v>
      </c>
      <c r="BW263" s="790">
        <v>0.01</v>
      </c>
      <c r="BX263" s="790">
        <v>1</v>
      </c>
      <c r="BY263" s="762">
        <v>-3.0000001192092896E-2</v>
      </c>
      <c r="BZ263" s="762">
        <v>218677</v>
      </c>
      <c r="CA263" s="762">
        <v>0</v>
      </c>
      <c r="CB263" s="762">
        <v>2209</v>
      </c>
      <c r="CC263" s="762">
        <v>220885.96999999881</v>
      </c>
      <c r="CD263" s="762">
        <v>0</v>
      </c>
      <c r="CE263" s="762">
        <v>132158</v>
      </c>
      <c r="CF263" s="762">
        <v>0</v>
      </c>
      <c r="CG263" s="762">
        <v>1335</v>
      </c>
      <c r="CH263" s="762">
        <v>133492.96999999881</v>
      </c>
      <c r="CI263" s="762">
        <v>0</v>
      </c>
      <c r="CJ263" s="762">
        <v>78562113</v>
      </c>
      <c r="CK263" s="762">
        <v>0</v>
      </c>
      <c r="CL263" s="762">
        <v>789221</v>
      </c>
      <c r="CM263" s="762">
        <v>79351334</v>
      </c>
      <c r="CN263" s="762">
        <v>2541776</v>
      </c>
      <c r="CO263" s="762">
        <v>0</v>
      </c>
      <c r="CP263" s="762">
        <v>25674</v>
      </c>
      <c r="CQ263" s="762">
        <v>2567450</v>
      </c>
      <c r="CR263" s="762">
        <v>8004771</v>
      </c>
      <c r="CS263" s="762">
        <v>0</v>
      </c>
      <c r="CT263" s="762">
        <v>80856</v>
      </c>
      <c r="CU263" s="762">
        <v>8085627</v>
      </c>
      <c r="CV263" s="762">
        <v>464388</v>
      </c>
      <c r="CW263" s="762">
        <v>0</v>
      </c>
      <c r="CX263" s="762">
        <v>4691</v>
      </c>
      <c r="CY263" s="762">
        <v>469079</v>
      </c>
      <c r="CZ263" s="762">
        <v>33674</v>
      </c>
      <c r="DA263" s="762">
        <v>0</v>
      </c>
      <c r="DB263" s="762">
        <v>340</v>
      </c>
      <c r="DC263" s="762">
        <v>34014</v>
      </c>
      <c r="DD263" s="762">
        <v>0</v>
      </c>
      <c r="DE263" s="762">
        <v>0</v>
      </c>
      <c r="DF263" s="762">
        <v>0</v>
      </c>
      <c r="DG263" s="762">
        <v>0</v>
      </c>
      <c r="DH263" s="762">
        <v>0</v>
      </c>
      <c r="DI263" s="762">
        <v>0</v>
      </c>
      <c r="DJ263" s="762">
        <v>0</v>
      </c>
      <c r="DK263" s="762">
        <v>0</v>
      </c>
      <c r="DL263" s="762">
        <v>25101</v>
      </c>
      <c r="DM263" s="762">
        <v>0</v>
      </c>
      <c r="DN263" s="762">
        <v>254</v>
      </c>
      <c r="DO263" s="762">
        <v>25355</v>
      </c>
      <c r="DP263" s="762">
        <v>68491</v>
      </c>
      <c r="DQ263" s="762">
        <v>0</v>
      </c>
      <c r="DR263" s="762">
        <v>692</v>
      </c>
      <c r="DS263" s="762">
        <v>69183</v>
      </c>
      <c r="DT263" s="762">
        <v>0</v>
      </c>
      <c r="DU263" s="762">
        <v>0</v>
      </c>
      <c r="DV263" s="762">
        <v>0</v>
      </c>
      <c r="DW263" s="762">
        <v>0</v>
      </c>
      <c r="DX263" s="762">
        <v>0</v>
      </c>
      <c r="DY263" s="762">
        <v>0</v>
      </c>
      <c r="DZ263" s="762">
        <v>0</v>
      </c>
      <c r="EA263" s="762">
        <v>0</v>
      </c>
      <c r="EB263" s="762">
        <v>2432912</v>
      </c>
      <c r="EC263" s="762">
        <v>0</v>
      </c>
      <c r="ED263" s="762">
        <v>24575</v>
      </c>
      <c r="EE263" s="762">
        <v>2457487</v>
      </c>
      <c r="EF263" s="762">
        <v>13571113</v>
      </c>
      <c r="EG263" s="762">
        <v>0</v>
      </c>
      <c r="EH263" s="762">
        <v>137082</v>
      </c>
      <c r="EI263" s="799">
        <v>13708195</v>
      </c>
      <c r="EJ263" s="763" t="s">
        <v>402</v>
      </c>
      <c r="EK263" s="607" t="s">
        <v>621</v>
      </c>
      <c r="EL263" s="805" t="s">
        <v>622</v>
      </c>
      <c r="EM263" t="s">
        <v>1829</v>
      </c>
    </row>
    <row r="264" spans="1:143" ht="12.75" x14ac:dyDescent="0.2">
      <c r="A264" s="764">
        <v>257</v>
      </c>
      <c r="B264" s="765" t="s">
        <v>405</v>
      </c>
      <c r="C264" s="766" t="s">
        <v>529</v>
      </c>
      <c r="D264" s="767" t="s">
        <v>1229</v>
      </c>
      <c r="E264" s="768" t="s">
        <v>555</v>
      </c>
      <c r="F264" s="761">
        <v>82682799</v>
      </c>
      <c r="G264" s="762">
        <v>0</v>
      </c>
      <c r="H264" s="762">
        <v>2118452</v>
      </c>
      <c r="I264" s="762">
        <v>239332</v>
      </c>
      <c r="J264" s="762">
        <v>0</v>
      </c>
      <c r="K264" s="762">
        <v>239332</v>
      </c>
      <c r="L264" s="762">
        <v>0</v>
      </c>
      <c r="M264" s="762">
        <v>167005</v>
      </c>
      <c r="N264" s="762">
        <v>118000</v>
      </c>
      <c r="O264" s="762">
        <v>118000</v>
      </c>
      <c r="P264" s="762">
        <v>0</v>
      </c>
      <c r="Q264" s="762">
        <v>0</v>
      </c>
      <c r="R264" s="762">
        <v>80040010</v>
      </c>
      <c r="S264" s="790">
        <v>0.5</v>
      </c>
      <c r="T264" s="790">
        <v>0.49</v>
      </c>
      <c r="U264" s="790">
        <v>0</v>
      </c>
      <c r="V264" s="790">
        <v>0.01</v>
      </c>
      <c r="W264" s="790">
        <v>1</v>
      </c>
      <c r="X264" s="762">
        <v>40020005</v>
      </c>
      <c r="Y264" s="762">
        <v>39219605</v>
      </c>
      <c r="Z264" s="762">
        <v>0</v>
      </c>
      <c r="AA264" s="762">
        <v>800400</v>
      </c>
      <c r="AB264" s="762">
        <v>80040010</v>
      </c>
      <c r="AC264" s="762">
        <v>71482</v>
      </c>
      <c r="AD264" s="762">
        <v>0</v>
      </c>
      <c r="AE264" s="762">
        <v>0</v>
      </c>
      <c r="AF264" s="762">
        <v>0</v>
      </c>
      <c r="AG264" s="762">
        <v>71482</v>
      </c>
      <c r="AH264" s="762">
        <v>39948523</v>
      </c>
      <c r="AI264" s="762">
        <v>39219605</v>
      </c>
      <c r="AJ264" s="762">
        <v>0</v>
      </c>
      <c r="AK264" s="762">
        <v>800400</v>
      </c>
      <c r="AL264" s="762">
        <v>79968528</v>
      </c>
      <c r="AM264" s="762">
        <v>239332</v>
      </c>
      <c r="AN264" s="762">
        <v>239332</v>
      </c>
      <c r="AO264" s="762">
        <v>167005</v>
      </c>
      <c r="AP264" s="762">
        <v>167005</v>
      </c>
      <c r="AQ264" s="762">
        <v>118000</v>
      </c>
      <c r="AR264" s="762">
        <v>0</v>
      </c>
      <c r="AS264" s="762">
        <v>118000</v>
      </c>
      <c r="AT264" s="762">
        <v>0</v>
      </c>
      <c r="AU264" s="762">
        <v>0</v>
      </c>
      <c r="AV264" s="762">
        <v>0</v>
      </c>
      <c r="AW264" s="762">
        <v>0</v>
      </c>
      <c r="AX264" s="762">
        <v>71337</v>
      </c>
      <c r="AY264" s="762">
        <v>0</v>
      </c>
      <c r="AZ264" s="762">
        <v>145</v>
      </c>
      <c r="BA264" s="762">
        <v>71482</v>
      </c>
      <c r="BB264" s="762">
        <v>0</v>
      </c>
      <c r="BC264" s="762">
        <v>0</v>
      </c>
      <c r="BD264" s="762">
        <v>0</v>
      </c>
      <c r="BE264" s="762">
        <v>0</v>
      </c>
      <c r="BF264" s="762">
        <v>0</v>
      </c>
      <c r="BG264" s="762">
        <v>0</v>
      </c>
      <c r="BH264" s="762">
        <v>0</v>
      </c>
      <c r="BI264" s="762">
        <v>0</v>
      </c>
      <c r="BJ264" s="790">
        <v>0.5</v>
      </c>
      <c r="BK264" s="790">
        <v>0.49</v>
      </c>
      <c r="BL264" s="790">
        <v>0</v>
      </c>
      <c r="BM264" s="790">
        <v>0.01</v>
      </c>
      <c r="BN264" s="790">
        <v>1</v>
      </c>
      <c r="BO264" s="762">
        <v>-136058</v>
      </c>
      <c r="BP264" s="762">
        <v>-133336</v>
      </c>
      <c r="BQ264" s="762">
        <v>0</v>
      </c>
      <c r="BR264" s="762">
        <v>-2721</v>
      </c>
      <c r="BS264" s="762">
        <v>-272115</v>
      </c>
      <c r="BT264" s="790">
        <v>0.5</v>
      </c>
      <c r="BU264" s="790">
        <v>0.49</v>
      </c>
      <c r="BV264" s="790">
        <v>0</v>
      </c>
      <c r="BW264" s="790">
        <v>0.01</v>
      </c>
      <c r="BX264" s="790">
        <v>1</v>
      </c>
      <c r="BY264" s="762">
        <v>-166293.5</v>
      </c>
      <c r="BZ264" s="762">
        <v>-162968</v>
      </c>
      <c r="CA264" s="762">
        <v>0</v>
      </c>
      <c r="CB264" s="762">
        <v>-3326</v>
      </c>
      <c r="CC264" s="762">
        <v>-332587.5</v>
      </c>
      <c r="CD264" s="762">
        <v>-302352</v>
      </c>
      <c r="CE264" s="762">
        <v>-296304</v>
      </c>
      <c r="CF264" s="762">
        <v>0</v>
      </c>
      <c r="CG264" s="762">
        <v>-6047</v>
      </c>
      <c r="CH264" s="762">
        <v>-604702.5</v>
      </c>
      <c r="CI264" s="762">
        <v>39646171</v>
      </c>
      <c r="CJ264" s="762">
        <v>39518975</v>
      </c>
      <c r="CK264" s="762">
        <v>0</v>
      </c>
      <c r="CL264" s="762">
        <v>794498</v>
      </c>
      <c r="CM264" s="762">
        <v>79959645</v>
      </c>
      <c r="CN264" s="762">
        <v>1289644</v>
      </c>
      <c r="CO264" s="762">
        <v>0</v>
      </c>
      <c r="CP264" s="762">
        <v>26087</v>
      </c>
      <c r="CQ264" s="762">
        <v>1315731</v>
      </c>
      <c r="CR264" s="762">
        <v>1696800</v>
      </c>
      <c r="CS264" s="762">
        <v>0</v>
      </c>
      <c r="CT264" s="762">
        <v>34018</v>
      </c>
      <c r="CU264" s="762">
        <v>1730818</v>
      </c>
      <c r="CV264" s="762">
        <v>147912</v>
      </c>
      <c r="CW264" s="762">
        <v>0</v>
      </c>
      <c r="CX264" s="762">
        <v>2987</v>
      </c>
      <c r="CY264" s="762">
        <v>150899</v>
      </c>
      <c r="CZ264" s="762">
        <v>0</v>
      </c>
      <c r="DA264" s="762">
        <v>0</v>
      </c>
      <c r="DB264" s="762">
        <v>0</v>
      </c>
      <c r="DC264" s="762">
        <v>0</v>
      </c>
      <c r="DD264" s="762">
        <v>4654</v>
      </c>
      <c r="DE264" s="762">
        <v>0</v>
      </c>
      <c r="DF264" s="762">
        <v>95</v>
      </c>
      <c r="DG264" s="762">
        <v>4749</v>
      </c>
      <c r="DH264" s="762">
        <v>0</v>
      </c>
      <c r="DI264" s="762">
        <v>0</v>
      </c>
      <c r="DJ264" s="762">
        <v>0</v>
      </c>
      <c r="DK264" s="762">
        <v>0</v>
      </c>
      <c r="DL264" s="762">
        <v>11998</v>
      </c>
      <c r="DM264" s="762">
        <v>0</v>
      </c>
      <c r="DN264" s="762">
        <v>245</v>
      </c>
      <c r="DO264" s="762">
        <v>12243</v>
      </c>
      <c r="DP264" s="762">
        <v>24286</v>
      </c>
      <c r="DQ264" s="762">
        <v>0</v>
      </c>
      <c r="DR264" s="762">
        <v>496</v>
      </c>
      <c r="DS264" s="762">
        <v>24782</v>
      </c>
      <c r="DT264" s="762">
        <v>0</v>
      </c>
      <c r="DU264" s="762">
        <v>0</v>
      </c>
      <c r="DV264" s="762">
        <v>0</v>
      </c>
      <c r="DW264" s="762">
        <v>0</v>
      </c>
      <c r="DX264" s="762">
        <v>0</v>
      </c>
      <c r="DY264" s="762">
        <v>0</v>
      </c>
      <c r="DZ264" s="762">
        <v>0</v>
      </c>
      <c r="EA264" s="762">
        <v>0</v>
      </c>
      <c r="EB264" s="762">
        <v>353574</v>
      </c>
      <c r="EC264" s="762">
        <v>0</v>
      </c>
      <c r="ED264" s="762">
        <v>7216</v>
      </c>
      <c r="EE264" s="762">
        <v>360790</v>
      </c>
      <c r="EF264" s="762">
        <v>3528868</v>
      </c>
      <c r="EG264" s="762">
        <v>0</v>
      </c>
      <c r="EH264" s="762">
        <v>71144</v>
      </c>
      <c r="EI264" s="799">
        <v>3600012</v>
      </c>
      <c r="EJ264" s="763" t="s">
        <v>555</v>
      </c>
      <c r="EK264" s="607" t="s">
        <v>529</v>
      </c>
      <c r="EL264" s="805" t="s">
        <v>553</v>
      </c>
      <c r="EM264" t="s">
        <v>1830</v>
      </c>
    </row>
    <row r="265" spans="1:143" ht="12.75" x14ac:dyDescent="0.2">
      <c r="A265" s="764">
        <v>258</v>
      </c>
      <c r="B265" s="765" t="s">
        <v>407</v>
      </c>
      <c r="C265" s="766" t="s">
        <v>529</v>
      </c>
      <c r="D265" s="767" t="s">
        <v>1227</v>
      </c>
      <c r="E265" s="768" t="s">
        <v>612</v>
      </c>
      <c r="F265" s="761">
        <v>93177761</v>
      </c>
      <c r="G265" s="762">
        <v>83899</v>
      </c>
      <c r="H265" s="762">
        <v>0</v>
      </c>
      <c r="I265" s="762">
        <v>359017</v>
      </c>
      <c r="J265" s="762">
        <v>0</v>
      </c>
      <c r="K265" s="762">
        <v>359017</v>
      </c>
      <c r="L265" s="762">
        <v>0</v>
      </c>
      <c r="M265" s="762">
        <v>1420175</v>
      </c>
      <c r="N265" s="762">
        <v>0</v>
      </c>
      <c r="O265" s="762">
        <v>0</v>
      </c>
      <c r="P265" s="762">
        <v>0</v>
      </c>
      <c r="Q265" s="762">
        <v>0</v>
      </c>
      <c r="R265" s="762">
        <v>91482468</v>
      </c>
      <c r="S265" s="790">
        <v>0.25</v>
      </c>
      <c r="T265" s="790">
        <v>0.74</v>
      </c>
      <c r="U265" s="790">
        <v>0</v>
      </c>
      <c r="V265" s="790">
        <v>0.01</v>
      </c>
      <c r="W265" s="790">
        <v>1</v>
      </c>
      <c r="X265" s="762">
        <v>22870617</v>
      </c>
      <c r="Y265" s="762">
        <v>67697026</v>
      </c>
      <c r="Z265" s="762">
        <v>0</v>
      </c>
      <c r="AA265" s="762">
        <v>914825</v>
      </c>
      <c r="AB265" s="762">
        <v>91482468</v>
      </c>
      <c r="AC265" s="762">
        <v>58509</v>
      </c>
      <c r="AD265" s="762">
        <v>0</v>
      </c>
      <c r="AE265" s="762">
        <v>0</v>
      </c>
      <c r="AF265" s="762">
        <v>0</v>
      </c>
      <c r="AG265" s="762">
        <v>58509</v>
      </c>
      <c r="AH265" s="762">
        <v>22812108</v>
      </c>
      <c r="AI265" s="762">
        <v>67697026</v>
      </c>
      <c r="AJ265" s="762">
        <v>0</v>
      </c>
      <c r="AK265" s="762">
        <v>914825</v>
      </c>
      <c r="AL265" s="762">
        <v>91423959</v>
      </c>
      <c r="AM265" s="762">
        <v>359017</v>
      </c>
      <c r="AN265" s="762">
        <v>359017</v>
      </c>
      <c r="AO265" s="762">
        <v>1420175</v>
      </c>
      <c r="AP265" s="762">
        <v>1420175</v>
      </c>
      <c r="AQ265" s="762">
        <v>0</v>
      </c>
      <c r="AR265" s="762">
        <v>0</v>
      </c>
      <c r="AS265" s="762">
        <v>0</v>
      </c>
      <c r="AT265" s="762">
        <v>0</v>
      </c>
      <c r="AU265" s="762">
        <v>0</v>
      </c>
      <c r="AV265" s="762">
        <v>0</v>
      </c>
      <c r="AW265" s="762">
        <v>0</v>
      </c>
      <c r="AX265" s="762">
        <v>58509</v>
      </c>
      <c r="AY265" s="762">
        <v>0</v>
      </c>
      <c r="AZ265" s="762">
        <v>0</v>
      </c>
      <c r="BA265" s="762">
        <v>58509</v>
      </c>
      <c r="BB265" s="762">
        <v>0</v>
      </c>
      <c r="BC265" s="762">
        <v>0</v>
      </c>
      <c r="BD265" s="762">
        <v>0</v>
      </c>
      <c r="BE265" s="762">
        <v>0</v>
      </c>
      <c r="BF265" s="762">
        <v>0</v>
      </c>
      <c r="BG265" s="762">
        <v>0</v>
      </c>
      <c r="BH265" s="762">
        <v>0</v>
      </c>
      <c r="BI265" s="762">
        <v>0</v>
      </c>
      <c r="BJ265" s="790">
        <v>0.5</v>
      </c>
      <c r="BK265" s="790">
        <v>0.49</v>
      </c>
      <c r="BL265" s="790">
        <v>0</v>
      </c>
      <c r="BM265" s="790">
        <v>0.01</v>
      </c>
      <c r="BN265" s="790">
        <v>1</v>
      </c>
      <c r="BO265" s="762">
        <v>-817070</v>
      </c>
      <c r="BP265" s="762">
        <v>-800728</v>
      </c>
      <c r="BQ265" s="762">
        <v>0</v>
      </c>
      <c r="BR265" s="762">
        <v>-16341</v>
      </c>
      <c r="BS265" s="762">
        <v>-1634139</v>
      </c>
      <c r="BT265" s="790">
        <v>0.5</v>
      </c>
      <c r="BU265" s="790">
        <v>0.49</v>
      </c>
      <c r="BV265" s="790">
        <v>0</v>
      </c>
      <c r="BW265" s="790">
        <v>0.01</v>
      </c>
      <c r="BX265" s="790">
        <v>1</v>
      </c>
      <c r="BY265" s="762">
        <v>-1325326</v>
      </c>
      <c r="BZ265" s="762">
        <v>-1298819</v>
      </c>
      <c r="CA265" s="762">
        <v>0</v>
      </c>
      <c r="CB265" s="762">
        <v>-26507</v>
      </c>
      <c r="CC265" s="762">
        <v>-2650652</v>
      </c>
      <c r="CD265" s="762">
        <v>-2142395</v>
      </c>
      <c r="CE265" s="762">
        <v>-2099548</v>
      </c>
      <c r="CF265" s="762">
        <v>0</v>
      </c>
      <c r="CG265" s="762">
        <v>-42848</v>
      </c>
      <c r="CH265" s="762">
        <v>-4284791</v>
      </c>
      <c r="CI265" s="762">
        <v>20669713</v>
      </c>
      <c r="CJ265" s="762">
        <v>67435179</v>
      </c>
      <c r="CK265" s="762">
        <v>0</v>
      </c>
      <c r="CL265" s="762">
        <v>871977</v>
      </c>
      <c r="CM265" s="762">
        <v>88976869</v>
      </c>
      <c r="CN265" s="762">
        <v>2254198</v>
      </c>
      <c r="CO265" s="762">
        <v>0</v>
      </c>
      <c r="CP265" s="762">
        <v>29811</v>
      </c>
      <c r="CQ265" s="762">
        <v>2284009</v>
      </c>
      <c r="CR265" s="762">
        <v>5558519</v>
      </c>
      <c r="CS265" s="762">
        <v>0</v>
      </c>
      <c r="CT265" s="762">
        <v>75115</v>
      </c>
      <c r="CU265" s="762">
        <v>5633634</v>
      </c>
      <c r="CV265" s="762">
        <v>256426</v>
      </c>
      <c r="CW265" s="762">
        <v>0</v>
      </c>
      <c r="CX265" s="762">
        <v>3465</v>
      </c>
      <c r="CY265" s="762">
        <v>259891</v>
      </c>
      <c r="CZ265" s="762">
        <v>5046</v>
      </c>
      <c r="DA265" s="762">
        <v>0</v>
      </c>
      <c r="DB265" s="762">
        <v>68</v>
      </c>
      <c r="DC265" s="762">
        <v>5114</v>
      </c>
      <c r="DD265" s="762">
        <v>0</v>
      </c>
      <c r="DE265" s="762">
        <v>0</v>
      </c>
      <c r="DF265" s="762">
        <v>0</v>
      </c>
      <c r="DG265" s="762">
        <v>0</v>
      </c>
      <c r="DH265" s="762">
        <v>1147</v>
      </c>
      <c r="DI265" s="762">
        <v>0</v>
      </c>
      <c r="DJ265" s="762">
        <v>15</v>
      </c>
      <c r="DK265" s="762">
        <v>1162</v>
      </c>
      <c r="DL265" s="762">
        <v>23034</v>
      </c>
      <c r="DM265" s="762">
        <v>0</v>
      </c>
      <c r="DN265" s="762">
        <v>311</v>
      </c>
      <c r="DO265" s="762">
        <v>23345</v>
      </c>
      <c r="DP265" s="762">
        <v>86286</v>
      </c>
      <c r="DQ265" s="762">
        <v>0</v>
      </c>
      <c r="DR265" s="762">
        <v>1166</v>
      </c>
      <c r="DS265" s="762">
        <v>87452</v>
      </c>
      <c r="DT265" s="762">
        <v>0</v>
      </c>
      <c r="DU265" s="762">
        <v>0</v>
      </c>
      <c r="DV265" s="762">
        <v>0</v>
      </c>
      <c r="DW265" s="762">
        <v>0</v>
      </c>
      <c r="DX265" s="762">
        <v>0</v>
      </c>
      <c r="DY265" s="762">
        <v>0</v>
      </c>
      <c r="DZ265" s="762">
        <v>0</v>
      </c>
      <c r="EA265" s="762">
        <v>0</v>
      </c>
      <c r="EB265" s="762">
        <v>1819993</v>
      </c>
      <c r="EC265" s="762">
        <v>0</v>
      </c>
      <c r="ED265" s="762">
        <v>24594</v>
      </c>
      <c r="EE265" s="762">
        <v>1844587</v>
      </c>
      <c r="EF265" s="762">
        <v>10004649</v>
      </c>
      <c r="EG265" s="762">
        <v>0</v>
      </c>
      <c r="EH265" s="762">
        <v>134545</v>
      </c>
      <c r="EI265" s="799">
        <v>10139194</v>
      </c>
      <c r="EJ265" s="763" t="s">
        <v>612</v>
      </c>
      <c r="EK265" s="607" t="s">
        <v>529</v>
      </c>
      <c r="EL265" s="805" t="s">
        <v>613</v>
      </c>
      <c r="EM265" t="s">
        <v>1831</v>
      </c>
    </row>
    <row r="266" spans="1:143" ht="12.75" x14ac:dyDescent="0.2">
      <c r="A266" s="764">
        <v>259</v>
      </c>
      <c r="B266" s="765" t="s">
        <v>409</v>
      </c>
      <c r="C266" s="766" t="s">
        <v>1217</v>
      </c>
      <c r="D266" s="767" t="s">
        <v>1227</v>
      </c>
      <c r="E266" s="768" t="s">
        <v>1899</v>
      </c>
      <c r="F266" s="761">
        <v>54358616.609999992</v>
      </c>
      <c r="G266" s="762">
        <v>31427.260000000068</v>
      </c>
      <c r="H266" s="762">
        <v>0</v>
      </c>
      <c r="I266" s="762">
        <v>228473</v>
      </c>
      <c r="J266" s="762">
        <v>0</v>
      </c>
      <c r="K266" s="762">
        <v>228473</v>
      </c>
      <c r="L266" s="762">
        <v>0</v>
      </c>
      <c r="M266" s="762">
        <v>0</v>
      </c>
      <c r="N266" s="762">
        <v>29232</v>
      </c>
      <c r="O266" s="762">
        <v>29232</v>
      </c>
      <c r="P266" s="762">
        <v>0</v>
      </c>
      <c r="Q266" s="762">
        <v>0</v>
      </c>
      <c r="R266" s="762">
        <v>54132339</v>
      </c>
      <c r="S266" s="790">
        <v>0.5</v>
      </c>
      <c r="T266" s="790">
        <v>0.4</v>
      </c>
      <c r="U266" s="790">
        <v>0.1</v>
      </c>
      <c r="V266" s="790">
        <v>0</v>
      </c>
      <c r="W266" s="790">
        <v>1</v>
      </c>
      <c r="X266" s="762">
        <v>27066169</v>
      </c>
      <c r="Y266" s="762">
        <v>21652936</v>
      </c>
      <c r="Z266" s="762">
        <v>5413234</v>
      </c>
      <c r="AA266" s="762">
        <v>0</v>
      </c>
      <c r="AB266" s="762">
        <v>54132339</v>
      </c>
      <c r="AC266" s="762">
        <v>0</v>
      </c>
      <c r="AD266" s="762">
        <v>0</v>
      </c>
      <c r="AE266" s="762">
        <v>0</v>
      </c>
      <c r="AF266" s="762">
        <v>0</v>
      </c>
      <c r="AG266" s="762">
        <v>0</v>
      </c>
      <c r="AH266" s="762">
        <v>27066169</v>
      </c>
      <c r="AI266" s="762">
        <v>21652936</v>
      </c>
      <c r="AJ266" s="762">
        <v>5413234</v>
      </c>
      <c r="AK266" s="762">
        <v>0</v>
      </c>
      <c r="AL266" s="762">
        <v>54132339</v>
      </c>
      <c r="AM266" s="762">
        <v>228473</v>
      </c>
      <c r="AN266" s="762">
        <v>228473</v>
      </c>
      <c r="AO266" s="762">
        <v>0</v>
      </c>
      <c r="AP266" s="762">
        <v>0</v>
      </c>
      <c r="AQ266" s="762">
        <v>29232</v>
      </c>
      <c r="AR266" s="762">
        <v>0</v>
      </c>
      <c r="AS266" s="762">
        <v>29232</v>
      </c>
      <c r="AT266" s="762">
        <v>0</v>
      </c>
      <c r="AU266" s="762">
        <v>0</v>
      </c>
      <c r="AV266" s="762">
        <v>0</v>
      </c>
      <c r="AW266" s="762">
        <v>0</v>
      </c>
      <c r="AX266" s="762">
        <v>0</v>
      </c>
      <c r="AY266" s="762">
        <v>0</v>
      </c>
      <c r="AZ266" s="762">
        <v>0</v>
      </c>
      <c r="BA266" s="762">
        <v>0</v>
      </c>
      <c r="BB266" s="762">
        <v>0</v>
      </c>
      <c r="BC266" s="762">
        <v>0</v>
      </c>
      <c r="BD266" s="762">
        <v>0</v>
      </c>
      <c r="BE266" s="762">
        <v>0</v>
      </c>
      <c r="BF266" s="762">
        <v>0</v>
      </c>
      <c r="BG266" s="762">
        <v>0</v>
      </c>
      <c r="BH266" s="762">
        <v>0</v>
      </c>
      <c r="BI266" s="762">
        <v>0</v>
      </c>
      <c r="BJ266" s="790">
        <v>0.5</v>
      </c>
      <c r="BK266" s="790">
        <v>0.4</v>
      </c>
      <c r="BL266" s="790">
        <v>0.1</v>
      </c>
      <c r="BM266" s="790">
        <v>0</v>
      </c>
      <c r="BN266" s="790">
        <v>1</v>
      </c>
      <c r="BO266" s="762">
        <v>-1882287</v>
      </c>
      <c r="BP266" s="762">
        <v>-1505829</v>
      </c>
      <c r="BQ266" s="762">
        <v>-376457</v>
      </c>
      <c r="BR266" s="762">
        <v>0</v>
      </c>
      <c r="BS266" s="762">
        <v>-3764573</v>
      </c>
      <c r="BT266" s="790">
        <v>0.5</v>
      </c>
      <c r="BU266" s="790">
        <v>0.4</v>
      </c>
      <c r="BV266" s="790">
        <v>0.1</v>
      </c>
      <c r="BW266" s="790">
        <v>0</v>
      </c>
      <c r="BX266" s="790">
        <v>1</v>
      </c>
      <c r="BY266" s="762">
        <v>-1083778</v>
      </c>
      <c r="BZ266" s="762">
        <v>-867023</v>
      </c>
      <c r="CA266" s="762">
        <v>-216756</v>
      </c>
      <c r="CB266" s="762">
        <v>0</v>
      </c>
      <c r="CC266" s="762">
        <v>-2167557</v>
      </c>
      <c r="CD266" s="762">
        <v>-2966065</v>
      </c>
      <c r="CE266" s="762">
        <v>-2372852</v>
      </c>
      <c r="CF266" s="762">
        <v>-593213</v>
      </c>
      <c r="CG266" s="762">
        <v>0</v>
      </c>
      <c r="CH266" s="762">
        <v>-5932130</v>
      </c>
      <c r="CI266" s="762">
        <v>24100104</v>
      </c>
      <c r="CJ266" s="762">
        <v>19537789</v>
      </c>
      <c r="CK266" s="762">
        <v>4820021</v>
      </c>
      <c r="CL266" s="762">
        <v>0</v>
      </c>
      <c r="CM266" s="762">
        <v>48457914</v>
      </c>
      <c r="CN266" s="762">
        <v>706547</v>
      </c>
      <c r="CO266" s="762">
        <v>176399</v>
      </c>
      <c r="CP266" s="762">
        <v>0</v>
      </c>
      <c r="CQ266" s="762">
        <v>882946</v>
      </c>
      <c r="CR266" s="762">
        <v>1682245</v>
      </c>
      <c r="CS266" s="762">
        <v>420561</v>
      </c>
      <c r="CT266" s="762">
        <v>0</v>
      </c>
      <c r="CU266" s="762">
        <v>2102806</v>
      </c>
      <c r="CV266" s="762">
        <v>128311</v>
      </c>
      <c r="CW266" s="762">
        <v>32078</v>
      </c>
      <c r="CX266" s="762">
        <v>0</v>
      </c>
      <c r="CY266" s="762">
        <v>160389</v>
      </c>
      <c r="CZ266" s="762">
        <v>0</v>
      </c>
      <c r="DA266" s="762">
        <v>0</v>
      </c>
      <c r="DB266" s="762">
        <v>0</v>
      </c>
      <c r="DC266" s="762">
        <v>0</v>
      </c>
      <c r="DD266" s="762">
        <v>10098</v>
      </c>
      <c r="DE266" s="762">
        <v>2525</v>
      </c>
      <c r="DF266" s="762">
        <v>0</v>
      </c>
      <c r="DG266" s="762">
        <v>12623</v>
      </c>
      <c r="DH266" s="762">
        <v>619</v>
      </c>
      <c r="DI266" s="762">
        <v>155</v>
      </c>
      <c r="DJ266" s="762">
        <v>0</v>
      </c>
      <c r="DK266" s="762">
        <v>774</v>
      </c>
      <c r="DL266" s="762">
        <v>9742</v>
      </c>
      <c r="DM266" s="762">
        <v>2436</v>
      </c>
      <c r="DN266" s="762">
        <v>0</v>
      </c>
      <c r="DO266" s="762">
        <v>12178</v>
      </c>
      <c r="DP266" s="762">
        <v>619</v>
      </c>
      <c r="DQ266" s="762">
        <v>155</v>
      </c>
      <c r="DR266" s="762">
        <v>0</v>
      </c>
      <c r="DS266" s="762">
        <v>774</v>
      </c>
      <c r="DT266" s="762">
        <v>0</v>
      </c>
      <c r="DU266" s="762">
        <v>0</v>
      </c>
      <c r="DV266" s="762">
        <v>0</v>
      </c>
      <c r="DW266" s="762">
        <v>0</v>
      </c>
      <c r="DX266" s="762">
        <v>0</v>
      </c>
      <c r="DY266" s="762">
        <v>0</v>
      </c>
      <c r="DZ266" s="762">
        <v>0</v>
      </c>
      <c r="EA266" s="762">
        <v>0</v>
      </c>
      <c r="EB266" s="762">
        <v>629674</v>
      </c>
      <c r="EC266" s="762">
        <v>157418</v>
      </c>
      <c r="ED266" s="762">
        <v>0</v>
      </c>
      <c r="EE266" s="762">
        <v>787092</v>
      </c>
      <c r="EF266" s="762">
        <v>3167855</v>
      </c>
      <c r="EG266" s="762">
        <v>791727</v>
      </c>
      <c r="EH266" s="762">
        <v>0</v>
      </c>
      <c r="EI266" s="799">
        <v>3959582</v>
      </c>
      <c r="EJ266" s="763" t="s">
        <v>408</v>
      </c>
      <c r="EK266" s="607" t="s">
        <v>617</v>
      </c>
      <c r="EL266" s="805" t="s">
        <v>556</v>
      </c>
      <c r="EM266" t="s">
        <v>1832</v>
      </c>
    </row>
    <row r="267" spans="1:143" ht="12.75" x14ac:dyDescent="0.2">
      <c r="A267" s="764">
        <v>260</v>
      </c>
      <c r="B267" s="765" t="s">
        <v>411</v>
      </c>
      <c r="C267" s="766" t="s">
        <v>1217</v>
      </c>
      <c r="D267" s="767" t="s">
        <v>1226</v>
      </c>
      <c r="E267" s="768" t="s">
        <v>410</v>
      </c>
      <c r="F267" s="761">
        <v>28230888.41</v>
      </c>
      <c r="G267" s="762">
        <v>204171.18</v>
      </c>
      <c r="H267" s="762">
        <v>0</v>
      </c>
      <c r="I267" s="762">
        <v>155352</v>
      </c>
      <c r="J267" s="762">
        <v>0</v>
      </c>
      <c r="K267" s="762">
        <v>155352</v>
      </c>
      <c r="L267" s="762">
        <v>0</v>
      </c>
      <c r="M267" s="762">
        <v>0</v>
      </c>
      <c r="N267" s="762">
        <v>102147</v>
      </c>
      <c r="O267" s="762">
        <v>102147</v>
      </c>
      <c r="P267" s="762">
        <v>0</v>
      </c>
      <c r="Q267" s="762">
        <v>0</v>
      </c>
      <c r="R267" s="762">
        <v>28177561</v>
      </c>
      <c r="S267" s="790">
        <v>0.5</v>
      </c>
      <c r="T267" s="790">
        <v>0.4</v>
      </c>
      <c r="U267" s="790">
        <v>0.1</v>
      </c>
      <c r="V267" s="790">
        <v>0</v>
      </c>
      <c r="W267" s="790">
        <v>1</v>
      </c>
      <c r="X267" s="762">
        <v>14088781</v>
      </c>
      <c r="Y267" s="762">
        <v>11271024</v>
      </c>
      <c r="Z267" s="762">
        <v>2817756</v>
      </c>
      <c r="AA267" s="762">
        <v>0</v>
      </c>
      <c r="AB267" s="762">
        <v>28177561</v>
      </c>
      <c r="AC267" s="762">
        <v>0</v>
      </c>
      <c r="AD267" s="762">
        <v>0</v>
      </c>
      <c r="AE267" s="762">
        <v>0</v>
      </c>
      <c r="AF267" s="762">
        <v>0</v>
      </c>
      <c r="AG267" s="762">
        <v>0</v>
      </c>
      <c r="AH267" s="762">
        <v>14088781</v>
      </c>
      <c r="AI267" s="762">
        <v>11271024</v>
      </c>
      <c r="AJ267" s="762">
        <v>2817756</v>
      </c>
      <c r="AK267" s="762">
        <v>0</v>
      </c>
      <c r="AL267" s="762">
        <v>28177561</v>
      </c>
      <c r="AM267" s="762">
        <v>155352</v>
      </c>
      <c r="AN267" s="762">
        <v>155352</v>
      </c>
      <c r="AO267" s="762">
        <v>0</v>
      </c>
      <c r="AP267" s="762">
        <v>0</v>
      </c>
      <c r="AQ267" s="762">
        <v>102147</v>
      </c>
      <c r="AR267" s="762">
        <v>0</v>
      </c>
      <c r="AS267" s="762">
        <v>102147</v>
      </c>
      <c r="AT267" s="762">
        <v>0</v>
      </c>
      <c r="AU267" s="762">
        <v>0</v>
      </c>
      <c r="AV267" s="762">
        <v>0</v>
      </c>
      <c r="AW267" s="762">
        <v>0</v>
      </c>
      <c r="AX267" s="762">
        <v>0</v>
      </c>
      <c r="AY267" s="762">
        <v>0</v>
      </c>
      <c r="AZ267" s="762">
        <v>0</v>
      </c>
      <c r="BA267" s="762">
        <v>0</v>
      </c>
      <c r="BB267" s="762">
        <v>0</v>
      </c>
      <c r="BC267" s="762">
        <v>0</v>
      </c>
      <c r="BD267" s="762">
        <v>0</v>
      </c>
      <c r="BE267" s="762">
        <v>0</v>
      </c>
      <c r="BF267" s="762">
        <v>0</v>
      </c>
      <c r="BG267" s="762">
        <v>0</v>
      </c>
      <c r="BH267" s="762">
        <v>0</v>
      </c>
      <c r="BI267" s="762">
        <v>0</v>
      </c>
      <c r="BJ267" s="790">
        <v>0</v>
      </c>
      <c r="BK267" s="790">
        <v>0.5</v>
      </c>
      <c r="BL267" s="790">
        <v>0.5</v>
      </c>
      <c r="BM267" s="790">
        <v>0</v>
      </c>
      <c r="BN267" s="790">
        <v>1</v>
      </c>
      <c r="BO267" s="762">
        <v>-1</v>
      </c>
      <c r="BP267" s="762">
        <v>323812</v>
      </c>
      <c r="BQ267" s="762">
        <v>323812</v>
      </c>
      <c r="BR267" s="762">
        <v>0</v>
      </c>
      <c r="BS267" s="762">
        <v>647623</v>
      </c>
      <c r="BT267" s="790">
        <v>0.5</v>
      </c>
      <c r="BU267" s="790">
        <v>0.4</v>
      </c>
      <c r="BV267" s="790">
        <v>0.1</v>
      </c>
      <c r="BW267" s="790">
        <v>0</v>
      </c>
      <c r="BX267" s="790">
        <v>1</v>
      </c>
      <c r="BY267" s="762">
        <v>-118304</v>
      </c>
      <c r="BZ267" s="762">
        <v>-94643</v>
      </c>
      <c r="CA267" s="762">
        <v>-23661</v>
      </c>
      <c r="CB267" s="762">
        <v>0</v>
      </c>
      <c r="CC267" s="762">
        <v>-236608</v>
      </c>
      <c r="CD267" s="762">
        <v>-118305</v>
      </c>
      <c r="CE267" s="762">
        <v>229169</v>
      </c>
      <c r="CF267" s="762">
        <v>300151</v>
      </c>
      <c r="CG267" s="762">
        <v>0</v>
      </c>
      <c r="CH267" s="762">
        <v>411015</v>
      </c>
      <c r="CI267" s="762">
        <v>13970476</v>
      </c>
      <c r="CJ267" s="762">
        <v>11757692</v>
      </c>
      <c r="CK267" s="762">
        <v>3117907</v>
      </c>
      <c r="CL267" s="762">
        <v>0</v>
      </c>
      <c r="CM267" s="762">
        <v>28846075</v>
      </c>
      <c r="CN267" s="762">
        <v>370612</v>
      </c>
      <c r="CO267" s="762">
        <v>91821</v>
      </c>
      <c r="CP267" s="762">
        <v>0</v>
      </c>
      <c r="CQ267" s="762">
        <v>462433</v>
      </c>
      <c r="CR267" s="762">
        <v>1195501</v>
      </c>
      <c r="CS267" s="762">
        <v>298875</v>
      </c>
      <c r="CT267" s="762">
        <v>0</v>
      </c>
      <c r="CU267" s="762">
        <v>1494376</v>
      </c>
      <c r="CV267" s="762">
        <v>48239</v>
      </c>
      <c r="CW267" s="762">
        <v>12060</v>
      </c>
      <c r="CX267" s="762">
        <v>0</v>
      </c>
      <c r="CY267" s="762">
        <v>60299</v>
      </c>
      <c r="CZ267" s="762">
        <v>0</v>
      </c>
      <c r="DA267" s="762">
        <v>0</v>
      </c>
      <c r="DB267" s="762">
        <v>0</v>
      </c>
      <c r="DC267" s="762">
        <v>0</v>
      </c>
      <c r="DD267" s="762">
        <v>12390</v>
      </c>
      <c r="DE267" s="762">
        <v>3097</v>
      </c>
      <c r="DF267" s="762">
        <v>0</v>
      </c>
      <c r="DG267" s="762">
        <v>15487</v>
      </c>
      <c r="DH267" s="762">
        <v>619</v>
      </c>
      <c r="DI267" s="762">
        <v>155</v>
      </c>
      <c r="DJ267" s="762">
        <v>0</v>
      </c>
      <c r="DK267" s="762">
        <v>774</v>
      </c>
      <c r="DL267" s="762">
        <v>12337</v>
      </c>
      <c r="DM267" s="762">
        <v>3084</v>
      </c>
      <c r="DN267" s="762">
        <v>0</v>
      </c>
      <c r="DO267" s="762">
        <v>15421</v>
      </c>
      <c r="DP267" s="762">
        <v>20652</v>
      </c>
      <c r="DQ267" s="762">
        <v>5163</v>
      </c>
      <c r="DR267" s="762">
        <v>0</v>
      </c>
      <c r="DS267" s="762">
        <v>25815</v>
      </c>
      <c r="DT267" s="762">
        <v>0</v>
      </c>
      <c r="DU267" s="762">
        <v>0</v>
      </c>
      <c r="DV267" s="762">
        <v>0</v>
      </c>
      <c r="DW267" s="762">
        <v>0</v>
      </c>
      <c r="DX267" s="762">
        <v>0</v>
      </c>
      <c r="DY267" s="762">
        <v>0</v>
      </c>
      <c r="DZ267" s="762">
        <v>0</v>
      </c>
      <c r="EA267" s="762">
        <v>0</v>
      </c>
      <c r="EB267" s="762">
        <v>142331</v>
      </c>
      <c r="EC267" s="762">
        <v>35583</v>
      </c>
      <c r="ED267" s="762">
        <v>0</v>
      </c>
      <c r="EE267" s="762">
        <v>177914</v>
      </c>
      <c r="EF267" s="762">
        <v>1802681</v>
      </c>
      <c r="EG267" s="762">
        <v>449838</v>
      </c>
      <c r="EH267" s="762">
        <v>0</v>
      </c>
      <c r="EI267" s="799">
        <v>2252519</v>
      </c>
      <c r="EJ267" s="763" t="s">
        <v>410</v>
      </c>
      <c r="EK267" s="607" t="s">
        <v>576</v>
      </c>
      <c r="EL267" s="805" t="s">
        <v>556</v>
      </c>
      <c r="EM267" t="s">
        <v>1833</v>
      </c>
    </row>
    <row r="268" spans="1:143" ht="12.75" x14ac:dyDescent="0.2">
      <c r="A268" s="764">
        <v>261</v>
      </c>
      <c r="B268" s="765" t="s">
        <v>413</v>
      </c>
      <c r="C268" s="766" t="s">
        <v>1224</v>
      </c>
      <c r="D268" s="767" t="s">
        <v>1229</v>
      </c>
      <c r="E268" s="768" t="s">
        <v>412</v>
      </c>
      <c r="F268" s="761">
        <v>89208146.289999992</v>
      </c>
      <c r="G268" s="762">
        <v>0</v>
      </c>
      <c r="H268" s="762">
        <v>1210802.9100000001</v>
      </c>
      <c r="I268" s="762">
        <v>334751</v>
      </c>
      <c r="J268" s="762">
        <v>0</v>
      </c>
      <c r="K268" s="762">
        <v>334751</v>
      </c>
      <c r="L268" s="762">
        <v>0</v>
      </c>
      <c r="M268" s="762">
        <v>755954</v>
      </c>
      <c r="N268" s="762">
        <v>0</v>
      </c>
      <c r="O268" s="762">
        <v>0</v>
      </c>
      <c r="P268" s="762">
        <v>0</v>
      </c>
      <c r="Q268" s="762">
        <v>0</v>
      </c>
      <c r="R268" s="762">
        <v>86906638</v>
      </c>
      <c r="S268" s="790">
        <v>0.5</v>
      </c>
      <c r="T268" s="790">
        <v>0.49</v>
      </c>
      <c r="U268" s="790">
        <v>0</v>
      </c>
      <c r="V268" s="790">
        <v>0.01</v>
      </c>
      <c r="W268" s="790">
        <v>1</v>
      </c>
      <c r="X268" s="762">
        <v>43453319</v>
      </c>
      <c r="Y268" s="762">
        <v>42584253</v>
      </c>
      <c r="Z268" s="762">
        <v>0</v>
      </c>
      <c r="AA268" s="762">
        <v>869066</v>
      </c>
      <c r="AB268" s="762">
        <v>86906638</v>
      </c>
      <c r="AC268" s="762">
        <v>0</v>
      </c>
      <c r="AD268" s="762">
        <v>0</v>
      </c>
      <c r="AE268" s="762">
        <v>0</v>
      </c>
      <c r="AF268" s="762">
        <v>0</v>
      </c>
      <c r="AG268" s="762">
        <v>0</v>
      </c>
      <c r="AH268" s="762">
        <v>43453319</v>
      </c>
      <c r="AI268" s="762">
        <v>42584253</v>
      </c>
      <c r="AJ268" s="762">
        <v>0</v>
      </c>
      <c r="AK268" s="762">
        <v>869066</v>
      </c>
      <c r="AL268" s="762">
        <v>86906638</v>
      </c>
      <c r="AM268" s="762">
        <v>334751</v>
      </c>
      <c r="AN268" s="762">
        <v>334751</v>
      </c>
      <c r="AO268" s="762">
        <v>755954</v>
      </c>
      <c r="AP268" s="762">
        <v>755954</v>
      </c>
      <c r="AQ268" s="762">
        <v>0</v>
      </c>
      <c r="AR268" s="762">
        <v>0</v>
      </c>
      <c r="AS268" s="762">
        <v>0</v>
      </c>
      <c r="AT268" s="762">
        <v>0</v>
      </c>
      <c r="AU268" s="762">
        <v>0</v>
      </c>
      <c r="AV268" s="762">
        <v>0</v>
      </c>
      <c r="AW268" s="762">
        <v>0</v>
      </c>
      <c r="AX268" s="762">
        <v>0</v>
      </c>
      <c r="AY268" s="762">
        <v>0</v>
      </c>
      <c r="AZ268" s="762">
        <v>0</v>
      </c>
      <c r="BA268" s="762">
        <v>0</v>
      </c>
      <c r="BB268" s="762">
        <v>0</v>
      </c>
      <c r="BC268" s="762">
        <v>0</v>
      </c>
      <c r="BD268" s="762">
        <v>0</v>
      </c>
      <c r="BE268" s="762">
        <v>0</v>
      </c>
      <c r="BF268" s="762">
        <v>0</v>
      </c>
      <c r="BG268" s="762">
        <v>0</v>
      </c>
      <c r="BH268" s="762">
        <v>0</v>
      </c>
      <c r="BI268" s="762">
        <v>0</v>
      </c>
      <c r="BJ268" s="790">
        <v>0.5</v>
      </c>
      <c r="BK268" s="790">
        <v>0.49</v>
      </c>
      <c r="BL268" s="790">
        <v>0</v>
      </c>
      <c r="BM268" s="790">
        <v>0.01</v>
      </c>
      <c r="BN268" s="790">
        <v>1</v>
      </c>
      <c r="BO268" s="762">
        <v>0</v>
      </c>
      <c r="BP268" s="762">
        <v>0</v>
      </c>
      <c r="BQ268" s="762">
        <v>0</v>
      </c>
      <c r="BR268" s="762">
        <v>0</v>
      </c>
      <c r="BS268" s="762">
        <v>0</v>
      </c>
      <c r="BT268" s="790">
        <v>0.5</v>
      </c>
      <c r="BU268" s="790">
        <v>0.49</v>
      </c>
      <c r="BV268" s="790">
        <v>0</v>
      </c>
      <c r="BW268" s="790">
        <v>0.01</v>
      </c>
      <c r="BX268" s="790">
        <v>1</v>
      </c>
      <c r="BY268" s="762">
        <v>737884</v>
      </c>
      <c r="BZ268" s="762">
        <v>723127</v>
      </c>
      <c r="CA268" s="762">
        <v>0</v>
      </c>
      <c r="CB268" s="762">
        <v>14758</v>
      </c>
      <c r="CC268" s="762">
        <v>1475769</v>
      </c>
      <c r="CD268" s="762">
        <v>737884</v>
      </c>
      <c r="CE268" s="762">
        <v>723127</v>
      </c>
      <c r="CF268" s="762">
        <v>0</v>
      </c>
      <c r="CG268" s="762">
        <v>14758</v>
      </c>
      <c r="CH268" s="762">
        <v>1475769</v>
      </c>
      <c r="CI268" s="762">
        <v>44191203</v>
      </c>
      <c r="CJ268" s="762">
        <v>44398085</v>
      </c>
      <c r="CK268" s="762">
        <v>0</v>
      </c>
      <c r="CL268" s="762">
        <v>883824</v>
      </c>
      <c r="CM268" s="762">
        <v>89473112</v>
      </c>
      <c r="CN268" s="762">
        <v>1412308</v>
      </c>
      <c r="CO268" s="762">
        <v>0</v>
      </c>
      <c r="CP268" s="762">
        <v>28320</v>
      </c>
      <c r="CQ268" s="762">
        <v>1440628</v>
      </c>
      <c r="CR268" s="762">
        <v>2803961</v>
      </c>
      <c r="CS268" s="762">
        <v>0</v>
      </c>
      <c r="CT268" s="762">
        <v>57224</v>
      </c>
      <c r="CU268" s="762">
        <v>2861185</v>
      </c>
      <c r="CV268" s="762">
        <v>154564</v>
      </c>
      <c r="CW268" s="762">
        <v>0</v>
      </c>
      <c r="CX268" s="762">
        <v>3139</v>
      </c>
      <c r="CY268" s="762">
        <v>157703</v>
      </c>
      <c r="CZ268" s="762">
        <v>0</v>
      </c>
      <c r="DA268" s="762">
        <v>0</v>
      </c>
      <c r="DB268" s="762">
        <v>0</v>
      </c>
      <c r="DC268" s="762">
        <v>0</v>
      </c>
      <c r="DD268" s="762">
        <v>755</v>
      </c>
      <c r="DE268" s="762">
        <v>0</v>
      </c>
      <c r="DF268" s="762">
        <v>15</v>
      </c>
      <c r="DG268" s="762">
        <v>770</v>
      </c>
      <c r="DH268" s="762">
        <v>759</v>
      </c>
      <c r="DI268" s="762">
        <v>0</v>
      </c>
      <c r="DJ268" s="762">
        <v>15</v>
      </c>
      <c r="DK268" s="762">
        <v>774</v>
      </c>
      <c r="DL268" s="762">
        <v>14872</v>
      </c>
      <c r="DM268" s="762">
        <v>0</v>
      </c>
      <c r="DN268" s="762">
        <v>304</v>
      </c>
      <c r="DO268" s="762">
        <v>15176</v>
      </c>
      <c r="DP268" s="762">
        <v>50317</v>
      </c>
      <c r="DQ268" s="762">
        <v>0</v>
      </c>
      <c r="DR268" s="762">
        <v>1027</v>
      </c>
      <c r="DS268" s="762">
        <v>51344</v>
      </c>
      <c r="DT268" s="762">
        <v>0</v>
      </c>
      <c r="DU268" s="762">
        <v>0</v>
      </c>
      <c r="DV268" s="762">
        <v>0</v>
      </c>
      <c r="DW268" s="762">
        <v>0</v>
      </c>
      <c r="DX268" s="762">
        <v>0</v>
      </c>
      <c r="DY268" s="762">
        <v>0</v>
      </c>
      <c r="DZ268" s="762">
        <v>0</v>
      </c>
      <c r="EA268" s="762">
        <v>0</v>
      </c>
      <c r="EB268" s="762">
        <v>542127</v>
      </c>
      <c r="EC268" s="762">
        <v>0</v>
      </c>
      <c r="ED268" s="762">
        <v>11064</v>
      </c>
      <c r="EE268" s="762">
        <v>553191</v>
      </c>
      <c r="EF268" s="762">
        <v>4979663</v>
      </c>
      <c r="EG268" s="762">
        <v>0</v>
      </c>
      <c r="EH268" s="762">
        <v>101108</v>
      </c>
      <c r="EI268" s="799">
        <v>5080771</v>
      </c>
      <c r="EJ268" s="763" t="s">
        <v>412</v>
      </c>
      <c r="EK268" s="607" t="s">
        <v>621</v>
      </c>
      <c r="EL268" s="805" t="s">
        <v>625</v>
      </c>
      <c r="EM268" t="s">
        <v>1834</v>
      </c>
    </row>
    <row r="269" spans="1:143" ht="12.75" x14ac:dyDescent="0.2">
      <c r="A269" s="764">
        <v>262</v>
      </c>
      <c r="B269" s="765" t="s">
        <v>415</v>
      </c>
      <c r="C269" s="766" t="s">
        <v>1217</v>
      </c>
      <c r="D269" s="767" t="s">
        <v>1218</v>
      </c>
      <c r="E269" s="768" t="s">
        <v>414</v>
      </c>
      <c r="F269" s="761">
        <v>37367815</v>
      </c>
      <c r="G269" s="762">
        <v>0</v>
      </c>
      <c r="H269" s="762">
        <v>38800</v>
      </c>
      <c r="I269" s="762">
        <v>122371</v>
      </c>
      <c r="J269" s="762">
        <v>0</v>
      </c>
      <c r="K269" s="762">
        <v>122371</v>
      </c>
      <c r="L269" s="762">
        <v>0</v>
      </c>
      <c r="M269" s="762">
        <v>0</v>
      </c>
      <c r="N269" s="762">
        <v>0</v>
      </c>
      <c r="O269" s="762">
        <v>0</v>
      </c>
      <c r="P269" s="762">
        <v>0</v>
      </c>
      <c r="Q269" s="762">
        <v>0</v>
      </c>
      <c r="R269" s="762">
        <v>37206644</v>
      </c>
      <c r="S269" s="790">
        <v>0.5</v>
      </c>
      <c r="T269" s="790">
        <v>0.4</v>
      </c>
      <c r="U269" s="790">
        <v>0.1</v>
      </c>
      <c r="V269" s="790">
        <v>0</v>
      </c>
      <c r="W269" s="790">
        <v>1</v>
      </c>
      <c r="X269" s="762">
        <v>18603322</v>
      </c>
      <c r="Y269" s="762">
        <v>14882658</v>
      </c>
      <c r="Z269" s="762">
        <v>3720664</v>
      </c>
      <c r="AA269" s="762">
        <v>0</v>
      </c>
      <c r="AB269" s="762">
        <v>37206644</v>
      </c>
      <c r="AC269" s="762">
        <v>0</v>
      </c>
      <c r="AD269" s="762">
        <v>0</v>
      </c>
      <c r="AE269" s="762">
        <v>0</v>
      </c>
      <c r="AF269" s="762">
        <v>0</v>
      </c>
      <c r="AG269" s="762">
        <v>0</v>
      </c>
      <c r="AH269" s="762">
        <v>18603322</v>
      </c>
      <c r="AI269" s="762">
        <v>14882658</v>
      </c>
      <c r="AJ269" s="762">
        <v>3720664</v>
      </c>
      <c r="AK269" s="762">
        <v>0</v>
      </c>
      <c r="AL269" s="762">
        <v>37206644</v>
      </c>
      <c r="AM269" s="762">
        <v>122371</v>
      </c>
      <c r="AN269" s="762">
        <v>122371</v>
      </c>
      <c r="AO269" s="762">
        <v>0</v>
      </c>
      <c r="AP269" s="762">
        <v>0</v>
      </c>
      <c r="AQ269" s="762">
        <v>0</v>
      </c>
      <c r="AR269" s="762">
        <v>0</v>
      </c>
      <c r="AS269" s="762">
        <v>0</v>
      </c>
      <c r="AT269" s="762">
        <v>0</v>
      </c>
      <c r="AU269" s="762">
        <v>0</v>
      </c>
      <c r="AV269" s="762">
        <v>0</v>
      </c>
      <c r="AW269" s="762">
        <v>0</v>
      </c>
      <c r="AX269" s="762">
        <v>0</v>
      </c>
      <c r="AY269" s="762">
        <v>0</v>
      </c>
      <c r="AZ269" s="762">
        <v>0</v>
      </c>
      <c r="BA269" s="762">
        <v>0</v>
      </c>
      <c r="BB269" s="762">
        <v>0</v>
      </c>
      <c r="BC269" s="762">
        <v>0</v>
      </c>
      <c r="BD269" s="762">
        <v>0</v>
      </c>
      <c r="BE269" s="762">
        <v>0</v>
      </c>
      <c r="BF269" s="762">
        <v>0</v>
      </c>
      <c r="BG269" s="762">
        <v>0</v>
      </c>
      <c r="BH269" s="762">
        <v>0</v>
      </c>
      <c r="BI269" s="762">
        <v>0</v>
      </c>
      <c r="BJ269" s="790">
        <v>0</v>
      </c>
      <c r="BK269" s="790">
        <v>0.3</v>
      </c>
      <c r="BL269" s="790">
        <v>0.7</v>
      </c>
      <c r="BM269" s="790">
        <v>0</v>
      </c>
      <c r="BN269" s="790">
        <v>1</v>
      </c>
      <c r="BO269" s="762">
        <v>0</v>
      </c>
      <c r="BP269" s="762">
        <v>1966309</v>
      </c>
      <c r="BQ269" s="762">
        <v>4588054</v>
      </c>
      <c r="BR269" s="762">
        <v>0</v>
      </c>
      <c r="BS269" s="762">
        <v>6554363</v>
      </c>
      <c r="BT269" s="790">
        <v>0.5</v>
      </c>
      <c r="BU269" s="790">
        <v>0.4</v>
      </c>
      <c r="BV269" s="790">
        <v>0.1</v>
      </c>
      <c r="BW269" s="790">
        <v>0</v>
      </c>
      <c r="BX269" s="790">
        <v>1</v>
      </c>
      <c r="BY269" s="762">
        <v>-1911203</v>
      </c>
      <c r="BZ269" s="762">
        <v>-1528963</v>
      </c>
      <c r="CA269" s="762">
        <v>-382241</v>
      </c>
      <c r="CB269" s="762">
        <v>0</v>
      </c>
      <c r="CC269" s="762">
        <v>-3822407</v>
      </c>
      <c r="CD269" s="762">
        <v>-1911203</v>
      </c>
      <c r="CE269" s="762">
        <v>437346</v>
      </c>
      <c r="CF269" s="762">
        <v>4205813</v>
      </c>
      <c r="CG269" s="762">
        <v>0</v>
      </c>
      <c r="CH269" s="762">
        <v>2731956</v>
      </c>
      <c r="CI269" s="762">
        <v>16692119</v>
      </c>
      <c r="CJ269" s="762">
        <v>15442375</v>
      </c>
      <c r="CK269" s="762">
        <v>7926477</v>
      </c>
      <c r="CL269" s="762">
        <v>0</v>
      </c>
      <c r="CM269" s="762">
        <v>40060971</v>
      </c>
      <c r="CN269" s="762">
        <v>484975</v>
      </c>
      <c r="CO269" s="762">
        <v>121244</v>
      </c>
      <c r="CP269" s="762">
        <v>0</v>
      </c>
      <c r="CQ269" s="762">
        <v>606219</v>
      </c>
      <c r="CR269" s="762">
        <v>883594</v>
      </c>
      <c r="CS269" s="762">
        <v>220899</v>
      </c>
      <c r="CT269" s="762">
        <v>0</v>
      </c>
      <c r="CU269" s="762">
        <v>1104493</v>
      </c>
      <c r="CV269" s="762">
        <v>0</v>
      </c>
      <c r="CW269" s="762">
        <v>0</v>
      </c>
      <c r="CX269" s="762">
        <v>0</v>
      </c>
      <c r="CY269" s="762">
        <v>0</v>
      </c>
      <c r="CZ269" s="762">
        <v>4130</v>
      </c>
      <c r="DA269" s="762">
        <v>1033</v>
      </c>
      <c r="DB269" s="762">
        <v>0</v>
      </c>
      <c r="DC269" s="762">
        <v>5163</v>
      </c>
      <c r="DD269" s="762">
        <v>0</v>
      </c>
      <c r="DE269" s="762">
        <v>0</v>
      </c>
      <c r="DF269" s="762">
        <v>0</v>
      </c>
      <c r="DG269" s="762">
        <v>0</v>
      </c>
      <c r="DH269" s="762">
        <v>0</v>
      </c>
      <c r="DI269" s="762">
        <v>0</v>
      </c>
      <c r="DJ269" s="762">
        <v>0</v>
      </c>
      <c r="DK269" s="762">
        <v>0</v>
      </c>
      <c r="DL269" s="762">
        <v>9086</v>
      </c>
      <c r="DM269" s="762">
        <v>2272</v>
      </c>
      <c r="DN269" s="762">
        <v>0</v>
      </c>
      <c r="DO269" s="762">
        <v>11358</v>
      </c>
      <c r="DP269" s="762">
        <v>18070</v>
      </c>
      <c r="DQ269" s="762">
        <v>4518</v>
      </c>
      <c r="DR269" s="762">
        <v>0</v>
      </c>
      <c r="DS269" s="762">
        <v>22588</v>
      </c>
      <c r="DT269" s="762">
        <v>0</v>
      </c>
      <c r="DU269" s="762">
        <v>0</v>
      </c>
      <c r="DV269" s="762">
        <v>0</v>
      </c>
      <c r="DW269" s="762">
        <v>0</v>
      </c>
      <c r="DX269" s="762">
        <v>0</v>
      </c>
      <c r="DY269" s="762">
        <v>0</v>
      </c>
      <c r="DZ269" s="762">
        <v>0</v>
      </c>
      <c r="EA269" s="762">
        <v>0</v>
      </c>
      <c r="EB269" s="762">
        <v>413034</v>
      </c>
      <c r="EC269" s="762">
        <v>103259</v>
      </c>
      <c r="ED269" s="762">
        <v>0</v>
      </c>
      <c r="EE269" s="762">
        <v>516293</v>
      </c>
      <c r="EF269" s="762">
        <v>1812889</v>
      </c>
      <c r="EG269" s="762">
        <v>453225</v>
      </c>
      <c r="EH269" s="762">
        <v>0</v>
      </c>
      <c r="EI269" s="799">
        <v>2266114</v>
      </c>
      <c r="EJ269" s="763" t="s">
        <v>414</v>
      </c>
      <c r="EK269" s="607" t="s">
        <v>616</v>
      </c>
      <c r="EL269" s="805" t="s">
        <v>556</v>
      </c>
      <c r="EM269" t="s">
        <v>1835</v>
      </c>
    </row>
    <row r="270" spans="1:143" ht="12.75" x14ac:dyDescent="0.2">
      <c r="A270" s="764">
        <v>263</v>
      </c>
      <c r="B270" s="765" t="s">
        <v>417</v>
      </c>
      <c r="C270" s="766" t="s">
        <v>1222</v>
      </c>
      <c r="D270" s="767" t="s">
        <v>1223</v>
      </c>
      <c r="E270" s="768" t="s">
        <v>416</v>
      </c>
      <c r="F270" s="761">
        <v>56812049</v>
      </c>
      <c r="G270" s="762">
        <v>245065</v>
      </c>
      <c r="H270" s="762">
        <v>0</v>
      </c>
      <c r="I270" s="762">
        <v>188306</v>
      </c>
      <c r="J270" s="762">
        <v>0</v>
      </c>
      <c r="K270" s="762">
        <v>188306</v>
      </c>
      <c r="L270" s="762">
        <v>0</v>
      </c>
      <c r="M270" s="762">
        <v>0</v>
      </c>
      <c r="N270" s="762">
        <v>0</v>
      </c>
      <c r="O270" s="762">
        <v>0</v>
      </c>
      <c r="P270" s="762">
        <v>0</v>
      </c>
      <c r="Q270" s="762">
        <v>0</v>
      </c>
      <c r="R270" s="762">
        <v>56868808</v>
      </c>
      <c r="S270" s="790">
        <v>0.25</v>
      </c>
      <c r="T270" s="790">
        <v>0.48</v>
      </c>
      <c r="U270" s="790">
        <v>0.27</v>
      </c>
      <c r="V270" s="790">
        <v>0</v>
      </c>
      <c r="W270" s="790">
        <v>1</v>
      </c>
      <c r="X270" s="762">
        <v>14217202</v>
      </c>
      <c r="Y270" s="762">
        <v>27297028</v>
      </c>
      <c r="Z270" s="762">
        <v>15354578</v>
      </c>
      <c r="AA270" s="762">
        <v>0</v>
      </c>
      <c r="AB270" s="762">
        <v>56868808</v>
      </c>
      <c r="AC270" s="762">
        <v>0</v>
      </c>
      <c r="AD270" s="762">
        <v>0</v>
      </c>
      <c r="AE270" s="762">
        <v>0</v>
      </c>
      <c r="AF270" s="762">
        <v>0</v>
      </c>
      <c r="AG270" s="762">
        <v>0</v>
      </c>
      <c r="AH270" s="762">
        <v>14217202</v>
      </c>
      <c r="AI270" s="762">
        <v>27297028</v>
      </c>
      <c r="AJ270" s="762">
        <v>15354578</v>
      </c>
      <c r="AK270" s="762">
        <v>0</v>
      </c>
      <c r="AL270" s="762">
        <v>56868808</v>
      </c>
      <c r="AM270" s="762">
        <v>188306</v>
      </c>
      <c r="AN270" s="762">
        <v>188306</v>
      </c>
      <c r="AO270" s="762">
        <v>0</v>
      </c>
      <c r="AP270" s="762">
        <v>0</v>
      </c>
      <c r="AQ270" s="762">
        <v>0</v>
      </c>
      <c r="AR270" s="762">
        <v>0</v>
      </c>
      <c r="AS270" s="762">
        <v>0</v>
      </c>
      <c r="AT270" s="762">
        <v>0</v>
      </c>
      <c r="AU270" s="762">
        <v>0</v>
      </c>
      <c r="AV270" s="762">
        <v>0</v>
      </c>
      <c r="AW270" s="762">
        <v>0</v>
      </c>
      <c r="AX270" s="762">
        <v>0</v>
      </c>
      <c r="AY270" s="762">
        <v>0</v>
      </c>
      <c r="AZ270" s="762">
        <v>0</v>
      </c>
      <c r="BA270" s="762">
        <v>0</v>
      </c>
      <c r="BB270" s="762">
        <v>0</v>
      </c>
      <c r="BC270" s="762">
        <v>0</v>
      </c>
      <c r="BD270" s="762">
        <v>0</v>
      </c>
      <c r="BE270" s="762">
        <v>0</v>
      </c>
      <c r="BF270" s="762">
        <v>0</v>
      </c>
      <c r="BG270" s="762">
        <v>0</v>
      </c>
      <c r="BH270" s="762">
        <v>0</v>
      </c>
      <c r="BI270" s="762">
        <v>0</v>
      </c>
      <c r="BJ270" s="790">
        <v>-2.2204460492503101E-16</v>
      </c>
      <c r="BK270" s="790">
        <v>0.64</v>
      </c>
      <c r="BL270" s="790">
        <v>0.36</v>
      </c>
      <c r="BM270" s="790">
        <v>0</v>
      </c>
      <c r="BN270" s="790">
        <v>1</v>
      </c>
      <c r="BO270" s="762">
        <v>1.8626451492309599E-9</v>
      </c>
      <c r="BP270" s="762">
        <v>737854</v>
      </c>
      <c r="BQ270" s="762">
        <v>415043</v>
      </c>
      <c r="BR270" s="762">
        <v>0</v>
      </c>
      <c r="BS270" s="762">
        <v>1152897</v>
      </c>
      <c r="BT270" s="790">
        <v>0.33</v>
      </c>
      <c r="BU270" s="790">
        <v>0.3</v>
      </c>
      <c r="BV270" s="790">
        <v>0.37</v>
      </c>
      <c r="BW270" s="790">
        <v>0</v>
      </c>
      <c r="BX270" s="790">
        <v>1</v>
      </c>
      <c r="BY270" s="762">
        <v>-173175.4</v>
      </c>
      <c r="BZ270" s="762">
        <v>-157431</v>
      </c>
      <c r="CA270" s="762">
        <v>-194165</v>
      </c>
      <c r="CB270" s="762">
        <v>0</v>
      </c>
      <c r="CC270" s="762">
        <v>-524771.4</v>
      </c>
      <c r="CD270" s="762">
        <v>-173175</v>
      </c>
      <c r="CE270" s="762">
        <v>580423</v>
      </c>
      <c r="CF270" s="762">
        <v>220878</v>
      </c>
      <c r="CG270" s="762">
        <v>0</v>
      </c>
      <c r="CH270" s="762">
        <v>628125.60000000102</v>
      </c>
      <c r="CI270" s="762">
        <v>14044027</v>
      </c>
      <c r="CJ270" s="762">
        <v>28065757</v>
      </c>
      <c r="CK270" s="762">
        <v>15575456</v>
      </c>
      <c r="CL270" s="762">
        <v>0</v>
      </c>
      <c r="CM270" s="762">
        <v>57685240</v>
      </c>
      <c r="CN270" s="762">
        <v>889516</v>
      </c>
      <c r="CO270" s="762">
        <v>500353</v>
      </c>
      <c r="CP270" s="762">
        <v>0</v>
      </c>
      <c r="CQ270" s="762">
        <v>1389869</v>
      </c>
      <c r="CR270" s="762">
        <v>1809028</v>
      </c>
      <c r="CS270" s="762">
        <v>1017578</v>
      </c>
      <c r="CT270" s="762">
        <v>0</v>
      </c>
      <c r="CU270" s="762">
        <v>2826606</v>
      </c>
      <c r="CV270" s="762">
        <v>84189</v>
      </c>
      <c r="CW270" s="762">
        <v>47356</v>
      </c>
      <c r="CX270" s="762">
        <v>0</v>
      </c>
      <c r="CY270" s="762">
        <v>131545</v>
      </c>
      <c r="CZ270" s="762">
        <v>3156</v>
      </c>
      <c r="DA270" s="762">
        <v>1775</v>
      </c>
      <c r="DB270" s="762">
        <v>0</v>
      </c>
      <c r="DC270" s="762">
        <v>4931</v>
      </c>
      <c r="DD270" s="762">
        <v>0</v>
      </c>
      <c r="DE270" s="762">
        <v>0</v>
      </c>
      <c r="DF270" s="762">
        <v>0</v>
      </c>
      <c r="DG270" s="762">
        <v>0</v>
      </c>
      <c r="DH270" s="762">
        <v>0</v>
      </c>
      <c r="DI270" s="762">
        <v>0</v>
      </c>
      <c r="DJ270" s="762">
        <v>0</v>
      </c>
      <c r="DK270" s="762">
        <v>0</v>
      </c>
      <c r="DL270" s="762">
        <v>8068</v>
      </c>
      <c r="DM270" s="762">
        <v>4539</v>
      </c>
      <c r="DN270" s="762">
        <v>0</v>
      </c>
      <c r="DO270" s="762">
        <v>12607</v>
      </c>
      <c r="DP270" s="762">
        <v>44112</v>
      </c>
      <c r="DQ270" s="762">
        <v>24813</v>
      </c>
      <c r="DR270" s="762">
        <v>0</v>
      </c>
      <c r="DS270" s="762">
        <v>68925</v>
      </c>
      <c r="DT270" s="762">
        <v>0</v>
      </c>
      <c r="DU270" s="762">
        <v>0</v>
      </c>
      <c r="DV270" s="762">
        <v>0</v>
      </c>
      <c r="DW270" s="762">
        <v>0</v>
      </c>
      <c r="DX270" s="762">
        <v>0</v>
      </c>
      <c r="DY270" s="762">
        <v>0</v>
      </c>
      <c r="DZ270" s="762">
        <v>0</v>
      </c>
      <c r="EA270" s="762">
        <v>0</v>
      </c>
      <c r="EB270" s="762">
        <v>810849</v>
      </c>
      <c r="EC270" s="762">
        <v>456103</v>
      </c>
      <c r="ED270" s="762">
        <v>0</v>
      </c>
      <c r="EE270" s="762">
        <v>1266952</v>
      </c>
      <c r="EF270" s="762">
        <v>3648918</v>
      </c>
      <c r="EG270" s="762">
        <v>2052517</v>
      </c>
      <c r="EH270" s="762">
        <v>0</v>
      </c>
      <c r="EI270" s="799">
        <v>5701435</v>
      </c>
      <c r="EJ270" s="763" t="s">
        <v>416</v>
      </c>
      <c r="EK270" s="607" t="s">
        <v>628</v>
      </c>
      <c r="EL270" s="272" t="s">
        <v>528</v>
      </c>
      <c r="EM270" t="s">
        <v>1836</v>
      </c>
    </row>
    <row r="271" spans="1:143" ht="12.75" x14ac:dyDescent="0.2">
      <c r="A271" s="764">
        <v>264</v>
      </c>
      <c r="B271" s="765" t="s">
        <v>419</v>
      </c>
      <c r="C271" s="766" t="s">
        <v>1217</v>
      </c>
      <c r="D271" s="767" t="s">
        <v>1218</v>
      </c>
      <c r="E271" s="768" t="s">
        <v>418</v>
      </c>
      <c r="F271" s="761">
        <v>48989218</v>
      </c>
      <c r="G271" s="762">
        <v>377327</v>
      </c>
      <c r="H271" s="762">
        <v>0</v>
      </c>
      <c r="I271" s="762">
        <v>186427</v>
      </c>
      <c r="J271" s="762">
        <v>0</v>
      </c>
      <c r="K271" s="762">
        <v>186427</v>
      </c>
      <c r="L271" s="762">
        <v>0</v>
      </c>
      <c r="M271" s="762">
        <v>0</v>
      </c>
      <c r="N271" s="762">
        <v>1237483</v>
      </c>
      <c r="O271" s="762">
        <v>373123</v>
      </c>
      <c r="P271" s="762">
        <v>864360</v>
      </c>
      <c r="Q271" s="762">
        <v>0</v>
      </c>
      <c r="R271" s="762">
        <v>47942635</v>
      </c>
      <c r="S271" s="790">
        <v>0.5</v>
      </c>
      <c r="T271" s="790">
        <v>0.4</v>
      </c>
      <c r="U271" s="790">
        <v>0.09</v>
      </c>
      <c r="V271" s="790">
        <v>0.01</v>
      </c>
      <c r="W271" s="790">
        <v>1</v>
      </c>
      <c r="X271" s="762">
        <v>23971318</v>
      </c>
      <c r="Y271" s="762">
        <v>19177054</v>
      </c>
      <c r="Z271" s="762">
        <v>4314837</v>
      </c>
      <c r="AA271" s="762">
        <v>479426</v>
      </c>
      <c r="AB271" s="762">
        <v>47942635</v>
      </c>
      <c r="AC271" s="762">
        <v>0</v>
      </c>
      <c r="AD271" s="762">
        <v>0</v>
      </c>
      <c r="AE271" s="762">
        <v>0</v>
      </c>
      <c r="AF271" s="762">
        <v>0</v>
      </c>
      <c r="AG271" s="762">
        <v>0</v>
      </c>
      <c r="AH271" s="762">
        <v>23971318</v>
      </c>
      <c r="AI271" s="762">
        <v>19177054</v>
      </c>
      <c r="AJ271" s="762">
        <v>4314837</v>
      </c>
      <c r="AK271" s="762">
        <v>479426</v>
      </c>
      <c r="AL271" s="762">
        <v>47942635</v>
      </c>
      <c r="AM271" s="762">
        <v>186427</v>
      </c>
      <c r="AN271" s="762">
        <v>186427</v>
      </c>
      <c r="AO271" s="762">
        <v>0</v>
      </c>
      <c r="AP271" s="762">
        <v>0</v>
      </c>
      <c r="AQ271" s="762">
        <v>373123</v>
      </c>
      <c r="AR271" s="762">
        <v>864360</v>
      </c>
      <c r="AS271" s="762">
        <v>1237483</v>
      </c>
      <c r="AT271" s="762">
        <v>0</v>
      </c>
      <c r="AU271" s="762">
        <v>0</v>
      </c>
      <c r="AV271" s="762">
        <v>0</v>
      </c>
      <c r="AW271" s="762">
        <v>0</v>
      </c>
      <c r="AX271" s="762">
        <v>0</v>
      </c>
      <c r="AY271" s="762">
        <v>0</v>
      </c>
      <c r="AZ271" s="762">
        <v>0</v>
      </c>
      <c r="BA271" s="762">
        <v>0</v>
      </c>
      <c r="BB271" s="762">
        <v>0</v>
      </c>
      <c r="BC271" s="762">
        <v>0</v>
      </c>
      <c r="BD271" s="762">
        <v>0</v>
      </c>
      <c r="BE271" s="762">
        <v>0</v>
      </c>
      <c r="BF271" s="762">
        <v>0</v>
      </c>
      <c r="BG271" s="762">
        <v>0</v>
      </c>
      <c r="BH271" s="762">
        <v>0</v>
      </c>
      <c r="BI271" s="762">
        <v>0</v>
      </c>
      <c r="BJ271" s="790">
        <v>0</v>
      </c>
      <c r="BK271" s="790">
        <v>0.4</v>
      </c>
      <c r="BL271" s="790">
        <v>0.59</v>
      </c>
      <c r="BM271" s="790">
        <v>0.01</v>
      </c>
      <c r="BN271" s="790">
        <v>1</v>
      </c>
      <c r="BO271" s="762">
        <v>0</v>
      </c>
      <c r="BP271" s="762">
        <v>-123380</v>
      </c>
      <c r="BQ271" s="762">
        <v>-181986</v>
      </c>
      <c r="BR271" s="762">
        <v>-3085</v>
      </c>
      <c r="BS271" s="762">
        <v>-308451</v>
      </c>
      <c r="BT271" s="790">
        <v>0.5</v>
      </c>
      <c r="BU271" s="790">
        <v>0.4</v>
      </c>
      <c r="BV271" s="790">
        <v>0.09</v>
      </c>
      <c r="BW271" s="790">
        <v>0.01</v>
      </c>
      <c r="BX271" s="790">
        <v>1</v>
      </c>
      <c r="BY271" s="762">
        <v>-26936.39999999851</v>
      </c>
      <c r="BZ271" s="762">
        <v>-21550</v>
      </c>
      <c r="CA271" s="762">
        <v>-4849</v>
      </c>
      <c r="CB271" s="762">
        <v>-539</v>
      </c>
      <c r="CC271" s="762">
        <v>-53874.39999999851</v>
      </c>
      <c r="CD271" s="762">
        <v>-26936</v>
      </c>
      <c r="CE271" s="762">
        <v>-144930</v>
      </c>
      <c r="CF271" s="762">
        <v>-186835</v>
      </c>
      <c r="CG271" s="762">
        <v>-3624</v>
      </c>
      <c r="CH271" s="762">
        <v>-362325.39999999851</v>
      </c>
      <c r="CI271" s="762">
        <v>23944382</v>
      </c>
      <c r="CJ271" s="762">
        <v>19591674</v>
      </c>
      <c r="CK271" s="762">
        <v>4992362</v>
      </c>
      <c r="CL271" s="762">
        <v>475802</v>
      </c>
      <c r="CM271" s="762">
        <v>49004220</v>
      </c>
      <c r="CN271" s="762">
        <v>637073</v>
      </c>
      <c r="CO271" s="762">
        <v>168772</v>
      </c>
      <c r="CP271" s="762">
        <v>15623</v>
      </c>
      <c r="CQ271" s="762">
        <v>821468</v>
      </c>
      <c r="CR271" s="762">
        <v>1640551</v>
      </c>
      <c r="CS271" s="762">
        <v>369124</v>
      </c>
      <c r="CT271" s="762">
        <v>41014</v>
      </c>
      <c r="CU271" s="762">
        <v>2050689</v>
      </c>
      <c r="CV271" s="762">
        <v>88193</v>
      </c>
      <c r="CW271" s="762">
        <v>19843</v>
      </c>
      <c r="CX271" s="762">
        <v>2205</v>
      </c>
      <c r="CY271" s="762">
        <v>110241</v>
      </c>
      <c r="CZ271" s="762">
        <v>5730</v>
      </c>
      <c r="DA271" s="762">
        <v>1289</v>
      </c>
      <c r="DB271" s="762">
        <v>143</v>
      </c>
      <c r="DC271" s="762">
        <v>7162</v>
      </c>
      <c r="DD271" s="762">
        <v>953</v>
      </c>
      <c r="DE271" s="762">
        <v>214</v>
      </c>
      <c r="DF271" s="762">
        <v>24</v>
      </c>
      <c r="DG271" s="762">
        <v>1191</v>
      </c>
      <c r="DH271" s="762">
        <v>620</v>
      </c>
      <c r="DI271" s="762">
        <v>139</v>
      </c>
      <c r="DJ271" s="762">
        <v>15</v>
      </c>
      <c r="DK271" s="762">
        <v>774</v>
      </c>
      <c r="DL271" s="762">
        <v>15405</v>
      </c>
      <c r="DM271" s="762">
        <v>3466</v>
      </c>
      <c r="DN271" s="762">
        <v>385</v>
      </c>
      <c r="DO271" s="762">
        <v>19256</v>
      </c>
      <c r="DP271" s="762">
        <v>13961</v>
      </c>
      <c r="DQ271" s="762">
        <v>3141</v>
      </c>
      <c r="DR271" s="762">
        <v>349</v>
      </c>
      <c r="DS271" s="762">
        <v>17451</v>
      </c>
      <c r="DT271" s="762">
        <v>0</v>
      </c>
      <c r="DU271" s="762">
        <v>0</v>
      </c>
      <c r="DV271" s="762">
        <v>0</v>
      </c>
      <c r="DW271" s="762">
        <v>0</v>
      </c>
      <c r="DX271" s="762">
        <v>0</v>
      </c>
      <c r="DY271" s="762">
        <v>0</v>
      </c>
      <c r="DZ271" s="762">
        <v>0</v>
      </c>
      <c r="EA271" s="762">
        <v>0</v>
      </c>
      <c r="EB271" s="762">
        <v>330428</v>
      </c>
      <c r="EC271" s="762">
        <v>74346</v>
      </c>
      <c r="ED271" s="762">
        <v>8261</v>
      </c>
      <c r="EE271" s="762">
        <v>413035</v>
      </c>
      <c r="EF271" s="762">
        <v>2732914</v>
      </c>
      <c r="EG271" s="762">
        <v>640334</v>
      </c>
      <c r="EH271" s="762">
        <v>68019</v>
      </c>
      <c r="EI271" s="799">
        <v>3441267</v>
      </c>
      <c r="EJ271" s="763" t="s">
        <v>418</v>
      </c>
      <c r="EK271" s="607" t="s">
        <v>591</v>
      </c>
      <c r="EL271" s="805" t="s">
        <v>590</v>
      </c>
      <c r="EM271" t="s">
        <v>1837</v>
      </c>
    </row>
    <row r="272" spans="1:143" ht="12.75" x14ac:dyDescent="0.2">
      <c r="A272" s="764">
        <v>265</v>
      </c>
      <c r="B272" s="765" t="s">
        <v>421</v>
      </c>
      <c r="C272" s="766" t="s">
        <v>529</v>
      </c>
      <c r="D272" s="767" t="s">
        <v>1226</v>
      </c>
      <c r="E272" s="768" t="s">
        <v>619</v>
      </c>
      <c r="F272" s="761">
        <v>109792141</v>
      </c>
      <c r="G272" s="762">
        <v>0</v>
      </c>
      <c r="H272" s="762">
        <v>2872866</v>
      </c>
      <c r="I272" s="762">
        <v>260746</v>
      </c>
      <c r="J272" s="762">
        <v>0</v>
      </c>
      <c r="K272" s="762">
        <v>260746</v>
      </c>
      <c r="L272" s="762">
        <v>0</v>
      </c>
      <c r="M272" s="762">
        <v>0</v>
      </c>
      <c r="N272" s="762">
        <v>575631</v>
      </c>
      <c r="O272" s="762">
        <v>575631</v>
      </c>
      <c r="P272" s="762">
        <v>0</v>
      </c>
      <c r="Q272" s="762">
        <v>0</v>
      </c>
      <c r="R272" s="762">
        <v>106082898</v>
      </c>
      <c r="S272" s="790">
        <v>0.5</v>
      </c>
      <c r="T272" s="790">
        <v>0.49</v>
      </c>
      <c r="U272" s="790">
        <v>0</v>
      </c>
      <c r="V272" s="790">
        <v>0.01</v>
      </c>
      <c r="W272" s="790">
        <v>1</v>
      </c>
      <c r="X272" s="762">
        <v>53041449</v>
      </c>
      <c r="Y272" s="762">
        <v>51980620</v>
      </c>
      <c r="Z272" s="762">
        <v>0</v>
      </c>
      <c r="AA272" s="762">
        <v>1060829</v>
      </c>
      <c r="AB272" s="762">
        <v>106082898</v>
      </c>
      <c r="AC272" s="762">
        <v>0</v>
      </c>
      <c r="AD272" s="762">
        <v>0</v>
      </c>
      <c r="AE272" s="762">
        <v>0</v>
      </c>
      <c r="AF272" s="762">
        <v>0</v>
      </c>
      <c r="AG272" s="762">
        <v>0</v>
      </c>
      <c r="AH272" s="762">
        <v>53041449</v>
      </c>
      <c r="AI272" s="762">
        <v>51980620</v>
      </c>
      <c r="AJ272" s="762">
        <v>0</v>
      </c>
      <c r="AK272" s="762">
        <v>1060829</v>
      </c>
      <c r="AL272" s="762">
        <v>106082898</v>
      </c>
      <c r="AM272" s="762">
        <v>260746</v>
      </c>
      <c r="AN272" s="762">
        <v>260746</v>
      </c>
      <c r="AO272" s="762">
        <v>0</v>
      </c>
      <c r="AP272" s="762">
        <v>0</v>
      </c>
      <c r="AQ272" s="762">
        <v>575631</v>
      </c>
      <c r="AR272" s="762">
        <v>0</v>
      </c>
      <c r="AS272" s="762">
        <v>575631</v>
      </c>
      <c r="AT272" s="762">
        <v>0</v>
      </c>
      <c r="AU272" s="762">
        <v>0</v>
      </c>
      <c r="AV272" s="762">
        <v>0</v>
      </c>
      <c r="AW272" s="762">
        <v>0</v>
      </c>
      <c r="AX272" s="762">
        <v>0</v>
      </c>
      <c r="AY272" s="762">
        <v>0</v>
      </c>
      <c r="AZ272" s="762">
        <v>0</v>
      </c>
      <c r="BA272" s="762">
        <v>0</v>
      </c>
      <c r="BB272" s="762">
        <v>0</v>
      </c>
      <c r="BC272" s="762">
        <v>0</v>
      </c>
      <c r="BD272" s="762">
        <v>0</v>
      </c>
      <c r="BE272" s="762">
        <v>0</v>
      </c>
      <c r="BF272" s="762">
        <v>0</v>
      </c>
      <c r="BG272" s="762">
        <v>0</v>
      </c>
      <c r="BH272" s="762">
        <v>0</v>
      </c>
      <c r="BI272" s="762">
        <v>0</v>
      </c>
      <c r="BJ272" s="790">
        <v>0.5</v>
      </c>
      <c r="BK272" s="790">
        <v>0.49</v>
      </c>
      <c r="BL272" s="790">
        <v>0</v>
      </c>
      <c r="BM272" s="790">
        <v>0.01</v>
      </c>
      <c r="BN272" s="790">
        <v>1</v>
      </c>
      <c r="BO272" s="762">
        <v>179640</v>
      </c>
      <c r="BP272" s="762">
        <v>176048</v>
      </c>
      <c r="BQ272" s="762">
        <v>0</v>
      </c>
      <c r="BR272" s="762">
        <v>3593</v>
      </c>
      <c r="BS272" s="762">
        <v>359281</v>
      </c>
      <c r="BT272" s="790">
        <v>0.5</v>
      </c>
      <c r="BU272" s="790">
        <v>0.49</v>
      </c>
      <c r="BV272" s="790">
        <v>0</v>
      </c>
      <c r="BW272" s="790">
        <v>0.01</v>
      </c>
      <c r="BX272" s="790">
        <v>1</v>
      </c>
      <c r="BY272" s="762">
        <v>-133683</v>
      </c>
      <c r="BZ272" s="762">
        <v>-131010</v>
      </c>
      <c r="CA272" s="762">
        <v>0</v>
      </c>
      <c r="CB272" s="762">
        <v>-2674</v>
      </c>
      <c r="CC272" s="762">
        <v>-267367</v>
      </c>
      <c r="CD272" s="762">
        <v>45957</v>
      </c>
      <c r="CE272" s="762">
        <v>45038</v>
      </c>
      <c r="CF272" s="762">
        <v>0</v>
      </c>
      <c r="CG272" s="762">
        <v>919</v>
      </c>
      <c r="CH272" s="762">
        <v>91914</v>
      </c>
      <c r="CI272" s="762">
        <v>53087406</v>
      </c>
      <c r="CJ272" s="762">
        <v>52862035</v>
      </c>
      <c r="CK272" s="762">
        <v>0</v>
      </c>
      <c r="CL272" s="762">
        <v>1061748</v>
      </c>
      <c r="CM272" s="762">
        <v>107011189</v>
      </c>
      <c r="CN272" s="762">
        <v>1712627</v>
      </c>
      <c r="CO272" s="762">
        <v>0</v>
      </c>
      <c r="CP272" s="762">
        <v>34569</v>
      </c>
      <c r="CQ272" s="762">
        <v>1747196</v>
      </c>
      <c r="CR272" s="762">
        <v>1823385</v>
      </c>
      <c r="CS272" s="762">
        <v>0</v>
      </c>
      <c r="CT272" s="762">
        <v>37212</v>
      </c>
      <c r="CU272" s="762">
        <v>1860597</v>
      </c>
      <c r="CV272" s="762">
        <v>164998</v>
      </c>
      <c r="CW272" s="762">
        <v>0</v>
      </c>
      <c r="CX272" s="762">
        <v>3367</v>
      </c>
      <c r="CY272" s="762">
        <v>168365</v>
      </c>
      <c r="CZ272" s="762">
        <v>3701</v>
      </c>
      <c r="DA272" s="762">
        <v>0</v>
      </c>
      <c r="DB272" s="762">
        <v>76</v>
      </c>
      <c r="DC272" s="762">
        <v>3777</v>
      </c>
      <c r="DD272" s="762">
        <v>5918</v>
      </c>
      <c r="DE272" s="762">
        <v>0</v>
      </c>
      <c r="DF272" s="762">
        <v>121</v>
      </c>
      <c r="DG272" s="762">
        <v>6039</v>
      </c>
      <c r="DH272" s="762">
        <v>0</v>
      </c>
      <c r="DI272" s="762">
        <v>0</v>
      </c>
      <c r="DJ272" s="762">
        <v>0</v>
      </c>
      <c r="DK272" s="762">
        <v>0</v>
      </c>
      <c r="DL272" s="762">
        <v>4466</v>
      </c>
      <c r="DM272" s="762">
        <v>0</v>
      </c>
      <c r="DN272" s="762">
        <v>91</v>
      </c>
      <c r="DO272" s="762">
        <v>4557</v>
      </c>
      <c r="DP272" s="762">
        <v>27347</v>
      </c>
      <c r="DQ272" s="762">
        <v>0</v>
      </c>
      <c r="DR272" s="762">
        <v>558</v>
      </c>
      <c r="DS272" s="762">
        <v>27905</v>
      </c>
      <c r="DT272" s="762">
        <v>0</v>
      </c>
      <c r="DU272" s="762">
        <v>0</v>
      </c>
      <c r="DV272" s="762">
        <v>0</v>
      </c>
      <c r="DW272" s="762">
        <v>0</v>
      </c>
      <c r="DX272" s="762">
        <v>0</v>
      </c>
      <c r="DY272" s="762">
        <v>0</v>
      </c>
      <c r="DZ272" s="762">
        <v>0</v>
      </c>
      <c r="EA272" s="762">
        <v>0</v>
      </c>
      <c r="EB272" s="762">
        <v>616287</v>
      </c>
      <c r="EC272" s="762">
        <v>0</v>
      </c>
      <c r="ED272" s="762">
        <v>12577</v>
      </c>
      <c r="EE272" s="762">
        <v>628864</v>
      </c>
      <c r="EF272" s="762">
        <v>4358729</v>
      </c>
      <c r="EG272" s="762">
        <v>0</v>
      </c>
      <c r="EH272" s="762">
        <v>88571</v>
      </c>
      <c r="EI272" s="799">
        <v>4447300</v>
      </c>
      <c r="EJ272" s="763" t="s">
        <v>619</v>
      </c>
      <c r="EK272" s="607" t="s">
        <v>529</v>
      </c>
      <c r="EL272" s="805" t="s">
        <v>620</v>
      </c>
      <c r="EM272" t="s">
        <v>1838</v>
      </c>
    </row>
    <row r="273" spans="1:143" ht="12.75" x14ac:dyDescent="0.2">
      <c r="A273" s="764">
        <v>266</v>
      </c>
      <c r="B273" s="765" t="s">
        <v>423</v>
      </c>
      <c r="C273" s="766" t="s">
        <v>1224</v>
      </c>
      <c r="D273" s="767" t="s">
        <v>1219</v>
      </c>
      <c r="E273" s="768" t="s">
        <v>422</v>
      </c>
      <c r="F273" s="761">
        <v>53557469</v>
      </c>
      <c r="G273" s="762">
        <v>0</v>
      </c>
      <c r="H273" s="762">
        <v>942066</v>
      </c>
      <c r="I273" s="762">
        <v>286759</v>
      </c>
      <c r="J273" s="762">
        <v>0</v>
      </c>
      <c r="K273" s="762">
        <v>286759</v>
      </c>
      <c r="L273" s="762">
        <v>0</v>
      </c>
      <c r="M273" s="762">
        <v>0</v>
      </c>
      <c r="N273" s="762">
        <v>0</v>
      </c>
      <c r="O273" s="762">
        <v>0</v>
      </c>
      <c r="P273" s="762">
        <v>0</v>
      </c>
      <c r="Q273" s="762">
        <v>0</v>
      </c>
      <c r="R273" s="762">
        <v>52328644</v>
      </c>
      <c r="S273" s="790">
        <v>0</v>
      </c>
      <c r="T273" s="790">
        <v>0.99</v>
      </c>
      <c r="U273" s="790">
        <v>0</v>
      </c>
      <c r="V273" s="790">
        <v>0.01</v>
      </c>
      <c r="W273" s="790">
        <v>1</v>
      </c>
      <c r="X273" s="762">
        <v>0</v>
      </c>
      <c r="Y273" s="762">
        <v>51805358</v>
      </c>
      <c r="Z273" s="762">
        <v>0</v>
      </c>
      <c r="AA273" s="762">
        <v>523286</v>
      </c>
      <c r="AB273" s="762">
        <v>52328644</v>
      </c>
      <c r="AC273" s="762">
        <v>0</v>
      </c>
      <c r="AD273" s="762">
        <v>0</v>
      </c>
      <c r="AE273" s="762">
        <v>0</v>
      </c>
      <c r="AF273" s="762">
        <v>0</v>
      </c>
      <c r="AG273" s="762">
        <v>0</v>
      </c>
      <c r="AH273" s="762">
        <v>0</v>
      </c>
      <c r="AI273" s="762">
        <v>51805358</v>
      </c>
      <c r="AJ273" s="762">
        <v>0</v>
      </c>
      <c r="AK273" s="762">
        <v>523286</v>
      </c>
      <c r="AL273" s="762">
        <v>52328644</v>
      </c>
      <c r="AM273" s="762">
        <v>286759</v>
      </c>
      <c r="AN273" s="762">
        <v>286759</v>
      </c>
      <c r="AO273" s="762">
        <v>0</v>
      </c>
      <c r="AP273" s="762">
        <v>0</v>
      </c>
      <c r="AQ273" s="762">
        <v>0</v>
      </c>
      <c r="AR273" s="762">
        <v>0</v>
      </c>
      <c r="AS273" s="762">
        <v>0</v>
      </c>
      <c r="AT273" s="762">
        <v>0</v>
      </c>
      <c r="AU273" s="762">
        <v>0</v>
      </c>
      <c r="AV273" s="762">
        <v>0</v>
      </c>
      <c r="AW273" s="762">
        <v>0</v>
      </c>
      <c r="AX273" s="762">
        <v>0</v>
      </c>
      <c r="AY273" s="762">
        <v>0</v>
      </c>
      <c r="AZ273" s="762">
        <v>0</v>
      </c>
      <c r="BA273" s="762">
        <v>0</v>
      </c>
      <c r="BB273" s="762">
        <v>0</v>
      </c>
      <c r="BC273" s="762">
        <v>0</v>
      </c>
      <c r="BD273" s="762">
        <v>0</v>
      </c>
      <c r="BE273" s="762">
        <v>0</v>
      </c>
      <c r="BF273" s="762">
        <v>0</v>
      </c>
      <c r="BG273" s="762">
        <v>0</v>
      </c>
      <c r="BH273" s="762">
        <v>0</v>
      </c>
      <c r="BI273" s="762">
        <v>0</v>
      </c>
      <c r="BJ273" s="790">
        <v>0</v>
      </c>
      <c r="BK273" s="790">
        <v>0.99</v>
      </c>
      <c r="BL273" s="790">
        <v>0</v>
      </c>
      <c r="BM273" s="790">
        <v>0.01</v>
      </c>
      <c r="BN273" s="790">
        <v>1</v>
      </c>
      <c r="BO273" s="762">
        <v>0</v>
      </c>
      <c r="BP273" s="762">
        <v>-53885</v>
      </c>
      <c r="BQ273" s="762">
        <v>0</v>
      </c>
      <c r="BR273" s="762">
        <v>-544</v>
      </c>
      <c r="BS273" s="762">
        <v>-54429</v>
      </c>
      <c r="BT273" s="790">
        <v>0</v>
      </c>
      <c r="BU273" s="790">
        <v>0.99</v>
      </c>
      <c r="BV273" s="790">
        <v>0</v>
      </c>
      <c r="BW273" s="790">
        <v>0.01</v>
      </c>
      <c r="BX273" s="790">
        <v>1</v>
      </c>
      <c r="BY273" s="762">
        <v>0</v>
      </c>
      <c r="BZ273" s="762">
        <v>899458</v>
      </c>
      <c r="CA273" s="762">
        <v>0</v>
      </c>
      <c r="CB273" s="762">
        <v>9085</v>
      </c>
      <c r="CC273" s="762">
        <v>908543</v>
      </c>
      <c r="CD273" s="762">
        <v>0</v>
      </c>
      <c r="CE273" s="762">
        <v>845573</v>
      </c>
      <c r="CF273" s="762">
        <v>0</v>
      </c>
      <c r="CG273" s="762">
        <v>8541</v>
      </c>
      <c r="CH273" s="762">
        <v>854114</v>
      </c>
      <c r="CI273" s="762">
        <v>0</v>
      </c>
      <c r="CJ273" s="762">
        <v>52937690</v>
      </c>
      <c r="CK273" s="762">
        <v>0</v>
      </c>
      <c r="CL273" s="762">
        <v>531827</v>
      </c>
      <c r="CM273" s="762">
        <v>53469517</v>
      </c>
      <c r="CN273" s="762">
        <v>1688158</v>
      </c>
      <c r="CO273" s="762">
        <v>0</v>
      </c>
      <c r="CP273" s="762">
        <v>17052</v>
      </c>
      <c r="CQ273" s="762">
        <v>1705210</v>
      </c>
      <c r="CR273" s="762">
        <v>6142996</v>
      </c>
      <c r="CS273" s="762">
        <v>0</v>
      </c>
      <c r="CT273" s="762">
        <v>62050</v>
      </c>
      <c r="CU273" s="762">
        <v>6205046</v>
      </c>
      <c r="CV273" s="762">
        <v>275078</v>
      </c>
      <c r="CW273" s="762">
        <v>0</v>
      </c>
      <c r="CX273" s="762">
        <v>2779</v>
      </c>
      <c r="CY273" s="762">
        <v>277857</v>
      </c>
      <c r="CZ273" s="762">
        <v>2384</v>
      </c>
      <c r="DA273" s="762">
        <v>0</v>
      </c>
      <c r="DB273" s="762">
        <v>24</v>
      </c>
      <c r="DC273" s="762">
        <v>2408</v>
      </c>
      <c r="DD273" s="762">
        <v>0</v>
      </c>
      <c r="DE273" s="762">
        <v>0</v>
      </c>
      <c r="DF273" s="762">
        <v>0</v>
      </c>
      <c r="DG273" s="762">
        <v>0</v>
      </c>
      <c r="DH273" s="762">
        <v>1534</v>
      </c>
      <c r="DI273" s="762">
        <v>0</v>
      </c>
      <c r="DJ273" s="762">
        <v>15</v>
      </c>
      <c r="DK273" s="762">
        <v>1549</v>
      </c>
      <c r="DL273" s="762">
        <v>20485</v>
      </c>
      <c r="DM273" s="762">
        <v>0</v>
      </c>
      <c r="DN273" s="762">
        <v>207</v>
      </c>
      <c r="DO273" s="762">
        <v>20692</v>
      </c>
      <c r="DP273" s="762">
        <v>58268</v>
      </c>
      <c r="DQ273" s="762">
        <v>0</v>
      </c>
      <c r="DR273" s="762">
        <v>589</v>
      </c>
      <c r="DS273" s="762">
        <v>58857</v>
      </c>
      <c r="DT273" s="762">
        <v>0</v>
      </c>
      <c r="DU273" s="762">
        <v>0</v>
      </c>
      <c r="DV273" s="762">
        <v>0</v>
      </c>
      <c r="DW273" s="762">
        <v>0</v>
      </c>
      <c r="DX273" s="762">
        <v>0</v>
      </c>
      <c r="DY273" s="762">
        <v>0</v>
      </c>
      <c r="DZ273" s="762">
        <v>0</v>
      </c>
      <c r="EA273" s="762">
        <v>0</v>
      </c>
      <c r="EB273" s="762">
        <v>1510370</v>
      </c>
      <c r="EC273" s="762">
        <v>0</v>
      </c>
      <c r="ED273" s="762">
        <v>15256</v>
      </c>
      <c r="EE273" s="762">
        <v>1525626</v>
      </c>
      <c r="EF273" s="762">
        <v>9699273</v>
      </c>
      <c r="EG273" s="762">
        <v>0</v>
      </c>
      <c r="EH273" s="762">
        <v>97972</v>
      </c>
      <c r="EI273" s="799">
        <v>9797245</v>
      </c>
      <c r="EJ273" s="763" t="s">
        <v>422</v>
      </c>
      <c r="EK273" s="607" t="s">
        <v>621</v>
      </c>
      <c r="EL273" s="805" t="s">
        <v>622</v>
      </c>
      <c r="EM273" t="s">
        <v>1839</v>
      </c>
    </row>
    <row r="274" spans="1:143" ht="12.75" x14ac:dyDescent="0.2">
      <c r="A274" s="764">
        <v>267</v>
      </c>
      <c r="B274" s="765" t="s">
        <v>425</v>
      </c>
      <c r="C274" s="766" t="s">
        <v>1217</v>
      </c>
      <c r="D274" s="767" t="s">
        <v>1227</v>
      </c>
      <c r="E274" s="768" t="s">
        <v>424</v>
      </c>
      <c r="F274" s="761">
        <v>33901075</v>
      </c>
      <c r="G274" s="762">
        <v>0</v>
      </c>
      <c r="H274" s="762">
        <v>348782</v>
      </c>
      <c r="I274" s="762">
        <v>89758</v>
      </c>
      <c r="J274" s="762">
        <v>0</v>
      </c>
      <c r="K274" s="762">
        <v>89758</v>
      </c>
      <c r="L274" s="762">
        <v>0</v>
      </c>
      <c r="M274" s="762">
        <v>0</v>
      </c>
      <c r="N274" s="762">
        <v>0</v>
      </c>
      <c r="O274" s="762">
        <v>0</v>
      </c>
      <c r="P274" s="762">
        <v>0</v>
      </c>
      <c r="Q274" s="762">
        <v>0</v>
      </c>
      <c r="R274" s="762">
        <v>33462535</v>
      </c>
      <c r="S274" s="790">
        <v>0.25</v>
      </c>
      <c r="T274" s="790">
        <v>0.4</v>
      </c>
      <c r="U274" s="790">
        <v>0.33999999999999997</v>
      </c>
      <c r="V274" s="790">
        <v>0.01</v>
      </c>
      <c r="W274" s="790">
        <v>1</v>
      </c>
      <c r="X274" s="762">
        <v>8365634</v>
      </c>
      <c r="Y274" s="762">
        <v>13385014</v>
      </c>
      <c r="Z274" s="762">
        <v>11377262</v>
      </c>
      <c r="AA274" s="762">
        <v>334625</v>
      </c>
      <c r="AB274" s="762">
        <v>33462535</v>
      </c>
      <c r="AC274" s="762">
        <v>0</v>
      </c>
      <c r="AD274" s="762">
        <v>0</v>
      </c>
      <c r="AE274" s="762">
        <v>0</v>
      </c>
      <c r="AF274" s="762">
        <v>0</v>
      </c>
      <c r="AG274" s="762">
        <v>0</v>
      </c>
      <c r="AH274" s="762">
        <v>8365634</v>
      </c>
      <c r="AI274" s="762">
        <v>13385014</v>
      </c>
      <c r="AJ274" s="762">
        <v>11377262</v>
      </c>
      <c r="AK274" s="762">
        <v>334625</v>
      </c>
      <c r="AL274" s="762">
        <v>33462535</v>
      </c>
      <c r="AM274" s="762">
        <v>89758</v>
      </c>
      <c r="AN274" s="762">
        <v>89758</v>
      </c>
      <c r="AO274" s="762">
        <v>0</v>
      </c>
      <c r="AP274" s="762">
        <v>0</v>
      </c>
      <c r="AQ274" s="762">
        <v>0</v>
      </c>
      <c r="AR274" s="762">
        <v>0</v>
      </c>
      <c r="AS274" s="762">
        <v>0</v>
      </c>
      <c r="AT274" s="762">
        <v>0</v>
      </c>
      <c r="AU274" s="762">
        <v>0</v>
      </c>
      <c r="AV274" s="762">
        <v>0</v>
      </c>
      <c r="AW274" s="762">
        <v>0</v>
      </c>
      <c r="AX274" s="762">
        <v>0</v>
      </c>
      <c r="AY274" s="762">
        <v>0</v>
      </c>
      <c r="AZ274" s="762">
        <v>0</v>
      </c>
      <c r="BA274" s="762">
        <v>0</v>
      </c>
      <c r="BB274" s="762">
        <v>0</v>
      </c>
      <c r="BC274" s="762">
        <v>0</v>
      </c>
      <c r="BD274" s="762">
        <v>0</v>
      </c>
      <c r="BE274" s="762">
        <v>0</v>
      </c>
      <c r="BF274" s="762">
        <v>0</v>
      </c>
      <c r="BG274" s="762">
        <v>0</v>
      </c>
      <c r="BH274" s="762">
        <v>0</v>
      </c>
      <c r="BI274" s="762">
        <v>0</v>
      </c>
      <c r="BJ274" s="790">
        <v>0.5</v>
      </c>
      <c r="BK274" s="790">
        <v>0.4</v>
      </c>
      <c r="BL274" s="790">
        <v>0.09</v>
      </c>
      <c r="BM274" s="790">
        <v>0.01</v>
      </c>
      <c r="BN274" s="790">
        <v>1</v>
      </c>
      <c r="BO274" s="762">
        <v>317884</v>
      </c>
      <c r="BP274" s="762">
        <v>254307</v>
      </c>
      <c r="BQ274" s="762">
        <v>57219</v>
      </c>
      <c r="BR274" s="762">
        <v>6358</v>
      </c>
      <c r="BS274" s="762">
        <v>635768</v>
      </c>
      <c r="BT274" s="790">
        <v>0.5</v>
      </c>
      <c r="BU274" s="790">
        <v>0.4</v>
      </c>
      <c r="BV274" s="790">
        <v>0.09</v>
      </c>
      <c r="BW274" s="790">
        <v>0.01</v>
      </c>
      <c r="BX274" s="790">
        <v>1</v>
      </c>
      <c r="BY274" s="762">
        <v>623225</v>
      </c>
      <c r="BZ274" s="762">
        <v>498580</v>
      </c>
      <c r="CA274" s="762">
        <v>112180</v>
      </c>
      <c r="CB274" s="762">
        <v>12464</v>
      </c>
      <c r="CC274" s="762">
        <v>1246449</v>
      </c>
      <c r="CD274" s="762">
        <v>941108</v>
      </c>
      <c r="CE274" s="762">
        <v>752887</v>
      </c>
      <c r="CF274" s="762">
        <v>169400</v>
      </c>
      <c r="CG274" s="762">
        <v>18822</v>
      </c>
      <c r="CH274" s="762">
        <v>1882217</v>
      </c>
      <c r="CI274" s="762">
        <v>9306742</v>
      </c>
      <c r="CJ274" s="762">
        <v>14227659</v>
      </c>
      <c r="CK274" s="762">
        <v>11546662</v>
      </c>
      <c r="CL274" s="762">
        <v>353447</v>
      </c>
      <c r="CM274" s="762">
        <v>35434510</v>
      </c>
      <c r="CN274" s="762">
        <v>436172</v>
      </c>
      <c r="CO274" s="762">
        <v>370746</v>
      </c>
      <c r="CP274" s="762">
        <v>10904</v>
      </c>
      <c r="CQ274" s="762">
        <v>817822</v>
      </c>
      <c r="CR274" s="762">
        <v>651450</v>
      </c>
      <c r="CS274" s="762">
        <v>553733</v>
      </c>
      <c r="CT274" s="762">
        <v>16286</v>
      </c>
      <c r="CU274" s="762">
        <v>1221469</v>
      </c>
      <c r="CV274" s="762">
        <v>53341</v>
      </c>
      <c r="CW274" s="762">
        <v>45340</v>
      </c>
      <c r="CX274" s="762">
        <v>1334</v>
      </c>
      <c r="CY274" s="762">
        <v>100015</v>
      </c>
      <c r="CZ274" s="762">
        <v>0</v>
      </c>
      <c r="DA274" s="762">
        <v>0</v>
      </c>
      <c r="DB274" s="762">
        <v>0</v>
      </c>
      <c r="DC274" s="762">
        <v>0</v>
      </c>
      <c r="DD274" s="762">
        <v>0</v>
      </c>
      <c r="DE274" s="762">
        <v>0</v>
      </c>
      <c r="DF274" s="762">
        <v>0</v>
      </c>
      <c r="DG274" s="762">
        <v>0</v>
      </c>
      <c r="DH274" s="762">
        <v>620</v>
      </c>
      <c r="DI274" s="762">
        <v>527</v>
      </c>
      <c r="DJ274" s="762">
        <v>15</v>
      </c>
      <c r="DK274" s="762">
        <v>1162</v>
      </c>
      <c r="DL274" s="762">
        <v>3079</v>
      </c>
      <c r="DM274" s="762">
        <v>2617</v>
      </c>
      <c r="DN274" s="762">
        <v>77</v>
      </c>
      <c r="DO274" s="762">
        <v>5773</v>
      </c>
      <c r="DP274" s="762">
        <v>17617</v>
      </c>
      <c r="DQ274" s="762">
        <v>14974</v>
      </c>
      <c r="DR274" s="762">
        <v>440</v>
      </c>
      <c r="DS274" s="762">
        <v>33031</v>
      </c>
      <c r="DT274" s="762">
        <v>0</v>
      </c>
      <c r="DU274" s="762">
        <v>0</v>
      </c>
      <c r="DV274" s="762">
        <v>0</v>
      </c>
      <c r="DW274" s="762">
        <v>0</v>
      </c>
      <c r="DX274" s="762">
        <v>0</v>
      </c>
      <c r="DY274" s="762">
        <v>0</v>
      </c>
      <c r="DZ274" s="762">
        <v>0</v>
      </c>
      <c r="EA274" s="762">
        <v>0</v>
      </c>
      <c r="EB274" s="762">
        <v>252006</v>
      </c>
      <c r="EC274" s="762">
        <v>214204</v>
      </c>
      <c r="ED274" s="762">
        <v>6300</v>
      </c>
      <c r="EE274" s="762">
        <v>472510</v>
      </c>
      <c r="EF274" s="762">
        <v>1414285</v>
      </c>
      <c r="EG274" s="762">
        <v>1202141</v>
      </c>
      <c r="EH274" s="762">
        <v>35356</v>
      </c>
      <c r="EI274" s="799">
        <v>2651782</v>
      </c>
      <c r="EJ274" s="763" t="s">
        <v>424</v>
      </c>
      <c r="EK274" s="607" t="s">
        <v>614</v>
      </c>
      <c r="EL274" s="805" t="s">
        <v>613</v>
      </c>
      <c r="EM274" t="s">
        <v>1840</v>
      </c>
    </row>
    <row r="275" spans="1:143" ht="12.75" x14ac:dyDescent="0.2">
      <c r="A275" s="764">
        <v>268</v>
      </c>
      <c r="B275" s="765" t="s">
        <v>427</v>
      </c>
      <c r="C275" s="766" t="s">
        <v>1217</v>
      </c>
      <c r="D275" s="767" t="s">
        <v>1218</v>
      </c>
      <c r="E275" s="768" t="s">
        <v>426</v>
      </c>
      <c r="F275" s="761">
        <v>20622499</v>
      </c>
      <c r="G275" s="762">
        <v>911138</v>
      </c>
      <c r="H275" s="762">
        <v>0</v>
      </c>
      <c r="I275" s="762">
        <v>124641</v>
      </c>
      <c r="J275" s="762">
        <v>0</v>
      </c>
      <c r="K275" s="762">
        <v>124641</v>
      </c>
      <c r="L275" s="762">
        <v>0</v>
      </c>
      <c r="M275" s="762">
        <v>0</v>
      </c>
      <c r="N275" s="762">
        <v>0</v>
      </c>
      <c r="O275" s="762">
        <v>0</v>
      </c>
      <c r="P275" s="762">
        <v>0</v>
      </c>
      <c r="Q275" s="762">
        <v>0</v>
      </c>
      <c r="R275" s="762">
        <v>21408996</v>
      </c>
      <c r="S275" s="790">
        <v>0.5</v>
      </c>
      <c r="T275" s="790">
        <v>0.4</v>
      </c>
      <c r="U275" s="790">
        <v>0.1</v>
      </c>
      <c r="V275" s="790">
        <v>0</v>
      </c>
      <c r="W275" s="790">
        <v>1</v>
      </c>
      <c r="X275" s="762">
        <v>10704498</v>
      </c>
      <c r="Y275" s="762">
        <v>8563598</v>
      </c>
      <c r="Z275" s="762">
        <v>2140900</v>
      </c>
      <c r="AA275" s="762">
        <v>0</v>
      </c>
      <c r="AB275" s="762">
        <v>21408996</v>
      </c>
      <c r="AC275" s="762">
        <v>0</v>
      </c>
      <c r="AD275" s="762">
        <v>0</v>
      </c>
      <c r="AE275" s="762">
        <v>0</v>
      </c>
      <c r="AF275" s="762">
        <v>0</v>
      </c>
      <c r="AG275" s="762">
        <v>0</v>
      </c>
      <c r="AH275" s="762">
        <v>10704498</v>
      </c>
      <c r="AI275" s="762">
        <v>8563598</v>
      </c>
      <c r="AJ275" s="762">
        <v>2140900</v>
      </c>
      <c r="AK275" s="762">
        <v>0</v>
      </c>
      <c r="AL275" s="762">
        <v>21408996</v>
      </c>
      <c r="AM275" s="762">
        <v>124641</v>
      </c>
      <c r="AN275" s="762">
        <v>124641</v>
      </c>
      <c r="AO275" s="762">
        <v>0</v>
      </c>
      <c r="AP275" s="762">
        <v>0</v>
      </c>
      <c r="AQ275" s="762">
        <v>0</v>
      </c>
      <c r="AR275" s="762">
        <v>0</v>
      </c>
      <c r="AS275" s="762">
        <v>0</v>
      </c>
      <c r="AT275" s="762">
        <v>0</v>
      </c>
      <c r="AU275" s="762">
        <v>0</v>
      </c>
      <c r="AV275" s="762">
        <v>0</v>
      </c>
      <c r="AW275" s="762">
        <v>0</v>
      </c>
      <c r="AX275" s="762">
        <v>0</v>
      </c>
      <c r="AY275" s="762">
        <v>0</v>
      </c>
      <c r="AZ275" s="762">
        <v>0</v>
      </c>
      <c r="BA275" s="762">
        <v>0</v>
      </c>
      <c r="BB275" s="762">
        <v>0</v>
      </c>
      <c r="BC275" s="762">
        <v>0</v>
      </c>
      <c r="BD275" s="762">
        <v>0</v>
      </c>
      <c r="BE275" s="762">
        <v>0</v>
      </c>
      <c r="BF275" s="762">
        <v>0</v>
      </c>
      <c r="BG275" s="762">
        <v>0</v>
      </c>
      <c r="BH275" s="762">
        <v>0</v>
      </c>
      <c r="BI275" s="762">
        <v>0</v>
      </c>
      <c r="BJ275" s="790">
        <v>0</v>
      </c>
      <c r="BK275" s="790">
        <v>0.3</v>
      </c>
      <c r="BL275" s="790">
        <v>0.7</v>
      </c>
      <c r="BM275" s="790">
        <v>0</v>
      </c>
      <c r="BN275" s="790">
        <v>1</v>
      </c>
      <c r="BO275" s="762">
        <v>0</v>
      </c>
      <c r="BP275" s="762">
        <v>243805</v>
      </c>
      <c r="BQ275" s="762">
        <v>568878</v>
      </c>
      <c r="BR275" s="762">
        <v>0</v>
      </c>
      <c r="BS275" s="762">
        <v>812683</v>
      </c>
      <c r="BT275" s="790">
        <v>0.5</v>
      </c>
      <c r="BU275" s="790">
        <v>0.4</v>
      </c>
      <c r="BV275" s="790">
        <v>0.1</v>
      </c>
      <c r="BW275" s="790">
        <v>0</v>
      </c>
      <c r="BX275" s="790">
        <v>1</v>
      </c>
      <c r="BY275" s="762">
        <v>-429655</v>
      </c>
      <c r="BZ275" s="762">
        <v>-343724</v>
      </c>
      <c r="CA275" s="762">
        <v>-85931</v>
      </c>
      <c r="CB275" s="762">
        <v>0</v>
      </c>
      <c r="CC275" s="762">
        <v>-859310</v>
      </c>
      <c r="CD275" s="762">
        <v>-429655</v>
      </c>
      <c r="CE275" s="762">
        <v>-99919</v>
      </c>
      <c r="CF275" s="762">
        <v>482947</v>
      </c>
      <c r="CG275" s="762">
        <v>0</v>
      </c>
      <c r="CH275" s="762">
        <v>-46627</v>
      </c>
      <c r="CI275" s="762">
        <v>10274843</v>
      </c>
      <c r="CJ275" s="762">
        <v>8588320</v>
      </c>
      <c r="CK275" s="762">
        <v>2623847</v>
      </c>
      <c r="CL275" s="762">
        <v>0</v>
      </c>
      <c r="CM275" s="762">
        <v>21487010</v>
      </c>
      <c r="CN275" s="762">
        <v>279058</v>
      </c>
      <c r="CO275" s="762">
        <v>69765</v>
      </c>
      <c r="CP275" s="762">
        <v>0</v>
      </c>
      <c r="CQ275" s="762">
        <v>348823</v>
      </c>
      <c r="CR275" s="762">
        <v>906650</v>
      </c>
      <c r="CS275" s="762">
        <v>226663</v>
      </c>
      <c r="CT275" s="762">
        <v>0</v>
      </c>
      <c r="CU275" s="762">
        <v>1133313</v>
      </c>
      <c r="CV275" s="762">
        <v>60129</v>
      </c>
      <c r="CW275" s="762">
        <v>15032</v>
      </c>
      <c r="CX275" s="762">
        <v>0</v>
      </c>
      <c r="CY275" s="762">
        <v>75161</v>
      </c>
      <c r="CZ275" s="762">
        <v>0</v>
      </c>
      <c r="DA275" s="762">
        <v>0</v>
      </c>
      <c r="DB275" s="762">
        <v>0</v>
      </c>
      <c r="DC275" s="762">
        <v>0</v>
      </c>
      <c r="DD275" s="762">
        <v>6847</v>
      </c>
      <c r="DE275" s="762">
        <v>1712</v>
      </c>
      <c r="DF275" s="762">
        <v>0</v>
      </c>
      <c r="DG275" s="762">
        <v>8559</v>
      </c>
      <c r="DH275" s="762">
        <v>0</v>
      </c>
      <c r="DI275" s="762">
        <v>0</v>
      </c>
      <c r="DJ275" s="762">
        <v>0</v>
      </c>
      <c r="DK275" s="762">
        <v>0</v>
      </c>
      <c r="DL275" s="762">
        <v>28528</v>
      </c>
      <c r="DM275" s="762">
        <v>7132</v>
      </c>
      <c r="DN275" s="762">
        <v>0</v>
      </c>
      <c r="DO275" s="762">
        <v>35660</v>
      </c>
      <c r="DP275" s="762">
        <v>20063</v>
      </c>
      <c r="DQ275" s="762">
        <v>5016</v>
      </c>
      <c r="DR275" s="762">
        <v>0</v>
      </c>
      <c r="DS275" s="762">
        <v>25079</v>
      </c>
      <c r="DT275" s="762">
        <v>0</v>
      </c>
      <c r="DU275" s="762">
        <v>0</v>
      </c>
      <c r="DV275" s="762">
        <v>0</v>
      </c>
      <c r="DW275" s="762">
        <v>0</v>
      </c>
      <c r="DX275" s="762">
        <v>0</v>
      </c>
      <c r="DY275" s="762">
        <v>0</v>
      </c>
      <c r="DZ275" s="762">
        <v>0</v>
      </c>
      <c r="EA275" s="762">
        <v>0</v>
      </c>
      <c r="EB275" s="762">
        <v>351079</v>
      </c>
      <c r="EC275" s="762">
        <v>87770</v>
      </c>
      <c r="ED275" s="762">
        <v>0</v>
      </c>
      <c r="EE275" s="762">
        <v>438849</v>
      </c>
      <c r="EF275" s="762">
        <v>1652354</v>
      </c>
      <c r="EG275" s="762">
        <v>413090</v>
      </c>
      <c r="EH275" s="762">
        <v>0</v>
      </c>
      <c r="EI275" s="799">
        <v>2065444</v>
      </c>
      <c r="EJ275" s="763" t="s">
        <v>426</v>
      </c>
      <c r="EK275" s="607" t="s">
        <v>616</v>
      </c>
      <c r="EL275" s="805" t="s">
        <v>556</v>
      </c>
      <c r="EM275" t="s">
        <v>1841</v>
      </c>
    </row>
    <row r="276" spans="1:143" ht="12.75" x14ac:dyDescent="0.2">
      <c r="A276" s="764">
        <v>269</v>
      </c>
      <c r="B276" s="765" t="s">
        <v>429</v>
      </c>
      <c r="C276" s="766" t="s">
        <v>1217</v>
      </c>
      <c r="D276" s="767" t="s">
        <v>1226</v>
      </c>
      <c r="E276" s="768" t="s">
        <v>428</v>
      </c>
      <c r="F276" s="761">
        <v>31034062</v>
      </c>
      <c r="G276" s="762">
        <v>0</v>
      </c>
      <c r="H276" s="762">
        <v>18898</v>
      </c>
      <c r="I276" s="762">
        <v>192274</v>
      </c>
      <c r="J276" s="762">
        <v>0</v>
      </c>
      <c r="K276" s="762">
        <v>192274</v>
      </c>
      <c r="L276" s="762">
        <v>0</v>
      </c>
      <c r="M276" s="762">
        <v>0</v>
      </c>
      <c r="N276" s="762">
        <v>83312</v>
      </c>
      <c r="O276" s="762">
        <v>83312</v>
      </c>
      <c r="P276" s="762">
        <v>0</v>
      </c>
      <c r="Q276" s="762">
        <v>0</v>
      </c>
      <c r="R276" s="762">
        <v>30739578</v>
      </c>
      <c r="S276" s="790">
        <v>0.5</v>
      </c>
      <c r="T276" s="790">
        <v>0.4</v>
      </c>
      <c r="U276" s="790">
        <v>0.09</v>
      </c>
      <c r="V276" s="790">
        <v>0.01</v>
      </c>
      <c r="W276" s="790">
        <v>1</v>
      </c>
      <c r="X276" s="762">
        <v>15369789</v>
      </c>
      <c r="Y276" s="762">
        <v>12295831</v>
      </c>
      <c r="Z276" s="762">
        <v>2766562</v>
      </c>
      <c r="AA276" s="762">
        <v>307396</v>
      </c>
      <c r="AB276" s="762">
        <v>30739578</v>
      </c>
      <c r="AC276" s="762">
        <v>0</v>
      </c>
      <c r="AD276" s="762">
        <v>0</v>
      </c>
      <c r="AE276" s="762">
        <v>0</v>
      </c>
      <c r="AF276" s="762">
        <v>0</v>
      </c>
      <c r="AG276" s="762">
        <v>0</v>
      </c>
      <c r="AH276" s="762">
        <v>15369789</v>
      </c>
      <c r="AI276" s="762">
        <v>12295831</v>
      </c>
      <c r="AJ276" s="762">
        <v>2766562</v>
      </c>
      <c r="AK276" s="762">
        <v>307396</v>
      </c>
      <c r="AL276" s="762">
        <v>30739578</v>
      </c>
      <c r="AM276" s="762">
        <v>192274</v>
      </c>
      <c r="AN276" s="762">
        <v>192274</v>
      </c>
      <c r="AO276" s="762">
        <v>0</v>
      </c>
      <c r="AP276" s="762">
        <v>0</v>
      </c>
      <c r="AQ276" s="762">
        <v>83312</v>
      </c>
      <c r="AR276" s="762">
        <v>0</v>
      </c>
      <c r="AS276" s="762">
        <v>83312</v>
      </c>
      <c r="AT276" s="762">
        <v>0</v>
      </c>
      <c r="AU276" s="762">
        <v>0</v>
      </c>
      <c r="AV276" s="762">
        <v>0</v>
      </c>
      <c r="AW276" s="762">
        <v>0</v>
      </c>
      <c r="AX276" s="762">
        <v>0</v>
      </c>
      <c r="AY276" s="762">
        <v>0</v>
      </c>
      <c r="AZ276" s="762">
        <v>0</v>
      </c>
      <c r="BA276" s="762">
        <v>0</v>
      </c>
      <c r="BB276" s="762">
        <v>0</v>
      </c>
      <c r="BC276" s="762">
        <v>0</v>
      </c>
      <c r="BD276" s="762">
        <v>0</v>
      </c>
      <c r="BE276" s="762">
        <v>0</v>
      </c>
      <c r="BF276" s="762">
        <v>0</v>
      </c>
      <c r="BG276" s="762">
        <v>0</v>
      </c>
      <c r="BH276" s="762">
        <v>0</v>
      </c>
      <c r="BI276" s="762">
        <v>0</v>
      </c>
      <c r="BJ276" s="790">
        <v>0</v>
      </c>
      <c r="BK276" s="790">
        <v>0.4</v>
      </c>
      <c r="BL276" s="790">
        <v>0.59</v>
      </c>
      <c r="BM276" s="790">
        <v>0.01</v>
      </c>
      <c r="BN276" s="790">
        <v>1</v>
      </c>
      <c r="BO276" s="762">
        <v>0</v>
      </c>
      <c r="BP276" s="762">
        <v>-196040</v>
      </c>
      <c r="BQ276" s="762">
        <v>-289159</v>
      </c>
      <c r="BR276" s="762">
        <v>-4901</v>
      </c>
      <c r="BS276" s="762">
        <v>-490100</v>
      </c>
      <c r="BT276" s="790">
        <v>0.5</v>
      </c>
      <c r="BU276" s="790">
        <v>0.4</v>
      </c>
      <c r="BV276" s="790">
        <v>0.09</v>
      </c>
      <c r="BW276" s="790">
        <v>0.01</v>
      </c>
      <c r="BX276" s="790">
        <v>1</v>
      </c>
      <c r="BY276" s="762">
        <v>146601</v>
      </c>
      <c r="BZ276" s="762">
        <v>117281</v>
      </c>
      <c r="CA276" s="762">
        <v>26388</v>
      </c>
      <c r="CB276" s="762">
        <v>2932</v>
      </c>
      <c r="CC276" s="762">
        <v>293202</v>
      </c>
      <c r="CD276" s="762">
        <v>146601</v>
      </c>
      <c r="CE276" s="762">
        <v>-78759</v>
      </c>
      <c r="CF276" s="762">
        <v>-262771</v>
      </c>
      <c r="CG276" s="762">
        <v>-1969</v>
      </c>
      <c r="CH276" s="762">
        <v>-196898</v>
      </c>
      <c r="CI276" s="762">
        <v>15516390</v>
      </c>
      <c r="CJ276" s="762">
        <v>12492658</v>
      </c>
      <c r="CK276" s="762">
        <v>2503791</v>
      </c>
      <c r="CL276" s="762">
        <v>305427</v>
      </c>
      <c r="CM276" s="762">
        <v>30818266</v>
      </c>
      <c r="CN276" s="762">
        <v>403394</v>
      </c>
      <c r="CO276" s="762">
        <v>90153</v>
      </c>
      <c r="CP276" s="762">
        <v>10017</v>
      </c>
      <c r="CQ276" s="762">
        <v>503564</v>
      </c>
      <c r="CR276" s="762">
        <v>1716220</v>
      </c>
      <c r="CS276" s="762">
        <v>386149</v>
      </c>
      <c r="CT276" s="762">
        <v>42905</v>
      </c>
      <c r="CU276" s="762">
        <v>2145274</v>
      </c>
      <c r="CV276" s="762">
        <v>90922</v>
      </c>
      <c r="CW276" s="762">
        <v>20253</v>
      </c>
      <c r="CX276" s="762">
        <v>2250</v>
      </c>
      <c r="CY276" s="762">
        <v>113425</v>
      </c>
      <c r="CZ276" s="762">
        <v>1740</v>
      </c>
      <c r="DA276" s="762">
        <v>392</v>
      </c>
      <c r="DB276" s="762">
        <v>44</v>
      </c>
      <c r="DC276" s="762">
        <v>2176</v>
      </c>
      <c r="DD276" s="762">
        <v>15078</v>
      </c>
      <c r="DE276" s="762">
        <v>3393</v>
      </c>
      <c r="DF276" s="762">
        <v>377</v>
      </c>
      <c r="DG276" s="762">
        <v>18848</v>
      </c>
      <c r="DH276" s="762">
        <v>620</v>
      </c>
      <c r="DI276" s="762">
        <v>139</v>
      </c>
      <c r="DJ276" s="762">
        <v>15</v>
      </c>
      <c r="DK276" s="762">
        <v>774</v>
      </c>
      <c r="DL276" s="762">
        <v>13913</v>
      </c>
      <c r="DM276" s="762">
        <v>3130</v>
      </c>
      <c r="DN276" s="762">
        <v>348</v>
      </c>
      <c r="DO276" s="762">
        <v>17391</v>
      </c>
      <c r="DP276" s="762">
        <v>24286</v>
      </c>
      <c r="DQ276" s="762">
        <v>5464</v>
      </c>
      <c r="DR276" s="762">
        <v>607</v>
      </c>
      <c r="DS276" s="762">
        <v>30357</v>
      </c>
      <c r="DT276" s="762">
        <v>0</v>
      </c>
      <c r="DU276" s="762">
        <v>0</v>
      </c>
      <c r="DV276" s="762">
        <v>0</v>
      </c>
      <c r="DW276" s="762">
        <v>0</v>
      </c>
      <c r="DX276" s="762">
        <v>0</v>
      </c>
      <c r="DY276" s="762">
        <v>0</v>
      </c>
      <c r="DZ276" s="762">
        <v>0</v>
      </c>
      <c r="EA276" s="762">
        <v>0</v>
      </c>
      <c r="EB276" s="762">
        <v>352097</v>
      </c>
      <c r="EC276" s="762">
        <v>79222</v>
      </c>
      <c r="ED276" s="762">
        <v>8802</v>
      </c>
      <c r="EE276" s="762">
        <v>440121</v>
      </c>
      <c r="EF276" s="762">
        <v>2618270</v>
      </c>
      <c r="EG276" s="762">
        <v>588295</v>
      </c>
      <c r="EH276" s="762">
        <v>65365</v>
      </c>
      <c r="EI276" s="799">
        <v>3271930</v>
      </c>
      <c r="EJ276" s="763" t="s">
        <v>428</v>
      </c>
      <c r="EK276" s="607" t="s">
        <v>565</v>
      </c>
      <c r="EL276" s="805" t="s">
        <v>563</v>
      </c>
      <c r="EM276" t="s">
        <v>1842</v>
      </c>
    </row>
    <row r="277" spans="1:143" ht="12.75" x14ac:dyDescent="0.2">
      <c r="A277" s="764">
        <v>270</v>
      </c>
      <c r="B277" s="765" t="s">
        <v>431</v>
      </c>
      <c r="C277" s="766" t="s">
        <v>529</v>
      </c>
      <c r="D277" s="767" t="s">
        <v>1227</v>
      </c>
      <c r="E277" s="768" t="s">
        <v>905</v>
      </c>
      <c r="F277" s="761">
        <v>71355405</v>
      </c>
      <c r="G277" s="762">
        <v>184795</v>
      </c>
      <c r="H277" s="762">
        <v>0</v>
      </c>
      <c r="I277" s="762">
        <v>214766</v>
      </c>
      <c r="J277" s="762">
        <v>0</v>
      </c>
      <c r="K277" s="762">
        <v>214766</v>
      </c>
      <c r="L277" s="762">
        <v>0</v>
      </c>
      <c r="M277" s="762">
        <v>0</v>
      </c>
      <c r="N277" s="762">
        <v>83607</v>
      </c>
      <c r="O277" s="762">
        <v>83607</v>
      </c>
      <c r="P277" s="762">
        <v>0</v>
      </c>
      <c r="Q277" s="762">
        <v>0</v>
      </c>
      <c r="R277" s="762">
        <v>71241827</v>
      </c>
      <c r="S277" s="790">
        <v>0.5</v>
      </c>
      <c r="T277" s="790">
        <v>0.49</v>
      </c>
      <c r="U277" s="790">
        <v>0</v>
      </c>
      <c r="V277" s="790">
        <v>0.01</v>
      </c>
      <c r="W277" s="790">
        <v>1</v>
      </c>
      <c r="X277" s="762">
        <v>35620914</v>
      </c>
      <c r="Y277" s="762">
        <v>34908495</v>
      </c>
      <c r="Z277" s="762">
        <v>0</v>
      </c>
      <c r="AA277" s="762">
        <v>712418</v>
      </c>
      <c r="AB277" s="762">
        <v>71241827</v>
      </c>
      <c r="AC277" s="762">
        <v>0</v>
      </c>
      <c r="AD277" s="762">
        <v>0</v>
      </c>
      <c r="AE277" s="762">
        <v>0</v>
      </c>
      <c r="AF277" s="762">
        <v>0</v>
      </c>
      <c r="AG277" s="762">
        <v>0</v>
      </c>
      <c r="AH277" s="762">
        <v>35620914</v>
      </c>
      <c r="AI277" s="762">
        <v>34908495</v>
      </c>
      <c r="AJ277" s="762">
        <v>0</v>
      </c>
      <c r="AK277" s="762">
        <v>712418</v>
      </c>
      <c r="AL277" s="762">
        <v>71241827</v>
      </c>
      <c r="AM277" s="762">
        <v>214766</v>
      </c>
      <c r="AN277" s="762">
        <v>214766</v>
      </c>
      <c r="AO277" s="762">
        <v>0</v>
      </c>
      <c r="AP277" s="762">
        <v>0</v>
      </c>
      <c r="AQ277" s="762">
        <v>83607</v>
      </c>
      <c r="AR277" s="762">
        <v>0</v>
      </c>
      <c r="AS277" s="762">
        <v>83607</v>
      </c>
      <c r="AT277" s="762">
        <v>0</v>
      </c>
      <c r="AU277" s="762">
        <v>0</v>
      </c>
      <c r="AV277" s="762">
        <v>0</v>
      </c>
      <c r="AW277" s="762">
        <v>0</v>
      </c>
      <c r="AX277" s="762">
        <v>0</v>
      </c>
      <c r="AY277" s="762">
        <v>0</v>
      </c>
      <c r="AZ277" s="762">
        <v>0</v>
      </c>
      <c r="BA277" s="762">
        <v>0</v>
      </c>
      <c r="BB277" s="762">
        <v>0</v>
      </c>
      <c r="BC277" s="762">
        <v>0</v>
      </c>
      <c r="BD277" s="762">
        <v>0</v>
      </c>
      <c r="BE277" s="762">
        <v>0</v>
      </c>
      <c r="BF277" s="762">
        <v>0</v>
      </c>
      <c r="BG277" s="762">
        <v>0</v>
      </c>
      <c r="BH277" s="762">
        <v>0</v>
      </c>
      <c r="BI277" s="762">
        <v>0</v>
      </c>
      <c r="BJ277" s="790">
        <v>0.5</v>
      </c>
      <c r="BK277" s="790">
        <v>0.49</v>
      </c>
      <c r="BL277" s="790">
        <v>0</v>
      </c>
      <c r="BM277" s="790">
        <v>0.01</v>
      </c>
      <c r="BN277" s="790">
        <v>1</v>
      </c>
      <c r="BO277" s="762">
        <v>1106882</v>
      </c>
      <c r="BP277" s="762">
        <v>1084744</v>
      </c>
      <c r="BQ277" s="762">
        <v>0</v>
      </c>
      <c r="BR277" s="762">
        <v>22138</v>
      </c>
      <c r="BS277" s="762">
        <v>2213764</v>
      </c>
      <c r="BT277" s="790">
        <v>0.5</v>
      </c>
      <c r="BU277" s="790">
        <v>0.49</v>
      </c>
      <c r="BV277" s="790">
        <v>0</v>
      </c>
      <c r="BW277" s="790">
        <v>0.01</v>
      </c>
      <c r="BX277" s="790">
        <v>1</v>
      </c>
      <c r="BY277" s="762">
        <v>-267940</v>
      </c>
      <c r="BZ277" s="762">
        <v>-262582</v>
      </c>
      <c r="CA277" s="762">
        <v>0</v>
      </c>
      <c r="CB277" s="762">
        <v>-5359</v>
      </c>
      <c r="CC277" s="762">
        <v>-535881</v>
      </c>
      <c r="CD277" s="762">
        <v>838941</v>
      </c>
      <c r="CE277" s="762">
        <v>822163</v>
      </c>
      <c r="CF277" s="762">
        <v>0</v>
      </c>
      <c r="CG277" s="762">
        <v>16779</v>
      </c>
      <c r="CH277" s="762">
        <v>1677883</v>
      </c>
      <c r="CI277" s="762">
        <v>36459855</v>
      </c>
      <c r="CJ277" s="762">
        <v>36029031</v>
      </c>
      <c r="CK277" s="762">
        <v>0</v>
      </c>
      <c r="CL277" s="762">
        <v>729197</v>
      </c>
      <c r="CM277" s="762">
        <v>73218083</v>
      </c>
      <c r="CN277" s="762">
        <v>1140272</v>
      </c>
      <c r="CO277" s="762">
        <v>0</v>
      </c>
      <c r="CP277" s="762">
        <v>23215</v>
      </c>
      <c r="CQ277" s="762">
        <v>1163487</v>
      </c>
      <c r="CR277" s="762">
        <v>1778872</v>
      </c>
      <c r="CS277" s="762">
        <v>0</v>
      </c>
      <c r="CT277" s="762">
        <v>36303</v>
      </c>
      <c r="CU277" s="762">
        <v>1815175</v>
      </c>
      <c r="CV277" s="762">
        <v>146751</v>
      </c>
      <c r="CW277" s="762">
        <v>0</v>
      </c>
      <c r="CX277" s="762">
        <v>2995</v>
      </c>
      <c r="CY277" s="762">
        <v>149746</v>
      </c>
      <c r="CZ277" s="762">
        <v>3192</v>
      </c>
      <c r="DA277" s="762">
        <v>0</v>
      </c>
      <c r="DB277" s="762">
        <v>65</v>
      </c>
      <c r="DC277" s="762">
        <v>3257</v>
      </c>
      <c r="DD277" s="762">
        <v>751</v>
      </c>
      <c r="DE277" s="762">
        <v>0</v>
      </c>
      <c r="DF277" s="762">
        <v>15</v>
      </c>
      <c r="DG277" s="762">
        <v>766</v>
      </c>
      <c r="DH277" s="762">
        <v>759</v>
      </c>
      <c r="DI277" s="762">
        <v>0</v>
      </c>
      <c r="DJ277" s="762">
        <v>15</v>
      </c>
      <c r="DK277" s="762">
        <v>774</v>
      </c>
      <c r="DL277" s="762">
        <v>17205</v>
      </c>
      <c r="DM277" s="762">
        <v>0</v>
      </c>
      <c r="DN277" s="762">
        <v>351</v>
      </c>
      <c r="DO277" s="762">
        <v>17556</v>
      </c>
      <c r="DP277" s="762">
        <v>40502</v>
      </c>
      <c r="DQ277" s="762">
        <v>0</v>
      </c>
      <c r="DR277" s="762">
        <v>827</v>
      </c>
      <c r="DS277" s="762">
        <v>41329</v>
      </c>
      <c r="DT277" s="762">
        <v>0</v>
      </c>
      <c r="DU277" s="762">
        <v>0</v>
      </c>
      <c r="DV277" s="762">
        <v>0</v>
      </c>
      <c r="DW277" s="762">
        <v>0</v>
      </c>
      <c r="DX277" s="762">
        <v>0</v>
      </c>
      <c r="DY277" s="762">
        <v>0</v>
      </c>
      <c r="DZ277" s="762">
        <v>0</v>
      </c>
      <c r="EA277" s="762">
        <v>0</v>
      </c>
      <c r="EB277" s="762">
        <v>394557</v>
      </c>
      <c r="EC277" s="762">
        <v>0</v>
      </c>
      <c r="ED277" s="762">
        <v>8052</v>
      </c>
      <c r="EE277" s="762">
        <v>402609</v>
      </c>
      <c r="EF277" s="762">
        <v>3522861</v>
      </c>
      <c r="EG277" s="762">
        <v>0</v>
      </c>
      <c r="EH277" s="762">
        <v>71838</v>
      </c>
      <c r="EI277" s="799">
        <v>3594699</v>
      </c>
      <c r="EJ277" s="763" t="s">
        <v>905</v>
      </c>
      <c r="EK277" s="607" t="s">
        <v>529</v>
      </c>
      <c r="EL277" s="805" t="s">
        <v>610</v>
      </c>
      <c r="EM277" t="s">
        <v>1843</v>
      </c>
    </row>
    <row r="278" spans="1:143" ht="12.75" x14ac:dyDescent="0.2">
      <c r="A278" s="764">
        <v>271</v>
      </c>
      <c r="B278" s="765" t="s">
        <v>433</v>
      </c>
      <c r="C278" s="766" t="s">
        <v>1217</v>
      </c>
      <c r="D278" s="767" t="s">
        <v>1221</v>
      </c>
      <c r="E278" s="768" t="s">
        <v>432</v>
      </c>
      <c r="F278" s="761">
        <v>26018918</v>
      </c>
      <c r="G278" s="762">
        <v>218635</v>
      </c>
      <c r="H278" s="762">
        <v>0</v>
      </c>
      <c r="I278" s="762">
        <v>289204</v>
      </c>
      <c r="J278" s="762">
        <v>0</v>
      </c>
      <c r="K278" s="762">
        <v>289204</v>
      </c>
      <c r="L278" s="762">
        <v>0</v>
      </c>
      <c r="M278" s="762">
        <v>0</v>
      </c>
      <c r="N278" s="762">
        <v>286721</v>
      </c>
      <c r="O278" s="762">
        <v>286721</v>
      </c>
      <c r="P278" s="762">
        <v>0</v>
      </c>
      <c r="Q278" s="762">
        <v>0</v>
      </c>
      <c r="R278" s="762">
        <v>25661628</v>
      </c>
      <c r="S278" s="790">
        <v>0.5</v>
      </c>
      <c r="T278" s="790">
        <v>0.4</v>
      </c>
      <c r="U278" s="790">
        <v>0.09</v>
      </c>
      <c r="V278" s="790">
        <v>0.01</v>
      </c>
      <c r="W278" s="790">
        <v>1</v>
      </c>
      <c r="X278" s="762">
        <v>12830814</v>
      </c>
      <c r="Y278" s="762">
        <v>10264651</v>
      </c>
      <c r="Z278" s="762">
        <v>2309547</v>
      </c>
      <c r="AA278" s="762">
        <v>256616</v>
      </c>
      <c r="AB278" s="762">
        <v>25661628</v>
      </c>
      <c r="AC278" s="762">
        <v>0</v>
      </c>
      <c r="AD278" s="762">
        <v>0</v>
      </c>
      <c r="AE278" s="762">
        <v>0</v>
      </c>
      <c r="AF278" s="762">
        <v>0</v>
      </c>
      <c r="AG278" s="762">
        <v>0</v>
      </c>
      <c r="AH278" s="762">
        <v>12830814</v>
      </c>
      <c r="AI278" s="762">
        <v>10264651</v>
      </c>
      <c r="AJ278" s="762">
        <v>2309547</v>
      </c>
      <c r="AK278" s="762">
        <v>256616</v>
      </c>
      <c r="AL278" s="762">
        <v>25661628</v>
      </c>
      <c r="AM278" s="762">
        <v>289204</v>
      </c>
      <c r="AN278" s="762">
        <v>289204</v>
      </c>
      <c r="AO278" s="762">
        <v>0</v>
      </c>
      <c r="AP278" s="762">
        <v>0</v>
      </c>
      <c r="AQ278" s="762">
        <v>286721</v>
      </c>
      <c r="AR278" s="762">
        <v>0</v>
      </c>
      <c r="AS278" s="762">
        <v>286721</v>
      </c>
      <c r="AT278" s="762">
        <v>0</v>
      </c>
      <c r="AU278" s="762">
        <v>0</v>
      </c>
      <c r="AV278" s="762">
        <v>0</v>
      </c>
      <c r="AW278" s="762">
        <v>0</v>
      </c>
      <c r="AX278" s="762">
        <v>0</v>
      </c>
      <c r="AY278" s="762">
        <v>0</v>
      </c>
      <c r="AZ278" s="762">
        <v>0</v>
      </c>
      <c r="BA278" s="762">
        <v>0</v>
      </c>
      <c r="BB278" s="762">
        <v>0</v>
      </c>
      <c r="BC278" s="762">
        <v>0</v>
      </c>
      <c r="BD278" s="762">
        <v>0</v>
      </c>
      <c r="BE278" s="762">
        <v>0</v>
      </c>
      <c r="BF278" s="762">
        <v>0</v>
      </c>
      <c r="BG278" s="762">
        <v>0</v>
      </c>
      <c r="BH278" s="762">
        <v>0</v>
      </c>
      <c r="BI278" s="762">
        <v>0</v>
      </c>
      <c r="BJ278" s="790">
        <v>0.5</v>
      </c>
      <c r="BK278" s="790">
        <v>0.4</v>
      </c>
      <c r="BL278" s="790">
        <v>0.09</v>
      </c>
      <c r="BM278" s="790">
        <v>0.01</v>
      </c>
      <c r="BN278" s="790">
        <v>1</v>
      </c>
      <c r="BO278" s="762">
        <v>8059</v>
      </c>
      <c r="BP278" s="762">
        <v>6448</v>
      </c>
      <c r="BQ278" s="762">
        <v>1451</v>
      </c>
      <c r="BR278" s="762">
        <v>161</v>
      </c>
      <c r="BS278" s="762">
        <v>16119</v>
      </c>
      <c r="BT278" s="790">
        <v>0.5</v>
      </c>
      <c r="BU278" s="790">
        <v>0.4</v>
      </c>
      <c r="BV278" s="790">
        <v>0.09</v>
      </c>
      <c r="BW278" s="790">
        <v>0.01</v>
      </c>
      <c r="BX278" s="790">
        <v>1</v>
      </c>
      <c r="BY278" s="762">
        <v>549003</v>
      </c>
      <c r="BZ278" s="762">
        <v>439203</v>
      </c>
      <c r="CA278" s="762">
        <v>98821</v>
      </c>
      <c r="CB278" s="762">
        <v>10980</v>
      </c>
      <c r="CC278" s="762">
        <v>1098007</v>
      </c>
      <c r="CD278" s="762">
        <v>557064</v>
      </c>
      <c r="CE278" s="762">
        <v>445650</v>
      </c>
      <c r="CF278" s="762">
        <v>100271</v>
      </c>
      <c r="CG278" s="762">
        <v>11141</v>
      </c>
      <c r="CH278" s="762">
        <v>1114126</v>
      </c>
      <c r="CI278" s="762">
        <v>13387878</v>
      </c>
      <c r="CJ278" s="762">
        <v>11286226</v>
      </c>
      <c r="CK278" s="762">
        <v>2409818</v>
      </c>
      <c r="CL278" s="762">
        <v>267757</v>
      </c>
      <c r="CM278" s="762">
        <v>27351679</v>
      </c>
      <c r="CN278" s="762">
        <v>343833</v>
      </c>
      <c r="CO278" s="762">
        <v>75260</v>
      </c>
      <c r="CP278" s="762">
        <v>8362</v>
      </c>
      <c r="CQ278" s="762">
        <v>427455</v>
      </c>
      <c r="CR278" s="762">
        <v>1807314</v>
      </c>
      <c r="CS278" s="762">
        <v>406646</v>
      </c>
      <c r="CT278" s="762">
        <v>45183</v>
      </c>
      <c r="CU278" s="762">
        <v>2259143</v>
      </c>
      <c r="CV278" s="762">
        <v>13532</v>
      </c>
      <c r="CW278" s="762">
        <v>3045</v>
      </c>
      <c r="CX278" s="762">
        <v>338</v>
      </c>
      <c r="CY278" s="762">
        <v>16915</v>
      </c>
      <c r="CZ278" s="762">
        <v>2923</v>
      </c>
      <c r="DA278" s="762">
        <v>658</v>
      </c>
      <c r="DB278" s="762">
        <v>73</v>
      </c>
      <c r="DC278" s="762">
        <v>3654</v>
      </c>
      <c r="DD278" s="762">
        <v>14921</v>
      </c>
      <c r="DE278" s="762">
        <v>3357</v>
      </c>
      <c r="DF278" s="762">
        <v>373</v>
      </c>
      <c r="DG278" s="762">
        <v>18651</v>
      </c>
      <c r="DH278" s="762">
        <v>620</v>
      </c>
      <c r="DI278" s="762">
        <v>139</v>
      </c>
      <c r="DJ278" s="762">
        <v>15</v>
      </c>
      <c r="DK278" s="762">
        <v>774</v>
      </c>
      <c r="DL278" s="762">
        <v>5445</v>
      </c>
      <c r="DM278" s="762">
        <v>1225</v>
      </c>
      <c r="DN278" s="762">
        <v>136</v>
      </c>
      <c r="DO278" s="762">
        <v>6806</v>
      </c>
      <c r="DP278" s="762">
        <v>17600</v>
      </c>
      <c r="DQ278" s="762">
        <v>3960</v>
      </c>
      <c r="DR278" s="762">
        <v>440</v>
      </c>
      <c r="DS278" s="762">
        <v>22000</v>
      </c>
      <c r="DT278" s="762">
        <v>0</v>
      </c>
      <c r="DU278" s="762">
        <v>0</v>
      </c>
      <c r="DV278" s="762">
        <v>0</v>
      </c>
      <c r="DW278" s="762">
        <v>0</v>
      </c>
      <c r="DX278" s="762">
        <v>0</v>
      </c>
      <c r="DY278" s="762">
        <v>0</v>
      </c>
      <c r="DZ278" s="762">
        <v>0</v>
      </c>
      <c r="EA278" s="762">
        <v>0</v>
      </c>
      <c r="EB278" s="762">
        <v>410361</v>
      </c>
      <c r="EC278" s="762">
        <v>92331</v>
      </c>
      <c r="ED278" s="762">
        <v>10259</v>
      </c>
      <c r="EE278" s="762">
        <v>512951</v>
      </c>
      <c r="EF278" s="762">
        <v>2616549</v>
      </c>
      <c r="EG278" s="762">
        <v>586621</v>
      </c>
      <c r="EH278" s="762">
        <v>65179</v>
      </c>
      <c r="EI278" s="799">
        <v>3268349</v>
      </c>
      <c r="EJ278" s="763" t="s">
        <v>432</v>
      </c>
      <c r="EK278" s="607" t="s">
        <v>575</v>
      </c>
      <c r="EL278" s="805" t="s">
        <v>573</v>
      </c>
      <c r="EM278" t="s">
        <v>1844</v>
      </c>
    </row>
    <row r="279" spans="1:143" ht="12.75" x14ac:dyDescent="0.2">
      <c r="A279" s="764">
        <v>272</v>
      </c>
      <c r="B279" s="765" t="s">
        <v>435</v>
      </c>
      <c r="C279" s="766" t="s">
        <v>1217</v>
      </c>
      <c r="D279" s="767" t="s">
        <v>1218</v>
      </c>
      <c r="E279" s="768" t="s">
        <v>434</v>
      </c>
      <c r="F279" s="761">
        <v>54232335</v>
      </c>
      <c r="G279" s="762">
        <v>19858</v>
      </c>
      <c r="H279" s="762">
        <v>0</v>
      </c>
      <c r="I279" s="762">
        <v>188242</v>
      </c>
      <c r="J279" s="762">
        <v>0</v>
      </c>
      <c r="K279" s="762">
        <v>188242</v>
      </c>
      <c r="L279" s="762">
        <v>0</v>
      </c>
      <c r="M279" s="762">
        <v>0</v>
      </c>
      <c r="N279" s="762">
        <v>433797</v>
      </c>
      <c r="O279" s="762">
        <v>433797</v>
      </c>
      <c r="P279" s="762">
        <v>0</v>
      </c>
      <c r="Q279" s="762">
        <v>0</v>
      </c>
      <c r="R279" s="762">
        <v>53630154</v>
      </c>
      <c r="S279" s="790">
        <v>0.5</v>
      </c>
      <c r="T279" s="790">
        <v>0.4</v>
      </c>
      <c r="U279" s="790">
        <v>0.09</v>
      </c>
      <c r="V279" s="790">
        <v>0.01</v>
      </c>
      <c r="W279" s="790">
        <v>1</v>
      </c>
      <c r="X279" s="762">
        <v>26815076</v>
      </c>
      <c r="Y279" s="762">
        <v>21452062</v>
      </c>
      <c r="Z279" s="762">
        <v>4826714</v>
      </c>
      <c r="AA279" s="762">
        <v>536302</v>
      </c>
      <c r="AB279" s="762">
        <v>53630154</v>
      </c>
      <c r="AC279" s="762">
        <v>0</v>
      </c>
      <c r="AD279" s="762">
        <v>0</v>
      </c>
      <c r="AE279" s="762">
        <v>0</v>
      </c>
      <c r="AF279" s="762">
        <v>0</v>
      </c>
      <c r="AG279" s="762">
        <v>0</v>
      </c>
      <c r="AH279" s="762">
        <v>26815076</v>
      </c>
      <c r="AI279" s="762">
        <v>21452062</v>
      </c>
      <c r="AJ279" s="762">
        <v>4826714</v>
      </c>
      <c r="AK279" s="762">
        <v>536302</v>
      </c>
      <c r="AL279" s="762">
        <v>53630154</v>
      </c>
      <c r="AM279" s="762">
        <v>188242</v>
      </c>
      <c r="AN279" s="762">
        <v>188242</v>
      </c>
      <c r="AO279" s="762">
        <v>0</v>
      </c>
      <c r="AP279" s="762">
        <v>0</v>
      </c>
      <c r="AQ279" s="762">
        <v>433797</v>
      </c>
      <c r="AR279" s="762">
        <v>0</v>
      </c>
      <c r="AS279" s="762">
        <v>433797</v>
      </c>
      <c r="AT279" s="762">
        <v>0</v>
      </c>
      <c r="AU279" s="762">
        <v>0</v>
      </c>
      <c r="AV279" s="762">
        <v>0</v>
      </c>
      <c r="AW279" s="762">
        <v>0</v>
      </c>
      <c r="AX279" s="762">
        <v>0</v>
      </c>
      <c r="AY279" s="762">
        <v>0</v>
      </c>
      <c r="AZ279" s="762">
        <v>0</v>
      </c>
      <c r="BA279" s="762">
        <v>0</v>
      </c>
      <c r="BB279" s="762">
        <v>0</v>
      </c>
      <c r="BC279" s="762">
        <v>0</v>
      </c>
      <c r="BD279" s="762">
        <v>0</v>
      </c>
      <c r="BE279" s="762">
        <v>0</v>
      </c>
      <c r="BF279" s="762">
        <v>0</v>
      </c>
      <c r="BG279" s="762">
        <v>0</v>
      </c>
      <c r="BH279" s="762">
        <v>0</v>
      </c>
      <c r="BI279" s="762">
        <v>0</v>
      </c>
      <c r="BJ279" s="790">
        <v>0.5</v>
      </c>
      <c r="BK279" s="790">
        <v>0.4</v>
      </c>
      <c r="BL279" s="790">
        <v>0.09</v>
      </c>
      <c r="BM279" s="790">
        <v>0.01</v>
      </c>
      <c r="BN279" s="790">
        <v>1</v>
      </c>
      <c r="BO279" s="762">
        <v>-412559</v>
      </c>
      <c r="BP279" s="762">
        <v>-330047</v>
      </c>
      <c r="BQ279" s="762">
        <v>-74261</v>
      </c>
      <c r="BR279" s="762">
        <v>-8251</v>
      </c>
      <c r="BS279" s="762">
        <v>-825118</v>
      </c>
      <c r="BT279" s="790">
        <v>0.5</v>
      </c>
      <c r="BU279" s="790">
        <v>0.4</v>
      </c>
      <c r="BV279" s="790">
        <v>0.09</v>
      </c>
      <c r="BW279" s="790">
        <v>0.01</v>
      </c>
      <c r="BX279" s="790">
        <v>1</v>
      </c>
      <c r="BY279" s="762">
        <v>340569</v>
      </c>
      <c r="BZ279" s="762">
        <v>272456</v>
      </c>
      <c r="CA279" s="762">
        <v>61303</v>
      </c>
      <c r="CB279" s="762">
        <v>6811</v>
      </c>
      <c r="CC279" s="762">
        <v>681139</v>
      </c>
      <c r="CD279" s="762">
        <v>-71989</v>
      </c>
      <c r="CE279" s="762">
        <v>-57592</v>
      </c>
      <c r="CF279" s="762">
        <v>-12958</v>
      </c>
      <c r="CG279" s="762">
        <v>-1440</v>
      </c>
      <c r="CH279" s="762">
        <v>-143979</v>
      </c>
      <c r="CI279" s="762">
        <v>26743087</v>
      </c>
      <c r="CJ279" s="762">
        <v>22016509</v>
      </c>
      <c r="CK279" s="762">
        <v>4813756</v>
      </c>
      <c r="CL279" s="762">
        <v>534862</v>
      </c>
      <c r="CM279" s="762">
        <v>54108214</v>
      </c>
      <c r="CN279" s="762">
        <v>713185</v>
      </c>
      <c r="CO279" s="762">
        <v>157286</v>
      </c>
      <c r="CP279" s="762">
        <v>17476</v>
      </c>
      <c r="CQ279" s="762">
        <v>887947</v>
      </c>
      <c r="CR279" s="762">
        <v>1265905</v>
      </c>
      <c r="CS279" s="762">
        <v>284829</v>
      </c>
      <c r="CT279" s="762">
        <v>31648</v>
      </c>
      <c r="CU279" s="762">
        <v>1582382</v>
      </c>
      <c r="CV279" s="762">
        <v>117701</v>
      </c>
      <c r="CW279" s="762">
        <v>26483</v>
      </c>
      <c r="CX279" s="762">
        <v>2943</v>
      </c>
      <c r="CY279" s="762">
        <v>147127</v>
      </c>
      <c r="CZ279" s="762">
        <v>7281</v>
      </c>
      <c r="DA279" s="762">
        <v>1638</v>
      </c>
      <c r="DB279" s="762">
        <v>182</v>
      </c>
      <c r="DC279" s="762">
        <v>9101</v>
      </c>
      <c r="DD279" s="762">
        <v>9854</v>
      </c>
      <c r="DE279" s="762">
        <v>2217</v>
      </c>
      <c r="DF279" s="762">
        <v>246</v>
      </c>
      <c r="DG279" s="762">
        <v>12317</v>
      </c>
      <c r="DH279" s="762">
        <v>1239</v>
      </c>
      <c r="DI279" s="762">
        <v>279</v>
      </c>
      <c r="DJ279" s="762">
        <v>31</v>
      </c>
      <c r="DK279" s="762">
        <v>1549</v>
      </c>
      <c r="DL279" s="762">
        <v>8866</v>
      </c>
      <c r="DM279" s="762">
        <v>1995</v>
      </c>
      <c r="DN279" s="762">
        <v>222</v>
      </c>
      <c r="DO279" s="762">
        <v>11083</v>
      </c>
      <c r="DP279" s="762">
        <v>26602</v>
      </c>
      <c r="DQ279" s="762">
        <v>5985</v>
      </c>
      <c r="DR279" s="762">
        <v>665</v>
      </c>
      <c r="DS279" s="762">
        <v>33252</v>
      </c>
      <c r="DT279" s="762">
        <v>0</v>
      </c>
      <c r="DU279" s="762">
        <v>0</v>
      </c>
      <c r="DV279" s="762">
        <v>0</v>
      </c>
      <c r="DW279" s="762">
        <v>0</v>
      </c>
      <c r="DX279" s="762">
        <v>0</v>
      </c>
      <c r="DY279" s="762">
        <v>0</v>
      </c>
      <c r="DZ279" s="762">
        <v>0</v>
      </c>
      <c r="EA279" s="762">
        <v>0</v>
      </c>
      <c r="EB279" s="762">
        <v>584811</v>
      </c>
      <c r="EC279" s="762">
        <v>131583</v>
      </c>
      <c r="ED279" s="762">
        <v>14620</v>
      </c>
      <c r="EE279" s="762">
        <v>731014</v>
      </c>
      <c r="EF279" s="762">
        <v>2735444</v>
      </c>
      <c r="EG279" s="762">
        <v>612295</v>
      </c>
      <c r="EH279" s="762">
        <v>68033</v>
      </c>
      <c r="EI279" s="799">
        <v>3415772</v>
      </c>
      <c r="EJ279" s="763" t="s">
        <v>434</v>
      </c>
      <c r="EK279" s="607" t="s">
        <v>580</v>
      </c>
      <c r="EL279" s="805" t="s">
        <v>578</v>
      </c>
      <c r="EM279" t="s">
        <v>1845</v>
      </c>
    </row>
    <row r="280" spans="1:143" ht="12.75" x14ac:dyDescent="0.2">
      <c r="A280" s="764">
        <v>273</v>
      </c>
      <c r="B280" s="765" t="s">
        <v>437</v>
      </c>
      <c r="C280" s="766" t="s">
        <v>1217</v>
      </c>
      <c r="D280" s="767" t="s">
        <v>1226</v>
      </c>
      <c r="E280" s="768" t="s">
        <v>436</v>
      </c>
      <c r="F280" s="761">
        <v>36049977</v>
      </c>
      <c r="G280" s="762">
        <v>268759</v>
      </c>
      <c r="H280" s="762">
        <v>0</v>
      </c>
      <c r="I280" s="762">
        <v>121402</v>
      </c>
      <c r="J280" s="762">
        <v>0</v>
      </c>
      <c r="K280" s="762">
        <v>121402</v>
      </c>
      <c r="L280" s="762">
        <v>0</v>
      </c>
      <c r="M280" s="762">
        <v>0</v>
      </c>
      <c r="N280" s="762">
        <v>258839</v>
      </c>
      <c r="O280" s="762">
        <v>133343</v>
      </c>
      <c r="P280" s="762">
        <v>125496</v>
      </c>
      <c r="Q280" s="762">
        <v>0</v>
      </c>
      <c r="R280" s="762">
        <v>35938495</v>
      </c>
      <c r="S280" s="790">
        <v>0.5</v>
      </c>
      <c r="T280" s="790">
        <v>0.4</v>
      </c>
      <c r="U280" s="790">
        <v>0.1</v>
      </c>
      <c r="V280" s="790">
        <v>0</v>
      </c>
      <c r="W280" s="790">
        <v>1</v>
      </c>
      <c r="X280" s="762">
        <v>17969247</v>
      </c>
      <c r="Y280" s="762">
        <v>14375398</v>
      </c>
      <c r="Z280" s="762">
        <v>3593850</v>
      </c>
      <c r="AA280" s="762">
        <v>0</v>
      </c>
      <c r="AB280" s="762">
        <v>35938495</v>
      </c>
      <c r="AC280" s="762">
        <v>0</v>
      </c>
      <c r="AD280" s="762">
        <v>0</v>
      </c>
      <c r="AE280" s="762">
        <v>0</v>
      </c>
      <c r="AF280" s="762">
        <v>0</v>
      </c>
      <c r="AG280" s="762">
        <v>0</v>
      </c>
      <c r="AH280" s="762">
        <v>17969247</v>
      </c>
      <c r="AI280" s="762">
        <v>14375398</v>
      </c>
      <c r="AJ280" s="762">
        <v>3593850</v>
      </c>
      <c r="AK280" s="762">
        <v>0</v>
      </c>
      <c r="AL280" s="762">
        <v>35938495</v>
      </c>
      <c r="AM280" s="762">
        <v>121402</v>
      </c>
      <c r="AN280" s="762">
        <v>121402</v>
      </c>
      <c r="AO280" s="762">
        <v>0</v>
      </c>
      <c r="AP280" s="762">
        <v>0</v>
      </c>
      <c r="AQ280" s="762">
        <v>133343</v>
      </c>
      <c r="AR280" s="762">
        <v>125496</v>
      </c>
      <c r="AS280" s="762">
        <v>258839</v>
      </c>
      <c r="AT280" s="762">
        <v>0</v>
      </c>
      <c r="AU280" s="762">
        <v>0</v>
      </c>
      <c r="AV280" s="762">
        <v>0</v>
      </c>
      <c r="AW280" s="762">
        <v>0</v>
      </c>
      <c r="AX280" s="762">
        <v>0</v>
      </c>
      <c r="AY280" s="762">
        <v>0</v>
      </c>
      <c r="AZ280" s="762">
        <v>0</v>
      </c>
      <c r="BA280" s="762">
        <v>0</v>
      </c>
      <c r="BB280" s="762">
        <v>0</v>
      </c>
      <c r="BC280" s="762">
        <v>0</v>
      </c>
      <c r="BD280" s="762">
        <v>0</v>
      </c>
      <c r="BE280" s="762">
        <v>0</v>
      </c>
      <c r="BF280" s="762">
        <v>0</v>
      </c>
      <c r="BG280" s="762">
        <v>0</v>
      </c>
      <c r="BH280" s="762">
        <v>0</v>
      </c>
      <c r="BI280" s="762">
        <v>0</v>
      </c>
      <c r="BJ280" s="790">
        <v>0</v>
      </c>
      <c r="BK280" s="790">
        <v>0.5</v>
      </c>
      <c r="BL280" s="790">
        <v>0.5</v>
      </c>
      <c r="BM280" s="790">
        <v>0</v>
      </c>
      <c r="BN280" s="790">
        <v>1</v>
      </c>
      <c r="BO280" s="762">
        <v>-1</v>
      </c>
      <c r="BP280" s="762">
        <v>358737</v>
      </c>
      <c r="BQ280" s="762">
        <v>358737</v>
      </c>
      <c r="BR280" s="762">
        <v>0</v>
      </c>
      <c r="BS280" s="762">
        <v>717473</v>
      </c>
      <c r="BT280" s="790">
        <v>0.5</v>
      </c>
      <c r="BU280" s="790">
        <v>0.4</v>
      </c>
      <c r="BV280" s="790">
        <v>0.1</v>
      </c>
      <c r="BW280" s="790">
        <v>0</v>
      </c>
      <c r="BX280" s="790">
        <v>1</v>
      </c>
      <c r="BY280" s="762">
        <v>64467</v>
      </c>
      <c r="BZ280" s="762">
        <v>51574</v>
      </c>
      <c r="CA280" s="762">
        <v>12894</v>
      </c>
      <c r="CB280" s="762">
        <v>0</v>
      </c>
      <c r="CC280" s="762">
        <v>128935</v>
      </c>
      <c r="CD280" s="762">
        <v>64466</v>
      </c>
      <c r="CE280" s="762">
        <v>410311</v>
      </c>
      <c r="CF280" s="762">
        <v>371631</v>
      </c>
      <c r="CG280" s="762">
        <v>0</v>
      </c>
      <c r="CH280" s="762">
        <v>846408</v>
      </c>
      <c r="CI280" s="762">
        <v>18033713</v>
      </c>
      <c r="CJ280" s="762">
        <v>15040454</v>
      </c>
      <c r="CK280" s="762">
        <v>4090977</v>
      </c>
      <c r="CL280" s="762">
        <v>0</v>
      </c>
      <c r="CM280" s="762">
        <v>37165144</v>
      </c>
      <c r="CN280" s="762">
        <v>472790</v>
      </c>
      <c r="CO280" s="762">
        <v>121201</v>
      </c>
      <c r="CP280" s="762">
        <v>0</v>
      </c>
      <c r="CQ280" s="762">
        <v>593991</v>
      </c>
      <c r="CR280" s="762">
        <v>815444</v>
      </c>
      <c r="CS280" s="762">
        <v>203861</v>
      </c>
      <c r="CT280" s="762">
        <v>0</v>
      </c>
      <c r="CU280" s="762">
        <v>1019305</v>
      </c>
      <c r="CV280" s="762">
        <v>62919</v>
      </c>
      <c r="CW280" s="762">
        <v>15730</v>
      </c>
      <c r="CX280" s="762">
        <v>0</v>
      </c>
      <c r="CY280" s="762">
        <v>78649</v>
      </c>
      <c r="CZ280" s="762">
        <v>29258</v>
      </c>
      <c r="DA280" s="762">
        <v>7314</v>
      </c>
      <c r="DB280" s="762">
        <v>0</v>
      </c>
      <c r="DC280" s="762">
        <v>36572</v>
      </c>
      <c r="DD280" s="762">
        <v>10056</v>
      </c>
      <c r="DE280" s="762">
        <v>2514</v>
      </c>
      <c r="DF280" s="762">
        <v>0</v>
      </c>
      <c r="DG280" s="762">
        <v>12570</v>
      </c>
      <c r="DH280" s="762">
        <v>0</v>
      </c>
      <c r="DI280" s="762">
        <v>0</v>
      </c>
      <c r="DJ280" s="762">
        <v>0</v>
      </c>
      <c r="DK280" s="762">
        <v>0</v>
      </c>
      <c r="DL280" s="762">
        <v>1696</v>
      </c>
      <c r="DM280" s="762">
        <v>424</v>
      </c>
      <c r="DN280" s="762">
        <v>0</v>
      </c>
      <c r="DO280" s="762">
        <v>2120</v>
      </c>
      <c r="DP280" s="762">
        <v>15695</v>
      </c>
      <c r="DQ280" s="762">
        <v>3924</v>
      </c>
      <c r="DR280" s="762">
        <v>0</v>
      </c>
      <c r="DS280" s="762">
        <v>19619</v>
      </c>
      <c r="DT280" s="762">
        <v>0</v>
      </c>
      <c r="DU280" s="762">
        <v>0</v>
      </c>
      <c r="DV280" s="762">
        <v>0</v>
      </c>
      <c r="DW280" s="762">
        <v>0</v>
      </c>
      <c r="DX280" s="762">
        <v>0</v>
      </c>
      <c r="DY280" s="762">
        <v>0</v>
      </c>
      <c r="DZ280" s="762">
        <v>0</v>
      </c>
      <c r="EA280" s="762">
        <v>0</v>
      </c>
      <c r="EB280" s="762">
        <v>323124</v>
      </c>
      <c r="EC280" s="762">
        <v>80781</v>
      </c>
      <c r="ED280" s="762">
        <v>0</v>
      </c>
      <c r="EE280" s="762">
        <v>403905</v>
      </c>
      <c r="EF280" s="762">
        <v>1730982</v>
      </c>
      <c r="EG280" s="762">
        <v>435749</v>
      </c>
      <c r="EH280" s="762">
        <v>0</v>
      </c>
      <c r="EI280" s="799">
        <v>2166731</v>
      </c>
      <c r="EJ280" s="763" t="s">
        <v>436</v>
      </c>
      <c r="EK280" s="607" t="s">
        <v>576</v>
      </c>
      <c r="EL280" s="805" t="s">
        <v>556</v>
      </c>
      <c r="EM280" t="s">
        <v>1846</v>
      </c>
    </row>
    <row r="281" spans="1:143" ht="12.75" x14ac:dyDescent="0.2">
      <c r="A281" s="764">
        <v>274</v>
      </c>
      <c r="B281" s="765" t="s">
        <v>439</v>
      </c>
      <c r="C281" s="766" t="s">
        <v>1217</v>
      </c>
      <c r="D281" s="767" t="s">
        <v>1218</v>
      </c>
      <c r="E281" s="768" t="s">
        <v>438</v>
      </c>
      <c r="F281" s="761">
        <v>32898304</v>
      </c>
      <c r="G281" s="762">
        <v>28232</v>
      </c>
      <c r="H281" s="762">
        <v>0</v>
      </c>
      <c r="I281" s="762">
        <v>196920</v>
      </c>
      <c r="J281" s="762">
        <v>0</v>
      </c>
      <c r="K281" s="762">
        <v>196920</v>
      </c>
      <c r="L281" s="762">
        <v>0</v>
      </c>
      <c r="M281" s="762">
        <v>0</v>
      </c>
      <c r="N281" s="762">
        <v>5666</v>
      </c>
      <c r="O281" s="762">
        <v>5666</v>
      </c>
      <c r="P281" s="762">
        <v>0</v>
      </c>
      <c r="Q281" s="762">
        <v>0</v>
      </c>
      <c r="R281" s="762">
        <v>32723950</v>
      </c>
      <c r="S281" s="790">
        <v>0.5</v>
      </c>
      <c r="T281" s="790">
        <v>0.4</v>
      </c>
      <c r="U281" s="790">
        <v>0.09</v>
      </c>
      <c r="V281" s="790">
        <v>0.01</v>
      </c>
      <c r="W281" s="790">
        <v>1</v>
      </c>
      <c r="X281" s="762">
        <v>16361974</v>
      </c>
      <c r="Y281" s="762">
        <v>13089580</v>
      </c>
      <c r="Z281" s="762">
        <v>2945156</v>
      </c>
      <c r="AA281" s="762">
        <v>327240</v>
      </c>
      <c r="AB281" s="762">
        <v>32723950</v>
      </c>
      <c r="AC281" s="762">
        <v>0</v>
      </c>
      <c r="AD281" s="762">
        <v>0</v>
      </c>
      <c r="AE281" s="762">
        <v>0</v>
      </c>
      <c r="AF281" s="762">
        <v>0</v>
      </c>
      <c r="AG281" s="762">
        <v>0</v>
      </c>
      <c r="AH281" s="762">
        <v>16361974</v>
      </c>
      <c r="AI281" s="762">
        <v>13089580</v>
      </c>
      <c r="AJ281" s="762">
        <v>2945156</v>
      </c>
      <c r="AK281" s="762">
        <v>327240</v>
      </c>
      <c r="AL281" s="762">
        <v>32723950</v>
      </c>
      <c r="AM281" s="762">
        <v>196920</v>
      </c>
      <c r="AN281" s="762">
        <v>196920</v>
      </c>
      <c r="AO281" s="762">
        <v>0</v>
      </c>
      <c r="AP281" s="762">
        <v>0</v>
      </c>
      <c r="AQ281" s="762">
        <v>5666</v>
      </c>
      <c r="AR281" s="762">
        <v>0</v>
      </c>
      <c r="AS281" s="762">
        <v>5666</v>
      </c>
      <c r="AT281" s="762">
        <v>0</v>
      </c>
      <c r="AU281" s="762">
        <v>0</v>
      </c>
      <c r="AV281" s="762">
        <v>0</v>
      </c>
      <c r="AW281" s="762">
        <v>0</v>
      </c>
      <c r="AX281" s="762">
        <v>0</v>
      </c>
      <c r="AY281" s="762">
        <v>0</v>
      </c>
      <c r="AZ281" s="762">
        <v>0</v>
      </c>
      <c r="BA281" s="762">
        <v>0</v>
      </c>
      <c r="BB281" s="762">
        <v>0</v>
      </c>
      <c r="BC281" s="762">
        <v>0</v>
      </c>
      <c r="BD281" s="762">
        <v>0</v>
      </c>
      <c r="BE281" s="762">
        <v>0</v>
      </c>
      <c r="BF281" s="762">
        <v>0</v>
      </c>
      <c r="BG281" s="762">
        <v>0</v>
      </c>
      <c r="BH281" s="762">
        <v>0</v>
      </c>
      <c r="BI281" s="762">
        <v>0</v>
      </c>
      <c r="BJ281" s="790">
        <v>0</v>
      </c>
      <c r="BK281" s="790">
        <v>0.4</v>
      </c>
      <c r="BL281" s="790">
        <v>0.59</v>
      </c>
      <c r="BM281" s="790">
        <v>0.01</v>
      </c>
      <c r="BN281" s="790">
        <v>1</v>
      </c>
      <c r="BO281" s="762">
        <v>0</v>
      </c>
      <c r="BP281" s="762">
        <v>143134</v>
      </c>
      <c r="BQ281" s="762">
        <v>211122</v>
      </c>
      <c r="BR281" s="762">
        <v>3578</v>
      </c>
      <c r="BS281" s="762">
        <v>357834</v>
      </c>
      <c r="BT281" s="790">
        <v>0.5</v>
      </c>
      <c r="BU281" s="790">
        <v>0.4</v>
      </c>
      <c r="BV281" s="790">
        <v>0.09</v>
      </c>
      <c r="BW281" s="790">
        <v>0.01</v>
      </c>
      <c r="BX281" s="790">
        <v>1</v>
      </c>
      <c r="BY281" s="762">
        <v>183549</v>
      </c>
      <c r="BZ281" s="762">
        <v>146839</v>
      </c>
      <c r="CA281" s="762">
        <v>33039</v>
      </c>
      <c r="CB281" s="762">
        <v>3671</v>
      </c>
      <c r="CC281" s="762">
        <v>367098</v>
      </c>
      <c r="CD281" s="762">
        <v>183549</v>
      </c>
      <c r="CE281" s="762">
        <v>289973</v>
      </c>
      <c r="CF281" s="762">
        <v>244161</v>
      </c>
      <c r="CG281" s="762">
        <v>7249</v>
      </c>
      <c r="CH281" s="762">
        <v>724932</v>
      </c>
      <c r="CI281" s="762">
        <v>16545523</v>
      </c>
      <c r="CJ281" s="762">
        <v>13582139</v>
      </c>
      <c r="CK281" s="762">
        <v>3189317</v>
      </c>
      <c r="CL281" s="762">
        <v>334489</v>
      </c>
      <c r="CM281" s="762">
        <v>33651468</v>
      </c>
      <c r="CN281" s="762">
        <v>426729</v>
      </c>
      <c r="CO281" s="762">
        <v>95972</v>
      </c>
      <c r="CP281" s="762">
        <v>10664</v>
      </c>
      <c r="CQ281" s="762">
        <v>533365</v>
      </c>
      <c r="CR281" s="762">
        <v>1704061</v>
      </c>
      <c r="CS281" s="762">
        <v>383413</v>
      </c>
      <c r="CT281" s="762">
        <v>42601</v>
      </c>
      <c r="CU281" s="762">
        <v>2130075</v>
      </c>
      <c r="CV281" s="762">
        <v>62124</v>
      </c>
      <c r="CW281" s="762">
        <v>13978</v>
      </c>
      <c r="CX281" s="762">
        <v>1553</v>
      </c>
      <c r="CY281" s="762">
        <v>77655</v>
      </c>
      <c r="CZ281" s="762">
        <v>14</v>
      </c>
      <c r="DA281" s="762">
        <v>3</v>
      </c>
      <c r="DB281" s="762">
        <v>0</v>
      </c>
      <c r="DC281" s="762">
        <v>17</v>
      </c>
      <c r="DD281" s="762">
        <v>2056</v>
      </c>
      <c r="DE281" s="762">
        <v>463</v>
      </c>
      <c r="DF281" s="762">
        <v>51</v>
      </c>
      <c r="DG281" s="762">
        <v>2570</v>
      </c>
      <c r="DH281" s="762">
        <v>620</v>
      </c>
      <c r="DI281" s="762">
        <v>139</v>
      </c>
      <c r="DJ281" s="762">
        <v>15</v>
      </c>
      <c r="DK281" s="762">
        <v>774</v>
      </c>
      <c r="DL281" s="762">
        <v>17132</v>
      </c>
      <c r="DM281" s="762">
        <v>3855</v>
      </c>
      <c r="DN281" s="762">
        <v>428</v>
      </c>
      <c r="DO281" s="762">
        <v>21415</v>
      </c>
      <c r="DP281" s="762">
        <v>27245</v>
      </c>
      <c r="DQ281" s="762">
        <v>6130</v>
      </c>
      <c r="DR281" s="762">
        <v>681</v>
      </c>
      <c r="DS281" s="762">
        <v>34056</v>
      </c>
      <c r="DT281" s="762">
        <v>0</v>
      </c>
      <c r="DU281" s="762">
        <v>0</v>
      </c>
      <c r="DV281" s="762">
        <v>0</v>
      </c>
      <c r="DW281" s="762">
        <v>0</v>
      </c>
      <c r="DX281" s="762">
        <v>0</v>
      </c>
      <c r="DY281" s="762">
        <v>0</v>
      </c>
      <c r="DZ281" s="762">
        <v>0</v>
      </c>
      <c r="EA281" s="762">
        <v>0</v>
      </c>
      <c r="EB281" s="762">
        <v>323580</v>
      </c>
      <c r="EC281" s="762">
        <v>72805</v>
      </c>
      <c r="ED281" s="762">
        <v>8089</v>
      </c>
      <c r="EE281" s="762">
        <v>404474</v>
      </c>
      <c r="EF281" s="762">
        <v>2563561</v>
      </c>
      <c r="EG281" s="762">
        <v>576758</v>
      </c>
      <c r="EH281" s="762">
        <v>64082</v>
      </c>
      <c r="EI281" s="799">
        <v>3204401</v>
      </c>
      <c r="EJ281" s="763" t="s">
        <v>438</v>
      </c>
      <c r="EK281" s="607" t="s">
        <v>591</v>
      </c>
      <c r="EL281" s="805" t="s">
        <v>590</v>
      </c>
      <c r="EM281" t="s">
        <v>1847</v>
      </c>
    </row>
    <row r="282" spans="1:143" ht="12.75" x14ac:dyDescent="0.2">
      <c r="A282" s="764">
        <v>275</v>
      </c>
      <c r="B282" s="765" t="s">
        <v>441</v>
      </c>
      <c r="C282" s="766" t="s">
        <v>1217</v>
      </c>
      <c r="D282" s="767" t="s">
        <v>1221</v>
      </c>
      <c r="E282" s="768" t="s">
        <v>440</v>
      </c>
      <c r="F282" s="761">
        <v>28403166</v>
      </c>
      <c r="G282" s="762">
        <v>63985</v>
      </c>
      <c r="H282" s="762">
        <v>0</v>
      </c>
      <c r="I282" s="762">
        <v>91325</v>
      </c>
      <c r="J282" s="762">
        <v>0</v>
      </c>
      <c r="K282" s="762">
        <v>91325</v>
      </c>
      <c r="L282" s="762">
        <v>0</v>
      </c>
      <c r="M282" s="762">
        <v>0</v>
      </c>
      <c r="N282" s="762">
        <v>0</v>
      </c>
      <c r="O282" s="762">
        <v>0</v>
      </c>
      <c r="P282" s="762">
        <v>0</v>
      </c>
      <c r="Q282" s="762">
        <v>0</v>
      </c>
      <c r="R282" s="762">
        <v>28375826</v>
      </c>
      <c r="S282" s="790">
        <v>0.25</v>
      </c>
      <c r="T282" s="790">
        <v>0.35</v>
      </c>
      <c r="U282" s="790">
        <v>0.4</v>
      </c>
      <c r="V282" s="790">
        <v>0</v>
      </c>
      <c r="W282" s="790">
        <v>1</v>
      </c>
      <c r="X282" s="762">
        <v>7093957</v>
      </c>
      <c r="Y282" s="762">
        <v>9931539</v>
      </c>
      <c r="Z282" s="762">
        <v>11350330</v>
      </c>
      <c r="AA282" s="762">
        <v>0</v>
      </c>
      <c r="AB282" s="762">
        <v>28375826</v>
      </c>
      <c r="AC282" s="762">
        <v>0</v>
      </c>
      <c r="AD282" s="762">
        <v>0</v>
      </c>
      <c r="AE282" s="762">
        <v>0</v>
      </c>
      <c r="AF282" s="762">
        <v>0</v>
      </c>
      <c r="AG282" s="762">
        <v>0</v>
      </c>
      <c r="AH282" s="762">
        <v>7093957</v>
      </c>
      <c r="AI282" s="762">
        <v>9931539</v>
      </c>
      <c r="AJ282" s="762">
        <v>11350330</v>
      </c>
      <c r="AK282" s="762">
        <v>0</v>
      </c>
      <c r="AL282" s="762">
        <v>28375826</v>
      </c>
      <c r="AM282" s="762">
        <v>91325</v>
      </c>
      <c r="AN282" s="762">
        <v>91325</v>
      </c>
      <c r="AO282" s="762">
        <v>0</v>
      </c>
      <c r="AP282" s="762">
        <v>0</v>
      </c>
      <c r="AQ282" s="762">
        <v>0</v>
      </c>
      <c r="AR282" s="762">
        <v>0</v>
      </c>
      <c r="AS282" s="762">
        <v>0</v>
      </c>
      <c r="AT282" s="762">
        <v>0</v>
      </c>
      <c r="AU282" s="762">
        <v>0</v>
      </c>
      <c r="AV282" s="762">
        <v>0</v>
      </c>
      <c r="AW282" s="762">
        <v>0</v>
      </c>
      <c r="AX282" s="762">
        <v>0</v>
      </c>
      <c r="AY282" s="762">
        <v>0</v>
      </c>
      <c r="AZ282" s="762">
        <v>0</v>
      </c>
      <c r="BA282" s="762">
        <v>0</v>
      </c>
      <c r="BB282" s="762">
        <v>0</v>
      </c>
      <c r="BC282" s="762">
        <v>0</v>
      </c>
      <c r="BD282" s="762">
        <v>0</v>
      </c>
      <c r="BE282" s="762">
        <v>0</v>
      </c>
      <c r="BF282" s="762">
        <v>0</v>
      </c>
      <c r="BG282" s="762">
        <v>0</v>
      </c>
      <c r="BH282" s="762">
        <v>0</v>
      </c>
      <c r="BI282" s="762">
        <v>0</v>
      </c>
      <c r="BJ282" s="790">
        <v>0.5</v>
      </c>
      <c r="BK282" s="790">
        <v>0.4</v>
      </c>
      <c r="BL282" s="790">
        <v>0.1</v>
      </c>
      <c r="BM282" s="790">
        <v>0</v>
      </c>
      <c r="BN282" s="790">
        <v>1</v>
      </c>
      <c r="BO282" s="762">
        <v>-609203</v>
      </c>
      <c r="BP282" s="762">
        <v>-487362</v>
      </c>
      <c r="BQ282" s="762">
        <v>-121841</v>
      </c>
      <c r="BR282" s="762">
        <v>0</v>
      </c>
      <c r="BS282" s="762">
        <v>-1218406</v>
      </c>
      <c r="BT282" s="790">
        <v>0.5</v>
      </c>
      <c r="BU282" s="790">
        <v>0.4</v>
      </c>
      <c r="BV282" s="790">
        <v>0.1</v>
      </c>
      <c r="BW282" s="790">
        <v>0</v>
      </c>
      <c r="BX282" s="790">
        <v>1</v>
      </c>
      <c r="BY282" s="762">
        <v>-839162</v>
      </c>
      <c r="BZ282" s="762">
        <v>-671330</v>
      </c>
      <c r="CA282" s="762">
        <v>-167833</v>
      </c>
      <c r="CB282" s="762">
        <v>0</v>
      </c>
      <c r="CC282" s="762">
        <v>-1678325</v>
      </c>
      <c r="CD282" s="762">
        <v>-1448366</v>
      </c>
      <c r="CE282" s="762">
        <v>-1158692</v>
      </c>
      <c r="CF282" s="762">
        <v>-289673</v>
      </c>
      <c r="CG282" s="762">
        <v>0</v>
      </c>
      <c r="CH282" s="762">
        <v>-2896731</v>
      </c>
      <c r="CI282" s="762">
        <v>5645591</v>
      </c>
      <c r="CJ282" s="762">
        <v>8864172</v>
      </c>
      <c r="CK282" s="762">
        <v>11060657</v>
      </c>
      <c r="CL282" s="762">
        <v>0</v>
      </c>
      <c r="CM282" s="762">
        <v>25570420</v>
      </c>
      <c r="CN282" s="762">
        <v>323635</v>
      </c>
      <c r="CO282" s="762">
        <v>369868</v>
      </c>
      <c r="CP282" s="762">
        <v>0</v>
      </c>
      <c r="CQ282" s="762">
        <v>693503</v>
      </c>
      <c r="CR282" s="762">
        <v>494018</v>
      </c>
      <c r="CS282" s="762">
        <v>564592</v>
      </c>
      <c r="CT282" s="762">
        <v>0</v>
      </c>
      <c r="CU282" s="762">
        <v>1058610</v>
      </c>
      <c r="CV282" s="762">
        <v>56768</v>
      </c>
      <c r="CW282" s="762">
        <v>64878</v>
      </c>
      <c r="CX282" s="762">
        <v>0</v>
      </c>
      <c r="CY282" s="762">
        <v>121646</v>
      </c>
      <c r="CZ282" s="762">
        <v>0</v>
      </c>
      <c r="DA282" s="762">
        <v>0</v>
      </c>
      <c r="DB282" s="762">
        <v>0</v>
      </c>
      <c r="DC282" s="762">
        <v>0</v>
      </c>
      <c r="DD282" s="762">
        <v>747</v>
      </c>
      <c r="DE282" s="762">
        <v>853</v>
      </c>
      <c r="DF282" s="762">
        <v>0</v>
      </c>
      <c r="DG282" s="762">
        <v>1600</v>
      </c>
      <c r="DH282" s="762">
        <v>0</v>
      </c>
      <c r="DI282" s="762">
        <v>0</v>
      </c>
      <c r="DJ282" s="762">
        <v>0</v>
      </c>
      <c r="DK282" s="762">
        <v>0</v>
      </c>
      <c r="DL282" s="762">
        <v>6278</v>
      </c>
      <c r="DM282" s="762">
        <v>7175</v>
      </c>
      <c r="DN282" s="762">
        <v>0</v>
      </c>
      <c r="DO282" s="762">
        <v>13453</v>
      </c>
      <c r="DP282" s="762">
        <v>9397</v>
      </c>
      <c r="DQ282" s="762">
        <v>10738</v>
      </c>
      <c r="DR282" s="762">
        <v>0</v>
      </c>
      <c r="DS282" s="762">
        <v>20135</v>
      </c>
      <c r="DT282" s="762">
        <v>0</v>
      </c>
      <c r="DU282" s="762">
        <v>0</v>
      </c>
      <c r="DV282" s="762">
        <v>0</v>
      </c>
      <c r="DW282" s="762">
        <v>0</v>
      </c>
      <c r="DX282" s="762">
        <v>0</v>
      </c>
      <c r="DY282" s="762">
        <v>0</v>
      </c>
      <c r="DZ282" s="762">
        <v>0</v>
      </c>
      <c r="EA282" s="762">
        <v>0</v>
      </c>
      <c r="EB282" s="762">
        <v>234738</v>
      </c>
      <c r="EC282" s="762">
        <v>268271</v>
      </c>
      <c r="ED282" s="762">
        <v>0</v>
      </c>
      <c r="EE282" s="762">
        <v>503009</v>
      </c>
      <c r="EF282" s="762">
        <v>1125581</v>
      </c>
      <c r="EG282" s="762">
        <v>1286375</v>
      </c>
      <c r="EH282" s="762">
        <v>0</v>
      </c>
      <c r="EI282" s="799">
        <v>2411956</v>
      </c>
      <c r="EJ282" s="763" t="s">
        <v>440</v>
      </c>
      <c r="EK282" s="607" t="s">
        <v>584</v>
      </c>
      <c r="EL282" s="805" t="s">
        <v>556</v>
      </c>
      <c r="EM282" t="s">
        <v>1848</v>
      </c>
    </row>
    <row r="283" spans="1:143" ht="12.75" x14ac:dyDescent="0.2">
      <c r="A283" s="764">
        <v>276</v>
      </c>
      <c r="B283" s="765" t="s">
        <v>443</v>
      </c>
      <c r="C283" s="766" t="s">
        <v>529</v>
      </c>
      <c r="D283" s="767" t="s">
        <v>1221</v>
      </c>
      <c r="E283" s="768" t="s">
        <v>574</v>
      </c>
      <c r="F283" s="761">
        <v>119460101</v>
      </c>
      <c r="G283" s="762">
        <v>0</v>
      </c>
      <c r="H283" s="762">
        <v>1394030</v>
      </c>
      <c r="I283" s="762">
        <v>230321</v>
      </c>
      <c r="J283" s="762">
        <v>0</v>
      </c>
      <c r="K283" s="762">
        <v>230321</v>
      </c>
      <c r="L283" s="762">
        <v>0</v>
      </c>
      <c r="M283" s="762">
        <v>0</v>
      </c>
      <c r="N283" s="762">
        <v>0</v>
      </c>
      <c r="O283" s="762">
        <v>0</v>
      </c>
      <c r="P283" s="762">
        <v>0</v>
      </c>
      <c r="Q283" s="762">
        <v>0</v>
      </c>
      <c r="R283" s="762">
        <v>117835750</v>
      </c>
      <c r="S283" s="790">
        <v>0.5</v>
      </c>
      <c r="T283" s="790">
        <v>0.49</v>
      </c>
      <c r="U283" s="790">
        <v>0</v>
      </c>
      <c r="V283" s="790">
        <v>0.01</v>
      </c>
      <c r="W283" s="790">
        <v>1</v>
      </c>
      <c r="X283" s="762">
        <v>58917874</v>
      </c>
      <c r="Y283" s="762">
        <v>57739518</v>
      </c>
      <c r="Z283" s="762">
        <v>0</v>
      </c>
      <c r="AA283" s="762">
        <v>1178358</v>
      </c>
      <c r="AB283" s="762">
        <v>117835750</v>
      </c>
      <c r="AC283" s="762">
        <v>0</v>
      </c>
      <c r="AD283" s="762">
        <v>0</v>
      </c>
      <c r="AE283" s="762">
        <v>0</v>
      </c>
      <c r="AF283" s="762">
        <v>0</v>
      </c>
      <c r="AG283" s="762">
        <v>0</v>
      </c>
      <c r="AH283" s="762">
        <v>58917874</v>
      </c>
      <c r="AI283" s="762">
        <v>57739518</v>
      </c>
      <c r="AJ283" s="762">
        <v>0</v>
      </c>
      <c r="AK283" s="762">
        <v>1178358</v>
      </c>
      <c r="AL283" s="762">
        <v>117835750</v>
      </c>
      <c r="AM283" s="762">
        <v>230321</v>
      </c>
      <c r="AN283" s="762">
        <v>230321</v>
      </c>
      <c r="AO283" s="762">
        <v>0</v>
      </c>
      <c r="AP283" s="762">
        <v>0</v>
      </c>
      <c r="AQ283" s="762">
        <v>0</v>
      </c>
      <c r="AR283" s="762">
        <v>0</v>
      </c>
      <c r="AS283" s="762">
        <v>0</v>
      </c>
      <c r="AT283" s="762">
        <v>0</v>
      </c>
      <c r="AU283" s="762">
        <v>0</v>
      </c>
      <c r="AV283" s="762">
        <v>0</v>
      </c>
      <c r="AW283" s="762">
        <v>0</v>
      </c>
      <c r="AX283" s="762">
        <v>0</v>
      </c>
      <c r="AY283" s="762">
        <v>0</v>
      </c>
      <c r="AZ283" s="762">
        <v>0</v>
      </c>
      <c r="BA283" s="762">
        <v>0</v>
      </c>
      <c r="BB283" s="762">
        <v>0</v>
      </c>
      <c r="BC283" s="762">
        <v>0</v>
      </c>
      <c r="BD283" s="762">
        <v>0</v>
      </c>
      <c r="BE283" s="762">
        <v>0</v>
      </c>
      <c r="BF283" s="762">
        <v>0</v>
      </c>
      <c r="BG283" s="762">
        <v>0</v>
      </c>
      <c r="BH283" s="762">
        <v>0</v>
      </c>
      <c r="BI283" s="762">
        <v>0</v>
      </c>
      <c r="BJ283" s="790">
        <v>0.5</v>
      </c>
      <c r="BK283" s="790">
        <v>0.49</v>
      </c>
      <c r="BL283" s="790">
        <v>0</v>
      </c>
      <c r="BM283" s="790">
        <v>0.01</v>
      </c>
      <c r="BN283" s="790">
        <v>1</v>
      </c>
      <c r="BO283" s="762">
        <v>548536</v>
      </c>
      <c r="BP283" s="762">
        <v>537566</v>
      </c>
      <c r="BQ283" s="762">
        <v>0</v>
      </c>
      <c r="BR283" s="762">
        <v>10971</v>
      </c>
      <c r="BS283" s="762">
        <v>1097073</v>
      </c>
      <c r="BT283" s="790">
        <v>0.5</v>
      </c>
      <c r="BU283" s="790">
        <v>0.49</v>
      </c>
      <c r="BV283" s="790">
        <v>0</v>
      </c>
      <c r="BW283" s="790">
        <v>0.01</v>
      </c>
      <c r="BX283" s="790">
        <v>1</v>
      </c>
      <c r="BY283" s="762">
        <v>-439965</v>
      </c>
      <c r="BZ283" s="762">
        <v>-431166</v>
      </c>
      <c r="CA283" s="762">
        <v>0</v>
      </c>
      <c r="CB283" s="762">
        <v>-8799</v>
      </c>
      <c r="CC283" s="762">
        <v>-879930</v>
      </c>
      <c r="CD283" s="762">
        <v>108572</v>
      </c>
      <c r="CE283" s="762">
        <v>106400</v>
      </c>
      <c r="CF283" s="762">
        <v>0</v>
      </c>
      <c r="CG283" s="762">
        <v>2171</v>
      </c>
      <c r="CH283" s="762">
        <v>217143</v>
      </c>
      <c r="CI283" s="762">
        <v>59026446</v>
      </c>
      <c r="CJ283" s="762">
        <v>58076239</v>
      </c>
      <c r="CK283" s="762">
        <v>0</v>
      </c>
      <c r="CL283" s="762">
        <v>1180529</v>
      </c>
      <c r="CM283" s="762">
        <v>118283214</v>
      </c>
      <c r="CN283" s="762">
        <v>1881532</v>
      </c>
      <c r="CO283" s="762">
        <v>0</v>
      </c>
      <c r="CP283" s="762">
        <v>38399</v>
      </c>
      <c r="CQ283" s="762">
        <v>1919931</v>
      </c>
      <c r="CR283" s="762">
        <v>1449386</v>
      </c>
      <c r="CS283" s="762">
        <v>0</v>
      </c>
      <c r="CT283" s="762">
        <v>29579</v>
      </c>
      <c r="CU283" s="762">
        <v>1478965</v>
      </c>
      <c r="CV283" s="762">
        <v>122841</v>
      </c>
      <c r="CW283" s="762">
        <v>0</v>
      </c>
      <c r="CX283" s="762">
        <v>2507</v>
      </c>
      <c r="CY283" s="762">
        <v>125348</v>
      </c>
      <c r="CZ283" s="762">
        <v>7031</v>
      </c>
      <c r="DA283" s="762">
        <v>0</v>
      </c>
      <c r="DB283" s="762">
        <v>143</v>
      </c>
      <c r="DC283" s="762">
        <v>7174</v>
      </c>
      <c r="DD283" s="762">
        <v>0</v>
      </c>
      <c r="DE283" s="762">
        <v>0</v>
      </c>
      <c r="DF283" s="762">
        <v>0</v>
      </c>
      <c r="DG283" s="762">
        <v>0</v>
      </c>
      <c r="DH283" s="762">
        <v>0</v>
      </c>
      <c r="DI283" s="762">
        <v>0</v>
      </c>
      <c r="DJ283" s="762">
        <v>0</v>
      </c>
      <c r="DK283" s="762">
        <v>0</v>
      </c>
      <c r="DL283" s="762">
        <v>4497</v>
      </c>
      <c r="DM283" s="762">
        <v>0</v>
      </c>
      <c r="DN283" s="762">
        <v>92</v>
      </c>
      <c r="DO283" s="762">
        <v>4589</v>
      </c>
      <c r="DP283" s="762">
        <v>37189</v>
      </c>
      <c r="DQ283" s="762">
        <v>0</v>
      </c>
      <c r="DR283" s="762">
        <v>759</v>
      </c>
      <c r="DS283" s="762">
        <v>37948</v>
      </c>
      <c r="DT283" s="762">
        <v>0</v>
      </c>
      <c r="DU283" s="762">
        <v>0</v>
      </c>
      <c r="DV283" s="762">
        <v>0</v>
      </c>
      <c r="DW283" s="762">
        <v>0</v>
      </c>
      <c r="DX283" s="762">
        <v>0</v>
      </c>
      <c r="DY283" s="762">
        <v>0</v>
      </c>
      <c r="DZ283" s="762">
        <v>0</v>
      </c>
      <c r="EA283" s="762">
        <v>0</v>
      </c>
      <c r="EB283" s="762">
        <v>704866</v>
      </c>
      <c r="EC283" s="762">
        <v>0</v>
      </c>
      <c r="ED283" s="762">
        <v>14385</v>
      </c>
      <c r="EE283" s="762">
        <v>719251</v>
      </c>
      <c r="EF283" s="762">
        <v>4207342</v>
      </c>
      <c r="EG283" s="762">
        <v>0</v>
      </c>
      <c r="EH283" s="762">
        <v>85864</v>
      </c>
      <c r="EI283" s="799">
        <v>4293206</v>
      </c>
      <c r="EJ283" s="763" t="s">
        <v>574</v>
      </c>
      <c r="EK283" s="607" t="s">
        <v>529</v>
      </c>
      <c r="EL283" s="805" t="s">
        <v>573</v>
      </c>
      <c r="EM283" t="s">
        <v>1849</v>
      </c>
    </row>
    <row r="284" spans="1:143" ht="12.75" x14ac:dyDescent="0.2">
      <c r="A284" s="764">
        <v>277</v>
      </c>
      <c r="B284" s="765" t="s">
        <v>445</v>
      </c>
      <c r="C284" s="766" t="s">
        <v>1217</v>
      </c>
      <c r="D284" s="767" t="s">
        <v>1218</v>
      </c>
      <c r="E284" s="768" t="s">
        <v>444</v>
      </c>
      <c r="F284" s="761">
        <v>55613571</v>
      </c>
      <c r="G284" s="762">
        <v>334022</v>
      </c>
      <c r="H284" s="762">
        <v>0</v>
      </c>
      <c r="I284" s="762">
        <v>161137</v>
      </c>
      <c r="J284" s="762">
        <v>0</v>
      </c>
      <c r="K284" s="762">
        <v>161137</v>
      </c>
      <c r="L284" s="762">
        <v>0</v>
      </c>
      <c r="M284" s="762">
        <v>0</v>
      </c>
      <c r="N284" s="762">
        <v>0</v>
      </c>
      <c r="O284" s="762">
        <v>0</v>
      </c>
      <c r="P284" s="762">
        <v>0</v>
      </c>
      <c r="Q284" s="762">
        <v>0</v>
      </c>
      <c r="R284" s="762">
        <v>55786456</v>
      </c>
      <c r="S284" s="790">
        <v>0.5</v>
      </c>
      <c r="T284" s="790">
        <v>0.4</v>
      </c>
      <c r="U284" s="790">
        <v>0.09</v>
      </c>
      <c r="V284" s="790">
        <v>0.01</v>
      </c>
      <c r="W284" s="790">
        <v>1</v>
      </c>
      <c r="X284" s="762">
        <v>27893228</v>
      </c>
      <c r="Y284" s="762">
        <v>22314582</v>
      </c>
      <c r="Z284" s="762">
        <v>5020781</v>
      </c>
      <c r="AA284" s="762">
        <v>557865</v>
      </c>
      <c r="AB284" s="762">
        <v>55786456</v>
      </c>
      <c r="AC284" s="762">
        <v>0</v>
      </c>
      <c r="AD284" s="762">
        <v>0</v>
      </c>
      <c r="AE284" s="762">
        <v>0</v>
      </c>
      <c r="AF284" s="762">
        <v>0</v>
      </c>
      <c r="AG284" s="762">
        <v>0</v>
      </c>
      <c r="AH284" s="762">
        <v>27893228</v>
      </c>
      <c r="AI284" s="762">
        <v>22314582</v>
      </c>
      <c r="AJ284" s="762">
        <v>5020781</v>
      </c>
      <c r="AK284" s="762">
        <v>557865</v>
      </c>
      <c r="AL284" s="762">
        <v>55786456</v>
      </c>
      <c r="AM284" s="762">
        <v>161137</v>
      </c>
      <c r="AN284" s="762">
        <v>161137</v>
      </c>
      <c r="AO284" s="762">
        <v>0</v>
      </c>
      <c r="AP284" s="762">
        <v>0</v>
      </c>
      <c r="AQ284" s="762">
        <v>0</v>
      </c>
      <c r="AR284" s="762">
        <v>0</v>
      </c>
      <c r="AS284" s="762">
        <v>0</v>
      </c>
      <c r="AT284" s="762">
        <v>0</v>
      </c>
      <c r="AU284" s="762">
        <v>0</v>
      </c>
      <c r="AV284" s="762">
        <v>0</v>
      </c>
      <c r="AW284" s="762">
        <v>0</v>
      </c>
      <c r="AX284" s="762">
        <v>0</v>
      </c>
      <c r="AY284" s="762">
        <v>0</v>
      </c>
      <c r="AZ284" s="762">
        <v>0</v>
      </c>
      <c r="BA284" s="762">
        <v>0</v>
      </c>
      <c r="BB284" s="762">
        <v>0</v>
      </c>
      <c r="BC284" s="762">
        <v>0</v>
      </c>
      <c r="BD284" s="762">
        <v>0</v>
      </c>
      <c r="BE284" s="762">
        <v>0</v>
      </c>
      <c r="BF284" s="762">
        <v>0</v>
      </c>
      <c r="BG284" s="762">
        <v>0</v>
      </c>
      <c r="BH284" s="762">
        <v>0</v>
      </c>
      <c r="BI284" s="762">
        <v>0</v>
      </c>
      <c r="BJ284" s="790">
        <v>0</v>
      </c>
      <c r="BK284" s="790">
        <v>0.4</v>
      </c>
      <c r="BL284" s="790">
        <v>0.59</v>
      </c>
      <c r="BM284" s="790">
        <v>0.01</v>
      </c>
      <c r="BN284" s="790">
        <v>1</v>
      </c>
      <c r="BO284" s="762">
        <v>0</v>
      </c>
      <c r="BP284" s="762">
        <v>831399</v>
      </c>
      <c r="BQ284" s="762">
        <v>1226313</v>
      </c>
      <c r="BR284" s="762">
        <v>20785</v>
      </c>
      <c r="BS284" s="762">
        <v>2078497</v>
      </c>
      <c r="BT284" s="790">
        <v>0.5</v>
      </c>
      <c r="BU284" s="790">
        <v>0.4</v>
      </c>
      <c r="BV284" s="790">
        <v>0.09</v>
      </c>
      <c r="BW284" s="790">
        <v>0.01</v>
      </c>
      <c r="BX284" s="790">
        <v>1</v>
      </c>
      <c r="BY284" s="762">
        <v>47113</v>
      </c>
      <c r="BZ284" s="762">
        <v>37690</v>
      </c>
      <c r="CA284" s="762">
        <v>8480</v>
      </c>
      <c r="CB284" s="762">
        <v>942</v>
      </c>
      <c r="CC284" s="762">
        <v>94225</v>
      </c>
      <c r="CD284" s="762">
        <v>47113</v>
      </c>
      <c r="CE284" s="762">
        <v>869089</v>
      </c>
      <c r="CF284" s="762">
        <v>1234793</v>
      </c>
      <c r="CG284" s="762">
        <v>21727</v>
      </c>
      <c r="CH284" s="762">
        <v>2172722</v>
      </c>
      <c r="CI284" s="762">
        <v>27940341</v>
      </c>
      <c r="CJ284" s="762">
        <v>23344808</v>
      </c>
      <c r="CK284" s="762">
        <v>6255574</v>
      </c>
      <c r="CL284" s="762">
        <v>579592</v>
      </c>
      <c r="CM284" s="762">
        <v>58120315</v>
      </c>
      <c r="CN284" s="762">
        <v>727155</v>
      </c>
      <c r="CO284" s="762">
        <v>163610</v>
      </c>
      <c r="CP284" s="762">
        <v>18179</v>
      </c>
      <c r="CQ284" s="762">
        <v>908944</v>
      </c>
      <c r="CR284" s="762">
        <v>894776</v>
      </c>
      <c r="CS284" s="762">
        <v>201325</v>
      </c>
      <c r="CT284" s="762">
        <v>22369</v>
      </c>
      <c r="CU284" s="762">
        <v>1118470</v>
      </c>
      <c r="CV284" s="762">
        <v>100069</v>
      </c>
      <c r="CW284" s="762">
        <v>22516</v>
      </c>
      <c r="CX284" s="762">
        <v>2502</v>
      </c>
      <c r="CY284" s="762">
        <v>125087</v>
      </c>
      <c r="CZ284" s="762">
        <v>0</v>
      </c>
      <c r="DA284" s="762">
        <v>0</v>
      </c>
      <c r="DB284" s="762">
        <v>0</v>
      </c>
      <c r="DC284" s="762">
        <v>0</v>
      </c>
      <c r="DD284" s="762">
        <v>0</v>
      </c>
      <c r="DE284" s="762">
        <v>0</v>
      </c>
      <c r="DF284" s="762">
        <v>0</v>
      </c>
      <c r="DG284" s="762">
        <v>0</v>
      </c>
      <c r="DH284" s="762">
        <v>0</v>
      </c>
      <c r="DI284" s="762">
        <v>0</v>
      </c>
      <c r="DJ284" s="762">
        <v>0</v>
      </c>
      <c r="DK284" s="762">
        <v>0</v>
      </c>
      <c r="DL284" s="762">
        <v>10466</v>
      </c>
      <c r="DM284" s="762">
        <v>2355</v>
      </c>
      <c r="DN284" s="762">
        <v>262</v>
      </c>
      <c r="DO284" s="762">
        <v>13083</v>
      </c>
      <c r="DP284" s="762">
        <v>27880</v>
      </c>
      <c r="DQ284" s="762">
        <v>6273</v>
      </c>
      <c r="DR284" s="762">
        <v>697</v>
      </c>
      <c r="DS284" s="762">
        <v>34850</v>
      </c>
      <c r="DT284" s="762">
        <v>0</v>
      </c>
      <c r="DU284" s="762">
        <v>0</v>
      </c>
      <c r="DV284" s="762">
        <v>0</v>
      </c>
      <c r="DW284" s="762">
        <v>0</v>
      </c>
      <c r="DX284" s="762">
        <v>0</v>
      </c>
      <c r="DY284" s="762">
        <v>0</v>
      </c>
      <c r="DZ284" s="762">
        <v>0</v>
      </c>
      <c r="EA284" s="762">
        <v>0</v>
      </c>
      <c r="EB284" s="762">
        <v>206518</v>
      </c>
      <c r="EC284" s="762">
        <v>46466</v>
      </c>
      <c r="ED284" s="762">
        <v>5163</v>
      </c>
      <c r="EE284" s="762">
        <v>258147</v>
      </c>
      <c r="EF284" s="762">
        <v>1966864</v>
      </c>
      <c r="EG284" s="762">
        <v>442545</v>
      </c>
      <c r="EH284" s="762">
        <v>49172</v>
      </c>
      <c r="EI284" s="799">
        <v>2458581</v>
      </c>
      <c r="EJ284" s="763" t="s">
        <v>444</v>
      </c>
      <c r="EK284" s="607" t="s">
        <v>591</v>
      </c>
      <c r="EL284" s="805" t="s">
        <v>590</v>
      </c>
      <c r="EM284" t="s">
        <v>1850</v>
      </c>
    </row>
    <row r="285" spans="1:143" ht="12.75" x14ac:dyDescent="0.2">
      <c r="A285" s="764">
        <v>278</v>
      </c>
      <c r="B285" s="765" t="s">
        <v>447</v>
      </c>
      <c r="C285" s="766" t="s">
        <v>529</v>
      </c>
      <c r="D285" s="767" t="s">
        <v>1226</v>
      </c>
      <c r="E285" s="768" t="s">
        <v>564</v>
      </c>
      <c r="F285" s="761">
        <v>30724412.539999999</v>
      </c>
      <c r="G285" s="762">
        <v>0</v>
      </c>
      <c r="H285" s="762">
        <v>1240262.28</v>
      </c>
      <c r="I285" s="762">
        <v>197875</v>
      </c>
      <c r="J285" s="762">
        <v>0</v>
      </c>
      <c r="K285" s="762">
        <v>197875</v>
      </c>
      <c r="L285" s="762">
        <v>0</v>
      </c>
      <c r="M285" s="762">
        <v>0</v>
      </c>
      <c r="N285" s="762">
        <v>0</v>
      </c>
      <c r="O285" s="762">
        <v>0</v>
      </c>
      <c r="P285" s="762">
        <v>0</v>
      </c>
      <c r="Q285" s="762">
        <v>0</v>
      </c>
      <c r="R285" s="762">
        <v>29286275</v>
      </c>
      <c r="S285" s="790">
        <v>0.5</v>
      </c>
      <c r="T285" s="790">
        <v>0.49</v>
      </c>
      <c r="U285" s="790">
        <v>0</v>
      </c>
      <c r="V285" s="790">
        <v>0.01</v>
      </c>
      <c r="W285" s="790">
        <v>1</v>
      </c>
      <c r="X285" s="762">
        <v>14643137</v>
      </c>
      <c r="Y285" s="762">
        <v>14350275</v>
      </c>
      <c r="Z285" s="762">
        <v>0</v>
      </c>
      <c r="AA285" s="762">
        <v>292863</v>
      </c>
      <c r="AB285" s="762">
        <v>29286275</v>
      </c>
      <c r="AC285" s="762">
        <v>0</v>
      </c>
      <c r="AD285" s="762">
        <v>0</v>
      </c>
      <c r="AE285" s="762">
        <v>0</v>
      </c>
      <c r="AF285" s="762">
        <v>0</v>
      </c>
      <c r="AG285" s="762">
        <v>0</v>
      </c>
      <c r="AH285" s="762">
        <v>14643137</v>
      </c>
      <c r="AI285" s="762">
        <v>14350275</v>
      </c>
      <c r="AJ285" s="762">
        <v>0</v>
      </c>
      <c r="AK285" s="762">
        <v>292863</v>
      </c>
      <c r="AL285" s="762">
        <v>29286275</v>
      </c>
      <c r="AM285" s="762">
        <v>197875</v>
      </c>
      <c r="AN285" s="762">
        <v>197875</v>
      </c>
      <c r="AO285" s="762">
        <v>0</v>
      </c>
      <c r="AP285" s="762">
        <v>0</v>
      </c>
      <c r="AQ285" s="762">
        <v>0</v>
      </c>
      <c r="AR285" s="762">
        <v>0</v>
      </c>
      <c r="AS285" s="762">
        <v>0</v>
      </c>
      <c r="AT285" s="762">
        <v>0</v>
      </c>
      <c r="AU285" s="762">
        <v>0</v>
      </c>
      <c r="AV285" s="762">
        <v>0</v>
      </c>
      <c r="AW285" s="762">
        <v>0</v>
      </c>
      <c r="AX285" s="762">
        <v>0</v>
      </c>
      <c r="AY285" s="762">
        <v>0</v>
      </c>
      <c r="AZ285" s="762">
        <v>0</v>
      </c>
      <c r="BA285" s="762">
        <v>0</v>
      </c>
      <c r="BB285" s="762">
        <v>0</v>
      </c>
      <c r="BC285" s="762">
        <v>0</v>
      </c>
      <c r="BD285" s="762">
        <v>0</v>
      </c>
      <c r="BE285" s="762">
        <v>0</v>
      </c>
      <c r="BF285" s="762">
        <v>0</v>
      </c>
      <c r="BG285" s="762">
        <v>0</v>
      </c>
      <c r="BH285" s="762">
        <v>0</v>
      </c>
      <c r="BI285" s="762">
        <v>0</v>
      </c>
      <c r="BJ285" s="790">
        <v>0</v>
      </c>
      <c r="BK285" s="790">
        <v>0.99</v>
      </c>
      <c r="BL285" s="790">
        <v>0</v>
      </c>
      <c r="BM285" s="790">
        <v>0.01</v>
      </c>
      <c r="BN285" s="790">
        <v>1</v>
      </c>
      <c r="BO285" s="762">
        <v>0</v>
      </c>
      <c r="BP285" s="762">
        <v>-178036</v>
      </c>
      <c r="BQ285" s="762">
        <v>0</v>
      </c>
      <c r="BR285" s="762">
        <v>-1798</v>
      </c>
      <c r="BS285" s="762">
        <v>-179834</v>
      </c>
      <c r="BT285" s="790">
        <v>0.5</v>
      </c>
      <c r="BU285" s="790">
        <v>0.49</v>
      </c>
      <c r="BV285" s="790">
        <v>0</v>
      </c>
      <c r="BW285" s="790">
        <v>0.01</v>
      </c>
      <c r="BX285" s="790">
        <v>1</v>
      </c>
      <c r="BY285" s="762">
        <v>-22935</v>
      </c>
      <c r="BZ285" s="762">
        <v>-22477</v>
      </c>
      <c r="CA285" s="762">
        <v>0</v>
      </c>
      <c r="CB285" s="762">
        <v>-459</v>
      </c>
      <c r="CC285" s="762">
        <v>-45871</v>
      </c>
      <c r="CD285" s="762">
        <v>-22935</v>
      </c>
      <c r="CE285" s="762">
        <v>-200513</v>
      </c>
      <c r="CF285" s="762">
        <v>0</v>
      </c>
      <c r="CG285" s="762">
        <v>-2257</v>
      </c>
      <c r="CH285" s="762">
        <v>-225705</v>
      </c>
      <c r="CI285" s="762">
        <v>14620202</v>
      </c>
      <c r="CJ285" s="762">
        <v>14347637</v>
      </c>
      <c r="CK285" s="762">
        <v>0</v>
      </c>
      <c r="CL285" s="762">
        <v>290606</v>
      </c>
      <c r="CM285" s="762">
        <v>29258445</v>
      </c>
      <c r="CN285" s="762">
        <v>467626</v>
      </c>
      <c r="CO285" s="762">
        <v>0</v>
      </c>
      <c r="CP285" s="762">
        <v>9543</v>
      </c>
      <c r="CQ285" s="762">
        <v>477169</v>
      </c>
      <c r="CR285" s="762">
        <v>2310603</v>
      </c>
      <c r="CS285" s="762">
        <v>0</v>
      </c>
      <c r="CT285" s="762">
        <v>47155</v>
      </c>
      <c r="CU285" s="762">
        <v>2357758</v>
      </c>
      <c r="CV285" s="762">
        <v>101208</v>
      </c>
      <c r="CW285" s="762">
        <v>0</v>
      </c>
      <c r="CX285" s="762">
        <v>2065</v>
      </c>
      <c r="CY285" s="762">
        <v>103273</v>
      </c>
      <c r="CZ285" s="762">
        <v>19332</v>
      </c>
      <c r="DA285" s="762">
        <v>0</v>
      </c>
      <c r="DB285" s="762">
        <v>395</v>
      </c>
      <c r="DC285" s="762">
        <v>19727</v>
      </c>
      <c r="DD285" s="762">
        <v>0</v>
      </c>
      <c r="DE285" s="762">
        <v>0</v>
      </c>
      <c r="DF285" s="762">
        <v>0</v>
      </c>
      <c r="DG285" s="762">
        <v>0</v>
      </c>
      <c r="DH285" s="762">
        <v>759</v>
      </c>
      <c r="DI285" s="762">
        <v>0</v>
      </c>
      <c r="DJ285" s="762">
        <v>15</v>
      </c>
      <c r="DK285" s="762">
        <v>774</v>
      </c>
      <c r="DL285" s="762">
        <v>2910</v>
      </c>
      <c r="DM285" s="762">
        <v>0</v>
      </c>
      <c r="DN285" s="762">
        <v>59</v>
      </c>
      <c r="DO285" s="762">
        <v>2969</v>
      </c>
      <c r="DP285" s="762">
        <v>21250</v>
      </c>
      <c r="DQ285" s="762">
        <v>0</v>
      </c>
      <c r="DR285" s="762">
        <v>434</v>
      </c>
      <c r="DS285" s="762">
        <v>21684</v>
      </c>
      <c r="DT285" s="762">
        <v>0</v>
      </c>
      <c r="DU285" s="762">
        <v>0</v>
      </c>
      <c r="DV285" s="762">
        <v>0</v>
      </c>
      <c r="DW285" s="762">
        <v>0</v>
      </c>
      <c r="DX285" s="762">
        <v>0</v>
      </c>
      <c r="DY285" s="762">
        <v>0</v>
      </c>
      <c r="DZ285" s="762">
        <v>0</v>
      </c>
      <c r="EA285" s="762">
        <v>0</v>
      </c>
      <c r="EB285" s="762">
        <v>916917</v>
      </c>
      <c r="EC285" s="762">
        <v>0</v>
      </c>
      <c r="ED285" s="762">
        <v>18713</v>
      </c>
      <c r="EE285" s="762">
        <v>935630</v>
      </c>
      <c r="EF285" s="762">
        <v>3840605</v>
      </c>
      <c r="EG285" s="762">
        <v>0</v>
      </c>
      <c r="EH285" s="762">
        <v>78379</v>
      </c>
      <c r="EI285" s="799">
        <v>3918984</v>
      </c>
      <c r="EJ285" s="763" t="s">
        <v>564</v>
      </c>
      <c r="EK285" s="607" t="s">
        <v>529</v>
      </c>
      <c r="EL285" s="805" t="s">
        <v>563</v>
      </c>
      <c r="EM285" t="s">
        <v>1851</v>
      </c>
    </row>
    <row r="286" spans="1:143" ht="12.75" x14ac:dyDescent="0.2">
      <c r="A286" s="764">
        <v>279</v>
      </c>
      <c r="B286" s="765" t="s">
        <v>449</v>
      </c>
      <c r="C286" s="766" t="s">
        <v>1217</v>
      </c>
      <c r="D286" s="767" t="s">
        <v>1226</v>
      </c>
      <c r="E286" s="768" t="s">
        <v>448</v>
      </c>
      <c r="F286" s="761">
        <v>11701238</v>
      </c>
      <c r="G286" s="762">
        <v>409168</v>
      </c>
      <c r="H286" s="762">
        <v>0</v>
      </c>
      <c r="I286" s="762">
        <v>133259</v>
      </c>
      <c r="J286" s="762">
        <v>0</v>
      </c>
      <c r="K286" s="762">
        <v>133259</v>
      </c>
      <c r="L286" s="762">
        <v>0</v>
      </c>
      <c r="M286" s="762">
        <v>0</v>
      </c>
      <c r="N286" s="762">
        <v>774259</v>
      </c>
      <c r="O286" s="762">
        <v>774259</v>
      </c>
      <c r="P286" s="762">
        <v>0</v>
      </c>
      <c r="Q286" s="762">
        <v>0</v>
      </c>
      <c r="R286" s="762">
        <v>11202888</v>
      </c>
      <c r="S286" s="790">
        <v>0.5</v>
      </c>
      <c r="T286" s="790">
        <v>0.4</v>
      </c>
      <c r="U286" s="790">
        <v>0.09</v>
      </c>
      <c r="V286" s="790">
        <v>0.01</v>
      </c>
      <c r="W286" s="790">
        <v>1</v>
      </c>
      <c r="X286" s="762">
        <v>5601444</v>
      </c>
      <c r="Y286" s="762">
        <v>4481155</v>
      </c>
      <c r="Z286" s="762">
        <v>1008260</v>
      </c>
      <c r="AA286" s="762">
        <v>112029</v>
      </c>
      <c r="AB286" s="762">
        <v>11202888</v>
      </c>
      <c r="AC286" s="762">
        <v>0</v>
      </c>
      <c r="AD286" s="762">
        <v>0</v>
      </c>
      <c r="AE286" s="762">
        <v>0</v>
      </c>
      <c r="AF286" s="762">
        <v>0</v>
      </c>
      <c r="AG286" s="762">
        <v>0</v>
      </c>
      <c r="AH286" s="762">
        <v>5601444</v>
      </c>
      <c r="AI286" s="762">
        <v>4481155</v>
      </c>
      <c r="AJ286" s="762">
        <v>1008260</v>
      </c>
      <c r="AK286" s="762">
        <v>112029</v>
      </c>
      <c r="AL286" s="762">
        <v>11202888</v>
      </c>
      <c r="AM286" s="762">
        <v>133259</v>
      </c>
      <c r="AN286" s="762">
        <v>133259</v>
      </c>
      <c r="AO286" s="762">
        <v>0</v>
      </c>
      <c r="AP286" s="762">
        <v>0</v>
      </c>
      <c r="AQ286" s="762">
        <v>774259</v>
      </c>
      <c r="AR286" s="762">
        <v>0</v>
      </c>
      <c r="AS286" s="762">
        <v>774259</v>
      </c>
      <c r="AT286" s="762">
        <v>0</v>
      </c>
      <c r="AU286" s="762">
        <v>0</v>
      </c>
      <c r="AV286" s="762">
        <v>0</v>
      </c>
      <c r="AW286" s="762">
        <v>0</v>
      </c>
      <c r="AX286" s="762">
        <v>0</v>
      </c>
      <c r="AY286" s="762">
        <v>0</v>
      </c>
      <c r="AZ286" s="762">
        <v>0</v>
      </c>
      <c r="BA286" s="762">
        <v>0</v>
      </c>
      <c r="BB286" s="762">
        <v>0</v>
      </c>
      <c r="BC286" s="762">
        <v>0</v>
      </c>
      <c r="BD286" s="762">
        <v>0</v>
      </c>
      <c r="BE286" s="762">
        <v>0</v>
      </c>
      <c r="BF286" s="762">
        <v>0</v>
      </c>
      <c r="BG286" s="762">
        <v>0</v>
      </c>
      <c r="BH286" s="762">
        <v>0</v>
      </c>
      <c r="BI286" s="762">
        <v>0</v>
      </c>
      <c r="BJ286" s="790">
        <v>0</v>
      </c>
      <c r="BK286" s="790">
        <v>0.4</v>
      </c>
      <c r="BL286" s="790">
        <v>0.59</v>
      </c>
      <c r="BM286" s="790">
        <v>0.01</v>
      </c>
      <c r="BN286" s="790">
        <v>1</v>
      </c>
      <c r="BO286" s="762">
        <v>0</v>
      </c>
      <c r="BP286" s="762">
        <v>9654</v>
      </c>
      <c r="BQ286" s="762">
        <v>14240</v>
      </c>
      <c r="BR286" s="762">
        <v>241</v>
      </c>
      <c r="BS286" s="762">
        <v>24135</v>
      </c>
      <c r="BT286" s="790">
        <v>0.5</v>
      </c>
      <c r="BU286" s="790">
        <v>0.4</v>
      </c>
      <c r="BV286" s="790">
        <v>0.09</v>
      </c>
      <c r="BW286" s="790">
        <v>0.01</v>
      </c>
      <c r="BX286" s="790">
        <v>1</v>
      </c>
      <c r="BY286" s="762">
        <v>343404</v>
      </c>
      <c r="BZ286" s="762">
        <v>274724</v>
      </c>
      <c r="CA286" s="762">
        <v>61813</v>
      </c>
      <c r="CB286" s="762">
        <v>6868</v>
      </c>
      <c r="CC286" s="762">
        <v>686809</v>
      </c>
      <c r="CD286" s="762">
        <v>343404</v>
      </c>
      <c r="CE286" s="762">
        <v>284378</v>
      </c>
      <c r="CF286" s="762">
        <v>76053</v>
      </c>
      <c r="CG286" s="762">
        <v>7109</v>
      </c>
      <c r="CH286" s="762">
        <v>710944</v>
      </c>
      <c r="CI286" s="762">
        <v>5944848</v>
      </c>
      <c r="CJ286" s="762">
        <v>5673051</v>
      </c>
      <c r="CK286" s="762">
        <v>1084313</v>
      </c>
      <c r="CL286" s="762">
        <v>119138</v>
      </c>
      <c r="CM286" s="762">
        <v>12821350</v>
      </c>
      <c r="CN286" s="762">
        <v>171256</v>
      </c>
      <c r="CO286" s="762">
        <v>32856</v>
      </c>
      <c r="CP286" s="762">
        <v>3651</v>
      </c>
      <c r="CQ286" s="762">
        <v>207763</v>
      </c>
      <c r="CR286" s="762">
        <v>1129126</v>
      </c>
      <c r="CS286" s="762">
        <v>254053</v>
      </c>
      <c r="CT286" s="762">
        <v>28228</v>
      </c>
      <c r="CU286" s="762">
        <v>1411407</v>
      </c>
      <c r="CV286" s="762">
        <v>37248</v>
      </c>
      <c r="CW286" s="762">
        <v>8381</v>
      </c>
      <c r="CX286" s="762">
        <v>931</v>
      </c>
      <c r="CY286" s="762">
        <v>46560</v>
      </c>
      <c r="CZ286" s="762">
        <v>1156</v>
      </c>
      <c r="DA286" s="762">
        <v>260</v>
      </c>
      <c r="DB286" s="762">
        <v>29</v>
      </c>
      <c r="DC286" s="762">
        <v>1445</v>
      </c>
      <c r="DD286" s="762">
        <v>21408</v>
      </c>
      <c r="DE286" s="762">
        <v>4817</v>
      </c>
      <c r="DF286" s="762">
        <v>535</v>
      </c>
      <c r="DG286" s="762">
        <v>26760</v>
      </c>
      <c r="DH286" s="762">
        <v>0</v>
      </c>
      <c r="DI286" s="762">
        <v>0</v>
      </c>
      <c r="DJ286" s="762">
        <v>0</v>
      </c>
      <c r="DK286" s="762">
        <v>0</v>
      </c>
      <c r="DL286" s="762">
        <v>13721</v>
      </c>
      <c r="DM286" s="762">
        <v>3087</v>
      </c>
      <c r="DN286" s="762">
        <v>343</v>
      </c>
      <c r="DO286" s="762">
        <v>17151</v>
      </c>
      <c r="DP286" s="762">
        <v>17180</v>
      </c>
      <c r="DQ286" s="762">
        <v>3866</v>
      </c>
      <c r="DR286" s="762">
        <v>430</v>
      </c>
      <c r="DS286" s="762">
        <v>21476</v>
      </c>
      <c r="DT286" s="762">
        <v>0</v>
      </c>
      <c r="DU286" s="762">
        <v>0</v>
      </c>
      <c r="DV286" s="762">
        <v>0</v>
      </c>
      <c r="DW286" s="762">
        <v>0</v>
      </c>
      <c r="DX286" s="762">
        <v>0</v>
      </c>
      <c r="DY286" s="762">
        <v>0</v>
      </c>
      <c r="DZ286" s="762">
        <v>0</v>
      </c>
      <c r="EA286" s="762">
        <v>0</v>
      </c>
      <c r="EB286" s="762">
        <v>176399</v>
      </c>
      <c r="EC286" s="762">
        <v>39690</v>
      </c>
      <c r="ED286" s="762">
        <v>4410</v>
      </c>
      <c r="EE286" s="762">
        <v>220499</v>
      </c>
      <c r="EF286" s="762">
        <v>1567494</v>
      </c>
      <c r="EG286" s="762">
        <v>347010</v>
      </c>
      <c r="EH286" s="762">
        <v>38557</v>
      </c>
      <c r="EI286" s="799">
        <v>1953061</v>
      </c>
      <c r="EJ286" s="763" t="s">
        <v>448</v>
      </c>
      <c r="EK286" s="607" t="s">
        <v>565</v>
      </c>
      <c r="EL286" s="805" t="s">
        <v>563</v>
      </c>
      <c r="EM286" t="s">
        <v>1852</v>
      </c>
    </row>
    <row r="287" spans="1:143" ht="12.75" x14ac:dyDescent="0.2">
      <c r="A287" s="764">
        <v>280</v>
      </c>
      <c r="B287" s="765" t="s">
        <v>451</v>
      </c>
      <c r="C287" s="766" t="s">
        <v>1228</v>
      </c>
      <c r="D287" s="767" t="s">
        <v>1223</v>
      </c>
      <c r="E287" s="768" t="s">
        <v>450</v>
      </c>
      <c r="F287" s="761">
        <v>460641496</v>
      </c>
      <c r="G287" s="762">
        <v>8522542</v>
      </c>
      <c r="H287" s="762">
        <v>0</v>
      </c>
      <c r="I287" s="762">
        <v>1020853</v>
      </c>
      <c r="J287" s="762">
        <v>0</v>
      </c>
      <c r="K287" s="762">
        <v>1020853</v>
      </c>
      <c r="L287" s="762">
        <v>0</v>
      </c>
      <c r="M287" s="762">
        <v>0</v>
      </c>
      <c r="N287" s="762">
        <v>0</v>
      </c>
      <c r="O287" s="762">
        <v>0</v>
      </c>
      <c r="P287" s="762">
        <v>0</v>
      </c>
      <c r="Q287" s="762">
        <v>0</v>
      </c>
      <c r="R287" s="762">
        <v>468143185</v>
      </c>
      <c r="S287" s="790">
        <v>0.25</v>
      </c>
      <c r="T287" s="790">
        <v>0.48</v>
      </c>
      <c r="U287" s="790">
        <v>0.27</v>
      </c>
      <c r="V287" s="790">
        <v>0</v>
      </c>
      <c r="W287" s="790">
        <v>1</v>
      </c>
      <c r="X287" s="762">
        <v>117035796</v>
      </c>
      <c r="Y287" s="762">
        <v>224708729</v>
      </c>
      <c r="Z287" s="762">
        <v>126398660</v>
      </c>
      <c r="AA287" s="762">
        <v>0</v>
      </c>
      <c r="AB287" s="762">
        <v>468143185</v>
      </c>
      <c r="AC287" s="762">
        <v>0</v>
      </c>
      <c r="AD287" s="762">
        <v>0</v>
      </c>
      <c r="AE287" s="762">
        <v>0</v>
      </c>
      <c r="AF287" s="762">
        <v>0</v>
      </c>
      <c r="AG287" s="762">
        <v>0</v>
      </c>
      <c r="AH287" s="762">
        <v>117035796</v>
      </c>
      <c r="AI287" s="762">
        <v>224708729</v>
      </c>
      <c r="AJ287" s="762">
        <v>126398660</v>
      </c>
      <c r="AK287" s="762">
        <v>0</v>
      </c>
      <c r="AL287" s="762">
        <v>468143185</v>
      </c>
      <c r="AM287" s="762">
        <v>1020853</v>
      </c>
      <c r="AN287" s="762">
        <v>1020853</v>
      </c>
      <c r="AO287" s="762">
        <v>0</v>
      </c>
      <c r="AP287" s="762">
        <v>0</v>
      </c>
      <c r="AQ287" s="762">
        <v>0</v>
      </c>
      <c r="AR287" s="762">
        <v>0</v>
      </c>
      <c r="AS287" s="762">
        <v>0</v>
      </c>
      <c r="AT287" s="762">
        <v>0</v>
      </c>
      <c r="AU287" s="762">
        <v>0</v>
      </c>
      <c r="AV287" s="762">
        <v>0</v>
      </c>
      <c r="AW287" s="762">
        <v>0</v>
      </c>
      <c r="AX287" s="762">
        <v>0</v>
      </c>
      <c r="AY287" s="762">
        <v>0</v>
      </c>
      <c r="AZ287" s="762">
        <v>0</v>
      </c>
      <c r="BA287" s="762">
        <v>0</v>
      </c>
      <c r="BB287" s="762">
        <v>0</v>
      </c>
      <c r="BC287" s="762">
        <v>0</v>
      </c>
      <c r="BD287" s="762">
        <v>0</v>
      </c>
      <c r="BE287" s="762">
        <v>0</v>
      </c>
      <c r="BF287" s="762">
        <v>0</v>
      </c>
      <c r="BG287" s="762">
        <v>0</v>
      </c>
      <c r="BH287" s="762">
        <v>0</v>
      </c>
      <c r="BI287" s="762">
        <v>0</v>
      </c>
      <c r="BJ287" s="790">
        <v>0</v>
      </c>
      <c r="BK287" s="790">
        <v>0.64</v>
      </c>
      <c r="BL287" s="790">
        <v>0.36</v>
      </c>
      <c r="BM287" s="790">
        <v>0</v>
      </c>
      <c r="BN287" s="790">
        <v>1</v>
      </c>
      <c r="BO287" s="762">
        <v>0</v>
      </c>
      <c r="BP287" s="762">
        <v>72735</v>
      </c>
      <c r="BQ287" s="762">
        <v>40914</v>
      </c>
      <c r="BR287" s="762">
        <v>0</v>
      </c>
      <c r="BS287" s="762">
        <v>113649</v>
      </c>
      <c r="BT287" s="790">
        <v>0.33</v>
      </c>
      <c r="BU287" s="790">
        <v>0.3</v>
      </c>
      <c r="BV287" s="790">
        <v>0.37</v>
      </c>
      <c r="BW287" s="790">
        <v>0</v>
      </c>
      <c r="BX287" s="790">
        <v>1</v>
      </c>
      <c r="BY287" s="762">
        <v>271064</v>
      </c>
      <c r="BZ287" s="762">
        <v>246422</v>
      </c>
      <c r="CA287" s="762">
        <v>303920</v>
      </c>
      <c r="CB287" s="762">
        <v>0</v>
      </c>
      <c r="CC287" s="762">
        <v>821406</v>
      </c>
      <c r="CD287" s="762">
        <v>271064</v>
      </c>
      <c r="CE287" s="762">
        <v>319157</v>
      </c>
      <c r="CF287" s="762">
        <v>344834</v>
      </c>
      <c r="CG287" s="762">
        <v>0</v>
      </c>
      <c r="CH287" s="762">
        <v>935055</v>
      </c>
      <c r="CI287" s="762">
        <v>117306860</v>
      </c>
      <c r="CJ287" s="762">
        <v>226048739</v>
      </c>
      <c r="CK287" s="762">
        <v>126743494</v>
      </c>
      <c r="CL287" s="762">
        <v>0</v>
      </c>
      <c r="CM287" s="762">
        <v>470099093</v>
      </c>
      <c r="CN287" s="762">
        <v>7322484</v>
      </c>
      <c r="CO287" s="762">
        <v>4118897</v>
      </c>
      <c r="CP287" s="762">
        <v>0</v>
      </c>
      <c r="CQ287" s="762">
        <v>11441381</v>
      </c>
      <c r="CR287" s="762">
        <v>3574957</v>
      </c>
      <c r="CS287" s="762">
        <v>2010914</v>
      </c>
      <c r="CT287" s="762">
        <v>0</v>
      </c>
      <c r="CU287" s="762">
        <v>5585871</v>
      </c>
      <c r="CV287" s="762">
        <v>348762</v>
      </c>
      <c r="CW287" s="762">
        <v>196179</v>
      </c>
      <c r="CX287" s="762">
        <v>0</v>
      </c>
      <c r="CY287" s="762">
        <v>544941</v>
      </c>
      <c r="CZ287" s="762">
        <v>0</v>
      </c>
      <c r="DA287" s="762">
        <v>0</v>
      </c>
      <c r="DB287" s="762">
        <v>0</v>
      </c>
      <c r="DC287" s="762">
        <v>0</v>
      </c>
      <c r="DD287" s="762">
        <v>0</v>
      </c>
      <c r="DE287" s="762">
        <v>0</v>
      </c>
      <c r="DF287" s="762">
        <v>0</v>
      </c>
      <c r="DG287" s="762">
        <v>0</v>
      </c>
      <c r="DH287" s="762">
        <v>0</v>
      </c>
      <c r="DI287" s="762">
        <v>0</v>
      </c>
      <c r="DJ287" s="762">
        <v>0</v>
      </c>
      <c r="DK287" s="762">
        <v>0</v>
      </c>
      <c r="DL287" s="762">
        <v>297071</v>
      </c>
      <c r="DM287" s="762">
        <v>167103</v>
      </c>
      <c r="DN287" s="762">
        <v>0</v>
      </c>
      <c r="DO287" s="762">
        <v>464174</v>
      </c>
      <c r="DP287" s="762">
        <v>473257</v>
      </c>
      <c r="DQ287" s="762">
        <v>266207</v>
      </c>
      <c r="DR287" s="762">
        <v>0</v>
      </c>
      <c r="DS287" s="762">
        <v>739464</v>
      </c>
      <c r="DT287" s="762">
        <v>0</v>
      </c>
      <c r="DU287" s="762">
        <v>0</v>
      </c>
      <c r="DV287" s="762">
        <v>0</v>
      </c>
      <c r="DW287" s="762">
        <v>0</v>
      </c>
      <c r="DX287" s="762">
        <v>0</v>
      </c>
      <c r="DY287" s="762">
        <v>0</v>
      </c>
      <c r="DZ287" s="762">
        <v>0</v>
      </c>
      <c r="EA287" s="762">
        <v>0</v>
      </c>
      <c r="EB287" s="762">
        <v>2151457</v>
      </c>
      <c r="EC287" s="762">
        <v>1210194</v>
      </c>
      <c r="ED287" s="762">
        <v>0</v>
      </c>
      <c r="EE287" s="762">
        <v>3361651</v>
      </c>
      <c r="EF287" s="762">
        <v>14167988</v>
      </c>
      <c r="EG287" s="762">
        <v>7969494</v>
      </c>
      <c r="EH287" s="762">
        <v>0</v>
      </c>
      <c r="EI287" s="799">
        <v>22137482</v>
      </c>
      <c r="EJ287" s="763" t="s">
        <v>450</v>
      </c>
      <c r="EK287" s="607" t="s">
        <v>628</v>
      </c>
      <c r="EL287" s="272" t="s">
        <v>528</v>
      </c>
      <c r="EM287" t="s">
        <v>1853</v>
      </c>
    </row>
    <row r="288" spans="1:143" ht="12.75" x14ac:dyDescent="0.2">
      <c r="A288" s="764">
        <v>281</v>
      </c>
      <c r="B288" s="765" t="s">
        <v>453</v>
      </c>
      <c r="C288" s="766" t="s">
        <v>1224</v>
      </c>
      <c r="D288" s="767" t="s">
        <v>1219</v>
      </c>
      <c r="E288" s="768" t="s">
        <v>452</v>
      </c>
      <c r="F288" s="761">
        <v>157431624.35000002</v>
      </c>
      <c r="G288" s="762">
        <v>0</v>
      </c>
      <c r="H288" s="762">
        <v>1364957.63</v>
      </c>
      <c r="I288" s="762">
        <v>429794</v>
      </c>
      <c r="J288" s="762">
        <v>0</v>
      </c>
      <c r="K288" s="762">
        <v>429794</v>
      </c>
      <c r="L288" s="762">
        <v>0</v>
      </c>
      <c r="M288" s="762">
        <v>0</v>
      </c>
      <c r="N288" s="762">
        <v>81648</v>
      </c>
      <c r="O288" s="762">
        <v>81648</v>
      </c>
      <c r="P288" s="762">
        <v>0</v>
      </c>
      <c r="Q288" s="762">
        <v>0</v>
      </c>
      <c r="R288" s="762">
        <v>155555225</v>
      </c>
      <c r="S288" s="790">
        <v>0</v>
      </c>
      <c r="T288" s="790">
        <v>0.99</v>
      </c>
      <c r="U288" s="790">
        <v>0</v>
      </c>
      <c r="V288" s="790">
        <v>0.01</v>
      </c>
      <c r="W288" s="790">
        <v>1</v>
      </c>
      <c r="X288" s="762">
        <v>0</v>
      </c>
      <c r="Y288" s="762">
        <v>153999673</v>
      </c>
      <c r="Z288" s="762">
        <v>0</v>
      </c>
      <c r="AA288" s="762">
        <v>1555552</v>
      </c>
      <c r="AB288" s="762">
        <v>155555225</v>
      </c>
      <c r="AC288" s="762">
        <v>0</v>
      </c>
      <c r="AD288" s="762">
        <v>0</v>
      </c>
      <c r="AE288" s="762">
        <v>0</v>
      </c>
      <c r="AF288" s="762">
        <v>0</v>
      </c>
      <c r="AG288" s="762">
        <v>0</v>
      </c>
      <c r="AH288" s="762">
        <v>0</v>
      </c>
      <c r="AI288" s="762">
        <v>153999673</v>
      </c>
      <c r="AJ288" s="762">
        <v>0</v>
      </c>
      <c r="AK288" s="762">
        <v>1555552</v>
      </c>
      <c r="AL288" s="762">
        <v>155555225</v>
      </c>
      <c r="AM288" s="762">
        <v>429794</v>
      </c>
      <c r="AN288" s="762">
        <v>429794</v>
      </c>
      <c r="AO288" s="762">
        <v>0</v>
      </c>
      <c r="AP288" s="762">
        <v>0</v>
      </c>
      <c r="AQ288" s="762">
        <v>81648</v>
      </c>
      <c r="AR288" s="762">
        <v>0</v>
      </c>
      <c r="AS288" s="762">
        <v>81648</v>
      </c>
      <c r="AT288" s="762">
        <v>0</v>
      </c>
      <c r="AU288" s="762">
        <v>0</v>
      </c>
      <c r="AV288" s="762">
        <v>0</v>
      </c>
      <c r="AW288" s="762">
        <v>0</v>
      </c>
      <c r="AX288" s="762">
        <v>0</v>
      </c>
      <c r="AY288" s="762">
        <v>0</v>
      </c>
      <c r="AZ288" s="762">
        <v>0</v>
      </c>
      <c r="BA288" s="762">
        <v>0</v>
      </c>
      <c r="BB288" s="762">
        <v>0</v>
      </c>
      <c r="BC288" s="762">
        <v>0</v>
      </c>
      <c r="BD288" s="762">
        <v>0</v>
      </c>
      <c r="BE288" s="762">
        <v>0</v>
      </c>
      <c r="BF288" s="762">
        <v>0</v>
      </c>
      <c r="BG288" s="762">
        <v>0</v>
      </c>
      <c r="BH288" s="762">
        <v>0</v>
      </c>
      <c r="BI288" s="762">
        <v>0</v>
      </c>
      <c r="BJ288" s="790">
        <v>0</v>
      </c>
      <c r="BK288" s="790">
        <v>0.99</v>
      </c>
      <c r="BL288" s="790">
        <v>0</v>
      </c>
      <c r="BM288" s="790">
        <v>0.01</v>
      </c>
      <c r="BN288" s="790">
        <v>1</v>
      </c>
      <c r="BO288" s="762">
        <v>0</v>
      </c>
      <c r="BP288" s="762">
        <v>-1529515</v>
      </c>
      <c r="BQ288" s="762">
        <v>0</v>
      </c>
      <c r="BR288" s="762">
        <v>-15450</v>
      </c>
      <c r="BS288" s="762">
        <v>-1544965</v>
      </c>
      <c r="BT288" s="790">
        <v>0</v>
      </c>
      <c r="BU288" s="790">
        <v>0.99</v>
      </c>
      <c r="BV288" s="790">
        <v>0</v>
      </c>
      <c r="BW288" s="790">
        <v>0.01</v>
      </c>
      <c r="BX288" s="790">
        <v>1</v>
      </c>
      <c r="BY288" s="762">
        <v>0</v>
      </c>
      <c r="BZ288" s="762">
        <v>1181215</v>
      </c>
      <c r="CA288" s="762">
        <v>0</v>
      </c>
      <c r="CB288" s="762">
        <v>11931</v>
      </c>
      <c r="CC288" s="762">
        <v>1193146</v>
      </c>
      <c r="CD288" s="762">
        <v>0</v>
      </c>
      <c r="CE288" s="762">
        <v>-348300</v>
      </c>
      <c r="CF288" s="762">
        <v>0</v>
      </c>
      <c r="CG288" s="762">
        <v>-3519</v>
      </c>
      <c r="CH288" s="762">
        <v>-351819</v>
      </c>
      <c r="CI288" s="762">
        <v>0</v>
      </c>
      <c r="CJ288" s="762">
        <v>154162815</v>
      </c>
      <c r="CK288" s="762">
        <v>0</v>
      </c>
      <c r="CL288" s="762">
        <v>1552033</v>
      </c>
      <c r="CM288" s="762">
        <v>155714848</v>
      </c>
      <c r="CN288" s="762">
        <v>5020980</v>
      </c>
      <c r="CO288" s="762">
        <v>0</v>
      </c>
      <c r="CP288" s="762">
        <v>50690</v>
      </c>
      <c r="CQ288" s="762">
        <v>5071670</v>
      </c>
      <c r="CR288" s="762">
        <v>5996661</v>
      </c>
      <c r="CS288" s="762">
        <v>0</v>
      </c>
      <c r="CT288" s="762">
        <v>60572</v>
      </c>
      <c r="CU288" s="762">
        <v>6057233</v>
      </c>
      <c r="CV288" s="762">
        <v>520349</v>
      </c>
      <c r="CW288" s="762">
        <v>0</v>
      </c>
      <c r="CX288" s="762">
        <v>5256</v>
      </c>
      <c r="CY288" s="762">
        <v>525605</v>
      </c>
      <c r="CZ288" s="762">
        <v>0</v>
      </c>
      <c r="DA288" s="762">
        <v>0</v>
      </c>
      <c r="DB288" s="762">
        <v>0</v>
      </c>
      <c r="DC288" s="762">
        <v>0</v>
      </c>
      <c r="DD288" s="762">
        <v>0</v>
      </c>
      <c r="DE288" s="762">
        <v>0</v>
      </c>
      <c r="DF288" s="762">
        <v>0</v>
      </c>
      <c r="DG288" s="762">
        <v>0</v>
      </c>
      <c r="DH288" s="762">
        <v>0</v>
      </c>
      <c r="DI288" s="762">
        <v>0</v>
      </c>
      <c r="DJ288" s="762">
        <v>0</v>
      </c>
      <c r="DK288" s="762">
        <v>0</v>
      </c>
      <c r="DL288" s="762">
        <v>17998</v>
      </c>
      <c r="DM288" s="762">
        <v>0</v>
      </c>
      <c r="DN288" s="762">
        <v>182</v>
      </c>
      <c r="DO288" s="762">
        <v>18180</v>
      </c>
      <c r="DP288" s="762">
        <v>70536</v>
      </c>
      <c r="DQ288" s="762">
        <v>0</v>
      </c>
      <c r="DR288" s="762">
        <v>712</v>
      </c>
      <c r="DS288" s="762">
        <v>71248</v>
      </c>
      <c r="DT288" s="762">
        <v>0</v>
      </c>
      <c r="DU288" s="762">
        <v>0</v>
      </c>
      <c r="DV288" s="762">
        <v>0</v>
      </c>
      <c r="DW288" s="762">
        <v>0</v>
      </c>
      <c r="DX288" s="762">
        <v>0</v>
      </c>
      <c r="DY288" s="762">
        <v>0</v>
      </c>
      <c r="DZ288" s="762">
        <v>0</v>
      </c>
      <c r="EA288" s="762">
        <v>0</v>
      </c>
      <c r="EB288" s="762">
        <v>1957458</v>
      </c>
      <c r="EC288" s="762">
        <v>0</v>
      </c>
      <c r="ED288" s="762">
        <v>19772</v>
      </c>
      <c r="EE288" s="762">
        <v>1977230</v>
      </c>
      <c r="EF288" s="762">
        <v>13583982</v>
      </c>
      <c r="EG288" s="762">
        <v>0</v>
      </c>
      <c r="EH288" s="762">
        <v>137184</v>
      </c>
      <c r="EI288" s="799">
        <v>13721166</v>
      </c>
      <c r="EJ288" s="763" t="s">
        <v>452</v>
      </c>
      <c r="EK288" s="607" t="s">
        <v>621</v>
      </c>
      <c r="EL288" s="805" t="s">
        <v>622</v>
      </c>
      <c r="EM288" t="s">
        <v>1854</v>
      </c>
    </row>
    <row r="289" spans="1:143" ht="12.75" x14ac:dyDescent="0.2">
      <c r="A289" s="764">
        <v>282</v>
      </c>
      <c r="B289" s="765" t="s">
        <v>455</v>
      </c>
      <c r="C289" s="766" t="s">
        <v>1217</v>
      </c>
      <c r="D289" s="767" t="s">
        <v>1218</v>
      </c>
      <c r="E289" s="768" t="s">
        <v>454</v>
      </c>
      <c r="F289" s="761">
        <v>51398045</v>
      </c>
      <c r="G289" s="762">
        <v>0</v>
      </c>
      <c r="H289" s="762">
        <v>30749</v>
      </c>
      <c r="I289" s="762">
        <v>169900</v>
      </c>
      <c r="J289" s="762">
        <v>0</v>
      </c>
      <c r="K289" s="762">
        <v>169900</v>
      </c>
      <c r="L289" s="762">
        <v>0</v>
      </c>
      <c r="M289" s="762">
        <v>0</v>
      </c>
      <c r="N289" s="762">
        <v>94368</v>
      </c>
      <c r="O289" s="762">
        <v>94368</v>
      </c>
      <c r="P289" s="762">
        <v>0</v>
      </c>
      <c r="Q289" s="762">
        <v>0</v>
      </c>
      <c r="R289" s="762">
        <v>51103028</v>
      </c>
      <c r="S289" s="790">
        <v>0.5</v>
      </c>
      <c r="T289" s="790">
        <v>0.4</v>
      </c>
      <c r="U289" s="790">
        <v>0.09</v>
      </c>
      <c r="V289" s="790">
        <v>0.01</v>
      </c>
      <c r="W289" s="790">
        <v>1</v>
      </c>
      <c r="X289" s="762">
        <v>25551514</v>
      </c>
      <c r="Y289" s="762">
        <v>20441211</v>
      </c>
      <c r="Z289" s="762">
        <v>4599273</v>
      </c>
      <c r="AA289" s="762">
        <v>511030</v>
      </c>
      <c r="AB289" s="762">
        <v>51103028</v>
      </c>
      <c r="AC289" s="762">
        <v>0</v>
      </c>
      <c r="AD289" s="762">
        <v>0</v>
      </c>
      <c r="AE289" s="762">
        <v>0</v>
      </c>
      <c r="AF289" s="762">
        <v>0</v>
      </c>
      <c r="AG289" s="762">
        <v>0</v>
      </c>
      <c r="AH289" s="762">
        <v>25551514</v>
      </c>
      <c r="AI289" s="762">
        <v>20441211</v>
      </c>
      <c r="AJ289" s="762">
        <v>4599273</v>
      </c>
      <c r="AK289" s="762">
        <v>511030</v>
      </c>
      <c r="AL289" s="762">
        <v>51103028</v>
      </c>
      <c r="AM289" s="762">
        <v>169900</v>
      </c>
      <c r="AN289" s="762">
        <v>169900</v>
      </c>
      <c r="AO289" s="762">
        <v>0</v>
      </c>
      <c r="AP289" s="762">
        <v>0</v>
      </c>
      <c r="AQ289" s="762">
        <v>94368</v>
      </c>
      <c r="AR289" s="762">
        <v>0</v>
      </c>
      <c r="AS289" s="762">
        <v>94368</v>
      </c>
      <c r="AT289" s="762">
        <v>0</v>
      </c>
      <c r="AU289" s="762">
        <v>0</v>
      </c>
      <c r="AV289" s="762">
        <v>0</v>
      </c>
      <c r="AW289" s="762">
        <v>0</v>
      </c>
      <c r="AX289" s="762">
        <v>0</v>
      </c>
      <c r="AY289" s="762">
        <v>0</v>
      </c>
      <c r="AZ289" s="762">
        <v>0</v>
      </c>
      <c r="BA289" s="762">
        <v>0</v>
      </c>
      <c r="BB289" s="762">
        <v>0</v>
      </c>
      <c r="BC289" s="762">
        <v>0</v>
      </c>
      <c r="BD289" s="762">
        <v>0</v>
      </c>
      <c r="BE289" s="762">
        <v>0</v>
      </c>
      <c r="BF289" s="762">
        <v>0</v>
      </c>
      <c r="BG289" s="762">
        <v>0</v>
      </c>
      <c r="BH289" s="762">
        <v>0</v>
      </c>
      <c r="BI289" s="762">
        <v>0</v>
      </c>
      <c r="BJ289" s="790">
        <v>0</v>
      </c>
      <c r="BK289" s="790">
        <v>0.4</v>
      </c>
      <c r="BL289" s="790">
        <v>0.59</v>
      </c>
      <c r="BM289" s="790">
        <v>0.01</v>
      </c>
      <c r="BN289" s="790">
        <v>1</v>
      </c>
      <c r="BO289" s="762">
        <v>0</v>
      </c>
      <c r="BP289" s="762">
        <v>-408717</v>
      </c>
      <c r="BQ289" s="762">
        <v>-602858</v>
      </c>
      <c r="BR289" s="762">
        <v>-10218</v>
      </c>
      <c r="BS289" s="762">
        <v>-1021793</v>
      </c>
      <c r="BT289" s="790">
        <v>0.5</v>
      </c>
      <c r="BU289" s="790">
        <v>0.4</v>
      </c>
      <c r="BV289" s="790">
        <v>0.09</v>
      </c>
      <c r="BW289" s="790">
        <v>0.01</v>
      </c>
      <c r="BX289" s="790">
        <v>1</v>
      </c>
      <c r="BY289" s="762">
        <v>-114886.0700000003</v>
      </c>
      <c r="BZ289" s="762">
        <v>-91909</v>
      </c>
      <c r="CA289" s="762">
        <v>-20680</v>
      </c>
      <c r="CB289" s="762">
        <v>-2298</v>
      </c>
      <c r="CC289" s="762">
        <v>-229773.0700000003</v>
      </c>
      <c r="CD289" s="762">
        <v>-114886</v>
      </c>
      <c r="CE289" s="762">
        <v>-500626</v>
      </c>
      <c r="CF289" s="762">
        <v>-623538</v>
      </c>
      <c r="CG289" s="762">
        <v>-12516</v>
      </c>
      <c r="CH289" s="762">
        <v>-1251566.0700000003</v>
      </c>
      <c r="CI289" s="762">
        <v>25436628</v>
      </c>
      <c r="CJ289" s="762">
        <v>20204853</v>
      </c>
      <c r="CK289" s="762">
        <v>3975735</v>
      </c>
      <c r="CL289" s="762">
        <v>498514</v>
      </c>
      <c r="CM289" s="762">
        <v>50115730</v>
      </c>
      <c r="CN289" s="762">
        <v>669184</v>
      </c>
      <c r="CO289" s="762">
        <v>149874</v>
      </c>
      <c r="CP289" s="762">
        <v>16653</v>
      </c>
      <c r="CQ289" s="762">
        <v>835711</v>
      </c>
      <c r="CR289" s="762">
        <v>1176647</v>
      </c>
      <c r="CS289" s="762">
        <v>264745</v>
      </c>
      <c r="CT289" s="762">
        <v>29416</v>
      </c>
      <c r="CU289" s="762">
        <v>1470808</v>
      </c>
      <c r="CV289" s="762">
        <v>115462</v>
      </c>
      <c r="CW289" s="762">
        <v>25979</v>
      </c>
      <c r="CX289" s="762">
        <v>2887</v>
      </c>
      <c r="CY289" s="762">
        <v>144328</v>
      </c>
      <c r="CZ289" s="762">
        <v>1262</v>
      </c>
      <c r="DA289" s="762">
        <v>284</v>
      </c>
      <c r="DB289" s="762">
        <v>32</v>
      </c>
      <c r="DC289" s="762">
        <v>1578</v>
      </c>
      <c r="DD289" s="762">
        <v>0</v>
      </c>
      <c r="DE289" s="762">
        <v>0</v>
      </c>
      <c r="DF289" s="762">
        <v>0</v>
      </c>
      <c r="DG289" s="762">
        <v>0</v>
      </c>
      <c r="DH289" s="762">
        <v>620</v>
      </c>
      <c r="DI289" s="762">
        <v>139</v>
      </c>
      <c r="DJ289" s="762">
        <v>15</v>
      </c>
      <c r="DK289" s="762">
        <v>774</v>
      </c>
      <c r="DL289" s="762">
        <v>21405</v>
      </c>
      <c r="DM289" s="762">
        <v>4816</v>
      </c>
      <c r="DN289" s="762">
        <v>535</v>
      </c>
      <c r="DO289" s="762">
        <v>26756</v>
      </c>
      <c r="DP289" s="762">
        <v>21477</v>
      </c>
      <c r="DQ289" s="762">
        <v>4833</v>
      </c>
      <c r="DR289" s="762">
        <v>537</v>
      </c>
      <c r="DS289" s="762">
        <v>26847</v>
      </c>
      <c r="DT289" s="762">
        <v>0</v>
      </c>
      <c r="DU289" s="762">
        <v>0</v>
      </c>
      <c r="DV289" s="762">
        <v>0</v>
      </c>
      <c r="DW289" s="762">
        <v>0</v>
      </c>
      <c r="DX289" s="762">
        <v>0</v>
      </c>
      <c r="DY289" s="762">
        <v>0</v>
      </c>
      <c r="DZ289" s="762">
        <v>0</v>
      </c>
      <c r="EA289" s="762">
        <v>0</v>
      </c>
      <c r="EB289" s="762">
        <v>795347</v>
      </c>
      <c r="EC289" s="762">
        <v>178953</v>
      </c>
      <c r="ED289" s="762">
        <v>19884</v>
      </c>
      <c r="EE289" s="762">
        <v>994184</v>
      </c>
      <c r="EF289" s="762">
        <v>2801404</v>
      </c>
      <c r="EG289" s="762">
        <v>629623</v>
      </c>
      <c r="EH289" s="762">
        <v>69959</v>
      </c>
      <c r="EI289" s="799">
        <v>3500986</v>
      </c>
      <c r="EJ289" s="763" t="s">
        <v>454</v>
      </c>
      <c r="EK289" s="607" t="s">
        <v>591</v>
      </c>
      <c r="EL289" s="805" t="s">
        <v>590</v>
      </c>
      <c r="EM289" t="s">
        <v>1855</v>
      </c>
    </row>
    <row r="290" spans="1:143" ht="12.75" x14ac:dyDescent="0.2">
      <c r="A290" s="764">
        <v>283</v>
      </c>
      <c r="B290" s="765" t="s">
        <v>457</v>
      </c>
      <c r="C290" s="766" t="s">
        <v>1217</v>
      </c>
      <c r="D290" s="767" t="s">
        <v>1221</v>
      </c>
      <c r="E290" s="768" t="s">
        <v>456</v>
      </c>
      <c r="F290" s="761">
        <v>43608384</v>
      </c>
      <c r="G290" s="762">
        <v>184120</v>
      </c>
      <c r="H290" s="762">
        <v>0</v>
      </c>
      <c r="I290" s="762">
        <v>139888</v>
      </c>
      <c r="J290" s="762">
        <v>0</v>
      </c>
      <c r="K290" s="762">
        <v>139888</v>
      </c>
      <c r="L290" s="762">
        <v>0</v>
      </c>
      <c r="M290" s="762">
        <v>0</v>
      </c>
      <c r="N290" s="762">
        <v>125100</v>
      </c>
      <c r="O290" s="762">
        <v>125100</v>
      </c>
      <c r="P290" s="762">
        <v>0</v>
      </c>
      <c r="Q290" s="762">
        <v>0</v>
      </c>
      <c r="R290" s="762">
        <v>43527516</v>
      </c>
      <c r="S290" s="790">
        <v>0.5</v>
      </c>
      <c r="T290" s="790">
        <v>0.4</v>
      </c>
      <c r="U290" s="790">
        <v>0.09</v>
      </c>
      <c r="V290" s="790">
        <v>0.01</v>
      </c>
      <c r="W290" s="790">
        <v>1</v>
      </c>
      <c r="X290" s="762">
        <v>21763759</v>
      </c>
      <c r="Y290" s="762">
        <v>17411006</v>
      </c>
      <c r="Z290" s="762">
        <v>3917476</v>
      </c>
      <c r="AA290" s="762">
        <v>435275</v>
      </c>
      <c r="AB290" s="762">
        <v>43527516</v>
      </c>
      <c r="AC290" s="762">
        <v>0</v>
      </c>
      <c r="AD290" s="762">
        <v>0</v>
      </c>
      <c r="AE290" s="762">
        <v>0</v>
      </c>
      <c r="AF290" s="762">
        <v>0</v>
      </c>
      <c r="AG290" s="762">
        <v>0</v>
      </c>
      <c r="AH290" s="762">
        <v>21763759</v>
      </c>
      <c r="AI290" s="762">
        <v>17411006</v>
      </c>
      <c r="AJ290" s="762">
        <v>3917476</v>
      </c>
      <c r="AK290" s="762">
        <v>435275</v>
      </c>
      <c r="AL290" s="762">
        <v>43527516</v>
      </c>
      <c r="AM290" s="762">
        <v>139888</v>
      </c>
      <c r="AN290" s="762">
        <v>139888</v>
      </c>
      <c r="AO290" s="762">
        <v>0</v>
      </c>
      <c r="AP290" s="762">
        <v>0</v>
      </c>
      <c r="AQ290" s="762">
        <v>125100</v>
      </c>
      <c r="AR290" s="762">
        <v>0</v>
      </c>
      <c r="AS290" s="762">
        <v>125100</v>
      </c>
      <c r="AT290" s="762">
        <v>0</v>
      </c>
      <c r="AU290" s="762">
        <v>0</v>
      </c>
      <c r="AV290" s="762">
        <v>0</v>
      </c>
      <c r="AW290" s="762">
        <v>0</v>
      </c>
      <c r="AX290" s="762">
        <v>0</v>
      </c>
      <c r="AY290" s="762">
        <v>0</v>
      </c>
      <c r="AZ290" s="762">
        <v>0</v>
      </c>
      <c r="BA290" s="762">
        <v>0</v>
      </c>
      <c r="BB290" s="762">
        <v>0</v>
      </c>
      <c r="BC290" s="762">
        <v>0</v>
      </c>
      <c r="BD290" s="762">
        <v>0</v>
      </c>
      <c r="BE290" s="762">
        <v>0</v>
      </c>
      <c r="BF290" s="762">
        <v>0</v>
      </c>
      <c r="BG290" s="762">
        <v>0</v>
      </c>
      <c r="BH290" s="762">
        <v>0</v>
      </c>
      <c r="BI290" s="762">
        <v>0</v>
      </c>
      <c r="BJ290" s="790">
        <v>0.5</v>
      </c>
      <c r="BK290" s="790">
        <v>0.4</v>
      </c>
      <c r="BL290" s="790">
        <v>0.09</v>
      </c>
      <c r="BM290" s="790">
        <v>0.01</v>
      </c>
      <c r="BN290" s="790">
        <v>1</v>
      </c>
      <c r="BO290" s="762">
        <v>1337841</v>
      </c>
      <c r="BP290" s="762">
        <v>1070273</v>
      </c>
      <c r="BQ290" s="762">
        <v>240811</v>
      </c>
      <c r="BR290" s="762">
        <v>26757</v>
      </c>
      <c r="BS290" s="762">
        <v>2675682</v>
      </c>
      <c r="BT290" s="790">
        <v>0.5</v>
      </c>
      <c r="BU290" s="790">
        <v>0.4</v>
      </c>
      <c r="BV290" s="790">
        <v>0.09</v>
      </c>
      <c r="BW290" s="790">
        <v>0.01</v>
      </c>
      <c r="BX290" s="790">
        <v>1</v>
      </c>
      <c r="BY290" s="762">
        <v>-23252</v>
      </c>
      <c r="BZ290" s="762">
        <v>-18601</v>
      </c>
      <c r="CA290" s="762">
        <v>-4185</v>
      </c>
      <c r="CB290" s="762">
        <v>-465</v>
      </c>
      <c r="CC290" s="762">
        <v>-46503</v>
      </c>
      <c r="CD290" s="762">
        <v>1314589</v>
      </c>
      <c r="CE290" s="762">
        <v>1051672</v>
      </c>
      <c r="CF290" s="762">
        <v>236626</v>
      </c>
      <c r="CG290" s="762">
        <v>26292</v>
      </c>
      <c r="CH290" s="762">
        <v>2629179</v>
      </c>
      <c r="CI290" s="762">
        <v>23078348</v>
      </c>
      <c r="CJ290" s="762">
        <v>18727666</v>
      </c>
      <c r="CK290" s="762">
        <v>4154102</v>
      </c>
      <c r="CL290" s="762">
        <v>461567</v>
      </c>
      <c r="CM290" s="762">
        <v>46421683</v>
      </c>
      <c r="CN290" s="762">
        <v>571441</v>
      </c>
      <c r="CO290" s="762">
        <v>127657</v>
      </c>
      <c r="CP290" s="762">
        <v>14184</v>
      </c>
      <c r="CQ290" s="762">
        <v>713282</v>
      </c>
      <c r="CR290" s="762">
        <v>1016973</v>
      </c>
      <c r="CS290" s="762">
        <v>228819</v>
      </c>
      <c r="CT290" s="762">
        <v>25424</v>
      </c>
      <c r="CU290" s="762">
        <v>1271216</v>
      </c>
      <c r="CV290" s="762">
        <v>75302</v>
      </c>
      <c r="CW290" s="762">
        <v>16943</v>
      </c>
      <c r="CX290" s="762">
        <v>1883</v>
      </c>
      <c r="CY290" s="762">
        <v>94128</v>
      </c>
      <c r="CZ290" s="762">
        <v>9529</v>
      </c>
      <c r="DA290" s="762">
        <v>2144</v>
      </c>
      <c r="DB290" s="762">
        <v>238</v>
      </c>
      <c r="DC290" s="762">
        <v>11911</v>
      </c>
      <c r="DD290" s="762">
        <v>13452</v>
      </c>
      <c r="DE290" s="762">
        <v>3027</v>
      </c>
      <c r="DF290" s="762">
        <v>336</v>
      </c>
      <c r="DG290" s="762">
        <v>16815</v>
      </c>
      <c r="DH290" s="762">
        <v>620</v>
      </c>
      <c r="DI290" s="762">
        <v>139</v>
      </c>
      <c r="DJ290" s="762">
        <v>15</v>
      </c>
      <c r="DK290" s="762">
        <v>774</v>
      </c>
      <c r="DL290" s="762">
        <v>57396</v>
      </c>
      <c r="DM290" s="762">
        <v>12914</v>
      </c>
      <c r="DN290" s="762">
        <v>1435</v>
      </c>
      <c r="DO290" s="762">
        <v>71745</v>
      </c>
      <c r="DP290" s="762">
        <v>15655</v>
      </c>
      <c r="DQ290" s="762">
        <v>3522</v>
      </c>
      <c r="DR290" s="762">
        <v>391</v>
      </c>
      <c r="DS290" s="762">
        <v>19568</v>
      </c>
      <c r="DT290" s="762">
        <v>0</v>
      </c>
      <c r="DU290" s="762">
        <v>0</v>
      </c>
      <c r="DV290" s="762">
        <v>0</v>
      </c>
      <c r="DW290" s="762">
        <v>0</v>
      </c>
      <c r="DX290" s="762">
        <v>0</v>
      </c>
      <c r="DY290" s="762">
        <v>0</v>
      </c>
      <c r="DZ290" s="762">
        <v>0</v>
      </c>
      <c r="EA290" s="762">
        <v>0</v>
      </c>
      <c r="EB290" s="762">
        <v>263053</v>
      </c>
      <c r="EC290" s="762">
        <v>59187</v>
      </c>
      <c r="ED290" s="762">
        <v>6576</v>
      </c>
      <c r="EE290" s="762">
        <v>328816</v>
      </c>
      <c r="EF290" s="762">
        <v>2023421</v>
      </c>
      <c r="EG290" s="762">
        <v>454352</v>
      </c>
      <c r="EH290" s="762">
        <v>50482</v>
      </c>
      <c r="EI290" s="799">
        <v>2528255</v>
      </c>
      <c r="EJ290" s="763" t="s">
        <v>456</v>
      </c>
      <c r="EK290" s="607" t="s">
        <v>575</v>
      </c>
      <c r="EL290" s="805" t="s">
        <v>573</v>
      </c>
      <c r="EM290" t="s">
        <v>1856</v>
      </c>
    </row>
    <row r="291" spans="1:143" ht="12.75" x14ac:dyDescent="0.2">
      <c r="A291" s="764">
        <v>284</v>
      </c>
      <c r="B291" s="765" t="s">
        <v>459</v>
      </c>
      <c r="C291" s="766" t="s">
        <v>1217</v>
      </c>
      <c r="D291" s="767" t="s">
        <v>1218</v>
      </c>
      <c r="E291" s="768" t="s">
        <v>458</v>
      </c>
      <c r="F291" s="761">
        <v>58299487</v>
      </c>
      <c r="G291" s="762">
        <v>0</v>
      </c>
      <c r="H291" s="762">
        <v>3265981</v>
      </c>
      <c r="I291" s="762">
        <v>173339</v>
      </c>
      <c r="J291" s="762">
        <v>0</v>
      </c>
      <c r="K291" s="762">
        <v>173339</v>
      </c>
      <c r="L291" s="762">
        <v>0</v>
      </c>
      <c r="M291" s="762">
        <v>1565935</v>
      </c>
      <c r="N291" s="762">
        <v>233909</v>
      </c>
      <c r="O291" s="762">
        <v>233909</v>
      </c>
      <c r="P291" s="762">
        <v>0</v>
      </c>
      <c r="Q291" s="762">
        <v>0</v>
      </c>
      <c r="R291" s="762">
        <v>53060323</v>
      </c>
      <c r="S291" s="790">
        <v>0.5</v>
      </c>
      <c r="T291" s="790">
        <v>0.4</v>
      </c>
      <c r="U291" s="790">
        <v>0.1</v>
      </c>
      <c r="V291" s="790">
        <v>0</v>
      </c>
      <c r="W291" s="790">
        <v>1</v>
      </c>
      <c r="X291" s="762">
        <v>26530162</v>
      </c>
      <c r="Y291" s="762">
        <v>21224129</v>
      </c>
      <c r="Z291" s="762">
        <v>5306032</v>
      </c>
      <c r="AA291" s="762">
        <v>0</v>
      </c>
      <c r="AB291" s="762">
        <v>53060323</v>
      </c>
      <c r="AC291" s="762">
        <v>610735</v>
      </c>
      <c r="AD291" s="762">
        <v>0</v>
      </c>
      <c r="AE291" s="762">
        <v>0</v>
      </c>
      <c r="AF291" s="762">
        <v>0</v>
      </c>
      <c r="AG291" s="762">
        <v>610735</v>
      </c>
      <c r="AH291" s="762">
        <v>25919427</v>
      </c>
      <c r="AI291" s="762">
        <v>21224129</v>
      </c>
      <c r="AJ291" s="762">
        <v>5306032</v>
      </c>
      <c r="AK291" s="762">
        <v>0</v>
      </c>
      <c r="AL291" s="762">
        <v>52449588</v>
      </c>
      <c r="AM291" s="762">
        <v>173339</v>
      </c>
      <c r="AN291" s="762">
        <v>173339</v>
      </c>
      <c r="AO291" s="762">
        <v>1565935</v>
      </c>
      <c r="AP291" s="762">
        <v>1565935</v>
      </c>
      <c r="AQ291" s="762">
        <v>233909</v>
      </c>
      <c r="AR291" s="762">
        <v>0</v>
      </c>
      <c r="AS291" s="762">
        <v>233909</v>
      </c>
      <c r="AT291" s="762">
        <v>0</v>
      </c>
      <c r="AU291" s="762">
        <v>0</v>
      </c>
      <c r="AV291" s="762">
        <v>0</v>
      </c>
      <c r="AW291" s="762">
        <v>0</v>
      </c>
      <c r="AX291" s="762">
        <v>610735</v>
      </c>
      <c r="AY291" s="762">
        <v>0</v>
      </c>
      <c r="AZ291" s="762">
        <v>0</v>
      </c>
      <c r="BA291" s="762">
        <v>610735</v>
      </c>
      <c r="BB291" s="762">
        <v>0</v>
      </c>
      <c r="BC291" s="762">
        <v>0</v>
      </c>
      <c r="BD291" s="762">
        <v>0</v>
      </c>
      <c r="BE291" s="762">
        <v>0</v>
      </c>
      <c r="BF291" s="762">
        <v>0</v>
      </c>
      <c r="BG291" s="762">
        <v>0</v>
      </c>
      <c r="BH291" s="762">
        <v>0</v>
      </c>
      <c r="BI291" s="762">
        <v>0</v>
      </c>
      <c r="BJ291" s="790">
        <v>0.5</v>
      </c>
      <c r="BK291" s="790">
        <v>0.4</v>
      </c>
      <c r="BL291" s="790">
        <v>0.1</v>
      </c>
      <c r="BM291" s="790">
        <v>0</v>
      </c>
      <c r="BN291" s="790">
        <v>1</v>
      </c>
      <c r="BO291" s="762">
        <v>-199061</v>
      </c>
      <c r="BP291" s="762">
        <v>-159248</v>
      </c>
      <c r="BQ291" s="762">
        <v>-39812</v>
      </c>
      <c r="BR291" s="762">
        <v>0</v>
      </c>
      <c r="BS291" s="762">
        <v>-398121</v>
      </c>
      <c r="BT291" s="790">
        <v>0.5</v>
      </c>
      <c r="BU291" s="790">
        <v>0.4</v>
      </c>
      <c r="BV291" s="790">
        <v>0.1</v>
      </c>
      <c r="BW291" s="790">
        <v>0</v>
      </c>
      <c r="BX291" s="790">
        <v>1</v>
      </c>
      <c r="BY291" s="762">
        <v>-545646</v>
      </c>
      <c r="BZ291" s="762">
        <v>-436517</v>
      </c>
      <c r="CA291" s="762">
        <v>-109129</v>
      </c>
      <c r="CB291" s="762">
        <v>0</v>
      </c>
      <c r="CC291" s="762">
        <v>-1091292</v>
      </c>
      <c r="CD291" s="762">
        <v>-744707</v>
      </c>
      <c r="CE291" s="762">
        <v>-595765</v>
      </c>
      <c r="CF291" s="762">
        <v>-148941</v>
      </c>
      <c r="CG291" s="762">
        <v>0</v>
      </c>
      <c r="CH291" s="762">
        <v>-1489413</v>
      </c>
      <c r="CI291" s="762">
        <v>25174720</v>
      </c>
      <c r="CJ291" s="762">
        <v>23212282</v>
      </c>
      <c r="CK291" s="762">
        <v>5157091</v>
      </c>
      <c r="CL291" s="762">
        <v>0</v>
      </c>
      <c r="CM291" s="762">
        <v>53544093</v>
      </c>
      <c r="CN291" s="762">
        <v>770174</v>
      </c>
      <c r="CO291" s="762">
        <v>172905</v>
      </c>
      <c r="CP291" s="762">
        <v>0</v>
      </c>
      <c r="CQ291" s="762">
        <v>943079</v>
      </c>
      <c r="CR291" s="762">
        <v>797436</v>
      </c>
      <c r="CS291" s="762">
        <v>193625</v>
      </c>
      <c r="CT291" s="762">
        <v>0</v>
      </c>
      <c r="CU291" s="762">
        <v>991061</v>
      </c>
      <c r="CV291" s="762">
        <v>100195</v>
      </c>
      <c r="CW291" s="762">
        <v>22904</v>
      </c>
      <c r="CX291" s="762">
        <v>0</v>
      </c>
      <c r="CY291" s="762">
        <v>123099</v>
      </c>
      <c r="CZ291" s="762">
        <v>0</v>
      </c>
      <c r="DA291" s="762">
        <v>0</v>
      </c>
      <c r="DB291" s="762">
        <v>0</v>
      </c>
      <c r="DC291" s="762">
        <v>0</v>
      </c>
      <c r="DD291" s="762">
        <v>10336</v>
      </c>
      <c r="DE291" s="762">
        <v>2584</v>
      </c>
      <c r="DF291" s="762">
        <v>0</v>
      </c>
      <c r="DG291" s="762">
        <v>12920</v>
      </c>
      <c r="DH291" s="762">
        <v>0</v>
      </c>
      <c r="DI291" s="762">
        <v>0</v>
      </c>
      <c r="DJ291" s="762">
        <v>0</v>
      </c>
      <c r="DK291" s="762">
        <v>0</v>
      </c>
      <c r="DL291" s="762">
        <v>13085</v>
      </c>
      <c r="DM291" s="762">
        <v>3271</v>
      </c>
      <c r="DN291" s="762">
        <v>0</v>
      </c>
      <c r="DO291" s="762">
        <v>16356</v>
      </c>
      <c r="DP291" s="762">
        <v>27698</v>
      </c>
      <c r="DQ291" s="762">
        <v>6925</v>
      </c>
      <c r="DR291" s="762">
        <v>0</v>
      </c>
      <c r="DS291" s="762">
        <v>34623</v>
      </c>
      <c r="DT291" s="762">
        <v>0</v>
      </c>
      <c r="DU291" s="762">
        <v>0</v>
      </c>
      <c r="DV291" s="762">
        <v>0</v>
      </c>
      <c r="DW291" s="762">
        <v>0</v>
      </c>
      <c r="DX291" s="762">
        <v>0</v>
      </c>
      <c r="DY291" s="762">
        <v>0</v>
      </c>
      <c r="DZ291" s="762">
        <v>0</v>
      </c>
      <c r="EA291" s="762">
        <v>0</v>
      </c>
      <c r="EB291" s="762">
        <v>286166</v>
      </c>
      <c r="EC291" s="762">
        <v>71542</v>
      </c>
      <c r="ED291" s="762">
        <v>0</v>
      </c>
      <c r="EE291" s="762">
        <v>357708</v>
      </c>
      <c r="EF291" s="762">
        <v>2005090</v>
      </c>
      <c r="EG291" s="762">
        <v>473756</v>
      </c>
      <c r="EH291" s="762">
        <v>0</v>
      </c>
      <c r="EI291" s="799">
        <v>2478846</v>
      </c>
      <c r="EJ291" s="763" t="s">
        <v>458</v>
      </c>
      <c r="EK291" s="607" t="s">
        <v>609</v>
      </c>
      <c r="EL291" s="805" t="s">
        <v>556</v>
      </c>
      <c r="EM291" t="s">
        <v>1857</v>
      </c>
    </row>
    <row r="292" spans="1:143" ht="12.75" x14ac:dyDescent="0.2">
      <c r="A292" s="764">
        <v>285</v>
      </c>
      <c r="B292" s="765" t="s">
        <v>461</v>
      </c>
      <c r="C292" s="766" t="s">
        <v>1224</v>
      </c>
      <c r="D292" s="767" t="s">
        <v>1225</v>
      </c>
      <c r="E292" s="768" t="s">
        <v>460</v>
      </c>
      <c r="F292" s="761">
        <v>130425253</v>
      </c>
      <c r="G292" s="762">
        <v>0</v>
      </c>
      <c r="H292" s="762">
        <v>664413</v>
      </c>
      <c r="I292" s="762">
        <v>447280</v>
      </c>
      <c r="J292" s="762">
        <v>0</v>
      </c>
      <c r="K292" s="762">
        <v>447280</v>
      </c>
      <c r="L292" s="762">
        <v>0</v>
      </c>
      <c r="M292" s="762">
        <v>20600</v>
      </c>
      <c r="N292" s="762">
        <v>518820</v>
      </c>
      <c r="O292" s="762">
        <v>518820</v>
      </c>
      <c r="P292" s="762">
        <v>0</v>
      </c>
      <c r="Q292" s="762">
        <v>0</v>
      </c>
      <c r="R292" s="762">
        <v>128774140</v>
      </c>
      <c r="S292" s="790">
        <v>0.25</v>
      </c>
      <c r="T292" s="790">
        <v>0.74</v>
      </c>
      <c r="U292" s="790">
        <v>0</v>
      </c>
      <c r="V292" s="790">
        <v>0.01</v>
      </c>
      <c r="W292" s="790">
        <v>1</v>
      </c>
      <c r="X292" s="762">
        <v>32193535</v>
      </c>
      <c r="Y292" s="762">
        <v>95292864</v>
      </c>
      <c r="Z292" s="762">
        <v>0</v>
      </c>
      <c r="AA292" s="762">
        <v>1287741</v>
      </c>
      <c r="AB292" s="762">
        <v>128774140</v>
      </c>
      <c r="AC292" s="762">
        <v>71326</v>
      </c>
      <c r="AD292" s="762">
        <v>0</v>
      </c>
      <c r="AE292" s="762">
        <v>0</v>
      </c>
      <c r="AF292" s="762">
        <v>0</v>
      </c>
      <c r="AG292" s="762">
        <v>71326</v>
      </c>
      <c r="AH292" s="762">
        <v>32122209</v>
      </c>
      <c r="AI292" s="762">
        <v>95292864</v>
      </c>
      <c r="AJ292" s="762">
        <v>0</v>
      </c>
      <c r="AK292" s="762">
        <v>1287741</v>
      </c>
      <c r="AL292" s="762">
        <v>128702814</v>
      </c>
      <c r="AM292" s="762">
        <v>447280</v>
      </c>
      <c r="AN292" s="762">
        <v>447280</v>
      </c>
      <c r="AO292" s="762">
        <v>20600</v>
      </c>
      <c r="AP292" s="762">
        <v>20600</v>
      </c>
      <c r="AQ292" s="762">
        <v>518820</v>
      </c>
      <c r="AR292" s="762">
        <v>0</v>
      </c>
      <c r="AS292" s="762">
        <v>518820</v>
      </c>
      <c r="AT292" s="762">
        <v>0</v>
      </c>
      <c r="AU292" s="762">
        <v>0</v>
      </c>
      <c r="AV292" s="762">
        <v>0</v>
      </c>
      <c r="AW292" s="762">
        <v>0</v>
      </c>
      <c r="AX292" s="762">
        <v>71326</v>
      </c>
      <c r="AY292" s="762">
        <v>0</v>
      </c>
      <c r="AZ292" s="762">
        <v>0</v>
      </c>
      <c r="BA292" s="762">
        <v>71326</v>
      </c>
      <c r="BB292" s="762">
        <v>0</v>
      </c>
      <c r="BC292" s="762">
        <v>0</v>
      </c>
      <c r="BD292" s="762">
        <v>0</v>
      </c>
      <c r="BE292" s="762">
        <v>0</v>
      </c>
      <c r="BF292" s="762">
        <v>0</v>
      </c>
      <c r="BG292" s="762">
        <v>0</v>
      </c>
      <c r="BH292" s="762">
        <v>0</v>
      </c>
      <c r="BI292" s="762">
        <v>0</v>
      </c>
      <c r="BJ292" s="790">
        <v>0</v>
      </c>
      <c r="BK292" s="790">
        <v>0.99</v>
      </c>
      <c r="BL292" s="790">
        <v>0</v>
      </c>
      <c r="BM292" s="790">
        <v>0.01</v>
      </c>
      <c r="BN292" s="790">
        <v>1</v>
      </c>
      <c r="BO292" s="762">
        <v>0</v>
      </c>
      <c r="BP292" s="762">
        <v>3806831</v>
      </c>
      <c r="BQ292" s="762">
        <v>0</v>
      </c>
      <c r="BR292" s="762">
        <v>38453</v>
      </c>
      <c r="BS292" s="762">
        <v>3845284</v>
      </c>
      <c r="BT292" s="790">
        <v>0.5</v>
      </c>
      <c r="BU292" s="790">
        <v>0.49</v>
      </c>
      <c r="BV292" s="790">
        <v>0</v>
      </c>
      <c r="BW292" s="790">
        <v>0.01</v>
      </c>
      <c r="BX292" s="790">
        <v>1</v>
      </c>
      <c r="BY292" s="762">
        <v>1938820</v>
      </c>
      <c r="BZ292" s="762">
        <v>1900044</v>
      </c>
      <c r="CA292" s="762">
        <v>0</v>
      </c>
      <c r="CB292" s="762">
        <v>38776</v>
      </c>
      <c r="CC292" s="762">
        <v>3877640</v>
      </c>
      <c r="CD292" s="762">
        <v>1938820</v>
      </c>
      <c r="CE292" s="762">
        <v>5706875</v>
      </c>
      <c r="CF292" s="762">
        <v>0</v>
      </c>
      <c r="CG292" s="762">
        <v>77229</v>
      </c>
      <c r="CH292" s="762">
        <v>7722924</v>
      </c>
      <c r="CI292" s="762">
        <v>34061029</v>
      </c>
      <c r="CJ292" s="762">
        <v>102057765</v>
      </c>
      <c r="CK292" s="762">
        <v>0</v>
      </c>
      <c r="CL292" s="762">
        <v>1364970</v>
      </c>
      <c r="CM292" s="762">
        <v>137483764</v>
      </c>
      <c r="CN292" s="762">
        <v>3125169</v>
      </c>
      <c r="CO292" s="762">
        <v>0</v>
      </c>
      <c r="CP292" s="762">
        <v>41963</v>
      </c>
      <c r="CQ292" s="762">
        <v>3167132</v>
      </c>
      <c r="CR292" s="762">
        <v>6622081</v>
      </c>
      <c r="CS292" s="762">
        <v>0</v>
      </c>
      <c r="CT292" s="762">
        <v>89488</v>
      </c>
      <c r="CU292" s="762">
        <v>6711569</v>
      </c>
      <c r="CV292" s="762">
        <v>466709</v>
      </c>
      <c r="CW292" s="762">
        <v>0</v>
      </c>
      <c r="CX292" s="762">
        <v>6301</v>
      </c>
      <c r="CY292" s="762">
        <v>473010</v>
      </c>
      <c r="CZ292" s="762">
        <v>7641</v>
      </c>
      <c r="DA292" s="762">
        <v>0</v>
      </c>
      <c r="DB292" s="762">
        <v>103</v>
      </c>
      <c r="DC292" s="762">
        <v>7744</v>
      </c>
      <c r="DD292" s="762">
        <v>0</v>
      </c>
      <c r="DE292" s="762">
        <v>0</v>
      </c>
      <c r="DF292" s="762">
        <v>0</v>
      </c>
      <c r="DG292" s="762">
        <v>0</v>
      </c>
      <c r="DH292" s="762">
        <v>1147</v>
      </c>
      <c r="DI292" s="762">
        <v>0</v>
      </c>
      <c r="DJ292" s="762">
        <v>15</v>
      </c>
      <c r="DK292" s="762">
        <v>1162</v>
      </c>
      <c r="DL292" s="762">
        <v>57266</v>
      </c>
      <c r="DM292" s="762">
        <v>0</v>
      </c>
      <c r="DN292" s="762">
        <v>774</v>
      </c>
      <c r="DO292" s="762">
        <v>58040</v>
      </c>
      <c r="DP292" s="762">
        <v>127479</v>
      </c>
      <c r="DQ292" s="762">
        <v>0</v>
      </c>
      <c r="DR292" s="762">
        <v>1723</v>
      </c>
      <c r="DS292" s="762">
        <v>129202</v>
      </c>
      <c r="DT292" s="762">
        <v>0</v>
      </c>
      <c r="DU292" s="762">
        <v>0</v>
      </c>
      <c r="DV292" s="762">
        <v>0</v>
      </c>
      <c r="DW292" s="762">
        <v>0</v>
      </c>
      <c r="DX292" s="762">
        <v>0</v>
      </c>
      <c r="DY292" s="762">
        <v>0</v>
      </c>
      <c r="DZ292" s="762">
        <v>0</v>
      </c>
      <c r="EA292" s="762">
        <v>0</v>
      </c>
      <c r="EB292" s="762">
        <v>1589568</v>
      </c>
      <c r="EC292" s="762">
        <v>0</v>
      </c>
      <c r="ED292" s="762">
        <v>21481</v>
      </c>
      <c r="EE292" s="762">
        <v>1611049</v>
      </c>
      <c r="EF292" s="762">
        <v>11997060</v>
      </c>
      <c r="EG292" s="762">
        <v>0</v>
      </c>
      <c r="EH292" s="762">
        <v>161848</v>
      </c>
      <c r="EI292" s="799">
        <v>12158908</v>
      </c>
      <c r="EJ292" s="763" t="s">
        <v>460</v>
      </c>
      <c r="EK292" s="607" t="s">
        <v>621</v>
      </c>
      <c r="EL292" s="805" t="s">
        <v>627</v>
      </c>
      <c r="EM292" t="s">
        <v>1858</v>
      </c>
    </row>
    <row r="293" spans="1:143" ht="12.75" x14ac:dyDescent="0.2">
      <c r="A293" s="764">
        <v>286</v>
      </c>
      <c r="B293" s="765" t="s">
        <v>463</v>
      </c>
      <c r="C293" s="766" t="s">
        <v>1224</v>
      </c>
      <c r="D293" s="767" t="s">
        <v>1227</v>
      </c>
      <c r="E293" s="768" t="s">
        <v>462</v>
      </c>
      <c r="F293" s="761">
        <v>72917568</v>
      </c>
      <c r="G293" s="762">
        <v>750904</v>
      </c>
      <c r="H293" s="762">
        <v>0</v>
      </c>
      <c r="I293" s="762">
        <v>330373</v>
      </c>
      <c r="J293" s="762">
        <v>0</v>
      </c>
      <c r="K293" s="762">
        <v>330373</v>
      </c>
      <c r="L293" s="762">
        <v>0</v>
      </c>
      <c r="M293" s="762">
        <v>60869</v>
      </c>
      <c r="N293" s="762">
        <v>0</v>
      </c>
      <c r="O293" s="762">
        <v>0</v>
      </c>
      <c r="P293" s="762">
        <v>0</v>
      </c>
      <c r="Q293" s="762">
        <v>0</v>
      </c>
      <c r="R293" s="762">
        <v>73277230</v>
      </c>
      <c r="S293" s="790">
        <v>0</v>
      </c>
      <c r="T293" s="790">
        <v>0.99</v>
      </c>
      <c r="U293" s="790">
        <v>0</v>
      </c>
      <c r="V293" s="790">
        <v>0.01</v>
      </c>
      <c r="W293" s="790">
        <v>1</v>
      </c>
      <c r="X293" s="762">
        <v>0</v>
      </c>
      <c r="Y293" s="762">
        <v>72544458</v>
      </c>
      <c r="Z293" s="762">
        <v>0</v>
      </c>
      <c r="AA293" s="762">
        <v>732772</v>
      </c>
      <c r="AB293" s="762">
        <v>73277230</v>
      </c>
      <c r="AC293" s="762">
        <v>0</v>
      </c>
      <c r="AD293" s="762">
        <v>0</v>
      </c>
      <c r="AE293" s="762">
        <v>0</v>
      </c>
      <c r="AF293" s="762">
        <v>0</v>
      </c>
      <c r="AG293" s="762">
        <v>0</v>
      </c>
      <c r="AH293" s="762">
        <v>0</v>
      </c>
      <c r="AI293" s="762">
        <v>72544458</v>
      </c>
      <c r="AJ293" s="762">
        <v>0</v>
      </c>
      <c r="AK293" s="762">
        <v>732772</v>
      </c>
      <c r="AL293" s="762">
        <v>73277230</v>
      </c>
      <c r="AM293" s="762">
        <v>330373</v>
      </c>
      <c r="AN293" s="762">
        <v>330373</v>
      </c>
      <c r="AO293" s="762">
        <v>60869</v>
      </c>
      <c r="AP293" s="762">
        <v>60869</v>
      </c>
      <c r="AQ293" s="762">
        <v>0</v>
      </c>
      <c r="AR293" s="762">
        <v>0</v>
      </c>
      <c r="AS293" s="762">
        <v>0</v>
      </c>
      <c r="AT293" s="762">
        <v>0</v>
      </c>
      <c r="AU293" s="762">
        <v>0</v>
      </c>
      <c r="AV293" s="762">
        <v>0</v>
      </c>
      <c r="AW293" s="762">
        <v>0</v>
      </c>
      <c r="AX293" s="762">
        <v>0</v>
      </c>
      <c r="AY293" s="762">
        <v>0</v>
      </c>
      <c r="AZ293" s="762">
        <v>0</v>
      </c>
      <c r="BA293" s="762">
        <v>0</v>
      </c>
      <c r="BB293" s="762">
        <v>0</v>
      </c>
      <c r="BC293" s="762">
        <v>0</v>
      </c>
      <c r="BD293" s="762">
        <v>0</v>
      </c>
      <c r="BE293" s="762">
        <v>0</v>
      </c>
      <c r="BF293" s="762">
        <v>0</v>
      </c>
      <c r="BG293" s="762">
        <v>0</v>
      </c>
      <c r="BH293" s="762">
        <v>0</v>
      </c>
      <c r="BI293" s="762">
        <v>0</v>
      </c>
      <c r="BJ293" s="790">
        <v>0</v>
      </c>
      <c r="BK293" s="790">
        <v>0.99</v>
      </c>
      <c r="BL293" s="790">
        <v>0</v>
      </c>
      <c r="BM293" s="790">
        <v>0.01</v>
      </c>
      <c r="BN293" s="790">
        <v>1</v>
      </c>
      <c r="BO293" s="762">
        <v>0</v>
      </c>
      <c r="BP293" s="762">
        <v>-449621</v>
      </c>
      <c r="BQ293" s="762">
        <v>0</v>
      </c>
      <c r="BR293" s="762">
        <v>-4542</v>
      </c>
      <c r="BS293" s="762">
        <v>-454163</v>
      </c>
      <c r="BT293" s="790">
        <v>0</v>
      </c>
      <c r="BU293" s="790">
        <v>0.99</v>
      </c>
      <c r="BV293" s="790">
        <v>0</v>
      </c>
      <c r="BW293" s="790">
        <v>0.01</v>
      </c>
      <c r="BX293" s="790">
        <v>1</v>
      </c>
      <c r="BY293" s="762">
        <v>0</v>
      </c>
      <c r="BZ293" s="762">
        <v>-290670</v>
      </c>
      <c r="CA293" s="762">
        <v>0</v>
      </c>
      <c r="CB293" s="762">
        <v>-2936</v>
      </c>
      <c r="CC293" s="762">
        <v>-293606</v>
      </c>
      <c r="CD293" s="762">
        <v>0</v>
      </c>
      <c r="CE293" s="762">
        <v>-740291</v>
      </c>
      <c r="CF293" s="762">
        <v>0</v>
      </c>
      <c r="CG293" s="762">
        <v>-7478</v>
      </c>
      <c r="CH293" s="762">
        <v>-747769</v>
      </c>
      <c r="CI293" s="762">
        <v>0</v>
      </c>
      <c r="CJ293" s="762">
        <v>72195409</v>
      </c>
      <c r="CK293" s="762">
        <v>0</v>
      </c>
      <c r="CL293" s="762">
        <v>725294</v>
      </c>
      <c r="CM293" s="762">
        <v>72920703</v>
      </c>
      <c r="CN293" s="762">
        <v>2365958</v>
      </c>
      <c r="CO293" s="762">
        <v>0</v>
      </c>
      <c r="CP293" s="762">
        <v>23879</v>
      </c>
      <c r="CQ293" s="762">
        <v>2389837</v>
      </c>
      <c r="CR293" s="762">
        <v>6624630</v>
      </c>
      <c r="CS293" s="762">
        <v>0</v>
      </c>
      <c r="CT293" s="762">
        <v>66907</v>
      </c>
      <c r="CU293" s="762">
        <v>6691537</v>
      </c>
      <c r="CV293" s="762">
        <v>341169</v>
      </c>
      <c r="CW293" s="762">
        <v>0</v>
      </c>
      <c r="CX293" s="762">
        <v>3435</v>
      </c>
      <c r="CY293" s="762">
        <v>344604</v>
      </c>
      <c r="CZ293" s="762">
        <v>41315</v>
      </c>
      <c r="DA293" s="762">
        <v>0</v>
      </c>
      <c r="DB293" s="762">
        <v>417</v>
      </c>
      <c r="DC293" s="762">
        <v>41732</v>
      </c>
      <c r="DD293" s="762">
        <v>0</v>
      </c>
      <c r="DE293" s="762">
        <v>0</v>
      </c>
      <c r="DF293" s="762">
        <v>0</v>
      </c>
      <c r="DG293" s="762">
        <v>0</v>
      </c>
      <c r="DH293" s="762">
        <v>0</v>
      </c>
      <c r="DI293" s="762">
        <v>0</v>
      </c>
      <c r="DJ293" s="762">
        <v>0</v>
      </c>
      <c r="DK293" s="762">
        <v>0</v>
      </c>
      <c r="DL293" s="762">
        <v>24862</v>
      </c>
      <c r="DM293" s="762">
        <v>0</v>
      </c>
      <c r="DN293" s="762">
        <v>251</v>
      </c>
      <c r="DO293" s="762">
        <v>25113</v>
      </c>
      <c r="DP293" s="762">
        <v>69514</v>
      </c>
      <c r="DQ293" s="762">
        <v>0</v>
      </c>
      <c r="DR293" s="762">
        <v>702</v>
      </c>
      <c r="DS293" s="762">
        <v>70216</v>
      </c>
      <c r="DT293" s="762">
        <v>18044</v>
      </c>
      <c r="DU293" s="762">
        <v>0</v>
      </c>
      <c r="DV293" s="762">
        <v>0</v>
      </c>
      <c r="DW293" s="762">
        <v>18044</v>
      </c>
      <c r="DX293" s="762">
        <v>0</v>
      </c>
      <c r="DY293" s="762">
        <v>0</v>
      </c>
      <c r="DZ293" s="762">
        <v>0</v>
      </c>
      <c r="EA293" s="762">
        <v>0</v>
      </c>
      <c r="EB293" s="762">
        <v>1533391</v>
      </c>
      <c r="EC293" s="762">
        <v>0</v>
      </c>
      <c r="ED293" s="762">
        <v>15489</v>
      </c>
      <c r="EE293" s="762">
        <v>1548880</v>
      </c>
      <c r="EF293" s="762">
        <v>11018883</v>
      </c>
      <c r="EG293" s="762">
        <v>0</v>
      </c>
      <c r="EH293" s="762">
        <v>111080</v>
      </c>
      <c r="EI293" s="799">
        <v>11129963</v>
      </c>
      <c r="EJ293" s="763" t="s">
        <v>462</v>
      </c>
      <c r="EK293" s="607" t="s">
        <v>621</v>
      </c>
      <c r="EL293" s="805" t="s">
        <v>626</v>
      </c>
      <c r="EM293" t="s">
        <v>1859</v>
      </c>
    </row>
    <row r="294" spans="1:143" ht="12.75" x14ac:dyDescent="0.2">
      <c r="A294" s="764">
        <v>287</v>
      </c>
      <c r="B294" s="765" t="s">
        <v>465</v>
      </c>
      <c r="C294" s="766" t="s">
        <v>1222</v>
      </c>
      <c r="D294" s="767" t="s">
        <v>1223</v>
      </c>
      <c r="E294" s="768" t="s">
        <v>464</v>
      </c>
      <c r="F294" s="761">
        <v>61592214</v>
      </c>
      <c r="G294" s="762">
        <v>3286926</v>
      </c>
      <c r="H294" s="762">
        <v>0</v>
      </c>
      <c r="I294" s="762">
        <v>285401</v>
      </c>
      <c r="J294" s="762">
        <v>0</v>
      </c>
      <c r="K294" s="762">
        <v>285401</v>
      </c>
      <c r="L294" s="762">
        <v>0</v>
      </c>
      <c r="M294" s="762">
        <v>0</v>
      </c>
      <c r="N294" s="762">
        <v>0</v>
      </c>
      <c r="O294" s="762">
        <v>0</v>
      </c>
      <c r="P294" s="762">
        <v>0</v>
      </c>
      <c r="Q294" s="762">
        <v>0</v>
      </c>
      <c r="R294" s="762">
        <v>64593739</v>
      </c>
      <c r="S294" s="790">
        <v>0.25</v>
      </c>
      <c r="T294" s="790">
        <v>0.48</v>
      </c>
      <c r="U294" s="790">
        <v>0.27</v>
      </c>
      <c r="V294" s="790">
        <v>0</v>
      </c>
      <c r="W294" s="790">
        <v>1</v>
      </c>
      <c r="X294" s="762">
        <v>16148434</v>
      </c>
      <c r="Y294" s="762">
        <v>31004995</v>
      </c>
      <c r="Z294" s="762">
        <v>17440310</v>
      </c>
      <c r="AA294" s="762">
        <v>0</v>
      </c>
      <c r="AB294" s="762">
        <v>64593739</v>
      </c>
      <c r="AC294" s="762">
        <v>0</v>
      </c>
      <c r="AD294" s="762">
        <v>0</v>
      </c>
      <c r="AE294" s="762">
        <v>0</v>
      </c>
      <c r="AF294" s="762">
        <v>0</v>
      </c>
      <c r="AG294" s="762">
        <v>0</v>
      </c>
      <c r="AH294" s="762">
        <v>16148434</v>
      </c>
      <c r="AI294" s="762">
        <v>31004995</v>
      </c>
      <c r="AJ294" s="762">
        <v>17440310</v>
      </c>
      <c r="AK294" s="762">
        <v>0</v>
      </c>
      <c r="AL294" s="762">
        <v>64593739</v>
      </c>
      <c r="AM294" s="762">
        <v>285401</v>
      </c>
      <c r="AN294" s="762">
        <v>285401</v>
      </c>
      <c r="AO294" s="762">
        <v>0</v>
      </c>
      <c r="AP294" s="762">
        <v>0</v>
      </c>
      <c r="AQ294" s="762">
        <v>0</v>
      </c>
      <c r="AR294" s="762">
        <v>0</v>
      </c>
      <c r="AS294" s="762">
        <v>0</v>
      </c>
      <c r="AT294" s="762">
        <v>0</v>
      </c>
      <c r="AU294" s="762">
        <v>0</v>
      </c>
      <c r="AV294" s="762">
        <v>0</v>
      </c>
      <c r="AW294" s="762">
        <v>0</v>
      </c>
      <c r="AX294" s="762">
        <v>0</v>
      </c>
      <c r="AY294" s="762">
        <v>0</v>
      </c>
      <c r="AZ294" s="762">
        <v>0</v>
      </c>
      <c r="BA294" s="762">
        <v>0</v>
      </c>
      <c r="BB294" s="762">
        <v>0</v>
      </c>
      <c r="BC294" s="762">
        <v>0</v>
      </c>
      <c r="BD294" s="762">
        <v>0</v>
      </c>
      <c r="BE294" s="762">
        <v>0</v>
      </c>
      <c r="BF294" s="762">
        <v>0</v>
      </c>
      <c r="BG294" s="762">
        <v>0</v>
      </c>
      <c r="BH294" s="762">
        <v>0</v>
      </c>
      <c r="BI294" s="762">
        <v>0</v>
      </c>
      <c r="BJ294" s="790">
        <v>0</v>
      </c>
      <c r="BK294" s="790">
        <v>0.64</v>
      </c>
      <c r="BL294" s="790">
        <v>0.36</v>
      </c>
      <c r="BM294" s="790">
        <v>0</v>
      </c>
      <c r="BN294" s="790">
        <v>1</v>
      </c>
      <c r="BO294" s="762">
        <v>0</v>
      </c>
      <c r="BP294" s="762">
        <v>-25031</v>
      </c>
      <c r="BQ294" s="762">
        <v>-14080</v>
      </c>
      <c r="BR294" s="762">
        <v>0</v>
      </c>
      <c r="BS294" s="762">
        <v>-39111</v>
      </c>
      <c r="BT294" s="790">
        <v>0.33</v>
      </c>
      <c r="BU294" s="790">
        <v>0.3</v>
      </c>
      <c r="BV294" s="790">
        <v>0.37</v>
      </c>
      <c r="BW294" s="790">
        <v>0</v>
      </c>
      <c r="BX294" s="790">
        <v>1</v>
      </c>
      <c r="BY294" s="762">
        <v>83009</v>
      </c>
      <c r="BZ294" s="762">
        <v>75463</v>
      </c>
      <c r="CA294" s="762">
        <v>93071</v>
      </c>
      <c r="CB294" s="762">
        <v>0</v>
      </c>
      <c r="CC294" s="762">
        <v>251543</v>
      </c>
      <c r="CD294" s="762">
        <v>83009</v>
      </c>
      <c r="CE294" s="762">
        <v>50432</v>
      </c>
      <c r="CF294" s="762">
        <v>78991</v>
      </c>
      <c r="CG294" s="762">
        <v>0</v>
      </c>
      <c r="CH294" s="762">
        <v>212432</v>
      </c>
      <c r="CI294" s="762">
        <v>16231443</v>
      </c>
      <c r="CJ294" s="762">
        <v>31340828</v>
      </c>
      <c r="CK294" s="762">
        <v>17519301</v>
      </c>
      <c r="CL294" s="762">
        <v>0</v>
      </c>
      <c r="CM294" s="762">
        <v>65091572</v>
      </c>
      <c r="CN294" s="762">
        <v>1010346</v>
      </c>
      <c r="CO294" s="762">
        <v>568320</v>
      </c>
      <c r="CP294" s="762">
        <v>0</v>
      </c>
      <c r="CQ294" s="762">
        <v>1578666</v>
      </c>
      <c r="CR294" s="762">
        <v>3284659</v>
      </c>
      <c r="CS294" s="762">
        <v>1847621</v>
      </c>
      <c r="CT294" s="762">
        <v>0</v>
      </c>
      <c r="CU294" s="762">
        <v>5132280</v>
      </c>
      <c r="CV294" s="762">
        <v>125064</v>
      </c>
      <c r="CW294" s="762">
        <v>70348</v>
      </c>
      <c r="CX294" s="762">
        <v>0</v>
      </c>
      <c r="CY294" s="762">
        <v>195412</v>
      </c>
      <c r="CZ294" s="762">
        <v>0</v>
      </c>
      <c r="DA294" s="762">
        <v>0</v>
      </c>
      <c r="DB294" s="762">
        <v>0</v>
      </c>
      <c r="DC294" s="762">
        <v>0</v>
      </c>
      <c r="DD294" s="762">
        <v>0</v>
      </c>
      <c r="DE294" s="762">
        <v>0</v>
      </c>
      <c r="DF294" s="762">
        <v>0</v>
      </c>
      <c r="DG294" s="762">
        <v>0</v>
      </c>
      <c r="DH294" s="762">
        <v>0</v>
      </c>
      <c r="DI294" s="762">
        <v>0</v>
      </c>
      <c r="DJ294" s="762">
        <v>0</v>
      </c>
      <c r="DK294" s="762">
        <v>0</v>
      </c>
      <c r="DL294" s="762">
        <v>128890</v>
      </c>
      <c r="DM294" s="762">
        <v>72501</v>
      </c>
      <c r="DN294" s="762">
        <v>0</v>
      </c>
      <c r="DO294" s="762">
        <v>201391</v>
      </c>
      <c r="DP294" s="762">
        <v>111492</v>
      </c>
      <c r="DQ294" s="762">
        <v>62714</v>
      </c>
      <c r="DR294" s="762">
        <v>0</v>
      </c>
      <c r="DS294" s="762">
        <v>174206</v>
      </c>
      <c r="DT294" s="762">
        <v>0</v>
      </c>
      <c r="DU294" s="762">
        <v>0</v>
      </c>
      <c r="DV294" s="762">
        <v>0</v>
      </c>
      <c r="DW294" s="762">
        <v>0</v>
      </c>
      <c r="DX294" s="762">
        <v>0</v>
      </c>
      <c r="DY294" s="762">
        <v>0</v>
      </c>
      <c r="DZ294" s="762">
        <v>0</v>
      </c>
      <c r="EA294" s="762">
        <v>0</v>
      </c>
      <c r="EB294" s="762">
        <v>1500021</v>
      </c>
      <c r="EC294" s="762">
        <v>843762</v>
      </c>
      <c r="ED294" s="762">
        <v>0</v>
      </c>
      <c r="EE294" s="762">
        <v>2343783</v>
      </c>
      <c r="EF294" s="762">
        <v>6160472</v>
      </c>
      <c r="EG294" s="762">
        <v>3465266</v>
      </c>
      <c r="EH294" s="762">
        <v>0</v>
      </c>
      <c r="EI294" s="799">
        <v>9625738</v>
      </c>
      <c r="EJ294" s="763" t="s">
        <v>464</v>
      </c>
      <c r="EK294" s="607" t="s">
        <v>628</v>
      </c>
      <c r="EL294" s="272" t="s">
        <v>528</v>
      </c>
      <c r="EM294" t="s">
        <v>1860</v>
      </c>
    </row>
    <row r="295" spans="1:143" ht="12.75" x14ac:dyDescent="0.2">
      <c r="A295" s="764">
        <v>288</v>
      </c>
      <c r="B295" s="765" t="s">
        <v>467</v>
      </c>
      <c r="C295" s="766" t="s">
        <v>1228</v>
      </c>
      <c r="D295" s="767" t="s">
        <v>1223</v>
      </c>
      <c r="E295" s="768" t="s">
        <v>466</v>
      </c>
      <c r="F295" s="761">
        <v>115237189</v>
      </c>
      <c r="G295" s="762">
        <v>1894475</v>
      </c>
      <c r="H295" s="762">
        <v>0</v>
      </c>
      <c r="I295" s="762">
        <v>445379</v>
      </c>
      <c r="J295" s="762">
        <v>0</v>
      </c>
      <c r="K295" s="762">
        <v>445379</v>
      </c>
      <c r="L295" s="762">
        <v>0</v>
      </c>
      <c r="M295" s="762">
        <v>0</v>
      </c>
      <c r="N295" s="762">
        <v>0</v>
      </c>
      <c r="O295" s="762">
        <v>0</v>
      </c>
      <c r="P295" s="762">
        <v>0</v>
      </c>
      <c r="Q295" s="762">
        <v>0</v>
      </c>
      <c r="R295" s="762">
        <v>116686285</v>
      </c>
      <c r="S295" s="790">
        <v>0.25</v>
      </c>
      <c r="T295" s="790">
        <v>0.48</v>
      </c>
      <c r="U295" s="790">
        <v>0.27</v>
      </c>
      <c r="V295" s="790">
        <v>0</v>
      </c>
      <c r="W295" s="790">
        <v>1</v>
      </c>
      <c r="X295" s="762">
        <v>29171571</v>
      </c>
      <c r="Y295" s="762">
        <v>56009417</v>
      </c>
      <c r="Z295" s="762">
        <v>31505297</v>
      </c>
      <c r="AA295" s="762">
        <v>0</v>
      </c>
      <c r="AB295" s="762">
        <v>116686285</v>
      </c>
      <c r="AC295" s="762">
        <v>0</v>
      </c>
      <c r="AD295" s="762">
        <v>0</v>
      </c>
      <c r="AE295" s="762">
        <v>0</v>
      </c>
      <c r="AF295" s="762">
        <v>0</v>
      </c>
      <c r="AG295" s="762">
        <v>0</v>
      </c>
      <c r="AH295" s="762">
        <v>29171571</v>
      </c>
      <c r="AI295" s="762">
        <v>56009417</v>
      </c>
      <c r="AJ295" s="762">
        <v>31505297</v>
      </c>
      <c r="AK295" s="762">
        <v>0</v>
      </c>
      <c r="AL295" s="762">
        <v>116686285</v>
      </c>
      <c r="AM295" s="762">
        <v>445379</v>
      </c>
      <c r="AN295" s="762">
        <v>445379</v>
      </c>
      <c r="AO295" s="762">
        <v>0</v>
      </c>
      <c r="AP295" s="762">
        <v>0</v>
      </c>
      <c r="AQ295" s="762">
        <v>0</v>
      </c>
      <c r="AR295" s="762">
        <v>0</v>
      </c>
      <c r="AS295" s="762">
        <v>0</v>
      </c>
      <c r="AT295" s="762">
        <v>0</v>
      </c>
      <c r="AU295" s="762">
        <v>0</v>
      </c>
      <c r="AV295" s="762">
        <v>0</v>
      </c>
      <c r="AW295" s="762">
        <v>0</v>
      </c>
      <c r="AX295" s="762">
        <v>0</v>
      </c>
      <c r="AY295" s="762">
        <v>0</v>
      </c>
      <c r="AZ295" s="762">
        <v>0</v>
      </c>
      <c r="BA295" s="762">
        <v>0</v>
      </c>
      <c r="BB295" s="762">
        <v>0</v>
      </c>
      <c r="BC295" s="762">
        <v>0</v>
      </c>
      <c r="BD295" s="762">
        <v>0</v>
      </c>
      <c r="BE295" s="762">
        <v>0</v>
      </c>
      <c r="BF295" s="762">
        <v>0</v>
      </c>
      <c r="BG295" s="762">
        <v>0</v>
      </c>
      <c r="BH295" s="762">
        <v>0</v>
      </c>
      <c r="BI295" s="762">
        <v>0</v>
      </c>
      <c r="BJ295" s="790">
        <v>0</v>
      </c>
      <c r="BK295" s="790">
        <v>0.64</v>
      </c>
      <c r="BL295" s="790">
        <v>0.36</v>
      </c>
      <c r="BM295" s="790">
        <v>0</v>
      </c>
      <c r="BN295" s="790">
        <v>1</v>
      </c>
      <c r="BO295" s="762">
        <v>0</v>
      </c>
      <c r="BP295" s="762">
        <v>2535533</v>
      </c>
      <c r="BQ295" s="762">
        <v>1426238</v>
      </c>
      <c r="BR295" s="762">
        <v>0</v>
      </c>
      <c r="BS295" s="762">
        <v>3961771</v>
      </c>
      <c r="BT295" s="790">
        <v>0.33</v>
      </c>
      <c r="BU295" s="790">
        <v>0.3</v>
      </c>
      <c r="BV295" s="790">
        <v>0.37</v>
      </c>
      <c r="BW295" s="790">
        <v>0</v>
      </c>
      <c r="BX295" s="790">
        <v>1</v>
      </c>
      <c r="BY295" s="762">
        <v>495659</v>
      </c>
      <c r="BZ295" s="762">
        <v>450599</v>
      </c>
      <c r="CA295" s="762">
        <v>555739</v>
      </c>
      <c r="CB295" s="762">
        <v>0</v>
      </c>
      <c r="CC295" s="762">
        <v>1501997</v>
      </c>
      <c r="CD295" s="762">
        <v>495659</v>
      </c>
      <c r="CE295" s="762">
        <v>2986132</v>
      </c>
      <c r="CF295" s="762">
        <v>1981977</v>
      </c>
      <c r="CG295" s="762">
        <v>0</v>
      </c>
      <c r="CH295" s="762">
        <v>5463768</v>
      </c>
      <c r="CI295" s="762">
        <v>29667230</v>
      </c>
      <c r="CJ295" s="762">
        <v>59440928</v>
      </c>
      <c r="CK295" s="762">
        <v>33487274</v>
      </c>
      <c r="CL295" s="762">
        <v>0</v>
      </c>
      <c r="CM295" s="762">
        <v>122595432</v>
      </c>
      <c r="CN295" s="762">
        <v>1825154</v>
      </c>
      <c r="CO295" s="762">
        <v>1026649</v>
      </c>
      <c r="CP295" s="762">
        <v>0</v>
      </c>
      <c r="CQ295" s="762">
        <v>2851803</v>
      </c>
      <c r="CR295" s="762">
        <v>2881975</v>
      </c>
      <c r="CS295" s="762">
        <v>1526087</v>
      </c>
      <c r="CT295" s="762">
        <v>0</v>
      </c>
      <c r="CU295" s="762">
        <v>4408062</v>
      </c>
      <c r="CV295" s="762">
        <v>248761</v>
      </c>
      <c r="CW295" s="762">
        <v>129875</v>
      </c>
      <c r="CX295" s="762">
        <v>0</v>
      </c>
      <c r="CY295" s="762">
        <v>378636</v>
      </c>
      <c r="CZ295" s="762">
        <v>7866</v>
      </c>
      <c r="DA295" s="762">
        <v>4425</v>
      </c>
      <c r="DB295" s="762">
        <v>0</v>
      </c>
      <c r="DC295" s="762">
        <v>12291</v>
      </c>
      <c r="DD295" s="762">
        <v>0</v>
      </c>
      <c r="DE295" s="762">
        <v>0</v>
      </c>
      <c r="DF295" s="762">
        <v>0</v>
      </c>
      <c r="DG295" s="762">
        <v>0</v>
      </c>
      <c r="DH295" s="762">
        <v>0</v>
      </c>
      <c r="DI295" s="762">
        <v>0</v>
      </c>
      <c r="DJ295" s="762">
        <v>0</v>
      </c>
      <c r="DK295" s="762">
        <v>0</v>
      </c>
      <c r="DL295" s="762">
        <v>7552</v>
      </c>
      <c r="DM295" s="762">
        <v>4247</v>
      </c>
      <c r="DN295" s="762">
        <v>0</v>
      </c>
      <c r="DO295" s="762">
        <v>11799</v>
      </c>
      <c r="DP295" s="762">
        <v>151172</v>
      </c>
      <c r="DQ295" s="762">
        <v>85035</v>
      </c>
      <c r="DR295" s="762">
        <v>0</v>
      </c>
      <c r="DS295" s="762">
        <v>236207</v>
      </c>
      <c r="DT295" s="762">
        <v>0</v>
      </c>
      <c r="DU295" s="762">
        <v>0</v>
      </c>
      <c r="DV295" s="762">
        <v>0</v>
      </c>
      <c r="DW295" s="762">
        <v>0</v>
      </c>
      <c r="DX295" s="762">
        <v>0</v>
      </c>
      <c r="DY295" s="762">
        <v>0</v>
      </c>
      <c r="DZ295" s="762">
        <v>0</v>
      </c>
      <c r="EA295" s="762">
        <v>0</v>
      </c>
      <c r="EB295" s="762">
        <v>2303189</v>
      </c>
      <c r="EC295" s="762">
        <v>1278064</v>
      </c>
      <c r="ED295" s="762">
        <v>0</v>
      </c>
      <c r="EE295" s="762">
        <v>3581253</v>
      </c>
      <c r="EF295" s="762">
        <v>7425669</v>
      </c>
      <c r="EG295" s="762">
        <v>4054382</v>
      </c>
      <c r="EH295" s="762">
        <v>0</v>
      </c>
      <c r="EI295" s="799">
        <v>11480051</v>
      </c>
      <c r="EJ295" s="763" t="s">
        <v>466</v>
      </c>
      <c r="EK295" s="607" t="s">
        <v>628</v>
      </c>
      <c r="EL295" s="272" t="s">
        <v>528</v>
      </c>
      <c r="EM295" t="s">
        <v>1861</v>
      </c>
    </row>
    <row r="296" spans="1:143" ht="12.75" x14ac:dyDescent="0.2">
      <c r="A296" s="764">
        <v>289</v>
      </c>
      <c r="B296" s="765" t="s">
        <v>469</v>
      </c>
      <c r="C296" s="766" t="s">
        <v>529</v>
      </c>
      <c r="D296" s="767" t="s">
        <v>1219</v>
      </c>
      <c r="E296" s="768" t="s">
        <v>550</v>
      </c>
      <c r="F296" s="761">
        <v>111009296</v>
      </c>
      <c r="G296" s="762">
        <v>0</v>
      </c>
      <c r="H296" s="762">
        <v>4084480</v>
      </c>
      <c r="I296" s="762">
        <v>295471</v>
      </c>
      <c r="J296" s="762">
        <v>0</v>
      </c>
      <c r="K296" s="762">
        <v>295471</v>
      </c>
      <c r="L296" s="762">
        <v>0</v>
      </c>
      <c r="M296" s="762">
        <v>136642</v>
      </c>
      <c r="N296" s="762">
        <v>0</v>
      </c>
      <c r="O296" s="762">
        <v>0</v>
      </c>
      <c r="P296" s="762">
        <v>0</v>
      </c>
      <c r="Q296" s="762">
        <v>0</v>
      </c>
      <c r="R296" s="762">
        <v>106492703</v>
      </c>
      <c r="S296" s="790">
        <v>0.5</v>
      </c>
      <c r="T296" s="790">
        <v>0.49</v>
      </c>
      <c r="U296" s="790">
        <v>0</v>
      </c>
      <c r="V296" s="790">
        <v>0.01</v>
      </c>
      <c r="W296" s="790">
        <v>1</v>
      </c>
      <c r="X296" s="762">
        <v>53246352</v>
      </c>
      <c r="Y296" s="762">
        <v>52181424</v>
      </c>
      <c r="Z296" s="762">
        <v>0</v>
      </c>
      <c r="AA296" s="762">
        <v>1064927</v>
      </c>
      <c r="AB296" s="762">
        <v>106492703</v>
      </c>
      <c r="AC296" s="762">
        <v>145784</v>
      </c>
      <c r="AD296" s="762">
        <v>0</v>
      </c>
      <c r="AE296" s="762">
        <v>0</v>
      </c>
      <c r="AF296" s="762">
        <v>0</v>
      </c>
      <c r="AG296" s="762">
        <v>145784</v>
      </c>
      <c r="AH296" s="762">
        <v>53100568</v>
      </c>
      <c r="AI296" s="762">
        <v>52181424</v>
      </c>
      <c r="AJ296" s="762">
        <v>0</v>
      </c>
      <c r="AK296" s="762">
        <v>1064927</v>
      </c>
      <c r="AL296" s="762">
        <v>106346919</v>
      </c>
      <c r="AM296" s="762">
        <v>295471</v>
      </c>
      <c r="AN296" s="762">
        <v>295471</v>
      </c>
      <c r="AO296" s="762">
        <v>136642</v>
      </c>
      <c r="AP296" s="762">
        <v>136642</v>
      </c>
      <c r="AQ296" s="762">
        <v>0</v>
      </c>
      <c r="AR296" s="762">
        <v>0</v>
      </c>
      <c r="AS296" s="762">
        <v>0</v>
      </c>
      <c r="AT296" s="762">
        <v>0</v>
      </c>
      <c r="AU296" s="762">
        <v>0</v>
      </c>
      <c r="AV296" s="762">
        <v>0</v>
      </c>
      <c r="AW296" s="762">
        <v>0</v>
      </c>
      <c r="AX296" s="762">
        <v>145784</v>
      </c>
      <c r="AY296" s="762">
        <v>0</v>
      </c>
      <c r="AZ296" s="762">
        <v>0</v>
      </c>
      <c r="BA296" s="762">
        <v>145784</v>
      </c>
      <c r="BB296" s="762">
        <v>0</v>
      </c>
      <c r="BC296" s="762">
        <v>0</v>
      </c>
      <c r="BD296" s="762">
        <v>0</v>
      </c>
      <c r="BE296" s="762">
        <v>0</v>
      </c>
      <c r="BF296" s="762">
        <v>0</v>
      </c>
      <c r="BG296" s="762">
        <v>0</v>
      </c>
      <c r="BH296" s="762">
        <v>0</v>
      </c>
      <c r="BI296" s="762">
        <v>0</v>
      </c>
      <c r="BJ296" s="790">
        <v>0.5</v>
      </c>
      <c r="BK296" s="790">
        <v>0.49</v>
      </c>
      <c r="BL296" s="790">
        <v>0</v>
      </c>
      <c r="BM296" s="790">
        <v>0.01</v>
      </c>
      <c r="BN296" s="790">
        <v>1</v>
      </c>
      <c r="BO296" s="762">
        <v>-3437039</v>
      </c>
      <c r="BP296" s="762">
        <v>-3368298</v>
      </c>
      <c r="BQ296" s="762">
        <v>0</v>
      </c>
      <c r="BR296" s="762">
        <v>-68741</v>
      </c>
      <c r="BS296" s="762">
        <v>-6874078</v>
      </c>
      <c r="BT296" s="790">
        <v>0.5</v>
      </c>
      <c r="BU296" s="790">
        <v>0.49</v>
      </c>
      <c r="BV296" s="790">
        <v>0</v>
      </c>
      <c r="BW296" s="790">
        <v>0.01</v>
      </c>
      <c r="BX296" s="790">
        <v>1</v>
      </c>
      <c r="BY296" s="762">
        <v>48351</v>
      </c>
      <c r="BZ296" s="762">
        <v>47384</v>
      </c>
      <c r="CA296" s="762">
        <v>0</v>
      </c>
      <c r="CB296" s="762">
        <v>967</v>
      </c>
      <c r="CC296" s="762">
        <v>96702</v>
      </c>
      <c r="CD296" s="762">
        <v>-3388688</v>
      </c>
      <c r="CE296" s="762">
        <v>-3320914</v>
      </c>
      <c r="CF296" s="762">
        <v>0</v>
      </c>
      <c r="CG296" s="762">
        <v>-67774</v>
      </c>
      <c r="CH296" s="762">
        <v>-6777376</v>
      </c>
      <c r="CI296" s="762">
        <v>49711880</v>
      </c>
      <c r="CJ296" s="762">
        <v>49438407</v>
      </c>
      <c r="CK296" s="762">
        <v>0</v>
      </c>
      <c r="CL296" s="762">
        <v>997153</v>
      </c>
      <c r="CM296" s="762">
        <v>100147440</v>
      </c>
      <c r="CN296" s="762">
        <v>1709616</v>
      </c>
      <c r="CO296" s="762">
        <v>0</v>
      </c>
      <c r="CP296" s="762">
        <v>34702</v>
      </c>
      <c r="CQ296" s="762">
        <v>1744318</v>
      </c>
      <c r="CR296" s="762">
        <v>2104502</v>
      </c>
      <c r="CS296" s="762">
        <v>0</v>
      </c>
      <c r="CT296" s="762">
        <v>42870</v>
      </c>
      <c r="CU296" s="762">
        <v>2147372</v>
      </c>
      <c r="CV296" s="762">
        <v>205749</v>
      </c>
      <c r="CW296" s="762">
        <v>0</v>
      </c>
      <c r="CX296" s="762">
        <v>4123</v>
      </c>
      <c r="CY296" s="762">
        <v>209872</v>
      </c>
      <c r="CZ296" s="762">
        <v>0</v>
      </c>
      <c r="DA296" s="762">
        <v>0</v>
      </c>
      <c r="DB296" s="762">
        <v>0</v>
      </c>
      <c r="DC296" s="762">
        <v>0</v>
      </c>
      <c r="DD296" s="762">
        <v>2248</v>
      </c>
      <c r="DE296" s="762">
        <v>0</v>
      </c>
      <c r="DF296" s="762">
        <v>46</v>
      </c>
      <c r="DG296" s="762">
        <v>2294</v>
      </c>
      <c r="DH296" s="762">
        <v>0</v>
      </c>
      <c r="DI296" s="762">
        <v>0</v>
      </c>
      <c r="DJ296" s="762">
        <v>0</v>
      </c>
      <c r="DK296" s="762">
        <v>0</v>
      </c>
      <c r="DL296" s="762">
        <v>22308</v>
      </c>
      <c r="DM296" s="762">
        <v>0</v>
      </c>
      <c r="DN296" s="762">
        <v>455</v>
      </c>
      <c r="DO296" s="762">
        <v>22763</v>
      </c>
      <c r="DP296" s="762">
        <v>723</v>
      </c>
      <c r="DQ296" s="762">
        <v>0</v>
      </c>
      <c r="DR296" s="762">
        <v>15</v>
      </c>
      <c r="DS296" s="762">
        <v>738</v>
      </c>
      <c r="DT296" s="762">
        <v>0</v>
      </c>
      <c r="DU296" s="762">
        <v>0</v>
      </c>
      <c r="DV296" s="762">
        <v>0</v>
      </c>
      <c r="DW296" s="762">
        <v>0</v>
      </c>
      <c r="DX296" s="762">
        <v>0</v>
      </c>
      <c r="DY296" s="762">
        <v>0</v>
      </c>
      <c r="DZ296" s="762">
        <v>0</v>
      </c>
      <c r="EA296" s="762">
        <v>0</v>
      </c>
      <c r="EB296" s="762">
        <v>466069</v>
      </c>
      <c r="EC296" s="762">
        <v>0</v>
      </c>
      <c r="ED296" s="762">
        <v>9512</v>
      </c>
      <c r="EE296" s="762">
        <v>475581</v>
      </c>
      <c r="EF296" s="762">
        <v>4511215</v>
      </c>
      <c r="EG296" s="762">
        <v>0</v>
      </c>
      <c r="EH296" s="762">
        <v>91723</v>
      </c>
      <c r="EI296" s="799">
        <v>4602938</v>
      </c>
      <c r="EJ296" s="763" t="s">
        <v>550</v>
      </c>
      <c r="EK296" s="607" t="s">
        <v>529</v>
      </c>
      <c r="EL296" s="805" t="s">
        <v>549</v>
      </c>
      <c r="EM296" t="s">
        <v>1862</v>
      </c>
    </row>
    <row r="297" spans="1:143" ht="12.75" x14ac:dyDescent="0.2">
      <c r="A297" s="764">
        <v>290</v>
      </c>
      <c r="B297" s="765" t="s">
        <v>471</v>
      </c>
      <c r="C297" s="766" t="s">
        <v>1217</v>
      </c>
      <c r="D297" s="767" t="s">
        <v>1227</v>
      </c>
      <c r="E297" s="768" t="s">
        <v>470</v>
      </c>
      <c r="F297" s="761">
        <v>67445654</v>
      </c>
      <c r="G297" s="762">
        <v>0</v>
      </c>
      <c r="H297" s="762">
        <v>45234</v>
      </c>
      <c r="I297" s="762">
        <v>219654</v>
      </c>
      <c r="J297" s="762">
        <v>0</v>
      </c>
      <c r="K297" s="762">
        <v>219654</v>
      </c>
      <c r="L297" s="762">
        <v>0</v>
      </c>
      <c r="M297" s="762">
        <v>0</v>
      </c>
      <c r="N297" s="762">
        <v>26000</v>
      </c>
      <c r="O297" s="762">
        <v>26000</v>
      </c>
      <c r="P297" s="762">
        <v>0</v>
      </c>
      <c r="Q297" s="762">
        <v>0</v>
      </c>
      <c r="R297" s="762">
        <v>67154766</v>
      </c>
      <c r="S297" s="790">
        <v>0.5</v>
      </c>
      <c r="T297" s="790">
        <v>0.4</v>
      </c>
      <c r="U297" s="790">
        <v>0.1</v>
      </c>
      <c r="V297" s="790">
        <v>0</v>
      </c>
      <c r="W297" s="790">
        <v>1</v>
      </c>
      <c r="X297" s="762">
        <v>33577383</v>
      </c>
      <c r="Y297" s="762">
        <v>26861906</v>
      </c>
      <c r="Z297" s="762">
        <v>6715477</v>
      </c>
      <c r="AA297" s="762">
        <v>0</v>
      </c>
      <c r="AB297" s="762">
        <v>67154766</v>
      </c>
      <c r="AC297" s="762">
        <v>0</v>
      </c>
      <c r="AD297" s="762">
        <v>0</v>
      </c>
      <c r="AE297" s="762">
        <v>0</v>
      </c>
      <c r="AF297" s="762">
        <v>0</v>
      </c>
      <c r="AG297" s="762">
        <v>0</v>
      </c>
      <c r="AH297" s="762">
        <v>33577383</v>
      </c>
      <c r="AI297" s="762">
        <v>26861906</v>
      </c>
      <c r="AJ297" s="762">
        <v>6715477</v>
      </c>
      <c r="AK297" s="762">
        <v>0</v>
      </c>
      <c r="AL297" s="762">
        <v>67154766</v>
      </c>
      <c r="AM297" s="762">
        <v>219654</v>
      </c>
      <c r="AN297" s="762">
        <v>219654</v>
      </c>
      <c r="AO297" s="762">
        <v>0</v>
      </c>
      <c r="AP297" s="762">
        <v>0</v>
      </c>
      <c r="AQ297" s="762">
        <v>26000</v>
      </c>
      <c r="AR297" s="762">
        <v>0</v>
      </c>
      <c r="AS297" s="762">
        <v>26000</v>
      </c>
      <c r="AT297" s="762">
        <v>0</v>
      </c>
      <c r="AU297" s="762">
        <v>0</v>
      </c>
      <c r="AV297" s="762">
        <v>0</v>
      </c>
      <c r="AW297" s="762">
        <v>0</v>
      </c>
      <c r="AX297" s="762">
        <v>0</v>
      </c>
      <c r="AY297" s="762">
        <v>0</v>
      </c>
      <c r="AZ297" s="762">
        <v>0</v>
      </c>
      <c r="BA297" s="762">
        <v>0</v>
      </c>
      <c r="BB297" s="762">
        <v>0</v>
      </c>
      <c r="BC297" s="762">
        <v>0</v>
      </c>
      <c r="BD297" s="762">
        <v>0</v>
      </c>
      <c r="BE297" s="762">
        <v>0</v>
      </c>
      <c r="BF297" s="762">
        <v>0</v>
      </c>
      <c r="BG297" s="762">
        <v>0</v>
      </c>
      <c r="BH297" s="762">
        <v>0</v>
      </c>
      <c r="BI297" s="762">
        <v>0</v>
      </c>
      <c r="BJ297" s="790">
        <v>0.5</v>
      </c>
      <c r="BK297" s="790">
        <v>0.4</v>
      </c>
      <c r="BL297" s="790">
        <v>0.1</v>
      </c>
      <c r="BM297" s="790">
        <v>0</v>
      </c>
      <c r="BN297" s="790">
        <v>1</v>
      </c>
      <c r="BO297" s="762">
        <v>1926041</v>
      </c>
      <c r="BP297" s="762">
        <v>1540832</v>
      </c>
      <c r="BQ297" s="762">
        <v>385208</v>
      </c>
      <c r="BR297" s="762">
        <v>0</v>
      </c>
      <c r="BS297" s="762">
        <v>3852081</v>
      </c>
      <c r="BT297" s="790">
        <v>0.5</v>
      </c>
      <c r="BU297" s="790">
        <v>0.4</v>
      </c>
      <c r="BV297" s="790">
        <v>0.1</v>
      </c>
      <c r="BW297" s="790">
        <v>0</v>
      </c>
      <c r="BX297" s="790">
        <v>1</v>
      </c>
      <c r="BY297" s="762">
        <v>-13821</v>
      </c>
      <c r="BZ297" s="762">
        <v>-11057</v>
      </c>
      <c r="CA297" s="762">
        <v>-2764</v>
      </c>
      <c r="CB297" s="762">
        <v>0</v>
      </c>
      <c r="CC297" s="762">
        <v>-27642</v>
      </c>
      <c r="CD297" s="762">
        <v>1912219</v>
      </c>
      <c r="CE297" s="762">
        <v>1529776</v>
      </c>
      <c r="CF297" s="762">
        <v>382444</v>
      </c>
      <c r="CG297" s="762">
        <v>0</v>
      </c>
      <c r="CH297" s="762">
        <v>3824439</v>
      </c>
      <c r="CI297" s="762">
        <v>35489602</v>
      </c>
      <c r="CJ297" s="762">
        <v>28637336</v>
      </c>
      <c r="CK297" s="762">
        <v>7097921</v>
      </c>
      <c r="CL297" s="762">
        <v>0</v>
      </c>
      <c r="CM297" s="762">
        <v>71224859</v>
      </c>
      <c r="CN297" s="762">
        <v>876184</v>
      </c>
      <c r="CO297" s="762">
        <v>218834</v>
      </c>
      <c r="CP297" s="762">
        <v>0</v>
      </c>
      <c r="CQ297" s="762">
        <v>1095018</v>
      </c>
      <c r="CR297" s="762">
        <v>1537414</v>
      </c>
      <c r="CS297" s="762">
        <v>384354</v>
      </c>
      <c r="CT297" s="762">
        <v>0</v>
      </c>
      <c r="CU297" s="762">
        <v>1921768</v>
      </c>
      <c r="CV297" s="762">
        <v>129233</v>
      </c>
      <c r="CW297" s="762">
        <v>32308</v>
      </c>
      <c r="CX297" s="762">
        <v>0</v>
      </c>
      <c r="CY297" s="762">
        <v>161541</v>
      </c>
      <c r="CZ297" s="762">
        <v>0</v>
      </c>
      <c r="DA297" s="762">
        <v>0</v>
      </c>
      <c r="DB297" s="762">
        <v>0</v>
      </c>
      <c r="DC297" s="762">
        <v>0</v>
      </c>
      <c r="DD297" s="762">
        <v>3227</v>
      </c>
      <c r="DE297" s="762">
        <v>807</v>
      </c>
      <c r="DF297" s="762">
        <v>0</v>
      </c>
      <c r="DG297" s="762">
        <v>4034</v>
      </c>
      <c r="DH297" s="762">
        <v>619</v>
      </c>
      <c r="DI297" s="762">
        <v>155</v>
      </c>
      <c r="DJ297" s="762">
        <v>0</v>
      </c>
      <c r="DK297" s="762">
        <v>774</v>
      </c>
      <c r="DL297" s="762">
        <v>0</v>
      </c>
      <c r="DM297" s="762">
        <v>0</v>
      </c>
      <c r="DN297" s="762">
        <v>0</v>
      </c>
      <c r="DO297" s="762">
        <v>0</v>
      </c>
      <c r="DP297" s="762">
        <v>0</v>
      </c>
      <c r="DQ297" s="762">
        <v>0</v>
      </c>
      <c r="DR297" s="762">
        <v>0</v>
      </c>
      <c r="DS297" s="762">
        <v>0</v>
      </c>
      <c r="DT297" s="762">
        <v>0</v>
      </c>
      <c r="DU297" s="762">
        <v>0</v>
      </c>
      <c r="DV297" s="762">
        <v>0</v>
      </c>
      <c r="DW297" s="762">
        <v>0</v>
      </c>
      <c r="DX297" s="762">
        <v>0</v>
      </c>
      <c r="DY297" s="762">
        <v>0</v>
      </c>
      <c r="DZ297" s="762">
        <v>0</v>
      </c>
      <c r="EA297" s="762">
        <v>0</v>
      </c>
      <c r="EB297" s="762">
        <v>826070</v>
      </c>
      <c r="EC297" s="762">
        <v>206517</v>
      </c>
      <c r="ED297" s="762">
        <v>0</v>
      </c>
      <c r="EE297" s="762">
        <v>1032587</v>
      </c>
      <c r="EF297" s="762">
        <v>3372747</v>
      </c>
      <c r="EG297" s="762">
        <v>842975</v>
      </c>
      <c r="EH297" s="762">
        <v>0</v>
      </c>
      <c r="EI297" s="799">
        <v>4215722</v>
      </c>
      <c r="EJ297" s="763" t="s">
        <v>470</v>
      </c>
      <c r="EK297" s="607" t="s">
        <v>617</v>
      </c>
      <c r="EL297" s="805" t="s">
        <v>556</v>
      </c>
      <c r="EM297" t="s">
        <v>1863</v>
      </c>
    </row>
    <row r="298" spans="1:143" ht="12.75" x14ac:dyDescent="0.2">
      <c r="A298" s="764">
        <v>291</v>
      </c>
      <c r="B298" s="765" t="s">
        <v>473</v>
      </c>
      <c r="C298" s="766" t="s">
        <v>1217</v>
      </c>
      <c r="D298" s="767" t="s">
        <v>1221</v>
      </c>
      <c r="E298" s="768" t="s">
        <v>472</v>
      </c>
      <c r="F298" s="761">
        <v>69173103</v>
      </c>
      <c r="G298" s="762">
        <v>0</v>
      </c>
      <c r="H298" s="762">
        <v>2309214</v>
      </c>
      <c r="I298" s="762">
        <v>167093</v>
      </c>
      <c r="J298" s="762">
        <v>0</v>
      </c>
      <c r="K298" s="762">
        <v>167093</v>
      </c>
      <c r="L298" s="762">
        <v>0</v>
      </c>
      <c r="M298" s="762">
        <v>0</v>
      </c>
      <c r="N298" s="762">
        <v>0</v>
      </c>
      <c r="O298" s="762">
        <v>0</v>
      </c>
      <c r="P298" s="762">
        <v>0</v>
      </c>
      <c r="Q298" s="762">
        <v>0</v>
      </c>
      <c r="R298" s="762">
        <v>66696796</v>
      </c>
      <c r="S298" s="790">
        <v>0.25</v>
      </c>
      <c r="T298" s="790">
        <v>0.35</v>
      </c>
      <c r="U298" s="790">
        <v>0.4</v>
      </c>
      <c r="V298" s="790">
        <v>0</v>
      </c>
      <c r="W298" s="790">
        <v>1</v>
      </c>
      <c r="X298" s="762">
        <v>16674199</v>
      </c>
      <c r="Y298" s="762">
        <v>23343879</v>
      </c>
      <c r="Z298" s="762">
        <v>26678718</v>
      </c>
      <c r="AA298" s="762">
        <v>0</v>
      </c>
      <c r="AB298" s="762">
        <v>66696796</v>
      </c>
      <c r="AC298" s="762">
        <v>0</v>
      </c>
      <c r="AD298" s="762">
        <v>0</v>
      </c>
      <c r="AE298" s="762">
        <v>0</v>
      </c>
      <c r="AF298" s="762">
        <v>0</v>
      </c>
      <c r="AG298" s="762">
        <v>0</v>
      </c>
      <c r="AH298" s="762">
        <v>16674199</v>
      </c>
      <c r="AI298" s="762">
        <v>23343879</v>
      </c>
      <c r="AJ298" s="762">
        <v>26678718</v>
      </c>
      <c r="AK298" s="762">
        <v>0</v>
      </c>
      <c r="AL298" s="762">
        <v>66696796</v>
      </c>
      <c r="AM298" s="762">
        <v>167093</v>
      </c>
      <c r="AN298" s="762">
        <v>167093</v>
      </c>
      <c r="AO298" s="762">
        <v>0</v>
      </c>
      <c r="AP298" s="762">
        <v>0</v>
      </c>
      <c r="AQ298" s="762">
        <v>0</v>
      </c>
      <c r="AR298" s="762">
        <v>0</v>
      </c>
      <c r="AS298" s="762">
        <v>0</v>
      </c>
      <c r="AT298" s="762">
        <v>0</v>
      </c>
      <c r="AU298" s="762">
        <v>0</v>
      </c>
      <c r="AV298" s="762">
        <v>0</v>
      </c>
      <c r="AW298" s="762">
        <v>0</v>
      </c>
      <c r="AX298" s="762">
        <v>0</v>
      </c>
      <c r="AY298" s="762">
        <v>0</v>
      </c>
      <c r="AZ298" s="762">
        <v>0</v>
      </c>
      <c r="BA298" s="762">
        <v>0</v>
      </c>
      <c r="BB298" s="762">
        <v>0</v>
      </c>
      <c r="BC298" s="762">
        <v>0</v>
      </c>
      <c r="BD298" s="762">
        <v>0</v>
      </c>
      <c r="BE298" s="762">
        <v>0</v>
      </c>
      <c r="BF298" s="762">
        <v>0</v>
      </c>
      <c r="BG298" s="762">
        <v>0</v>
      </c>
      <c r="BH298" s="762">
        <v>0</v>
      </c>
      <c r="BI298" s="762">
        <v>0</v>
      </c>
      <c r="BJ298" s="790">
        <v>0.5</v>
      </c>
      <c r="BK298" s="790">
        <v>0.4</v>
      </c>
      <c r="BL298" s="790">
        <v>0.1</v>
      </c>
      <c r="BM298" s="790">
        <v>0</v>
      </c>
      <c r="BN298" s="790">
        <v>1</v>
      </c>
      <c r="BO298" s="762">
        <v>-1459326.0000000037</v>
      </c>
      <c r="BP298" s="762">
        <v>-1167461</v>
      </c>
      <c r="BQ298" s="762">
        <v>-291865</v>
      </c>
      <c r="BR298" s="762">
        <v>0</v>
      </c>
      <c r="BS298" s="762">
        <v>-2918652.0000000037</v>
      </c>
      <c r="BT298" s="790">
        <v>0.5</v>
      </c>
      <c r="BU298" s="790">
        <v>0.4</v>
      </c>
      <c r="BV298" s="790">
        <v>0.1</v>
      </c>
      <c r="BW298" s="790">
        <v>0</v>
      </c>
      <c r="BX298" s="790">
        <v>1</v>
      </c>
      <c r="BY298" s="762">
        <v>-2804029.6999999993</v>
      </c>
      <c r="BZ298" s="762">
        <v>-2243224</v>
      </c>
      <c r="CA298" s="762">
        <v>-560806</v>
      </c>
      <c r="CB298" s="762">
        <v>0</v>
      </c>
      <c r="CC298" s="762">
        <v>-5608059.6999999993</v>
      </c>
      <c r="CD298" s="762">
        <v>-4263356</v>
      </c>
      <c r="CE298" s="762">
        <v>-3410685</v>
      </c>
      <c r="CF298" s="762">
        <v>-852671</v>
      </c>
      <c r="CG298" s="762">
        <v>0</v>
      </c>
      <c r="CH298" s="762">
        <v>-8526711.700000003</v>
      </c>
      <c r="CI298" s="762">
        <v>12410843</v>
      </c>
      <c r="CJ298" s="762">
        <v>20100287</v>
      </c>
      <c r="CK298" s="762">
        <v>25826047</v>
      </c>
      <c r="CL298" s="762">
        <v>0</v>
      </c>
      <c r="CM298" s="762">
        <v>58337177</v>
      </c>
      <c r="CN298" s="762">
        <v>760697</v>
      </c>
      <c r="CO298" s="762">
        <v>869368</v>
      </c>
      <c r="CP298" s="762">
        <v>0</v>
      </c>
      <c r="CQ298" s="762">
        <v>1630065</v>
      </c>
      <c r="CR298" s="762">
        <v>718730</v>
      </c>
      <c r="CS298" s="762">
        <v>821406</v>
      </c>
      <c r="CT298" s="762">
        <v>0</v>
      </c>
      <c r="CU298" s="762">
        <v>1540136</v>
      </c>
      <c r="CV298" s="762">
        <v>79074</v>
      </c>
      <c r="CW298" s="762">
        <v>90371</v>
      </c>
      <c r="CX298" s="762">
        <v>0</v>
      </c>
      <c r="CY298" s="762">
        <v>169445</v>
      </c>
      <c r="CZ298" s="762">
        <v>5149</v>
      </c>
      <c r="DA298" s="762">
        <v>5884</v>
      </c>
      <c r="DB298" s="762">
        <v>0</v>
      </c>
      <c r="DC298" s="762">
        <v>11033</v>
      </c>
      <c r="DD298" s="762">
        <v>0</v>
      </c>
      <c r="DE298" s="762">
        <v>0</v>
      </c>
      <c r="DF298" s="762">
        <v>0</v>
      </c>
      <c r="DG298" s="762">
        <v>0</v>
      </c>
      <c r="DH298" s="762">
        <v>542</v>
      </c>
      <c r="DI298" s="762">
        <v>620</v>
      </c>
      <c r="DJ298" s="762">
        <v>0</v>
      </c>
      <c r="DK298" s="762">
        <v>1162</v>
      </c>
      <c r="DL298" s="762">
        <v>8956</v>
      </c>
      <c r="DM298" s="762">
        <v>10235</v>
      </c>
      <c r="DN298" s="762">
        <v>0</v>
      </c>
      <c r="DO298" s="762">
        <v>19191</v>
      </c>
      <c r="DP298" s="762">
        <v>15541</v>
      </c>
      <c r="DQ298" s="762">
        <v>17760</v>
      </c>
      <c r="DR298" s="762">
        <v>0</v>
      </c>
      <c r="DS298" s="762">
        <v>33301</v>
      </c>
      <c r="DT298" s="762">
        <v>0</v>
      </c>
      <c r="DU298" s="762">
        <v>0</v>
      </c>
      <c r="DV298" s="762">
        <v>0</v>
      </c>
      <c r="DW298" s="762">
        <v>0</v>
      </c>
      <c r="DX298" s="762">
        <v>0</v>
      </c>
      <c r="DY298" s="762">
        <v>0</v>
      </c>
      <c r="DZ298" s="762">
        <v>0</v>
      </c>
      <c r="EA298" s="762">
        <v>0</v>
      </c>
      <c r="EB298" s="762">
        <v>329279</v>
      </c>
      <c r="EC298" s="762">
        <v>376319</v>
      </c>
      <c r="ED298" s="762">
        <v>0</v>
      </c>
      <c r="EE298" s="762">
        <v>705598</v>
      </c>
      <c r="EF298" s="762">
        <v>1917968</v>
      </c>
      <c r="EG298" s="762">
        <v>2191963</v>
      </c>
      <c r="EH298" s="762">
        <v>0</v>
      </c>
      <c r="EI298" s="799">
        <v>4109931</v>
      </c>
      <c r="EJ298" s="763" t="s">
        <v>472</v>
      </c>
      <c r="EK298" s="607" t="s">
        <v>584</v>
      </c>
      <c r="EL298" s="805" t="s">
        <v>556</v>
      </c>
      <c r="EM298" t="s">
        <v>1864</v>
      </c>
    </row>
    <row r="299" spans="1:143" ht="12.75" x14ac:dyDescent="0.2">
      <c r="A299" s="764">
        <v>292</v>
      </c>
      <c r="B299" s="765" t="s">
        <v>475</v>
      </c>
      <c r="C299" s="766" t="s">
        <v>1217</v>
      </c>
      <c r="D299" s="767" t="s">
        <v>1218</v>
      </c>
      <c r="E299" s="768" t="s">
        <v>474</v>
      </c>
      <c r="F299" s="761">
        <v>35957749</v>
      </c>
      <c r="G299" s="762">
        <v>905171</v>
      </c>
      <c r="H299" s="762">
        <v>0</v>
      </c>
      <c r="I299" s="762">
        <v>177275</v>
      </c>
      <c r="J299" s="762">
        <v>0</v>
      </c>
      <c r="K299" s="762">
        <v>177275</v>
      </c>
      <c r="L299" s="762">
        <v>0</v>
      </c>
      <c r="M299" s="762">
        <v>0</v>
      </c>
      <c r="N299" s="762">
        <v>0</v>
      </c>
      <c r="O299" s="762">
        <v>0</v>
      </c>
      <c r="P299" s="762">
        <v>0</v>
      </c>
      <c r="Q299" s="762">
        <v>0</v>
      </c>
      <c r="R299" s="762">
        <v>36685645</v>
      </c>
      <c r="S299" s="790">
        <v>0.5</v>
      </c>
      <c r="T299" s="790">
        <v>0.4</v>
      </c>
      <c r="U299" s="790">
        <v>0.1</v>
      </c>
      <c r="V299" s="790">
        <v>0</v>
      </c>
      <c r="W299" s="790">
        <v>1</v>
      </c>
      <c r="X299" s="762">
        <v>18342822</v>
      </c>
      <c r="Y299" s="762">
        <v>14674258</v>
      </c>
      <c r="Z299" s="762">
        <v>3668565</v>
      </c>
      <c r="AA299" s="762">
        <v>0</v>
      </c>
      <c r="AB299" s="762">
        <v>36685645</v>
      </c>
      <c r="AC299" s="762">
        <v>0</v>
      </c>
      <c r="AD299" s="762">
        <v>0</v>
      </c>
      <c r="AE299" s="762">
        <v>0</v>
      </c>
      <c r="AF299" s="762">
        <v>0</v>
      </c>
      <c r="AG299" s="762">
        <v>0</v>
      </c>
      <c r="AH299" s="762">
        <v>18342822</v>
      </c>
      <c r="AI299" s="762">
        <v>14674258</v>
      </c>
      <c r="AJ299" s="762">
        <v>3668565</v>
      </c>
      <c r="AK299" s="762">
        <v>0</v>
      </c>
      <c r="AL299" s="762">
        <v>36685645</v>
      </c>
      <c r="AM299" s="762">
        <v>177275</v>
      </c>
      <c r="AN299" s="762">
        <v>177275</v>
      </c>
      <c r="AO299" s="762">
        <v>0</v>
      </c>
      <c r="AP299" s="762">
        <v>0</v>
      </c>
      <c r="AQ299" s="762">
        <v>0</v>
      </c>
      <c r="AR299" s="762">
        <v>0</v>
      </c>
      <c r="AS299" s="762">
        <v>0</v>
      </c>
      <c r="AT299" s="762">
        <v>0</v>
      </c>
      <c r="AU299" s="762">
        <v>0</v>
      </c>
      <c r="AV299" s="762">
        <v>0</v>
      </c>
      <c r="AW299" s="762">
        <v>0</v>
      </c>
      <c r="AX299" s="762">
        <v>0</v>
      </c>
      <c r="AY299" s="762">
        <v>0</v>
      </c>
      <c r="AZ299" s="762">
        <v>0</v>
      </c>
      <c r="BA299" s="762">
        <v>0</v>
      </c>
      <c r="BB299" s="762">
        <v>0</v>
      </c>
      <c r="BC299" s="762">
        <v>0</v>
      </c>
      <c r="BD299" s="762">
        <v>0</v>
      </c>
      <c r="BE299" s="762">
        <v>0</v>
      </c>
      <c r="BF299" s="762">
        <v>0</v>
      </c>
      <c r="BG299" s="762">
        <v>0</v>
      </c>
      <c r="BH299" s="762">
        <v>0</v>
      </c>
      <c r="BI299" s="762">
        <v>0</v>
      </c>
      <c r="BJ299" s="790">
        <v>0</v>
      </c>
      <c r="BK299" s="790">
        <v>0.3</v>
      </c>
      <c r="BL299" s="790">
        <v>0.7</v>
      </c>
      <c r="BM299" s="790">
        <v>0</v>
      </c>
      <c r="BN299" s="790">
        <v>1</v>
      </c>
      <c r="BO299" s="762">
        <v>0</v>
      </c>
      <c r="BP299" s="762">
        <v>253753</v>
      </c>
      <c r="BQ299" s="762">
        <v>592090</v>
      </c>
      <c r="BR299" s="762">
        <v>0</v>
      </c>
      <c r="BS299" s="762">
        <v>845843</v>
      </c>
      <c r="BT299" s="790">
        <v>0.5</v>
      </c>
      <c r="BU299" s="790">
        <v>0.4</v>
      </c>
      <c r="BV299" s="790">
        <v>0.1</v>
      </c>
      <c r="BW299" s="790">
        <v>0</v>
      </c>
      <c r="BX299" s="790">
        <v>1</v>
      </c>
      <c r="BY299" s="762">
        <v>-551845</v>
      </c>
      <c r="BZ299" s="762">
        <v>-441476</v>
      </c>
      <c r="CA299" s="762">
        <v>-110369</v>
      </c>
      <c r="CB299" s="762">
        <v>0</v>
      </c>
      <c r="CC299" s="762">
        <v>-1103690</v>
      </c>
      <c r="CD299" s="762">
        <v>-551845</v>
      </c>
      <c r="CE299" s="762">
        <v>-187723</v>
      </c>
      <c r="CF299" s="762">
        <v>481721</v>
      </c>
      <c r="CG299" s="762">
        <v>0</v>
      </c>
      <c r="CH299" s="762">
        <v>-257847</v>
      </c>
      <c r="CI299" s="762">
        <v>17790977</v>
      </c>
      <c r="CJ299" s="762">
        <v>14663810</v>
      </c>
      <c r="CK299" s="762">
        <v>4150286</v>
      </c>
      <c r="CL299" s="762">
        <v>0</v>
      </c>
      <c r="CM299" s="762">
        <v>36605073</v>
      </c>
      <c r="CN299" s="762">
        <v>478184</v>
      </c>
      <c r="CO299" s="762">
        <v>119546</v>
      </c>
      <c r="CP299" s="762">
        <v>0</v>
      </c>
      <c r="CQ299" s="762">
        <v>597730</v>
      </c>
      <c r="CR299" s="762">
        <v>1207026</v>
      </c>
      <c r="CS299" s="762">
        <v>301757</v>
      </c>
      <c r="CT299" s="762">
        <v>0</v>
      </c>
      <c r="CU299" s="762">
        <v>1508783</v>
      </c>
      <c r="CV299" s="762">
        <v>111098</v>
      </c>
      <c r="CW299" s="762">
        <v>27775</v>
      </c>
      <c r="CX299" s="762">
        <v>0</v>
      </c>
      <c r="CY299" s="762">
        <v>138873</v>
      </c>
      <c r="CZ299" s="762">
        <v>0</v>
      </c>
      <c r="DA299" s="762">
        <v>0</v>
      </c>
      <c r="DB299" s="762">
        <v>0</v>
      </c>
      <c r="DC299" s="762">
        <v>0</v>
      </c>
      <c r="DD299" s="762">
        <v>2456</v>
      </c>
      <c r="DE299" s="762">
        <v>614</v>
      </c>
      <c r="DF299" s="762">
        <v>0</v>
      </c>
      <c r="DG299" s="762">
        <v>3070</v>
      </c>
      <c r="DH299" s="762">
        <v>1858</v>
      </c>
      <c r="DI299" s="762">
        <v>465</v>
      </c>
      <c r="DJ299" s="762">
        <v>0</v>
      </c>
      <c r="DK299" s="762">
        <v>2323</v>
      </c>
      <c r="DL299" s="762">
        <v>15080</v>
      </c>
      <c r="DM299" s="762">
        <v>3770</v>
      </c>
      <c r="DN299" s="762">
        <v>0</v>
      </c>
      <c r="DO299" s="762">
        <v>18850</v>
      </c>
      <c r="DP299" s="762">
        <v>40791</v>
      </c>
      <c r="DQ299" s="762">
        <v>10198</v>
      </c>
      <c r="DR299" s="762">
        <v>0</v>
      </c>
      <c r="DS299" s="762">
        <v>50989</v>
      </c>
      <c r="DT299" s="762">
        <v>0</v>
      </c>
      <c r="DU299" s="762">
        <v>0</v>
      </c>
      <c r="DV299" s="762">
        <v>0</v>
      </c>
      <c r="DW299" s="762">
        <v>0</v>
      </c>
      <c r="DX299" s="762">
        <v>2065</v>
      </c>
      <c r="DY299" s="762">
        <v>516</v>
      </c>
      <c r="DZ299" s="762">
        <v>0</v>
      </c>
      <c r="EA299" s="762">
        <v>2581</v>
      </c>
      <c r="EB299" s="762">
        <v>474990</v>
      </c>
      <c r="EC299" s="762">
        <v>118747</v>
      </c>
      <c r="ED299" s="762">
        <v>0</v>
      </c>
      <c r="EE299" s="762">
        <v>593737</v>
      </c>
      <c r="EF299" s="762">
        <v>2333548</v>
      </c>
      <c r="EG299" s="762">
        <v>583388</v>
      </c>
      <c r="EH299" s="762">
        <v>0</v>
      </c>
      <c r="EI299" s="799">
        <v>2916936</v>
      </c>
      <c r="EJ299" s="763" t="s">
        <v>474</v>
      </c>
      <c r="EK299" s="607" t="s">
        <v>616</v>
      </c>
      <c r="EL299" s="805" t="s">
        <v>556</v>
      </c>
      <c r="EM299" t="s">
        <v>1865</v>
      </c>
    </row>
    <row r="300" spans="1:143" ht="12.75" x14ac:dyDescent="0.2">
      <c r="A300" s="764">
        <v>293</v>
      </c>
      <c r="B300" s="765" t="s">
        <v>477</v>
      </c>
      <c r="C300" s="766" t="s">
        <v>1217</v>
      </c>
      <c r="D300" s="767" t="s">
        <v>1218</v>
      </c>
      <c r="E300" s="768" t="s">
        <v>476</v>
      </c>
      <c r="F300" s="761">
        <v>31221939</v>
      </c>
      <c r="G300" s="762">
        <v>546056</v>
      </c>
      <c r="H300" s="762">
        <v>0</v>
      </c>
      <c r="I300" s="762">
        <v>222690</v>
      </c>
      <c r="J300" s="762">
        <v>0</v>
      </c>
      <c r="K300" s="762">
        <v>222690</v>
      </c>
      <c r="L300" s="762">
        <v>0</v>
      </c>
      <c r="M300" s="762">
        <v>0</v>
      </c>
      <c r="N300" s="762">
        <v>195000</v>
      </c>
      <c r="O300" s="762">
        <v>195000</v>
      </c>
      <c r="P300" s="762">
        <v>0</v>
      </c>
      <c r="Q300" s="762">
        <v>0</v>
      </c>
      <c r="R300" s="762">
        <v>31350305</v>
      </c>
      <c r="S300" s="790">
        <v>0.24999999999999994</v>
      </c>
      <c r="T300" s="790">
        <v>0.44</v>
      </c>
      <c r="U300" s="790">
        <v>0.26</v>
      </c>
      <c r="V300" s="790">
        <v>0.05</v>
      </c>
      <c r="W300" s="790">
        <v>1</v>
      </c>
      <c r="X300" s="762">
        <v>7837577</v>
      </c>
      <c r="Y300" s="762">
        <v>13794134</v>
      </c>
      <c r="Z300" s="762">
        <v>8151079</v>
      </c>
      <c r="AA300" s="762">
        <v>1567515</v>
      </c>
      <c r="AB300" s="762">
        <v>31350305</v>
      </c>
      <c r="AC300" s="762">
        <v>0</v>
      </c>
      <c r="AD300" s="762">
        <v>0</v>
      </c>
      <c r="AE300" s="762">
        <v>0</v>
      </c>
      <c r="AF300" s="762">
        <v>0</v>
      </c>
      <c r="AG300" s="762">
        <v>0</v>
      </c>
      <c r="AH300" s="762">
        <v>7837577</v>
      </c>
      <c r="AI300" s="762">
        <v>13794134</v>
      </c>
      <c r="AJ300" s="762">
        <v>8151079</v>
      </c>
      <c r="AK300" s="762">
        <v>1567515</v>
      </c>
      <c r="AL300" s="762">
        <v>31350305</v>
      </c>
      <c r="AM300" s="762">
        <v>222690</v>
      </c>
      <c r="AN300" s="762">
        <v>222690</v>
      </c>
      <c r="AO300" s="762">
        <v>0</v>
      </c>
      <c r="AP300" s="762">
        <v>0</v>
      </c>
      <c r="AQ300" s="762">
        <v>195000</v>
      </c>
      <c r="AR300" s="762">
        <v>0</v>
      </c>
      <c r="AS300" s="762">
        <v>195000</v>
      </c>
      <c r="AT300" s="762">
        <v>0</v>
      </c>
      <c r="AU300" s="762">
        <v>0</v>
      </c>
      <c r="AV300" s="762">
        <v>0</v>
      </c>
      <c r="AW300" s="762">
        <v>0</v>
      </c>
      <c r="AX300" s="762">
        <v>0</v>
      </c>
      <c r="AY300" s="762">
        <v>0</v>
      </c>
      <c r="AZ300" s="762">
        <v>0</v>
      </c>
      <c r="BA300" s="762">
        <v>0</v>
      </c>
      <c r="BB300" s="762">
        <v>0</v>
      </c>
      <c r="BC300" s="762">
        <v>0</v>
      </c>
      <c r="BD300" s="762">
        <v>0</v>
      </c>
      <c r="BE300" s="762">
        <v>0</v>
      </c>
      <c r="BF300" s="762">
        <v>0</v>
      </c>
      <c r="BG300" s="762">
        <v>0</v>
      </c>
      <c r="BH300" s="762">
        <v>0</v>
      </c>
      <c r="BI300" s="762">
        <v>0</v>
      </c>
      <c r="BJ300" s="790">
        <v>0.5</v>
      </c>
      <c r="BK300" s="790">
        <v>0.4</v>
      </c>
      <c r="BL300" s="790">
        <v>0.09</v>
      </c>
      <c r="BM300" s="790">
        <v>0.01</v>
      </c>
      <c r="BN300" s="790">
        <v>1</v>
      </c>
      <c r="BO300" s="762">
        <v>-175944</v>
      </c>
      <c r="BP300" s="762">
        <v>-140755</v>
      </c>
      <c r="BQ300" s="762">
        <v>-31670</v>
      </c>
      <c r="BR300" s="762">
        <v>-3519</v>
      </c>
      <c r="BS300" s="762">
        <v>-351888</v>
      </c>
      <c r="BT300" s="790">
        <v>0.5</v>
      </c>
      <c r="BU300" s="790">
        <v>0.4</v>
      </c>
      <c r="BV300" s="790">
        <v>0.09</v>
      </c>
      <c r="BW300" s="790">
        <v>0.01</v>
      </c>
      <c r="BX300" s="790">
        <v>1</v>
      </c>
      <c r="BY300" s="762">
        <v>217661</v>
      </c>
      <c r="BZ300" s="762">
        <v>174129</v>
      </c>
      <c r="CA300" s="762">
        <v>39179</v>
      </c>
      <c r="CB300" s="762">
        <v>4353</v>
      </c>
      <c r="CC300" s="762">
        <v>435322</v>
      </c>
      <c r="CD300" s="762">
        <v>41717</v>
      </c>
      <c r="CE300" s="762">
        <v>33374</v>
      </c>
      <c r="CF300" s="762">
        <v>7509</v>
      </c>
      <c r="CG300" s="762">
        <v>834</v>
      </c>
      <c r="CH300" s="762">
        <v>83434</v>
      </c>
      <c r="CI300" s="762">
        <v>7879294</v>
      </c>
      <c r="CJ300" s="762">
        <v>14245198</v>
      </c>
      <c r="CK300" s="762">
        <v>8158588</v>
      </c>
      <c r="CL300" s="762">
        <v>1568349</v>
      </c>
      <c r="CM300" s="762">
        <v>31851429</v>
      </c>
      <c r="CN300" s="762">
        <v>455858</v>
      </c>
      <c r="CO300" s="762">
        <v>265616</v>
      </c>
      <c r="CP300" s="762">
        <v>51080</v>
      </c>
      <c r="CQ300" s="762">
        <v>772554</v>
      </c>
      <c r="CR300" s="762">
        <v>2613829</v>
      </c>
      <c r="CS300" s="762">
        <v>1544535</v>
      </c>
      <c r="CT300" s="762">
        <v>297026</v>
      </c>
      <c r="CU300" s="762">
        <v>4455390</v>
      </c>
      <c r="CV300" s="762">
        <v>115979</v>
      </c>
      <c r="CW300" s="762">
        <v>68533</v>
      </c>
      <c r="CX300" s="762">
        <v>13179</v>
      </c>
      <c r="CY300" s="762">
        <v>197691</v>
      </c>
      <c r="CZ300" s="762">
        <v>14219</v>
      </c>
      <c r="DA300" s="762">
        <v>8402</v>
      </c>
      <c r="DB300" s="762">
        <v>1616</v>
      </c>
      <c r="DC300" s="762">
        <v>24237</v>
      </c>
      <c r="DD300" s="762">
        <v>17286</v>
      </c>
      <c r="DE300" s="762">
        <v>10214</v>
      </c>
      <c r="DF300" s="762">
        <v>1964</v>
      </c>
      <c r="DG300" s="762">
        <v>29464</v>
      </c>
      <c r="DH300" s="762">
        <v>0</v>
      </c>
      <c r="DI300" s="762">
        <v>0</v>
      </c>
      <c r="DJ300" s="762">
        <v>0</v>
      </c>
      <c r="DK300" s="762">
        <v>0</v>
      </c>
      <c r="DL300" s="762">
        <v>27306</v>
      </c>
      <c r="DM300" s="762">
        <v>16135</v>
      </c>
      <c r="DN300" s="762">
        <v>3103</v>
      </c>
      <c r="DO300" s="762">
        <v>46544</v>
      </c>
      <c r="DP300" s="762">
        <v>28491</v>
      </c>
      <c r="DQ300" s="762">
        <v>16835</v>
      </c>
      <c r="DR300" s="762">
        <v>3238</v>
      </c>
      <c r="DS300" s="762">
        <v>48564</v>
      </c>
      <c r="DT300" s="762">
        <v>0</v>
      </c>
      <c r="DU300" s="762">
        <v>0</v>
      </c>
      <c r="DV300" s="762">
        <v>0</v>
      </c>
      <c r="DW300" s="762">
        <v>0</v>
      </c>
      <c r="DX300" s="762">
        <v>0</v>
      </c>
      <c r="DY300" s="762">
        <v>0</v>
      </c>
      <c r="DZ300" s="762">
        <v>0</v>
      </c>
      <c r="EA300" s="762">
        <v>0</v>
      </c>
      <c r="EB300" s="762">
        <v>511130</v>
      </c>
      <c r="EC300" s="762">
        <v>302032</v>
      </c>
      <c r="ED300" s="762">
        <v>58083</v>
      </c>
      <c r="EE300" s="762">
        <v>871245</v>
      </c>
      <c r="EF300" s="762">
        <v>3784098</v>
      </c>
      <c r="EG300" s="762">
        <v>2232302</v>
      </c>
      <c r="EH300" s="762">
        <v>429289</v>
      </c>
      <c r="EI300" s="799">
        <v>6445689</v>
      </c>
      <c r="EJ300" s="763" t="s">
        <v>476</v>
      </c>
      <c r="EK300" s="607" t="s">
        <v>571</v>
      </c>
      <c r="EL300" s="805" t="s">
        <v>570</v>
      </c>
      <c r="EM300" t="s">
        <v>1866</v>
      </c>
    </row>
    <row r="301" spans="1:143" ht="12.75" x14ac:dyDescent="0.2">
      <c r="A301" s="764">
        <v>294</v>
      </c>
      <c r="B301" s="765" t="s">
        <v>479</v>
      </c>
      <c r="C301" s="766" t="s">
        <v>1217</v>
      </c>
      <c r="D301" s="767" t="s">
        <v>1220</v>
      </c>
      <c r="E301" s="768" t="s">
        <v>478</v>
      </c>
      <c r="F301" s="761">
        <v>28617711</v>
      </c>
      <c r="G301" s="762">
        <v>0</v>
      </c>
      <c r="H301" s="762">
        <v>308687</v>
      </c>
      <c r="I301" s="762">
        <v>108191</v>
      </c>
      <c r="J301" s="762">
        <v>0</v>
      </c>
      <c r="K301" s="762">
        <v>108191</v>
      </c>
      <c r="L301" s="762">
        <v>0</v>
      </c>
      <c r="M301" s="762">
        <v>0</v>
      </c>
      <c r="N301" s="762">
        <v>38666</v>
      </c>
      <c r="O301" s="762">
        <v>38666</v>
      </c>
      <c r="P301" s="762">
        <v>0</v>
      </c>
      <c r="Q301" s="762">
        <v>0</v>
      </c>
      <c r="R301" s="762">
        <v>28162167</v>
      </c>
      <c r="S301" s="790">
        <v>0.25</v>
      </c>
      <c r="T301" s="790">
        <v>0.4</v>
      </c>
      <c r="U301" s="790">
        <v>0.33999999999999997</v>
      </c>
      <c r="V301" s="790">
        <v>0.01</v>
      </c>
      <c r="W301" s="790">
        <v>1</v>
      </c>
      <c r="X301" s="762">
        <v>7040541</v>
      </c>
      <c r="Y301" s="762">
        <v>11264867</v>
      </c>
      <c r="Z301" s="762">
        <v>9575137</v>
      </c>
      <c r="AA301" s="762">
        <v>281622</v>
      </c>
      <c r="AB301" s="762">
        <v>28162167</v>
      </c>
      <c r="AC301" s="762">
        <v>0</v>
      </c>
      <c r="AD301" s="762">
        <v>0</v>
      </c>
      <c r="AE301" s="762">
        <v>0</v>
      </c>
      <c r="AF301" s="762">
        <v>0</v>
      </c>
      <c r="AG301" s="762">
        <v>0</v>
      </c>
      <c r="AH301" s="762">
        <v>7040541</v>
      </c>
      <c r="AI301" s="762">
        <v>11264867</v>
      </c>
      <c r="AJ301" s="762">
        <v>9575137</v>
      </c>
      <c r="AK301" s="762">
        <v>281622</v>
      </c>
      <c r="AL301" s="762">
        <v>28162167</v>
      </c>
      <c r="AM301" s="762">
        <v>108191</v>
      </c>
      <c r="AN301" s="762">
        <v>108191</v>
      </c>
      <c r="AO301" s="762">
        <v>0</v>
      </c>
      <c r="AP301" s="762">
        <v>0</v>
      </c>
      <c r="AQ301" s="762">
        <v>38666</v>
      </c>
      <c r="AR301" s="762">
        <v>0</v>
      </c>
      <c r="AS301" s="762">
        <v>38666</v>
      </c>
      <c r="AT301" s="762">
        <v>0</v>
      </c>
      <c r="AU301" s="762">
        <v>0</v>
      </c>
      <c r="AV301" s="762">
        <v>0</v>
      </c>
      <c r="AW301" s="762">
        <v>0</v>
      </c>
      <c r="AX301" s="762">
        <v>0</v>
      </c>
      <c r="AY301" s="762">
        <v>0</v>
      </c>
      <c r="AZ301" s="762">
        <v>0</v>
      </c>
      <c r="BA301" s="762">
        <v>0</v>
      </c>
      <c r="BB301" s="762">
        <v>0</v>
      </c>
      <c r="BC301" s="762">
        <v>0</v>
      </c>
      <c r="BD301" s="762">
        <v>0</v>
      </c>
      <c r="BE301" s="762">
        <v>0</v>
      </c>
      <c r="BF301" s="762">
        <v>0</v>
      </c>
      <c r="BG301" s="762">
        <v>0</v>
      </c>
      <c r="BH301" s="762">
        <v>0</v>
      </c>
      <c r="BI301" s="762">
        <v>0</v>
      </c>
      <c r="BJ301" s="790">
        <v>0.5</v>
      </c>
      <c r="BK301" s="790">
        <v>0.4</v>
      </c>
      <c r="BL301" s="790">
        <v>0.1</v>
      </c>
      <c r="BM301" s="790">
        <v>0</v>
      </c>
      <c r="BN301" s="790">
        <v>1</v>
      </c>
      <c r="BO301" s="762">
        <v>-188286</v>
      </c>
      <c r="BP301" s="762">
        <v>-150629</v>
      </c>
      <c r="BQ301" s="762">
        <v>-37657</v>
      </c>
      <c r="BR301" s="762">
        <v>0</v>
      </c>
      <c r="BS301" s="762">
        <v>-376572</v>
      </c>
      <c r="BT301" s="790">
        <v>0.5</v>
      </c>
      <c r="BU301" s="790">
        <v>0.4</v>
      </c>
      <c r="BV301" s="790">
        <v>0.1</v>
      </c>
      <c r="BW301" s="790">
        <v>0</v>
      </c>
      <c r="BX301" s="790">
        <v>1</v>
      </c>
      <c r="BY301" s="762">
        <v>-549681</v>
      </c>
      <c r="BZ301" s="762">
        <v>-439744</v>
      </c>
      <c r="CA301" s="762">
        <v>-109936</v>
      </c>
      <c r="CB301" s="762">
        <v>0</v>
      </c>
      <c r="CC301" s="762">
        <v>-1099361</v>
      </c>
      <c r="CD301" s="762">
        <v>-737967</v>
      </c>
      <c r="CE301" s="762">
        <v>-590373</v>
      </c>
      <c r="CF301" s="762">
        <v>-147593</v>
      </c>
      <c r="CG301" s="762">
        <v>0</v>
      </c>
      <c r="CH301" s="762">
        <v>-1475933</v>
      </c>
      <c r="CI301" s="762">
        <v>6302574</v>
      </c>
      <c r="CJ301" s="762">
        <v>10821351</v>
      </c>
      <c r="CK301" s="762">
        <v>9427544</v>
      </c>
      <c r="CL301" s="762">
        <v>281622</v>
      </c>
      <c r="CM301" s="762">
        <v>26833091</v>
      </c>
      <c r="CN301" s="762">
        <v>368343</v>
      </c>
      <c r="CO301" s="762">
        <v>312021</v>
      </c>
      <c r="CP301" s="762">
        <v>9177</v>
      </c>
      <c r="CQ301" s="762">
        <v>689541</v>
      </c>
      <c r="CR301" s="762">
        <v>973806</v>
      </c>
      <c r="CS301" s="762">
        <v>827734</v>
      </c>
      <c r="CT301" s="762">
        <v>24345</v>
      </c>
      <c r="CU301" s="762">
        <v>1825885</v>
      </c>
      <c r="CV301" s="762">
        <v>57109</v>
      </c>
      <c r="CW301" s="762">
        <v>48543</v>
      </c>
      <c r="CX301" s="762">
        <v>1428</v>
      </c>
      <c r="CY301" s="762">
        <v>107080</v>
      </c>
      <c r="CZ301" s="762">
        <v>0</v>
      </c>
      <c r="DA301" s="762">
        <v>0</v>
      </c>
      <c r="DB301" s="762">
        <v>0</v>
      </c>
      <c r="DC301" s="762">
        <v>0</v>
      </c>
      <c r="DD301" s="762">
        <v>0</v>
      </c>
      <c r="DE301" s="762">
        <v>0</v>
      </c>
      <c r="DF301" s="762">
        <v>0</v>
      </c>
      <c r="DG301" s="762">
        <v>0</v>
      </c>
      <c r="DH301" s="762">
        <v>0</v>
      </c>
      <c r="DI301" s="762">
        <v>0</v>
      </c>
      <c r="DJ301" s="762">
        <v>0</v>
      </c>
      <c r="DK301" s="762">
        <v>0</v>
      </c>
      <c r="DL301" s="762">
        <v>0</v>
      </c>
      <c r="DM301" s="762">
        <v>0</v>
      </c>
      <c r="DN301" s="762">
        <v>0</v>
      </c>
      <c r="DO301" s="762">
        <v>0</v>
      </c>
      <c r="DP301" s="762">
        <v>5025</v>
      </c>
      <c r="DQ301" s="762">
        <v>4272</v>
      </c>
      <c r="DR301" s="762">
        <v>126</v>
      </c>
      <c r="DS301" s="762">
        <v>9423</v>
      </c>
      <c r="DT301" s="762">
        <v>0</v>
      </c>
      <c r="DU301" s="762">
        <v>0</v>
      </c>
      <c r="DV301" s="762">
        <v>0</v>
      </c>
      <c r="DW301" s="762">
        <v>0</v>
      </c>
      <c r="DX301" s="762">
        <v>0</v>
      </c>
      <c r="DY301" s="762">
        <v>0</v>
      </c>
      <c r="DZ301" s="762">
        <v>0</v>
      </c>
      <c r="EA301" s="762">
        <v>0</v>
      </c>
      <c r="EB301" s="762">
        <v>225663</v>
      </c>
      <c r="EC301" s="762">
        <v>191813</v>
      </c>
      <c r="ED301" s="762">
        <v>5642</v>
      </c>
      <c r="EE301" s="762">
        <v>423118</v>
      </c>
      <c r="EF301" s="762">
        <v>1629946</v>
      </c>
      <c r="EG301" s="762">
        <v>1384383</v>
      </c>
      <c r="EH301" s="762">
        <v>40718</v>
      </c>
      <c r="EI301" s="799">
        <v>3055047</v>
      </c>
      <c r="EJ301" s="763" t="s">
        <v>478</v>
      </c>
      <c r="EK301" s="607" t="s">
        <v>605</v>
      </c>
      <c r="EL301" s="805" t="s">
        <v>556</v>
      </c>
      <c r="EM301" t="s">
        <v>1867</v>
      </c>
    </row>
    <row r="302" spans="1:143" ht="12.75" x14ac:dyDescent="0.2">
      <c r="A302" s="764">
        <v>295</v>
      </c>
      <c r="B302" s="765" t="s">
        <v>481</v>
      </c>
      <c r="C302" s="766" t="s">
        <v>1217</v>
      </c>
      <c r="D302" s="767" t="s">
        <v>1221</v>
      </c>
      <c r="E302" s="768" t="s">
        <v>480</v>
      </c>
      <c r="F302" s="761">
        <v>60936110</v>
      </c>
      <c r="G302" s="762">
        <v>142849</v>
      </c>
      <c r="H302" s="762">
        <v>0</v>
      </c>
      <c r="I302" s="762">
        <v>148429</v>
      </c>
      <c r="J302" s="762">
        <v>0</v>
      </c>
      <c r="K302" s="762">
        <v>148429</v>
      </c>
      <c r="L302" s="762">
        <v>0</v>
      </c>
      <c r="M302" s="762">
        <v>0</v>
      </c>
      <c r="N302" s="762">
        <v>0</v>
      </c>
      <c r="O302" s="762">
        <v>0</v>
      </c>
      <c r="P302" s="762">
        <v>0</v>
      </c>
      <c r="Q302" s="762">
        <v>0</v>
      </c>
      <c r="R302" s="762">
        <v>60930530</v>
      </c>
      <c r="S302" s="790">
        <v>0.25</v>
      </c>
      <c r="T302" s="790">
        <v>0.35</v>
      </c>
      <c r="U302" s="790">
        <v>0.4</v>
      </c>
      <c r="V302" s="790">
        <v>0</v>
      </c>
      <c r="W302" s="790">
        <v>1</v>
      </c>
      <c r="X302" s="762">
        <v>15232632</v>
      </c>
      <c r="Y302" s="762">
        <v>21325686</v>
      </c>
      <c r="Z302" s="762">
        <v>24372212</v>
      </c>
      <c r="AA302" s="762">
        <v>0</v>
      </c>
      <c r="AB302" s="762">
        <v>60930530</v>
      </c>
      <c r="AC302" s="762">
        <v>0</v>
      </c>
      <c r="AD302" s="762">
        <v>0</v>
      </c>
      <c r="AE302" s="762">
        <v>0</v>
      </c>
      <c r="AF302" s="762">
        <v>0</v>
      </c>
      <c r="AG302" s="762">
        <v>0</v>
      </c>
      <c r="AH302" s="762">
        <v>15232632</v>
      </c>
      <c r="AI302" s="762">
        <v>21325686</v>
      </c>
      <c r="AJ302" s="762">
        <v>24372212</v>
      </c>
      <c r="AK302" s="762">
        <v>0</v>
      </c>
      <c r="AL302" s="762">
        <v>60930530</v>
      </c>
      <c r="AM302" s="762">
        <v>148429</v>
      </c>
      <c r="AN302" s="762">
        <v>148429</v>
      </c>
      <c r="AO302" s="762">
        <v>0</v>
      </c>
      <c r="AP302" s="762">
        <v>0</v>
      </c>
      <c r="AQ302" s="762">
        <v>0</v>
      </c>
      <c r="AR302" s="762">
        <v>0</v>
      </c>
      <c r="AS302" s="762">
        <v>0</v>
      </c>
      <c r="AT302" s="762">
        <v>0</v>
      </c>
      <c r="AU302" s="762">
        <v>0</v>
      </c>
      <c r="AV302" s="762">
        <v>0</v>
      </c>
      <c r="AW302" s="762">
        <v>0</v>
      </c>
      <c r="AX302" s="762">
        <v>0</v>
      </c>
      <c r="AY302" s="762">
        <v>0</v>
      </c>
      <c r="AZ302" s="762">
        <v>0</v>
      </c>
      <c r="BA302" s="762">
        <v>0</v>
      </c>
      <c r="BB302" s="762">
        <v>0</v>
      </c>
      <c r="BC302" s="762">
        <v>0</v>
      </c>
      <c r="BD302" s="762">
        <v>0</v>
      </c>
      <c r="BE302" s="762">
        <v>0</v>
      </c>
      <c r="BF302" s="762">
        <v>0</v>
      </c>
      <c r="BG302" s="762">
        <v>0</v>
      </c>
      <c r="BH302" s="762">
        <v>0</v>
      </c>
      <c r="BI302" s="762">
        <v>0</v>
      </c>
      <c r="BJ302" s="790">
        <v>0.5</v>
      </c>
      <c r="BK302" s="790">
        <v>0.4</v>
      </c>
      <c r="BL302" s="790">
        <v>0.1</v>
      </c>
      <c r="BM302" s="790">
        <v>0</v>
      </c>
      <c r="BN302" s="790">
        <v>1</v>
      </c>
      <c r="BO302" s="762">
        <v>37985</v>
      </c>
      <c r="BP302" s="762">
        <v>30388</v>
      </c>
      <c r="BQ302" s="762">
        <v>7597</v>
      </c>
      <c r="BR302" s="762">
        <v>0</v>
      </c>
      <c r="BS302" s="762">
        <v>75970</v>
      </c>
      <c r="BT302" s="790">
        <v>0.5</v>
      </c>
      <c r="BU302" s="790">
        <v>0.4</v>
      </c>
      <c r="BV302" s="790">
        <v>0.1</v>
      </c>
      <c r="BW302" s="790">
        <v>0</v>
      </c>
      <c r="BX302" s="790">
        <v>1</v>
      </c>
      <c r="BY302" s="762">
        <v>-2247467</v>
      </c>
      <c r="BZ302" s="762">
        <v>-1797973</v>
      </c>
      <c r="CA302" s="762">
        <v>-449493</v>
      </c>
      <c r="CB302" s="762">
        <v>0</v>
      </c>
      <c r="CC302" s="762">
        <v>-4494933</v>
      </c>
      <c r="CD302" s="762">
        <v>-2209482</v>
      </c>
      <c r="CE302" s="762">
        <v>-1767585</v>
      </c>
      <c r="CF302" s="762">
        <v>-441896</v>
      </c>
      <c r="CG302" s="762">
        <v>0</v>
      </c>
      <c r="CH302" s="762">
        <v>-4418963</v>
      </c>
      <c r="CI302" s="762">
        <v>13023150</v>
      </c>
      <c r="CJ302" s="762">
        <v>19706530</v>
      </c>
      <c r="CK302" s="762">
        <v>23930316</v>
      </c>
      <c r="CL302" s="762">
        <v>0</v>
      </c>
      <c r="CM302" s="762">
        <v>56659996</v>
      </c>
      <c r="CN302" s="762">
        <v>694931</v>
      </c>
      <c r="CO302" s="762">
        <v>794207</v>
      </c>
      <c r="CP302" s="762">
        <v>0</v>
      </c>
      <c r="CQ302" s="762">
        <v>1489138</v>
      </c>
      <c r="CR302" s="762">
        <v>591624</v>
      </c>
      <c r="CS302" s="762">
        <v>676142</v>
      </c>
      <c r="CT302" s="762">
        <v>0</v>
      </c>
      <c r="CU302" s="762">
        <v>1267766</v>
      </c>
      <c r="CV302" s="762">
        <v>74874</v>
      </c>
      <c r="CW302" s="762">
        <v>85570</v>
      </c>
      <c r="CX302" s="762">
        <v>0</v>
      </c>
      <c r="CY302" s="762">
        <v>160444</v>
      </c>
      <c r="CZ302" s="762">
        <v>0</v>
      </c>
      <c r="DA302" s="762">
        <v>0</v>
      </c>
      <c r="DB302" s="762">
        <v>0</v>
      </c>
      <c r="DC302" s="762">
        <v>0</v>
      </c>
      <c r="DD302" s="762">
        <v>0</v>
      </c>
      <c r="DE302" s="762">
        <v>0</v>
      </c>
      <c r="DF302" s="762">
        <v>0</v>
      </c>
      <c r="DG302" s="762">
        <v>0</v>
      </c>
      <c r="DH302" s="762">
        <v>542</v>
      </c>
      <c r="DI302" s="762">
        <v>620</v>
      </c>
      <c r="DJ302" s="762">
        <v>0</v>
      </c>
      <c r="DK302" s="762">
        <v>1162</v>
      </c>
      <c r="DL302" s="762">
        <v>18165</v>
      </c>
      <c r="DM302" s="762">
        <v>20760</v>
      </c>
      <c r="DN302" s="762">
        <v>0</v>
      </c>
      <c r="DO302" s="762">
        <v>38925</v>
      </c>
      <c r="DP302" s="762">
        <v>21615</v>
      </c>
      <c r="DQ302" s="762">
        <v>24703</v>
      </c>
      <c r="DR302" s="762">
        <v>0</v>
      </c>
      <c r="DS302" s="762">
        <v>46318</v>
      </c>
      <c r="DT302" s="762">
        <v>0</v>
      </c>
      <c r="DU302" s="762">
        <v>0</v>
      </c>
      <c r="DV302" s="762">
        <v>0</v>
      </c>
      <c r="DW302" s="762">
        <v>0</v>
      </c>
      <c r="DX302" s="762">
        <v>0</v>
      </c>
      <c r="DY302" s="762">
        <v>0</v>
      </c>
      <c r="DZ302" s="762">
        <v>0</v>
      </c>
      <c r="EA302" s="762">
        <v>0</v>
      </c>
      <c r="EB302" s="762">
        <v>344278</v>
      </c>
      <c r="EC302" s="762">
        <v>393461</v>
      </c>
      <c r="ED302" s="762">
        <v>0</v>
      </c>
      <c r="EE302" s="762">
        <v>737739</v>
      </c>
      <c r="EF302" s="762">
        <v>1746029</v>
      </c>
      <c r="EG302" s="762">
        <v>1995463</v>
      </c>
      <c r="EH302" s="762">
        <v>0</v>
      </c>
      <c r="EI302" s="799">
        <v>3741492</v>
      </c>
      <c r="EJ302" s="763" t="s">
        <v>480</v>
      </c>
      <c r="EK302" s="607" t="s">
        <v>584</v>
      </c>
      <c r="EL302" s="805" t="s">
        <v>556</v>
      </c>
      <c r="EM302" t="s">
        <v>1868</v>
      </c>
    </row>
    <row r="303" spans="1:143" ht="12.75" x14ac:dyDescent="0.2">
      <c r="A303" s="764">
        <v>296</v>
      </c>
      <c r="B303" s="765" t="s">
        <v>483</v>
      </c>
      <c r="C303" s="766" t="s">
        <v>529</v>
      </c>
      <c r="D303" s="767" t="s">
        <v>1218</v>
      </c>
      <c r="E303" s="768" t="s">
        <v>538</v>
      </c>
      <c r="F303" s="761">
        <v>86313001</v>
      </c>
      <c r="G303" s="762">
        <v>0</v>
      </c>
      <c r="H303" s="762">
        <v>1386216</v>
      </c>
      <c r="I303" s="762">
        <v>259336</v>
      </c>
      <c r="J303" s="762">
        <v>0</v>
      </c>
      <c r="K303" s="762">
        <v>259336</v>
      </c>
      <c r="L303" s="762">
        <v>0</v>
      </c>
      <c r="M303" s="762">
        <v>0</v>
      </c>
      <c r="N303" s="762">
        <v>0</v>
      </c>
      <c r="O303" s="762">
        <v>0</v>
      </c>
      <c r="P303" s="762">
        <v>0</v>
      </c>
      <c r="Q303" s="762">
        <v>0</v>
      </c>
      <c r="R303" s="762">
        <v>84667449</v>
      </c>
      <c r="S303" s="790">
        <v>0.25</v>
      </c>
      <c r="T303" s="790">
        <v>0.74</v>
      </c>
      <c r="U303" s="790">
        <v>0</v>
      </c>
      <c r="V303" s="790">
        <v>0.01</v>
      </c>
      <c r="W303" s="790">
        <v>1</v>
      </c>
      <c r="X303" s="762">
        <v>21166863</v>
      </c>
      <c r="Y303" s="762">
        <v>62653912</v>
      </c>
      <c r="Z303" s="762">
        <v>0</v>
      </c>
      <c r="AA303" s="762">
        <v>846674</v>
      </c>
      <c r="AB303" s="762">
        <v>84667449</v>
      </c>
      <c r="AC303" s="762">
        <v>0</v>
      </c>
      <c r="AD303" s="762">
        <v>0</v>
      </c>
      <c r="AE303" s="762">
        <v>0</v>
      </c>
      <c r="AF303" s="762">
        <v>0</v>
      </c>
      <c r="AG303" s="762">
        <v>0</v>
      </c>
      <c r="AH303" s="762">
        <v>21166863</v>
      </c>
      <c r="AI303" s="762">
        <v>62653912</v>
      </c>
      <c r="AJ303" s="762">
        <v>0</v>
      </c>
      <c r="AK303" s="762">
        <v>846674</v>
      </c>
      <c r="AL303" s="762">
        <v>84667449</v>
      </c>
      <c r="AM303" s="762">
        <v>259336</v>
      </c>
      <c r="AN303" s="762">
        <v>259336</v>
      </c>
      <c r="AO303" s="762">
        <v>0</v>
      </c>
      <c r="AP303" s="762">
        <v>0</v>
      </c>
      <c r="AQ303" s="762">
        <v>0</v>
      </c>
      <c r="AR303" s="762">
        <v>0</v>
      </c>
      <c r="AS303" s="762">
        <v>0</v>
      </c>
      <c r="AT303" s="762">
        <v>0</v>
      </c>
      <c r="AU303" s="762">
        <v>0</v>
      </c>
      <c r="AV303" s="762">
        <v>0</v>
      </c>
      <c r="AW303" s="762">
        <v>0</v>
      </c>
      <c r="AX303" s="762">
        <v>0</v>
      </c>
      <c r="AY303" s="762">
        <v>0</v>
      </c>
      <c r="AZ303" s="762">
        <v>0</v>
      </c>
      <c r="BA303" s="762">
        <v>0</v>
      </c>
      <c r="BB303" s="762">
        <v>0</v>
      </c>
      <c r="BC303" s="762">
        <v>0</v>
      </c>
      <c r="BD303" s="762">
        <v>0</v>
      </c>
      <c r="BE303" s="762">
        <v>0</v>
      </c>
      <c r="BF303" s="762">
        <v>0</v>
      </c>
      <c r="BG303" s="762">
        <v>0</v>
      </c>
      <c r="BH303" s="762">
        <v>0</v>
      </c>
      <c r="BI303" s="762">
        <v>0</v>
      </c>
      <c r="BJ303" s="790">
        <v>0</v>
      </c>
      <c r="BK303" s="790">
        <v>0.99</v>
      </c>
      <c r="BL303" s="790">
        <v>0</v>
      </c>
      <c r="BM303" s="790">
        <v>0.01</v>
      </c>
      <c r="BN303" s="790">
        <v>1</v>
      </c>
      <c r="BO303" s="762">
        <v>0</v>
      </c>
      <c r="BP303" s="762">
        <v>3797621</v>
      </c>
      <c r="BQ303" s="762">
        <v>0</v>
      </c>
      <c r="BR303" s="762">
        <v>38360</v>
      </c>
      <c r="BS303" s="762">
        <v>3835981</v>
      </c>
      <c r="BT303" s="790">
        <v>0.5</v>
      </c>
      <c r="BU303" s="790">
        <v>0.49</v>
      </c>
      <c r="BV303" s="790">
        <v>0</v>
      </c>
      <c r="BW303" s="790">
        <v>0.01</v>
      </c>
      <c r="BX303" s="790">
        <v>1</v>
      </c>
      <c r="BY303" s="762">
        <v>-2620114</v>
      </c>
      <c r="BZ303" s="762">
        <v>-2567712</v>
      </c>
      <c r="CA303" s="762">
        <v>0</v>
      </c>
      <c r="CB303" s="762">
        <v>-52402</v>
      </c>
      <c r="CC303" s="762">
        <v>-5240228</v>
      </c>
      <c r="CD303" s="762">
        <v>-2620114</v>
      </c>
      <c r="CE303" s="762">
        <v>1229909</v>
      </c>
      <c r="CF303" s="762">
        <v>0</v>
      </c>
      <c r="CG303" s="762">
        <v>-14042</v>
      </c>
      <c r="CH303" s="762">
        <v>-1404247</v>
      </c>
      <c r="CI303" s="762">
        <v>18546749</v>
      </c>
      <c r="CJ303" s="762">
        <v>64143157</v>
      </c>
      <c r="CK303" s="762">
        <v>0</v>
      </c>
      <c r="CL303" s="762">
        <v>832632</v>
      </c>
      <c r="CM303" s="762">
        <v>83522538</v>
      </c>
      <c r="CN303" s="762">
        <v>2041675</v>
      </c>
      <c r="CO303" s="762">
        <v>0</v>
      </c>
      <c r="CP303" s="762">
        <v>27590</v>
      </c>
      <c r="CQ303" s="762">
        <v>2069265</v>
      </c>
      <c r="CR303" s="762">
        <v>2741664</v>
      </c>
      <c r="CS303" s="762">
        <v>0</v>
      </c>
      <c r="CT303" s="762">
        <v>37050</v>
      </c>
      <c r="CU303" s="762">
        <v>2778714</v>
      </c>
      <c r="CV303" s="762">
        <v>289423</v>
      </c>
      <c r="CW303" s="762">
        <v>0</v>
      </c>
      <c r="CX303" s="762">
        <v>3911</v>
      </c>
      <c r="CY303" s="762">
        <v>293334</v>
      </c>
      <c r="CZ303" s="762">
        <v>10127</v>
      </c>
      <c r="DA303" s="762">
        <v>0</v>
      </c>
      <c r="DB303" s="762">
        <v>137</v>
      </c>
      <c r="DC303" s="762">
        <v>10264</v>
      </c>
      <c r="DD303" s="762">
        <v>0</v>
      </c>
      <c r="DE303" s="762">
        <v>0</v>
      </c>
      <c r="DF303" s="762">
        <v>0</v>
      </c>
      <c r="DG303" s="762">
        <v>0</v>
      </c>
      <c r="DH303" s="762">
        <v>0</v>
      </c>
      <c r="DI303" s="762">
        <v>0</v>
      </c>
      <c r="DJ303" s="762">
        <v>0</v>
      </c>
      <c r="DK303" s="762">
        <v>0</v>
      </c>
      <c r="DL303" s="762">
        <v>38594</v>
      </c>
      <c r="DM303" s="762">
        <v>0</v>
      </c>
      <c r="DN303" s="762">
        <v>522</v>
      </c>
      <c r="DO303" s="762">
        <v>39116</v>
      </c>
      <c r="DP303" s="762">
        <v>84194</v>
      </c>
      <c r="DQ303" s="762">
        <v>0</v>
      </c>
      <c r="DR303" s="762">
        <v>1138</v>
      </c>
      <c r="DS303" s="762">
        <v>85332</v>
      </c>
      <c r="DT303" s="762">
        <v>0</v>
      </c>
      <c r="DU303" s="762">
        <v>0</v>
      </c>
      <c r="DV303" s="762">
        <v>0</v>
      </c>
      <c r="DW303" s="762">
        <v>0</v>
      </c>
      <c r="DX303" s="762">
        <v>0</v>
      </c>
      <c r="DY303" s="762">
        <v>0</v>
      </c>
      <c r="DZ303" s="762">
        <v>0</v>
      </c>
      <c r="EA303" s="762">
        <v>0</v>
      </c>
      <c r="EB303" s="762">
        <v>408801</v>
      </c>
      <c r="EC303" s="762">
        <v>0</v>
      </c>
      <c r="ED303" s="762">
        <v>5524</v>
      </c>
      <c r="EE303" s="762">
        <v>414325</v>
      </c>
      <c r="EF303" s="762">
        <v>5614478</v>
      </c>
      <c r="EG303" s="762">
        <v>0</v>
      </c>
      <c r="EH303" s="762">
        <v>75872</v>
      </c>
      <c r="EI303" s="799">
        <v>5690350</v>
      </c>
      <c r="EJ303" s="763" t="s">
        <v>538</v>
      </c>
      <c r="EK303" s="607" t="s">
        <v>529</v>
      </c>
      <c r="EL303" s="805" t="s">
        <v>537</v>
      </c>
      <c r="EM303" t="s">
        <v>1869</v>
      </c>
    </row>
    <row r="304" spans="1:143" ht="12.75" x14ac:dyDescent="0.2">
      <c r="A304" s="764">
        <v>297</v>
      </c>
      <c r="B304" s="765" t="s">
        <v>485</v>
      </c>
      <c r="C304" s="766" t="s">
        <v>1217</v>
      </c>
      <c r="D304" s="767" t="s">
        <v>1226</v>
      </c>
      <c r="E304" s="768" t="s">
        <v>484</v>
      </c>
      <c r="F304" s="761">
        <v>9710438</v>
      </c>
      <c r="G304" s="762">
        <v>284819</v>
      </c>
      <c r="H304" s="762">
        <v>0</v>
      </c>
      <c r="I304" s="762">
        <v>81908</v>
      </c>
      <c r="J304" s="762">
        <v>0</v>
      </c>
      <c r="K304" s="762">
        <v>81908</v>
      </c>
      <c r="L304" s="762">
        <v>0</v>
      </c>
      <c r="M304" s="762">
        <v>0</v>
      </c>
      <c r="N304" s="762">
        <v>0</v>
      </c>
      <c r="O304" s="762">
        <v>0</v>
      </c>
      <c r="P304" s="762">
        <v>0</v>
      </c>
      <c r="Q304" s="762">
        <v>0</v>
      </c>
      <c r="R304" s="762">
        <v>9913349</v>
      </c>
      <c r="S304" s="790">
        <v>0.5</v>
      </c>
      <c r="T304" s="790">
        <v>0.4</v>
      </c>
      <c r="U304" s="790">
        <v>0.09</v>
      </c>
      <c r="V304" s="790">
        <v>0.01</v>
      </c>
      <c r="W304" s="790">
        <v>1</v>
      </c>
      <c r="X304" s="762">
        <v>4956675</v>
      </c>
      <c r="Y304" s="762">
        <v>3965340</v>
      </c>
      <c r="Z304" s="762">
        <v>892201</v>
      </c>
      <c r="AA304" s="762">
        <v>99133</v>
      </c>
      <c r="AB304" s="762">
        <v>9913349</v>
      </c>
      <c r="AC304" s="762">
        <v>0</v>
      </c>
      <c r="AD304" s="762">
        <v>0</v>
      </c>
      <c r="AE304" s="762">
        <v>0</v>
      </c>
      <c r="AF304" s="762">
        <v>0</v>
      </c>
      <c r="AG304" s="762">
        <v>0</v>
      </c>
      <c r="AH304" s="762">
        <v>4956675</v>
      </c>
      <c r="AI304" s="762">
        <v>3965340</v>
      </c>
      <c r="AJ304" s="762">
        <v>892201</v>
      </c>
      <c r="AK304" s="762">
        <v>99133</v>
      </c>
      <c r="AL304" s="762">
        <v>9913349</v>
      </c>
      <c r="AM304" s="762">
        <v>81908</v>
      </c>
      <c r="AN304" s="762">
        <v>81908</v>
      </c>
      <c r="AO304" s="762">
        <v>0</v>
      </c>
      <c r="AP304" s="762">
        <v>0</v>
      </c>
      <c r="AQ304" s="762">
        <v>0</v>
      </c>
      <c r="AR304" s="762">
        <v>0</v>
      </c>
      <c r="AS304" s="762">
        <v>0</v>
      </c>
      <c r="AT304" s="762">
        <v>0</v>
      </c>
      <c r="AU304" s="762">
        <v>0</v>
      </c>
      <c r="AV304" s="762">
        <v>0</v>
      </c>
      <c r="AW304" s="762">
        <v>0</v>
      </c>
      <c r="AX304" s="762">
        <v>0</v>
      </c>
      <c r="AY304" s="762">
        <v>0</v>
      </c>
      <c r="AZ304" s="762">
        <v>0</v>
      </c>
      <c r="BA304" s="762">
        <v>0</v>
      </c>
      <c r="BB304" s="762">
        <v>0</v>
      </c>
      <c r="BC304" s="762">
        <v>0</v>
      </c>
      <c r="BD304" s="762">
        <v>0</v>
      </c>
      <c r="BE304" s="762">
        <v>0</v>
      </c>
      <c r="BF304" s="762">
        <v>0</v>
      </c>
      <c r="BG304" s="762">
        <v>0</v>
      </c>
      <c r="BH304" s="762">
        <v>0</v>
      </c>
      <c r="BI304" s="762">
        <v>0</v>
      </c>
      <c r="BJ304" s="790">
        <v>0</v>
      </c>
      <c r="BK304" s="790">
        <v>0.4</v>
      </c>
      <c r="BL304" s="790">
        <v>0.59</v>
      </c>
      <c r="BM304" s="790">
        <v>0.01</v>
      </c>
      <c r="BN304" s="790">
        <v>1</v>
      </c>
      <c r="BO304" s="762">
        <v>0</v>
      </c>
      <c r="BP304" s="762">
        <v>281035</v>
      </c>
      <c r="BQ304" s="762">
        <v>414527</v>
      </c>
      <c r="BR304" s="762">
        <v>7026</v>
      </c>
      <c r="BS304" s="762">
        <v>702588</v>
      </c>
      <c r="BT304" s="790">
        <v>0.5</v>
      </c>
      <c r="BU304" s="790">
        <v>0.4</v>
      </c>
      <c r="BV304" s="790">
        <v>0.09</v>
      </c>
      <c r="BW304" s="790">
        <v>0.01</v>
      </c>
      <c r="BX304" s="790">
        <v>1</v>
      </c>
      <c r="BY304" s="762">
        <v>38952</v>
      </c>
      <c r="BZ304" s="762">
        <v>31161</v>
      </c>
      <c r="CA304" s="762">
        <v>7011</v>
      </c>
      <c r="CB304" s="762">
        <v>779</v>
      </c>
      <c r="CC304" s="762">
        <v>77903</v>
      </c>
      <c r="CD304" s="762">
        <v>38952</v>
      </c>
      <c r="CE304" s="762">
        <v>312196</v>
      </c>
      <c r="CF304" s="762">
        <v>421538</v>
      </c>
      <c r="CG304" s="762">
        <v>7805</v>
      </c>
      <c r="CH304" s="762">
        <v>780491</v>
      </c>
      <c r="CI304" s="762">
        <v>4995627</v>
      </c>
      <c r="CJ304" s="762">
        <v>4359444</v>
      </c>
      <c r="CK304" s="762">
        <v>1313739</v>
      </c>
      <c r="CL304" s="762">
        <v>106938</v>
      </c>
      <c r="CM304" s="762">
        <v>10775748</v>
      </c>
      <c r="CN304" s="762">
        <v>129217</v>
      </c>
      <c r="CO304" s="762">
        <v>29074</v>
      </c>
      <c r="CP304" s="762">
        <v>3230</v>
      </c>
      <c r="CQ304" s="762">
        <v>161521</v>
      </c>
      <c r="CR304" s="762">
        <v>766171</v>
      </c>
      <c r="CS304" s="762">
        <v>172389</v>
      </c>
      <c r="CT304" s="762">
        <v>19154</v>
      </c>
      <c r="CU304" s="762">
        <v>957714</v>
      </c>
      <c r="CV304" s="762">
        <v>33446</v>
      </c>
      <c r="CW304" s="762">
        <v>7525</v>
      </c>
      <c r="CX304" s="762">
        <v>836</v>
      </c>
      <c r="CY304" s="762">
        <v>41807</v>
      </c>
      <c r="CZ304" s="762">
        <v>0</v>
      </c>
      <c r="DA304" s="762">
        <v>0</v>
      </c>
      <c r="DB304" s="762">
        <v>0</v>
      </c>
      <c r="DC304" s="762">
        <v>0</v>
      </c>
      <c r="DD304" s="762">
        <v>17773</v>
      </c>
      <c r="DE304" s="762">
        <v>3999</v>
      </c>
      <c r="DF304" s="762">
        <v>444</v>
      </c>
      <c r="DG304" s="762">
        <v>22216</v>
      </c>
      <c r="DH304" s="762">
        <v>620</v>
      </c>
      <c r="DI304" s="762">
        <v>139</v>
      </c>
      <c r="DJ304" s="762">
        <v>15</v>
      </c>
      <c r="DK304" s="762">
        <v>774</v>
      </c>
      <c r="DL304" s="762">
        <v>9528</v>
      </c>
      <c r="DM304" s="762">
        <v>2144</v>
      </c>
      <c r="DN304" s="762">
        <v>238</v>
      </c>
      <c r="DO304" s="762">
        <v>11910</v>
      </c>
      <c r="DP304" s="762">
        <v>9247</v>
      </c>
      <c r="DQ304" s="762">
        <v>2080</v>
      </c>
      <c r="DR304" s="762">
        <v>231</v>
      </c>
      <c r="DS304" s="762">
        <v>11558</v>
      </c>
      <c r="DT304" s="762">
        <v>0</v>
      </c>
      <c r="DU304" s="762">
        <v>0</v>
      </c>
      <c r="DV304" s="762">
        <v>0</v>
      </c>
      <c r="DW304" s="762">
        <v>0</v>
      </c>
      <c r="DX304" s="762">
        <v>0</v>
      </c>
      <c r="DY304" s="762">
        <v>0</v>
      </c>
      <c r="DZ304" s="762">
        <v>0</v>
      </c>
      <c r="EA304" s="762">
        <v>0</v>
      </c>
      <c r="EB304" s="762">
        <v>225418</v>
      </c>
      <c r="EC304" s="762">
        <v>50719</v>
      </c>
      <c r="ED304" s="762">
        <v>5635</v>
      </c>
      <c r="EE304" s="762">
        <v>281772</v>
      </c>
      <c r="EF304" s="762">
        <v>1191420</v>
      </c>
      <c r="EG304" s="762">
        <v>268069</v>
      </c>
      <c r="EH304" s="762">
        <v>29783</v>
      </c>
      <c r="EI304" s="799">
        <v>1489272</v>
      </c>
      <c r="EJ304" s="763" t="s">
        <v>484</v>
      </c>
      <c r="EK304" s="607" t="s">
        <v>565</v>
      </c>
      <c r="EL304" s="805" t="s">
        <v>563</v>
      </c>
      <c r="EM304" t="s">
        <v>1870</v>
      </c>
    </row>
    <row r="305" spans="1:143" ht="12.75" x14ac:dyDescent="0.2">
      <c r="A305" s="764">
        <v>298</v>
      </c>
      <c r="B305" s="765" t="s">
        <v>487</v>
      </c>
      <c r="C305" s="766" t="s">
        <v>1217</v>
      </c>
      <c r="D305" s="767" t="s">
        <v>1219</v>
      </c>
      <c r="E305" s="768" t="s">
        <v>486</v>
      </c>
      <c r="F305" s="761">
        <v>29685159</v>
      </c>
      <c r="G305" s="762">
        <v>0</v>
      </c>
      <c r="H305" s="762">
        <v>203142</v>
      </c>
      <c r="I305" s="762">
        <v>127437</v>
      </c>
      <c r="J305" s="762">
        <v>0</v>
      </c>
      <c r="K305" s="762">
        <v>127437</v>
      </c>
      <c r="L305" s="762">
        <v>0</v>
      </c>
      <c r="M305" s="762">
        <v>0</v>
      </c>
      <c r="N305" s="762">
        <v>0</v>
      </c>
      <c r="O305" s="762">
        <v>0</v>
      </c>
      <c r="P305" s="762">
        <v>0</v>
      </c>
      <c r="Q305" s="762">
        <v>0</v>
      </c>
      <c r="R305" s="762">
        <v>29354580</v>
      </c>
      <c r="S305" s="790">
        <v>0.25</v>
      </c>
      <c r="T305" s="790">
        <v>0.56000000000000005</v>
      </c>
      <c r="U305" s="790">
        <v>0.17499999999999999</v>
      </c>
      <c r="V305" s="790">
        <v>1.4999999999999999E-2</v>
      </c>
      <c r="W305" s="790">
        <v>1</v>
      </c>
      <c r="X305" s="762">
        <v>7338644</v>
      </c>
      <c r="Y305" s="762">
        <v>16438565</v>
      </c>
      <c r="Z305" s="762">
        <v>5137052</v>
      </c>
      <c r="AA305" s="762">
        <v>440319</v>
      </c>
      <c r="AB305" s="762">
        <v>29354580</v>
      </c>
      <c r="AC305" s="762">
        <v>0</v>
      </c>
      <c r="AD305" s="762">
        <v>0</v>
      </c>
      <c r="AE305" s="762">
        <v>0</v>
      </c>
      <c r="AF305" s="762">
        <v>0</v>
      </c>
      <c r="AG305" s="762">
        <v>0</v>
      </c>
      <c r="AH305" s="762">
        <v>7338644</v>
      </c>
      <c r="AI305" s="762">
        <v>16438565</v>
      </c>
      <c r="AJ305" s="762">
        <v>5137052</v>
      </c>
      <c r="AK305" s="762">
        <v>440319</v>
      </c>
      <c r="AL305" s="762">
        <v>29354580</v>
      </c>
      <c r="AM305" s="762">
        <v>127437</v>
      </c>
      <c r="AN305" s="762">
        <v>127437</v>
      </c>
      <c r="AO305" s="762">
        <v>0</v>
      </c>
      <c r="AP305" s="762">
        <v>0</v>
      </c>
      <c r="AQ305" s="762">
        <v>0</v>
      </c>
      <c r="AR305" s="762">
        <v>0</v>
      </c>
      <c r="AS305" s="762">
        <v>0</v>
      </c>
      <c r="AT305" s="762">
        <v>0</v>
      </c>
      <c r="AU305" s="762">
        <v>0</v>
      </c>
      <c r="AV305" s="762">
        <v>0</v>
      </c>
      <c r="AW305" s="762">
        <v>0</v>
      </c>
      <c r="AX305" s="762">
        <v>0</v>
      </c>
      <c r="AY305" s="762">
        <v>0</v>
      </c>
      <c r="AZ305" s="762">
        <v>0</v>
      </c>
      <c r="BA305" s="762">
        <v>0</v>
      </c>
      <c r="BB305" s="762">
        <v>0</v>
      </c>
      <c r="BC305" s="762">
        <v>0</v>
      </c>
      <c r="BD305" s="762">
        <v>0</v>
      </c>
      <c r="BE305" s="762">
        <v>0</v>
      </c>
      <c r="BF305" s="762">
        <v>0</v>
      </c>
      <c r="BG305" s="762">
        <v>0</v>
      </c>
      <c r="BH305" s="762">
        <v>0</v>
      </c>
      <c r="BI305" s="762">
        <v>0</v>
      </c>
      <c r="BJ305" s="790">
        <v>0.5</v>
      </c>
      <c r="BK305" s="790">
        <v>0.4</v>
      </c>
      <c r="BL305" s="790">
        <v>0.09</v>
      </c>
      <c r="BM305" s="790">
        <v>0.01</v>
      </c>
      <c r="BN305" s="790">
        <v>1</v>
      </c>
      <c r="BO305" s="762">
        <v>129291</v>
      </c>
      <c r="BP305" s="762">
        <v>103432</v>
      </c>
      <c r="BQ305" s="762">
        <v>23272</v>
      </c>
      <c r="BR305" s="762">
        <v>2586</v>
      </c>
      <c r="BS305" s="762">
        <v>258581</v>
      </c>
      <c r="BT305" s="790">
        <v>0.5</v>
      </c>
      <c r="BU305" s="790">
        <v>0.4</v>
      </c>
      <c r="BV305" s="790">
        <v>0.09</v>
      </c>
      <c r="BW305" s="790">
        <v>0.01</v>
      </c>
      <c r="BX305" s="790">
        <v>1</v>
      </c>
      <c r="BY305" s="762">
        <v>252602</v>
      </c>
      <c r="BZ305" s="762">
        <v>202082</v>
      </c>
      <c r="CA305" s="762">
        <v>45468</v>
      </c>
      <c r="CB305" s="762">
        <v>5052</v>
      </c>
      <c r="CC305" s="762">
        <v>505204</v>
      </c>
      <c r="CD305" s="762">
        <v>381892</v>
      </c>
      <c r="CE305" s="762">
        <v>305514</v>
      </c>
      <c r="CF305" s="762">
        <v>68741</v>
      </c>
      <c r="CG305" s="762">
        <v>7638</v>
      </c>
      <c r="CH305" s="762">
        <v>763785</v>
      </c>
      <c r="CI305" s="762">
        <v>7720536</v>
      </c>
      <c r="CJ305" s="762">
        <v>16871516</v>
      </c>
      <c r="CK305" s="762">
        <v>5205793</v>
      </c>
      <c r="CL305" s="762">
        <v>447957</v>
      </c>
      <c r="CM305" s="762">
        <v>30245802</v>
      </c>
      <c r="CN305" s="762">
        <v>535676</v>
      </c>
      <c r="CO305" s="762">
        <v>167399</v>
      </c>
      <c r="CP305" s="762">
        <v>14348</v>
      </c>
      <c r="CQ305" s="762">
        <v>717423</v>
      </c>
      <c r="CR305" s="762">
        <v>1442605</v>
      </c>
      <c r="CS305" s="762">
        <v>450814</v>
      </c>
      <c r="CT305" s="762">
        <v>38641</v>
      </c>
      <c r="CU305" s="762">
        <v>1932060</v>
      </c>
      <c r="CV305" s="762">
        <v>95659</v>
      </c>
      <c r="CW305" s="762">
        <v>29894</v>
      </c>
      <c r="CX305" s="762">
        <v>2562</v>
      </c>
      <c r="CY305" s="762">
        <v>128115</v>
      </c>
      <c r="CZ305" s="762">
        <v>3407</v>
      </c>
      <c r="DA305" s="762">
        <v>1065</v>
      </c>
      <c r="DB305" s="762">
        <v>91</v>
      </c>
      <c r="DC305" s="762">
        <v>4563</v>
      </c>
      <c r="DD305" s="762">
        <v>867</v>
      </c>
      <c r="DE305" s="762">
        <v>271</v>
      </c>
      <c r="DF305" s="762">
        <v>23</v>
      </c>
      <c r="DG305" s="762">
        <v>1161</v>
      </c>
      <c r="DH305" s="762">
        <v>0</v>
      </c>
      <c r="DI305" s="762">
        <v>0</v>
      </c>
      <c r="DJ305" s="762">
        <v>0</v>
      </c>
      <c r="DK305" s="762">
        <v>0</v>
      </c>
      <c r="DL305" s="762">
        <v>4570</v>
      </c>
      <c r="DM305" s="762">
        <v>1428</v>
      </c>
      <c r="DN305" s="762">
        <v>122</v>
      </c>
      <c r="DO305" s="762">
        <v>6120</v>
      </c>
      <c r="DP305" s="762">
        <v>19490</v>
      </c>
      <c r="DQ305" s="762">
        <v>6090</v>
      </c>
      <c r="DR305" s="762">
        <v>522</v>
      </c>
      <c r="DS305" s="762">
        <v>26102</v>
      </c>
      <c r="DT305" s="762">
        <v>0</v>
      </c>
      <c r="DU305" s="762">
        <v>0</v>
      </c>
      <c r="DV305" s="762">
        <v>0</v>
      </c>
      <c r="DW305" s="762">
        <v>0</v>
      </c>
      <c r="DX305" s="762">
        <v>0</v>
      </c>
      <c r="DY305" s="762">
        <v>0</v>
      </c>
      <c r="DZ305" s="762">
        <v>0</v>
      </c>
      <c r="EA305" s="762">
        <v>0</v>
      </c>
      <c r="EB305" s="762">
        <v>354418</v>
      </c>
      <c r="EC305" s="762">
        <v>110755</v>
      </c>
      <c r="ED305" s="762">
        <v>9493</v>
      </c>
      <c r="EE305" s="762">
        <v>474666</v>
      </c>
      <c r="EF305" s="762">
        <v>2456692</v>
      </c>
      <c r="EG305" s="762">
        <v>767716</v>
      </c>
      <c r="EH305" s="762">
        <v>65802</v>
      </c>
      <c r="EI305" s="799">
        <v>3290210</v>
      </c>
      <c r="EJ305" s="763" t="s">
        <v>486</v>
      </c>
      <c r="EK305" s="607" t="s">
        <v>595</v>
      </c>
      <c r="EL305" s="805" t="s">
        <v>593</v>
      </c>
      <c r="EM305" t="s">
        <v>1871</v>
      </c>
    </row>
    <row r="306" spans="1:143" ht="12.75" x14ac:dyDescent="0.2">
      <c r="A306" s="764">
        <v>299</v>
      </c>
      <c r="B306" s="765" t="s">
        <v>489</v>
      </c>
      <c r="C306" s="766" t="s">
        <v>1217</v>
      </c>
      <c r="D306" s="767" t="s">
        <v>1220</v>
      </c>
      <c r="E306" s="768" t="s">
        <v>488</v>
      </c>
      <c r="F306" s="761">
        <v>17387240</v>
      </c>
      <c r="G306" s="762">
        <v>337008</v>
      </c>
      <c r="H306" s="762">
        <v>0</v>
      </c>
      <c r="I306" s="762">
        <v>105203</v>
      </c>
      <c r="J306" s="762">
        <v>0</v>
      </c>
      <c r="K306" s="762">
        <v>105203</v>
      </c>
      <c r="L306" s="762">
        <v>0</v>
      </c>
      <c r="M306" s="762">
        <v>0</v>
      </c>
      <c r="N306" s="762">
        <v>203281</v>
      </c>
      <c r="O306" s="762">
        <v>47750</v>
      </c>
      <c r="P306" s="762">
        <v>155531</v>
      </c>
      <c r="Q306" s="762">
        <v>0</v>
      </c>
      <c r="R306" s="762">
        <v>17415764</v>
      </c>
      <c r="S306" s="790">
        <v>0.5</v>
      </c>
      <c r="T306" s="790">
        <v>0.4</v>
      </c>
      <c r="U306" s="790">
        <v>0.1</v>
      </c>
      <c r="V306" s="790">
        <v>0</v>
      </c>
      <c r="W306" s="790">
        <v>1</v>
      </c>
      <c r="X306" s="762">
        <v>8707882</v>
      </c>
      <c r="Y306" s="762">
        <v>6966306</v>
      </c>
      <c r="Z306" s="762">
        <v>1741576</v>
      </c>
      <c r="AA306" s="762">
        <v>0</v>
      </c>
      <c r="AB306" s="762">
        <v>17415764</v>
      </c>
      <c r="AC306" s="762">
        <v>0</v>
      </c>
      <c r="AD306" s="762">
        <v>0</v>
      </c>
      <c r="AE306" s="762">
        <v>0</v>
      </c>
      <c r="AF306" s="762">
        <v>0</v>
      </c>
      <c r="AG306" s="762">
        <v>0</v>
      </c>
      <c r="AH306" s="762">
        <v>8707882</v>
      </c>
      <c r="AI306" s="762">
        <v>6966306</v>
      </c>
      <c r="AJ306" s="762">
        <v>1741576</v>
      </c>
      <c r="AK306" s="762">
        <v>0</v>
      </c>
      <c r="AL306" s="762">
        <v>17415764</v>
      </c>
      <c r="AM306" s="762">
        <v>105203</v>
      </c>
      <c r="AN306" s="762">
        <v>105203</v>
      </c>
      <c r="AO306" s="762">
        <v>0</v>
      </c>
      <c r="AP306" s="762">
        <v>0</v>
      </c>
      <c r="AQ306" s="762">
        <v>47750</v>
      </c>
      <c r="AR306" s="762">
        <v>155531</v>
      </c>
      <c r="AS306" s="762">
        <v>203281</v>
      </c>
      <c r="AT306" s="762">
        <v>0</v>
      </c>
      <c r="AU306" s="762">
        <v>0</v>
      </c>
      <c r="AV306" s="762">
        <v>0</v>
      </c>
      <c r="AW306" s="762">
        <v>0</v>
      </c>
      <c r="AX306" s="762">
        <v>0</v>
      </c>
      <c r="AY306" s="762">
        <v>0</v>
      </c>
      <c r="AZ306" s="762">
        <v>0</v>
      </c>
      <c r="BA306" s="762">
        <v>0</v>
      </c>
      <c r="BB306" s="762">
        <v>0</v>
      </c>
      <c r="BC306" s="762">
        <v>0</v>
      </c>
      <c r="BD306" s="762">
        <v>0</v>
      </c>
      <c r="BE306" s="762">
        <v>0</v>
      </c>
      <c r="BF306" s="762">
        <v>0</v>
      </c>
      <c r="BG306" s="762">
        <v>0</v>
      </c>
      <c r="BH306" s="762">
        <v>0</v>
      </c>
      <c r="BI306" s="762">
        <v>0</v>
      </c>
      <c r="BJ306" s="790">
        <v>0</v>
      </c>
      <c r="BK306" s="790">
        <v>0.6</v>
      </c>
      <c r="BL306" s="790">
        <v>0.4</v>
      </c>
      <c r="BM306" s="790">
        <v>0</v>
      </c>
      <c r="BN306" s="790">
        <v>1</v>
      </c>
      <c r="BO306" s="762">
        <v>0</v>
      </c>
      <c r="BP306" s="762">
        <v>489370</v>
      </c>
      <c r="BQ306" s="762">
        <v>326246</v>
      </c>
      <c r="BR306" s="762">
        <v>0</v>
      </c>
      <c r="BS306" s="762">
        <v>815616</v>
      </c>
      <c r="BT306" s="790">
        <v>0.5</v>
      </c>
      <c r="BU306" s="790">
        <v>0.4</v>
      </c>
      <c r="BV306" s="790">
        <v>0.1</v>
      </c>
      <c r="BW306" s="790">
        <v>0</v>
      </c>
      <c r="BX306" s="790">
        <v>1</v>
      </c>
      <c r="BY306" s="762">
        <v>-181182</v>
      </c>
      <c r="BZ306" s="762">
        <v>-144946</v>
      </c>
      <c r="CA306" s="762">
        <v>-36236</v>
      </c>
      <c r="CB306" s="762">
        <v>0</v>
      </c>
      <c r="CC306" s="762">
        <v>-362364</v>
      </c>
      <c r="CD306" s="762">
        <v>-181182</v>
      </c>
      <c r="CE306" s="762">
        <v>344424</v>
      </c>
      <c r="CF306" s="762">
        <v>290010</v>
      </c>
      <c r="CG306" s="762">
        <v>0</v>
      </c>
      <c r="CH306" s="762">
        <v>453252</v>
      </c>
      <c r="CI306" s="762">
        <v>8526700</v>
      </c>
      <c r="CJ306" s="762">
        <v>7463683</v>
      </c>
      <c r="CK306" s="762">
        <v>2187117</v>
      </c>
      <c r="CL306" s="762">
        <v>0</v>
      </c>
      <c r="CM306" s="762">
        <v>18177500</v>
      </c>
      <c r="CN306" s="762">
        <v>228564</v>
      </c>
      <c r="CO306" s="762">
        <v>61820</v>
      </c>
      <c r="CP306" s="762">
        <v>0</v>
      </c>
      <c r="CQ306" s="762">
        <v>290384</v>
      </c>
      <c r="CR306" s="762">
        <v>711519</v>
      </c>
      <c r="CS306" s="762">
        <v>177880</v>
      </c>
      <c r="CT306" s="762">
        <v>0</v>
      </c>
      <c r="CU306" s="762">
        <v>889399</v>
      </c>
      <c r="CV306" s="762">
        <v>43973</v>
      </c>
      <c r="CW306" s="762">
        <v>10993</v>
      </c>
      <c r="CX306" s="762">
        <v>0</v>
      </c>
      <c r="CY306" s="762">
        <v>54966</v>
      </c>
      <c r="CZ306" s="762">
        <v>1602</v>
      </c>
      <c r="DA306" s="762">
        <v>401</v>
      </c>
      <c r="DB306" s="762">
        <v>0</v>
      </c>
      <c r="DC306" s="762">
        <v>2003</v>
      </c>
      <c r="DD306" s="762">
        <v>12237</v>
      </c>
      <c r="DE306" s="762">
        <v>3059</v>
      </c>
      <c r="DF306" s="762">
        <v>0</v>
      </c>
      <c r="DG306" s="762">
        <v>15296</v>
      </c>
      <c r="DH306" s="762">
        <v>1239</v>
      </c>
      <c r="DI306" s="762">
        <v>310</v>
      </c>
      <c r="DJ306" s="762">
        <v>0</v>
      </c>
      <c r="DK306" s="762">
        <v>1549</v>
      </c>
      <c r="DL306" s="762">
        <v>10017</v>
      </c>
      <c r="DM306" s="762">
        <v>2504</v>
      </c>
      <c r="DN306" s="762">
        <v>0</v>
      </c>
      <c r="DO306" s="762">
        <v>12521</v>
      </c>
      <c r="DP306" s="762">
        <v>12804</v>
      </c>
      <c r="DQ306" s="762">
        <v>3201</v>
      </c>
      <c r="DR306" s="762">
        <v>0</v>
      </c>
      <c r="DS306" s="762">
        <v>16005</v>
      </c>
      <c r="DT306" s="762">
        <v>0</v>
      </c>
      <c r="DU306" s="762">
        <v>0</v>
      </c>
      <c r="DV306" s="762">
        <v>0</v>
      </c>
      <c r="DW306" s="762">
        <v>0</v>
      </c>
      <c r="DX306" s="762">
        <v>0</v>
      </c>
      <c r="DY306" s="762">
        <v>0</v>
      </c>
      <c r="DZ306" s="762">
        <v>0</v>
      </c>
      <c r="EA306" s="762">
        <v>0</v>
      </c>
      <c r="EB306" s="762">
        <v>213272</v>
      </c>
      <c r="EC306" s="762">
        <v>53318</v>
      </c>
      <c r="ED306" s="762">
        <v>0</v>
      </c>
      <c r="EE306" s="762">
        <v>266590</v>
      </c>
      <c r="EF306" s="762">
        <v>1235227</v>
      </c>
      <c r="EG306" s="762">
        <v>313486</v>
      </c>
      <c r="EH306" s="762">
        <v>0</v>
      </c>
      <c r="EI306" s="799">
        <v>1548713</v>
      </c>
      <c r="EJ306" s="763" t="s">
        <v>488</v>
      </c>
      <c r="EK306" s="607" t="s">
        <v>600</v>
      </c>
      <c r="EL306" s="805" t="s">
        <v>556</v>
      </c>
      <c r="EM306" t="s">
        <v>1872</v>
      </c>
    </row>
    <row r="307" spans="1:143" ht="12.75" x14ac:dyDescent="0.2">
      <c r="A307" s="764">
        <v>300</v>
      </c>
      <c r="B307" s="765" t="s">
        <v>491</v>
      </c>
      <c r="C307" s="766" t="s">
        <v>1217</v>
      </c>
      <c r="D307" s="767" t="s">
        <v>1218</v>
      </c>
      <c r="E307" s="768" t="s">
        <v>490</v>
      </c>
      <c r="F307" s="761">
        <v>37155884</v>
      </c>
      <c r="G307" s="762">
        <v>890914</v>
      </c>
      <c r="H307" s="762">
        <v>0</v>
      </c>
      <c r="I307" s="762">
        <v>162547</v>
      </c>
      <c r="J307" s="762">
        <v>0</v>
      </c>
      <c r="K307" s="762">
        <v>162547</v>
      </c>
      <c r="L307" s="762">
        <v>0</v>
      </c>
      <c r="M307" s="762">
        <v>0</v>
      </c>
      <c r="N307" s="762">
        <v>219573</v>
      </c>
      <c r="O307" s="762">
        <v>219573</v>
      </c>
      <c r="P307" s="762">
        <v>0</v>
      </c>
      <c r="Q307" s="762">
        <v>0</v>
      </c>
      <c r="R307" s="762">
        <v>37664678</v>
      </c>
      <c r="S307" s="790">
        <v>0.5</v>
      </c>
      <c r="T307" s="790">
        <v>0.4</v>
      </c>
      <c r="U307" s="790">
        <v>0.1</v>
      </c>
      <c r="V307" s="790">
        <v>0</v>
      </c>
      <c r="W307" s="790">
        <v>1</v>
      </c>
      <c r="X307" s="762">
        <v>18832339</v>
      </c>
      <c r="Y307" s="762">
        <v>15065871</v>
      </c>
      <c r="Z307" s="762">
        <v>3766468</v>
      </c>
      <c r="AA307" s="762">
        <v>0</v>
      </c>
      <c r="AB307" s="762">
        <v>37664678</v>
      </c>
      <c r="AC307" s="762">
        <v>0</v>
      </c>
      <c r="AD307" s="762">
        <v>0</v>
      </c>
      <c r="AE307" s="762">
        <v>0</v>
      </c>
      <c r="AF307" s="762">
        <v>0</v>
      </c>
      <c r="AG307" s="762">
        <v>0</v>
      </c>
      <c r="AH307" s="762">
        <v>18832339</v>
      </c>
      <c r="AI307" s="762">
        <v>15065871</v>
      </c>
      <c r="AJ307" s="762">
        <v>3766468</v>
      </c>
      <c r="AK307" s="762">
        <v>0</v>
      </c>
      <c r="AL307" s="762">
        <v>37664678</v>
      </c>
      <c r="AM307" s="762">
        <v>162547</v>
      </c>
      <c r="AN307" s="762">
        <v>162547</v>
      </c>
      <c r="AO307" s="762">
        <v>0</v>
      </c>
      <c r="AP307" s="762">
        <v>0</v>
      </c>
      <c r="AQ307" s="762">
        <v>219573</v>
      </c>
      <c r="AR307" s="762">
        <v>0</v>
      </c>
      <c r="AS307" s="762">
        <v>219573</v>
      </c>
      <c r="AT307" s="762">
        <v>0</v>
      </c>
      <c r="AU307" s="762">
        <v>0</v>
      </c>
      <c r="AV307" s="762">
        <v>0</v>
      </c>
      <c r="AW307" s="762">
        <v>0</v>
      </c>
      <c r="AX307" s="762">
        <v>0</v>
      </c>
      <c r="AY307" s="762">
        <v>0</v>
      </c>
      <c r="AZ307" s="762">
        <v>0</v>
      </c>
      <c r="BA307" s="762">
        <v>0</v>
      </c>
      <c r="BB307" s="762">
        <v>0</v>
      </c>
      <c r="BC307" s="762">
        <v>0</v>
      </c>
      <c r="BD307" s="762">
        <v>0</v>
      </c>
      <c r="BE307" s="762">
        <v>0</v>
      </c>
      <c r="BF307" s="762">
        <v>0</v>
      </c>
      <c r="BG307" s="762">
        <v>0</v>
      </c>
      <c r="BH307" s="762">
        <v>0</v>
      </c>
      <c r="BI307" s="762">
        <v>0</v>
      </c>
      <c r="BJ307" s="790">
        <v>0.5</v>
      </c>
      <c r="BK307" s="790">
        <v>0.4</v>
      </c>
      <c r="BL307" s="790">
        <v>0.1</v>
      </c>
      <c r="BM307" s="790">
        <v>0</v>
      </c>
      <c r="BN307" s="790">
        <v>1</v>
      </c>
      <c r="BO307" s="762">
        <v>545751</v>
      </c>
      <c r="BP307" s="762">
        <v>436601</v>
      </c>
      <c r="BQ307" s="762">
        <v>109150</v>
      </c>
      <c r="BR307" s="762">
        <v>0</v>
      </c>
      <c r="BS307" s="762">
        <v>1091502</v>
      </c>
      <c r="BT307" s="790">
        <v>0.5</v>
      </c>
      <c r="BU307" s="790">
        <v>0.4</v>
      </c>
      <c r="BV307" s="790">
        <v>0.1</v>
      </c>
      <c r="BW307" s="790">
        <v>0</v>
      </c>
      <c r="BX307" s="790">
        <v>1</v>
      </c>
      <c r="BY307" s="762">
        <v>-189002</v>
      </c>
      <c r="BZ307" s="762">
        <v>-151202</v>
      </c>
      <c r="CA307" s="762">
        <v>-37801</v>
      </c>
      <c r="CB307" s="762">
        <v>0</v>
      </c>
      <c r="CC307" s="762">
        <v>-378005</v>
      </c>
      <c r="CD307" s="762">
        <v>356748</v>
      </c>
      <c r="CE307" s="762">
        <v>285399</v>
      </c>
      <c r="CF307" s="762">
        <v>71350</v>
      </c>
      <c r="CG307" s="762">
        <v>0</v>
      </c>
      <c r="CH307" s="762">
        <v>713497</v>
      </c>
      <c r="CI307" s="762">
        <v>19189087</v>
      </c>
      <c r="CJ307" s="762">
        <v>15733390</v>
      </c>
      <c r="CK307" s="762">
        <v>3837818</v>
      </c>
      <c r="CL307" s="762">
        <v>0</v>
      </c>
      <c r="CM307" s="762">
        <v>38760295</v>
      </c>
      <c r="CN307" s="762">
        <v>498100</v>
      </c>
      <c r="CO307" s="762">
        <v>122736</v>
      </c>
      <c r="CP307" s="762">
        <v>0</v>
      </c>
      <c r="CQ307" s="762">
        <v>620836</v>
      </c>
      <c r="CR307" s="762">
        <v>1110886</v>
      </c>
      <c r="CS307" s="762">
        <v>277722</v>
      </c>
      <c r="CT307" s="762">
        <v>0</v>
      </c>
      <c r="CU307" s="762">
        <v>1388608</v>
      </c>
      <c r="CV307" s="762">
        <v>104576</v>
      </c>
      <c r="CW307" s="762">
        <v>26144</v>
      </c>
      <c r="CX307" s="762">
        <v>0</v>
      </c>
      <c r="CY307" s="762">
        <v>130720</v>
      </c>
      <c r="CZ307" s="762">
        <v>9943</v>
      </c>
      <c r="DA307" s="762">
        <v>2486</v>
      </c>
      <c r="DB307" s="762">
        <v>0</v>
      </c>
      <c r="DC307" s="762">
        <v>12429</v>
      </c>
      <c r="DD307" s="762">
        <v>12042</v>
      </c>
      <c r="DE307" s="762">
        <v>3011</v>
      </c>
      <c r="DF307" s="762">
        <v>0</v>
      </c>
      <c r="DG307" s="762">
        <v>15053</v>
      </c>
      <c r="DH307" s="762">
        <v>0</v>
      </c>
      <c r="DI307" s="762">
        <v>0</v>
      </c>
      <c r="DJ307" s="762">
        <v>0</v>
      </c>
      <c r="DK307" s="762">
        <v>0</v>
      </c>
      <c r="DL307" s="762">
        <v>24199</v>
      </c>
      <c r="DM307" s="762">
        <v>6050</v>
      </c>
      <c r="DN307" s="762">
        <v>0</v>
      </c>
      <c r="DO307" s="762">
        <v>30249</v>
      </c>
      <c r="DP307" s="762">
        <v>46202</v>
      </c>
      <c r="DQ307" s="762">
        <v>11550</v>
      </c>
      <c r="DR307" s="762">
        <v>0</v>
      </c>
      <c r="DS307" s="762">
        <v>57752</v>
      </c>
      <c r="DT307" s="762">
        <v>0</v>
      </c>
      <c r="DU307" s="762">
        <v>0</v>
      </c>
      <c r="DV307" s="762">
        <v>0</v>
      </c>
      <c r="DW307" s="762">
        <v>0</v>
      </c>
      <c r="DX307" s="762">
        <v>0</v>
      </c>
      <c r="DY307" s="762">
        <v>0</v>
      </c>
      <c r="DZ307" s="762">
        <v>0</v>
      </c>
      <c r="EA307" s="762">
        <v>0</v>
      </c>
      <c r="EB307" s="762">
        <v>401453</v>
      </c>
      <c r="EC307" s="762">
        <v>100363</v>
      </c>
      <c r="ED307" s="762">
        <v>0</v>
      </c>
      <c r="EE307" s="762">
        <v>501816</v>
      </c>
      <c r="EF307" s="762">
        <v>2207401</v>
      </c>
      <c r="EG307" s="762">
        <v>550062</v>
      </c>
      <c r="EH307" s="762">
        <v>0</v>
      </c>
      <c r="EI307" s="799">
        <v>2757463</v>
      </c>
      <c r="EJ307" s="763" t="s">
        <v>490</v>
      </c>
      <c r="EK307" s="607" t="s">
        <v>609</v>
      </c>
      <c r="EL307" s="805" t="s">
        <v>556</v>
      </c>
      <c r="EM307" t="s">
        <v>1873</v>
      </c>
    </row>
    <row r="308" spans="1:143" ht="12.75" x14ac:dyDescent="0.2">
      <c r="A308" s="764">
        <v>301</v>
      </c>
      <c r="B308" s="765" t="s">
        <v>1152</v>
      </c>
      <c r="C308" s="766" t="s">
        <v>1217</v>
      </c>
      <c r="D308" s="767" t="s">
        <v>1226</v>
      </c>
      <c r="E308" s="768" t="s">
        <v>1151</v>
      </c>
      <c r="F308" s="761">
        <v>70081061</v>
      </c>
      <c r="G308" s="762">
        <v>229902</v>
      </c>
      <c r="H308" s="762">
        <v>0</v>
      </c>
      <c r="I308" s="762">
        <v>248203</v>
      </c>
      <c r="J308" s="762">
        <v>0</v>
      </c>
      <c r="K308" s="762">
        <v>248203</v>
      </c>
      <c r="L308" s="762">
        <v>0</v>
      </c>
      <c r="M308" s="762">
        <v>0</v>
      </c>
      <c r="N308" s="762">
        <v>502614</v>
      </c>
      <c r="O308" s="762">
        <v>502614</v>
      </c>
      <c r="P308" s="762">
        <v>0</v>
      </c>
      <c r="Q308" s="762">
        <v>0</v>
      </c>
      <c r="R308" s="762">
        <v>69560146</v>
      </c>
      <c r="S308" s="790">
        <v>0.5</v>
      </c>
      <c r="T308" s="790">
        <v>0.4</v>
      </c>
      <c r="U308" s="790">
        <v>0.1</v>
      </c>
      <c r="V308" s="790">
        <v>0</v>
      </c>
      <c r="W308" s="790">
        <v>1</v>
      </c>
      <c r="X308" s="762">
        <v>34780073</v>
      </c>
      <c r="Y308" s="762">
        <v>27824058</v>
      </c>
      <c r="Z308" s="762">
        <v>6956015</v>
      </c>
      <c r="AA308" s="762">
        <v>0</v>
      </c>
      <c r="AB308" s="762">
        <v>69560146</v>
      </c>
      <c r="AC308" s="762">
        <v>0</v>
      </c>
      <c r="AD308" s="762">
        <v>0</v>
      </c>
      <c r="AE308" s="762">
        <v>0</v>
      </c>
      <c r="AF308" s="762">
        <v>0</v>
      </c>
      <c r="AG308" s="762">
        <v>0</v>
      </c>
      <c r="AH308" s="762">
        <v>34780073</v>
      </c>
      <c r="AI308" s="762">
        <v>27824058</v>
      </c>
      <c r="AJ308" s="762">
        <v>6956015</v>
      </c>
      <c r="AK308" s="762">
        <v>0</v>
      </c>
      <c r="AL308" s="762">
        <v>69560146</v>
      </c>
      <c r="AM308" s="762">
        <v>248203</v>
      </c>
      <c r="AN308" s="762">
        <v>248203</v>
      </c>
      <c r="AO308" s="762">
        <v>0</v>
      </c>
      <c r="AP308" s="762">
        <v>0</v>
      </c>
      <c r="AQ308" s="762">
        <v>502614</v>
      </c>
      <c r="AR308" s="762">
        <v>0</v>
      </c>
      <c r="AS308" s="762">
        <v>502614</v>
      </c>
      <c r="AT308" s="762">
        <v>0</v>
      </c>
      <c r="AU308" s="762">
        <v>0</v>
      </c>
      <c r="AV308" s="762">
        <v>0</v>
      </c>
      <c r="AW308" s="762">
        <v>0</v>
      </c>
      <c r="AX308" s="762">
        <v>0</v>
      </c>
      <c r="AY308" s="762">
        <v>0</v>
      </c>
      <c r="AZ308" s="762">
        <v>0</v>
      </c>
      <c r="BA308" s="762">
        <v>0</v>
      </c>
      <c r="BB308" s="762">
        <v>0</v>
      </c>
      <c r="BC308" s="762">
        <v>0</v>
      </c>
      <c r="BD308" s="762">
        <v>0</v>
      </c>
      <c r="BE308" s="762">
        <v>0</v>
      </c>
      <c r="BF308" s="762">
        <v>0</v>
      </c>
      <c r="BG308" s="762">
        <v>0</v>
      </c>
      <c r="BH308" s="762">
        <v>0</v>
      </c>
      <c r="BI308" s="762">
        <v>0</v>
      </c>
      <c r="BJ308" s="790">
        <v>0</v>
      </c>
      <c r="BK308" s="790">
        <v>0.8</v>
      </c>
      <c r="BL308" s="790">
        <v>0.2</v>
      </c>
      <c r="BM308" s="790">
        <v>0</v>
      </c>
      <c r="BN308" s="790">
        <v>1</v>
      </c>
      <c r="BO308" s="762">
        <v>0</v>
      </c>
      <c r="BP308" s="762">
        <v>-1158897</v>
      </c>
      <c r="BQ308" s="762">
        <v>-289724</v>
      </c>
      <c r="BR308" s="762">
        <v>0</v>
      </c>
      <c r="BS308" s="762">
        <v>-1448621</v>
      </c>
      <c r="BT308" s="790">
        <v>0.5</v>
      </c>
      <c r="BU308" s="790">
        <v>0.4</v>
      </c>
      <c r="BV308" s="790">
        <v>0.1</v>
      </c>
      <c r="BW308" s="790">
        <v>0</v>
      </c>
      <c r="BX308" s="790">
        <v>1</v>
      </c>
      <c r="BY308" s="762">
        <v>51382.280000001192</v>
      </c>
      <c r="BZ308" s="762">
        <v>41107</v>
      </c>
      <c r="CA308" s="762">
        <v>10277</v>
      </c>
      <c r="CB308" s="762">
        <v>0</v>
      </c>
      <c r="CC308" s="762">
        <v>102766.28000000119</v>
      </c>
      <c r="CD308" s="762">
        <v>51382</v>
      </c>
      <c r="CE308" s="762">
        <v>-1117790</v>
      </c>
      <c r="CF308" s="762">
        <v>-279447</v>
      </c>
      <c r="CG308" s="762">
        <v>0</v>
      </c>
      <c r="CH308" s="762">
        <v>-1345854.7199999988</v>
      </c>
      <c r="CI308" s="762">
        <v>34831455</v>
      </c>
      <c r="CJ308" s="762">
        <v>27457085</v>
      </c>
      <c r="CK308" s="762">
        <v>6676568</v>
      </c>
      <c r="CL308" s="762">
        <v>0</v>
      </c>
      <c r="CM308" s="762">
        <v>68965108</v>
      </c>
      <c r="CN308" s="762">
        <v>923069</v>
      </c>
      <c r="CO308" s="762">
        <v>226673</v>
      </c>
      <c r="CP308" s="762">
        <v>0</v>
      </c>
      <c r="CQ308" s="762">
        <v>1149742</v>
      </c>
      <c r="CR308" s="762">
        <v>1739417</v>
      </c>
      <c r="CS308" s="762">
        <v>434854</v>
      </c>
      <c r="CT308" s="762">
        <v>0</v>
      </c>
      <c r="CU308" s="762">
        <v>2174271</v>
      </c>
      <c r="CV308" s="762">
        <v>161526</v>
      </c>
      <c r="CW308" s="762">
        <v>40382</v>
      </c>
      <c r="CX308" s="762">
        <v>0</v>
      </c>
      <c r="CY308" s="762">
        <v>201908</v>
      </c>
      <c r="CZ308" s="762">
        <v>0</v>
      </c>
      <c r="DA308" s="762">
        <v>0</v>
      </c>
      <c r="DB308" s="762">
        <v>0</v>
      </c>
      <c r="DC308" s="762">
        <v>0</v>
      </c>
      <c r="DD308" s="762">
        <v>19362</v>
      </c>
      <c r="DE308" s="762">
        <v>4840</v>
      </c>
      <c r="DF308" s="762">
        <v>0</v>
      </c>
      <c r="DG308" s="762">
        <v>24202</v>
      </c>
      <c r="DH308" s="762">
        <v>2253</v>
      </c>
      <c r="DI308" s="762">
        <v>563</v>
      </c>
      <c r="DJ308" s="762">
        <v>0</v>
      </c>
      <c r="DK308" s="762">
        <v>2816</v>
      </c>
      <c r="DL308" s="762">
        <v>14014</v>
      </c>
      <c r="DM308" s="762">
        <v>3504</v>
      </c>
      <c r="DN308" s="762">
        <v>0</v>
      </c>
      <c r="DO308" s="762">
        <v>17518</v>
      </c>
      <c r="DP308" s="762">
        <v>36041</v>
      </c>
      <c r="DQ308" s="762">
        <v>9010</v>
      </c>
      <c r="DR308" s="762">
        <v>0</v>
      </c>
      <c r="DS308" s="762">
        <v>45051</v>
      </c>
      <c r="DT308" s="762">
        <v>0</v>
      </c>
      <c r="DU308" s="762">
        <v>0</v>
      </c>
      <c r="DV308" s="762">
        <v>0</v>
      </c>
      <c r="DW308" s="762">
        <v>0</v>
      </c>
      <c r="DX308" s="762">
        <v>0</v>
      </c>
      <c r="DY308" s="762">
        <v>0</v>
      </c>
      <c r="DZ308" s="762">
        <v>0</v>
      </c>
      <c r="EA308" s="762">
        <v>0</v>
      </c>
      <c r="EB308" s="762">
        <v>779863</v>
      </c>
      <c r="EC308" s="762">
        <v>194966</v>
      </c>
      <c r="ED308" s="762">
        <v>0</v>
      </c>
      <c r="EE308" s="762">
        <v>974829</v>
      </c>
      <c r="EF308" s="762">
        <v>3675545</v>
      </c>
      <c r="EG308" s="762">
        <v>914792</v>
      </c>
      <c r="EH308" s="762">
        <v>0</v>
      </c>
      <c r="EI308" s="799">
        <v>4590337</v>
      </c>
      <c r="EJ308" s="763" t="s">
        <v>1151</v>
      </c>
      <c r="EK308" s="607" t="s">
        <v>611</v>
      </c>
      <c r="EL308" s="805" t="s">
        <v>563</v>
      </c>
      <c r="EM308" t="s">
        <v>1874</v>
      </c>
    </row>
    <row r="309" spans="1:143" ht="12.75" x14ac:dyDescent="0.2">
      <c r="A309" s="764">
        <v>302</v>
      </c>
      <c r="B309" s="765" t="s">
        <v>493</v>
      </c>
      <c r="C309" s="766" t="s">
        <v>1228</v>
      </c>
      <c r="D309" s="767" t="s">
        <v>1223</v>
      </c>
      <c r="E309" s="768" t="s">
        <v>492</v>
      </c>
      <c r="F309" s="761">
        <v>2219266016</v>
      </c>
      <c r="G309" s="762">
        <v>7814083</v>
      </c>
      <c r="H309" s="762">
        <v>0</v>
      </c>
      <c r="I309" s="762">
        <v>3323852</v>
      </c>
      <c r="J309" s="762">
        <v>0</v>
      </c>
      <c r="K309" s="762">
        <v>3323852</v>
      </c>
      <c r="L309" s="762">
        <v>0</v>
      </c>
      <c r="M309" s="762">
        <v>0</v>
      </c>
      <c r="N309" s="762">
        <v>0</v>
      </c>
      <c r="O309" s="762">
        <v>0</v>
      </c>
      <c r="P309" s="762">
        <v>0</v>
      </c>
      <c r="Q309" s="762">
        <v>0</v>
      </c>
      <c r="R309" s="762">
        <v>2223756247</v>
      </c>
      <c r="S309" s="790">
        <v>0.25</v>
      </c>
      <c r="T309" s="790">
        <v>0.48</v>
      </c>
      <c r="U309" s="790">
        <v>0.27</v>
      </c>
      <c r="V309" s="790">
        <v>0</v>
      </c>
      <c r="W309" s="790">
        <v>1</v>
      </c>
      <c r="X309" s="762">
        <v>555939061</v>
      </c>
      <c r="Y309" s="762">
        <v>1067402999</v>
      </c>
      <c r="Z309" s="762">
        <v>600414187</v>
      </c>
      <c r="AA309" s="762">
        <v>0</v>
      </c>
      <c r="AB309" s="762">
        <v>2223756247</v>
      </c>
      <c r="AC309" s="762">
        <v>0</v>
      </c>
      <c r="AD309" s="762">
        <v>0</v>
      </c>
      <c r="AE309" s="762">
        <v>0</v>
      </c>
      <c r="AF309" s="762">
        <v>0</v>
      </c>
      <c r="AG309" s="762">
        <v>0</v>
      </c>
      <c r="AH309" s="762">
        <v>555939061</v>
      </c>
      <c r="AI309" s="762">
        <v>1067402999</v>
      </c>
      <c r="AJ309" s="762">
        <v>600414187</v>
      </c>
      <c r="AK309" s="762">
        <v>0</v>
      </c>
      <c r="AL309" s="762">
        <v>2223756247</v>
      </c>
      <c r="AM309" s="762">
        <v>3323852</v>
      </c>
      <c r="AN309" s="762">
        <v>3323852</v>
      </c>
      <c r="AO309" s="762">
        <v>0</v>
      </c>
      <c r="AP309" s="762">
        <v>0</v>
      </c>
      <c r="AQ309" s="762">
        <v>0</v>
      </c>
      <c r="AR309" s="762">
        <v>0</v>
      </c>
      <c r="AS309" s="762">
        <v>0</v>
      </c>
      <c r="AT309" s="762">
        <v>0</v>
      </c>
      <c r="AU309" s="762">
        <v>0</v>
      </c>
      <c r="AV309" s="762">
        <v>0</v>
      </c>
      <c r="AW309" s="762">
        <v>0</v>
      </c>
      <c r="AX309" s="762">
        <v>0</v>
      </c>
      <c r="AY309" s="762">
        <v>0</v>
      </c>
      <c r="AZ309" s="762">
        <v>0</v>
      </c>
      <c r="BA309" s="762">
        <v>0</v>
      </c>
      <c r="BB309" s="762">
        <v>0</v>
      </c>
      <c r="BC309" s="762">
        <v>0</v>
      </c>
      <c r="BD309" s="762">
        <v>0</v>
      </c>
      <c r="BE309" s="762">
        <v>0</v>
      </c>
      <c r="BF309" s="762">
        <v>0</v>
      </c>
      <c r="BG309" s="762">
        <v>0</v>
      </c>
      <c r="BH309" s="762">
        <v>0</v>
      </c>
      <c r="BI309" s="762">
        <v>0</v>
      </c>
      <c r="BJ309" s="790">
        <v>0</v>
      </c>
      <c r="BK309" s="790">
        <v>0.64</v>
      </c>
      <c r="BL309" s="790">
        <v>0.36</v>
      </c>
      <c r="BM309" s="790">
        <v>0</v>
      </c>
      <c r="BN309" s="790">
        <v>1</v>
      </c>
      <c r="BO309" s="762">
        <v>0</v>
      </c>
      <c r="BP309" s="762">
        <v>24363801</v>
      </c>
      <c r="BQ309" s="762">
        <v>13704638</v>
      </c>
      <c r="BR309" s="762">
        <v>0</v>
      </c>
      <c r="BS309" s="762">
        <v>38068439</v>
      </c>
      <c r="BT309" s="790">
        <v>0.33</v>
      </c>
      <c r="BU309" s="790">
        <v>0.3</v>
      </c>
      <c r="BV309" s="790">
        <v>0.37</v>
      </c>
      <c r="BW309" s="790">
        <v>0</v>
      </c>
      <c r="BX309" s="790">
        <v>1</v>
      </c>
      <c r="BY309" s="762">
        <v>-11442259</v>
      </c>
      <c r="BZ309" s="762">
        <v>-10402053</v>
      </c>
      <c r="CA309" s="762">
        <v>-12829199</v>
      </c>
      <c r="CB309" s="762">
        <v>0</v>
      </c>
      <c r="CC309" s="762">
        <v>-34673511</v>
      </c>
      <c r="CD309" s="762">
        <v>-11442259</v>
      </c>
      <c r="CE309" s="762">
        <v>13961748</v>
      </c>
      <c r="CF309" s="762">
        <v>875439</v>
      </c>
      <c r="CG309" s="762">
        <v>0</v>
      </c>
      <c r="CH309" s="762">
        <v>3394928</v>
      </c>
      <c r="CI309" s="762">
        <v>544496802</v>
      </c>
      <c r="CJ309" s="762">
        <v>1084688599</v>
      </c>
      <c r="CK309" s="762">
        <v>601289626</v>
      </c>
      <c r="CL309" s="762">
        <v>0</v>
      </c>
      <c r="CM309" s="762">
        <v>2230475027</v>
      </c>
      <c r="CN309" s="762">
        <v>34782990</v>
      </c>
      <c r="CO309" s="762">
        <v>19565432</v>
      </c>
      <c r="CP309" s="762">
        <v>0</v>
      </c>
      <c r="CQ309" s="762">
        <v>54348422</v>
      </c>
      <c r="CR309" s="762">
        <v>1708457</v>
      </c>
      <c r="CS309" s="762">
        <v>961007</v>
      </c>
      <c r="CT309" s="762">
        <v>0</v>
      </c>
      <c r="CU309" s="762">
        <v>2669464</v>
      </c>
      <c r="CV309" s="762">
        <v>1033813</v>
      </c>
      <c r="CW309" s="762">
        <v>581520</v>
      </c>
      <c r="CX309" s="762">
        <v>0</v>
      </c>
      <c r="CY309" s="762">
        <v>1615333</v>
      </c>
      <c r="CZ309" s="762">
        <v>0</v>
      </c>
      <c r="DA309" s="762">
        <v>0</v>
      </c>
      <c r="DB309" s="762">
        <v>0</v>
      </c>
      <c r="DC309" s="762">
        <v>0</v>
      </c>
      <c r="DD309" s="762">
        <v>0</v>
      </c>
      <c r="DE309" s="762">
        <v>0</v>
      </c>
      <c r="DF309" s="762">
        <v>0</v>
      </c>
      <c r="DG309" s="762">
        <v>0</v>
      </c>
      <c r="DH309" s="762">
        <v>0</v>
      </c>
      <c r="DI309" s="762">
        <v>0</v>
      </c>
      <c r="DJ309" s="762">
        <v>0</v>
      </c>
      <c r="DK309" s="762">
        <v>0</v>
      </c>
      <c r="DL309" s="762">
        <v>35313</v>
      </c>
      <c r="DM309" s="762">
        <v>19864</v>
      </c>
      <c r="DN309" s="762">
        <v>0</v>
      </c>
      <c r="DO309" s="762">
        <v>55177</v>
      </c>
      <c r="DP309" s="762">
        <v>1150164</v>
      </c>
      <c r="DQ309" s="762">
        <v>646968</v>
      </c>
      <c r="DR309" s="762">
        <v>0</v>
      </c>
      <c r="DS309" s="762">
        <v>1797132</v>
      </c>
      <c r="DT309" s="762">
        <v>0</v>
      </c>
      <c r="DU309" s="762">
        <v>0</v>
      </c>
      <c r="DV309" s="762">
        <v>0</v>
      </c>
      <c r="DW309" s="762">
        <v>0</v>
      </c>
      <c r="DX309" s="762">
        <v>0</v>
      </c>
      <c r="DY309" s="762">
        <v>0</v>
      </c>
      <c r="DZ309" s="762">
        <v>0</v>
      </c>
      <c r="EA309" s="762">
        <v>0</v>
      </c>
      <c r="EB309" s="762">
        <v>6215880</v>
      </c>
      <c r="EC309" s="762">
        <v>3496433</v>
      </c>
      <c r="ED309" s="762">
        <v>0</v>
      </c>
      <c r="EE309" s="762">
        <v>9712313</v>
      </c>
      <c r="EF309" s="762">
        <v>44926617</v>
      </c>
      <c r="EG309" s="762">
        <v>25271224</v>
      </c>
      <c r="EH309" s="762">
        <v>0</v>
      </c>
      <c r="EI309" s="799">
        <v>70197841</v>
      </c>
      <c r="EJ309" s="763" t="s">
        <v>492</v>
      </c>
      <c r="EK309" s="607" t="s">
        <v>628</v>
      </c>
      <c r="EL309" s="272" t="s">
        <v>528</v>
      </c>
      <c r="EM309" t="s">
        <v>1875</v>
      </c>
    </row>
    <row r="310" spans="1:143" ht="12.75" x14ac:dyDescent="0.2">
      <c r="A310" s="764">
        <v>303</v>
      </c>
      <c r="B310" s="765" t="s">
        <v>495</v>
      </c>
      <c r="C310" s="770" t="s">
        <v>1224</v>
      </c>
      <c r="D310" s="771" t="s">
        <v>1219</v>
      </c>
      <c r="E310" s="768" t="s">
        <v>494</v>
      </c>
      <c r="F310" s="761">
        <v>81190606</v>
      </c>
      <c r="G310" s="762">
        <v>0</v>
      </c>
      <c r="H310" s="762">
        <v>1484550</v>
      </c>
      <c r="I310" s="762">
        <v>371674</v>
      </c>
      <c r="J310" s="762">
        <v>0</v>
      </c>
      <c r="K310" s="762">
        <v>371674</v>
      </c>
      <c r="L310" s="762">
        <v>0</v>
      </c>
      <c r="M310" s="762">
        <v>0</v>
      </c>
      <c r="N310" s="762">
        <v>0</v>
      </c>
      <c r="O310" s="762">
        <v>0</v>
      </c>
      <c r="P310" s="762">
        <v>0</v>
      </c>
      <c r="Q310" s="762">
        <v>0</v>
      </c>
      <c r="R310" s="762">
        <v>79334382</v>
      </c>
      <c r="S310" s="790">
        <v>0</v>
      </c>
      <c r="T310" s="790">
        <v>0.99</v>
      </c>
      <c r="U310" s="790">
        <v>0</v>
      </c>
      <c r="V310" s="790">
        <v>0.01</v>
      </c>
      <c r="W310" s="790">
        <v>1</v>
      </c>
      <c r="X310" s="762">
        <v>0</v>
      </c>
      <c r="Y310" s="762">
        <v>78541038</v>
      </c>
      <c r="Z310" s="762">
        <v>0</v>
      </c>
      <c r="AA310" s="762">
        <v>793344</v>
      </c>
      <c r="AB310" s="762">
        <v>79334382</v>
      </c>
      <c r="AC310" s="762">
        <v>0</v>
      </c>
      <c r="AD310" s="762">
        <v>0</v>
      </c>
      <c r="AE310" s="762">
        <v>0</v>
      </c>
      <c r="AF310" s="762">
        <v>0</v>
      </c>
      <c r="AG310" s="762">
        <v>0</v>
      </c>
      <c r="AH310" s="762">
        <v>0</v>
      </c>
      <c r="AI310" s="762">
        <v>78541038</v>
      </c>
      <c r="AJ310" s="762">
        <v>0</v>
      </c>
      <c r="AK310" s="762">
        <v>793344</v>
      </c>
      <c r="AL310" s="762">
        <v>79334382</v>
      </c>
      <c r="AM310" s="762">
        <v>371674</v>
      </c>
      <c r="AN310" s="762">
        <v>371674</v>
      </c>
      <c r="AO310" s="762">
        <v>0</v>
      </c>
      <c r="AP310" s="762">
        <v>0</v>
      </c>
      <c r="AQ310" s="762">
        <v>0</v>
      </c>
      <c r="AR310" s="762">
        <v>0</v>
      </c>
      <c r="AS310" s="762">
        <v>0</v>
      </c>
      <c r="AT310" s="762">
        <v>0</v>
      </c>
      <c r="AU310" s="762">
        <v>0</v>
      </c>
      <c r="AV310" s="762">
        <v>0</v>
      </c>
      <c r="AW310" s="762">
        <v>0</v>
      </c>
      <c r="AX310" s="762">
        <v>0</v>
      </c>
      <c r="AY310" s="762">
        <v>0</v>
      </c>
      <c r="AZ310" s="762">
        <v>0</v>
      </c>
      <c r="BA310" s="762">
        <v>0</v>
      </c>
      <c r="BB310" s="762">
        <v>0</v>
      </c>
      <c r="BC310" s="762">
        <v>0</v>
      </c>
      <c r="BD310" s="762">
        <v>0</v>
      </c>
      <c r="BE310" s="762">
        <v>0</v>
      </c>
      <c r="BF310" s="762">
        <v>0</v>
      </c>
      <c r="BG310" s="762">
        <v>0</v>
      </c>
      <c r="BH310" s="762">
        <v>0</v>
      </c>
      <c r="BI310" s="762">
        <v>0</v>
      </c>
      <c r="BJ310" s="790">
        <v>0</v>
      </c>
      <c r="BK310" s="790">
        <v>0.99</v>
      </c>
      <c r="BL310" s="790">
        <v>0</v>
      </c>
      <c r="BM310" s="790">
        <v>0.01</v>
      </c>
      <c r="BN310" s="790">
        <v>1</v>
      </c>
      <c r="BO310" s="762">
        <v>0</v>
      </c>
      <c r="BP310" s="762">
        <v>5748117</v>
      </c>
      <c r="BQ310" s="762">
        <v>0</v>
      </c>
      <c r="BR310" s="762">
        <v>58062</v>
      </c>
      <c r="BS310" s="762">
        <v>5806179</v>
      </c>
      <c r="BT310" s="790">
        <v>0</v>
      </c>
      <c r="BU310" s="790">
        <v>0.99</v>
      </c>
      <c r="BV310" s="790">
        <v>0</v>
      </c>
      <c r="BW310" s="790">
        <v>0.01</v>
      </c>
      <c r="BX310" s="790">
        <v>1</v>
      </c>
      <c r="BY310" s="762">
        <v>0</v>
      </c>
      <c r="BZ310" s="762">
        <v>5444692</v>
      </c>
      <c r="CA310" s="762">
        <v>0</v>
      </c>
      <c r="CB310" s="762">
        <v>54997</v>
      </c>
      <c r="CC310" s="762">
        <v>5499689</v>
      </c>
      <c r="CD310" s="762">
        <v>0</v>
      </c>
      <c r="CE310" s="762">
        <v>11192809</v>
      </c>
      <c r="CF310" s="762">
        <v>0</v>
      </c>
      <c r="CG310" s="762">
        <v>113059</v>
      </c>
      <c r="CH310" s="762">
        <v>11305868</v>
      </c>
      <c r="CI310" s="762">
        <v>0</v>
      </c>
      <c r="CJ310" s="762">
        <v>90105521</v>
      </c>
      <c r="CK310" s="762">
        <v>0</v>
      </c>
      <c r="CL310" s="762">
        <v>906403</v>
      </c>
      <c r="CM310" s="762">
        <v>91011924</v>
      </c>
      <c r="CN310" s="762">
        <v>2559382</v>
      </c>
      <c r="CO310" s="762">
        <v>0</v>
      </c>
      <c r="CP310" s="762">
        <v>25852</v>
      </c>
      <c r="CQ310" s="762">
        <v>2585234</v>
      </c>
      <c r="CR310" s="762">
        <v>7373225</v>
      </c>
      <c r="CS310" s="762">
        <v>0</v>
      </c>
      <c r="CT310" s="762">
        <v>74477</v>
      </c>
      <c r="CU310" s="762">
        <v>7447702</v>
      </c>
      <c r="CV310" s="762">
        <v>403960</v>
      </c>
      <c r="CW310" s="762">
        <v>0</v>
      </c>
      <c r="CX310" s="762">
        <v>4080</v>
      </c>
      <c r="CY310" s="762">
        <v>408040</v>
      </c>
      <c r="CZ310" s="762">
        <v>34259</v>
      </c>
      <c r="DA310" s="762">
        <v>0</v>
      </c>
      <c r="DB310" s="762">
        <v>346</v>
      </c>
      <c r="DC310" s="762">
        <v>34605</v>
      </c>
      <c r="DD310" s="762">
        <v>0</v>
      </c>
      <c r="DE310" s="762">
        <v>0</v>
      </c>
      <c r="DF310" s="762">
        <v>0</v>
      </c>
      <c r="DG310" s="762">
        <v>0</v>
      </c>
      <c r="DH310" s="762">
        <v>1534</v>
      </c>
      <c r="DI310" s="762">
        <v>0</v>
      </c>
      <c r="DJ310" s="762">
        <v>15</v>
      </c>
      <c r="DK310" s="762">
        <v>1549</v>
      </c>
      <c r="DL310" s="762">
        <v>21450</v>
      </c>
      <c r="DM310" s="762">
        <v>0</v>
      </c>
      <c r="DN310" s="762">
        <v>217</v>
      </c>
      <c r="DO310" s="762">
        <v>21667</v>
      </c>
      <c r="DP310" s="762">
        <v>104271</v>
      </c>
      <c r="DQ310" s="762">
        <v>0</v>
      </c>
      <c r="DR310" s="762">
        <v>1053</v>
      </c>
      <c r="DS310" s="762">
        <v>105324</v>
      </c>
      <c r="DT310" s="762">
        <v>0</v>
      </c>
      <c r="DU310" s="762">
        <v>0</v>
      </c>
      <c r="DV310" s="762">
        <v>0</v>
      </c>
      <c r="DW310" s="762">
        <v>0</v>
      </c>
      <c r="DX310" s="762">
        <v>0</v>
      </c>
      <c r="DY310" s="762">
        <v>0</v>
      </c>
      <c r="DZ310" s="762">
        <v>0</v>
      </c>
      <c r="EA310" s="762">
        <v>0</v>
      </c>
      <c r="EB310" s="762">
        <v>1432343</v>
      </c>
      <c r="EC310" s="762">
        <v>0</v>
      </c>
      <c r="ED310" s="762">
        <v>14468</v>
      </c>
      <c r="EE310" s="762">
        <v>1446811</v>
      </c>
      <c r="EF310" s="762">
        <v>11930424</v>
      </c>
      <c r="EG310" s="762">
        <v>0</v>
      </c>
      <c r="EH310" s="762">
        <v>120508</v>
      </c>
      <c r="EI310" s="799">
        <v>12050932</v>
      </c>
      <c r="EJ310" s="763" t="s">
        <v>494</v>
      </c>
      <c r="EK310" s="607" t="s">
        <v>621</v>
      </c>
      <c r="EL310" s="805" t="s">
        <v>622</v>
      </c>
      <c r="EM310" t="s">
        <v>1876</v>
      </c>
    </row>
    <row r="311" spans="1:143" ht="12.75" x14ac:dyDescent="0.2">
      <c r="A311" s="764">
        <v>304</v>
      </c>
      <c r="B311" s="765" t="s">
        <v>497</v>
      </c>
      <c r="C311" s="766" t="s">
        <v>529</v>
      </c>
      <c r="D311" s="767" t="s">
        <v>1226</v>
      </c>
      <c r="E311" s="768" t="s">
        <v>496</v>
      </c>
      <c r="F311" s="761">
        <v>150834310</v>
      </c>
      <c r="G311" s="762">
        <v>0</v>
      </c>
      <c r="H311" s="762">
        <v>1095068</v>
      </c>
      <c r="I311" s="762">
        <v>621006</v>
      </c>
      <c r="J311" s="762">
        <v>0</v>
      </c>
      <c r="K311" s="762">
        <v>621006</v>
      </c>
      <c r="L311" s="762">
        <v>0</v>
      </c>
      <c r="M311" s="762">
        <v>0</v>
      </c>
      <c r="N311" s="762">
        <v>1494009</v>
      </c>
      <c r="O311" s="762">
        <v>1494009</v>
      </c>
      <c r="P311" s="762">
        <v>0</v>
      </c>
      <c r="Q311" s="762">
        <v>0</v>
      </c>
      <c r="R311" s="762">
        <v>147624227</v>
      </c>
      <c r="S311" s="790">
        <v>0.5</v>
      </c>
      <c r="T311" s="790">
        <v>0.49</v>
      </c>
      <c r="U311" s="790">
        <v>0</v>
      </c>
      <c r="V311" s="790">
        <v>0.01</v>
      </c>
      <c r="W311" s="790">
        <v>1</v>
      </c>
      <c r="X311" s="762">
        <v>73812114</v>
      </c>
      <c r="Y311" s="762">
        <v>72335871</v>
      </c>
      <c r="Z311" s="762">
        <v>0</v>
      </c>
      <c r="AA311" s="762">
        <v>1476242</v>
      </c>
      <c r="AB311" s="762">
        <v>147624227</v>
      </c>
      <c r="AC311" s="762">
        <v>0</v>
      </c>
      <c r="AD311" s="762">
        <v>0</v>
      </c>
      <c r="AE311" s="762">
        <v>0</v>
      </c>
      <c r="AF311" s="762">
        <v>0</v>
      </c>
      <c r="AG311" s="762">
        <v>0</v>
      </c>
      <c r="AH311" s="762">
        <v>73812114</v>
      </c>
      <c r="AI311" s="762">
        <v>72335871</v>
      </c>
      <c r="AJ311" s="762">
        <v>0</v>
      </c>
      <c r="AK311" s="762">
        <v>1476242</v>
      </c>
      <c r="AL311" s="762">
        <v>147624227</v>
      </c>
      <c r="AM311" s="762">
        <v>621006</v>
      </c>
      <c r="AN311" s="762">
        <v>621006</v>
      </c>
      <c r="AO311" s="762">
        <v>0</v>
      </c>
      <c r="AP311" s="762">
        <v>0</v>
      </c>
      <c r="AQ311" s="762">
        <v>1494009</v>
      </c>
      <c r="AR311" s="762">
        <v>0</v>
      </c>
      <c r="AS311" s="762">
        <v>1494009</v>
      </c>
      <c r="AT311" s="762">
        <v>0</v>
      </c>
      <c r="AU311" s="762">
        <v>0</v>
      </c>
      <c r="AV311" s="762">
        <v>0</v>
      </c>
      <c r="AW311" s="762">
        <v>0</v>
      </c>
      <c r="AX311" s="762">
        <v>0</v>
      </c>
      <c r="AY311" s="762">
        <v>0</v>
      </c>
      <c r="AZ311" s="762">
        <v>0</v>
      </c>
      <c r="BA311" s="762">
        <v>0</v>
      </c>
      <c r="BB311" s="762">
        <v>0</v>
      </c>
      <c r="BC311" s="762">
        <v>0</v>
      </c>
      <c r="BD311" s="762">
        <v>0</v>
      </c>
      <c r="BE311" s="762">
        <v>0</v>
      </c>
      <c r="BF311" s="762">
        <v>0</v>
      </c>
      <c r="BG311" s="762">
        <v>0</v>
      </c>
      <c r="BH311" s="762">
        <v>0</v>
      </c>
      <c r="BI311" s="762">
        <v>0</v>
      </c>
      <c r="BJ311" s="790">
        <v>0.5</v>
      </c>
      <c r="BK311" s="790">
        <v>0.49</v>
      </c>
      <c r="BL311" s="790">
        <v>0</v>
      </c>
      <c r="BM311" s="790">
        <v>0.01</v>
      </c>
      <c r="BN311" s="790">
        <v>1</v>
      </c>
      <c r="BO311" s="762">
        <v>-1620838</v>
      </c>
      <c r="BP311" s="762">
        <v>-1588421</v>
      </c>
      <c r="BQ311" s="762">
        <v>0</v>
      </c>
      <c r="BR311" s="762">
        <v>-32417</v>
      </c>
      <c r="BS311" s="762">
        <v>-3241676</v>
      </c>
      <c r="BT311" s="790">
        <v>0.5</v>
      </c>
      <c r="BU311" s="790">
        <v>0.49</v>
      </c>
      <c r="BV311" s="790">
        <v>0</v>
      </c>
      <c r="BW311" s="790">
        <v>0.01</v>
      </c>
      <c r="BX311" s="790">
        <v>1</v>
      </c>
      <c r="BY311" s="762">
        <v>-2835299</v>
      </c>
      <c r="BZ311" s="762">
        <v>-2778594</v>
      </c>
      <c r="CA311" s="762">
        <v>0</v>
      </c>
      <c r="CB311" s="762">
        <v>-56706</v>
      </c>
      <c r="CC311" s="762">
        <v>-5670599</v>
      </c>
      <c r="CD311" s="762">
        <v>-4456137</v>
      </c>
      <c r="CE311" s="762">
        <v>-4367015</v>
      </c>
      <c r="CF311" s="762">
        <v>0</v>
      </c>
      <c r="CG311" s="762">
        <v>-89123</v>
      </c>
      <c r="CH311" s="762">
        <v>-8912275</v>
      </c>
      <c r="CI311" s="762">
        <v>69355977</v>
      </c>
      <c r="CJ311" s="762">
        <v>70083871</v>
      </c>
      <c r="CK311" s="762">
        <v>0</v>
      </c>
      <c r="CL311" s="762">
        <v>1387119</v>
      </c>
      <c r="CM311" s="762">
        <v>140826967</v>
      </c>
      <c r="CN311" s="762">
        <v>2405862</v>
      </c>
      <c r="CO311" s="762">
        <v>0</v>
      </c>
      <c r="CP311" s="762">
        <v>48106</v>
      </c>
      <c r="CQ311" s="762">
        <v>2453968</v>
      </c>
      <c r="CR311" s="762">
        <v>5959705</v>
      </c>
      <c r="CS311" s="762">
        <v>0</v>
      </c>
      <c r="CT311" s="762">
        <v>121627</v>
      </c>
      <c r="CU311" s="762">
        <v>6081332</v>
      </c>
      <c r="CV311" s="762">
        <v>347618</v>
      </c>
      <c r="CW311" s="762">
        <v>0</v>
      </c>
      <c r="CX311" s="762">
        <v>7094</v>
      </c>
      <c r="CY311" s="762">
        <v>354712</v>
      </c>
      <c r="CZ311" s="762">
        <v>29923</v>
      </c>
      <c r="DA311" s="762">
        <v>0</v>
      </c>
      <c r="DB311" s="762">
        <v>611</v>
      </c>
      <c r="DC311" s="762">
        <v>30534</v>
      </c>
      <c r="DD311" s="762">
        <v>82556</v>
      </c>
      <c r="DE311" s="762">
        <v>0</v>
      </c>
      <c r="DF311" s="762">
        <v>1685</v>
      </c>
      <c r="DG311" s="762">
        <v>84241</v>
      </c>
      <c r="DH311" s="762">
        <v>0</v>
      </c>
      <c r="DI311" s="762">
        <v>0</v>
      </c>
      <c r="DJ311" s="762">
        <v>0</v>
      </c>
      <c r="DK311" s="762">
        <v>0</v>
      </c>
      <c r="DL311" s="762">
        <v>90826</v>
      </c>
      <c r="DM311" s="762">
        <v>0</v>
      </c>
      <c r="DN311" s="762">
        <v>1854</v>
      </c>
      <c r="DO311" s="762">
        <v>92680</v>
      </c>
      <c r="DP311" s="762">
        <v>93604</v>
      </c>
      <c r="DQ311" s="762">
        <v>0</v>
      </c>
      <c r="DR311" s="762">
        <v>1910</v>
      </c>
      <c r="DS311" s="762">
        <v>95514</v>
      </c>
      <c r="DT311" s="762">
        <v>0</v>
      </c>
      <c r="DU311" s="762">
        <v>0</v>
      </c>
      <c r="DV311" s="762">
        <v>0</v>
      </c>
      <c r="DW311" s="762">
        <v>0</v>
      </c>
      <c r="DX311" s="762">
        <v>0</v>
      </c>
      <c r="DY311" s="762">
        <v>0</v>
      </c>
      <c r="DZ311" s="762">
        <v>0</v>
      </c>
      <c r="EA311" s="762">
        <v>0</v>
      </c>
      <c r="EB311" s="762">
        <v>1521064</v>
      </c>
      <c r="EC311" s="762">
        <v>0</v>
      </c>
      <c r="ED311" s="762">
        <v>31042</v>
      </c>
      <c r="EE311" s="762">
        <v>1552106</v>
      </c>
      <c r="EF311" s="762">
        <v>10531158</v>
      </c>
      <c r="EG311" s="762">
        <v>0</v>
      </c>
      <c r="EH311" s="762">
        <v>213929</v>
      </c>
      <c r="EI311" s="799">
        <v>10745087</v>
      </c>
      <c r="EJ311" s="763" t="s">
        <v>496</v>
      </c>
      <c r="EK311" s="607" t="s">
        <v>529</v>
      </c>
      <c r="EL311" s="805" t="s">
        <v>620</v>
      </c>
      <c r="EM311" t="s">
        <v>1877</v>
      </c>
    </row>
    <row r="312" spans="1:143" ht="12.75" x14ac:dyDescent="0.2">
      <c r="A312" s="764">
        <v>305</v>
      </c>
      <c r="B312" s="765" t="s">
        <v>499</v>
      </c>
      <c r="C312" s="766" t="s">
        <v>1217</v>
      </c>
      <c r="D312" s="767" t="s">
        <v>1218</v>
      </c>
      <c r="E312" s="768" t="s">
        <v>498</v>
      </c>
      <c r="F312" s="761">
        <v>60471145</v>
      </c>
      <c r="G312" s="762">
        <v>570117</v>
      </c>
      <c r="H312" s="762">
        <v>0</v>
      </c>
      <c r="I312" s="762">
        <v>202269</v>
      </c>
      <c r="J312" s="762">
        <v>0</v>
      </c>
      <c r="K312" s="762">
        <v>202269</v>
      </c>
      <c r="L312" s="762">
        <v>0</v>
      </c>
      <c r="M312" s="762">
        <v>0</v>
      </c>
      <c r="N312" s="762">
        <v>287000</v>
      </c>
      <c r="O312" s="762">
        <v>287000</v>
      </c>
      <c r="P312" s="762">
        <v>0</v>
      </c>
      <c r="Q312" s="762">
        <v>0</v>
      </c>
      <c r="R312" s="762">
        <v>60551993</v>
      </c>
      <c r="S312" s="790">
        <v>0.5</v>
      </c>
      <c r="T312" s="790">
        <v>0.4</v>
      </c>
      <c r="U312" s="790">
        <v>0.09</v>
      </c>
      <c r="V312" s="790">
        <v>0.01</v>
      </c>
      <c r="W312" s="790">
        <v>1</v>
      </c>
      <c r="X312" s="762">
        <v>30275997</v>
      </c>
      <c r="Y312" s="762">
        <v>24220797</v>
      </c>
      <c r="Z312" s="762">
        <v>5449679</v>
      </c>
      <c r="AA312" s="762">
        <v>605520</v>
      </c>
      <c r="AB312" s="762">
        <v>60551993</v>
      </c>
      <c r="AC312" s="762">
        <v>0</v>
      </c>
      <c r="AD312" s="762">
        <v>0</v>
      </c>
      <c r="AE312" s="762">
        <v>0</v>
      </c>
      <c r="AF312" s="762">
        <v>0</v>
      </c>
      <c r="AG312" s="762">
        <v>0</v>
      </c>
      <c r="AH312" s="762">
        <v>30275997</v>
      </c>
      <c r="AI312" s="762">
        <v>24220797</v>
      </c>
      <c r="AJ312" s="762">
        <v>5449679</v>
      </c>
      <c r="AK312" s="762">
        <v>605520</v>
      </c>
      <c r="AL312" s="762">
        <v>60551993</v>
      </c>
      <c r="AM312" s="762">
        <v>202269</v>
      </c>
      <c r="AN312" s="762">
        <v>202269</v>
      </c>
      <c r="AO312" s="762">
        <v>0</v>
      </c>
      <c r="AP312" s="762">
        <v>0</v>
      </c>
      <c r="AQ312" s="762">
        <v>287000</v>
      </c>
      <c r="AR312" s="762">
        <v>0</v>
      </c>
      <c r="AS312" s="762">
        <v>287000</v>
      </c>
      <c r="AT312" s="762">
        <v>0</v>
      </c>
      <c r="AU312" s="762">
        <v>0</v>
      </c>
      <c r="AV312" s="762">
        <v>0</v>
      </c>
      <c r="AW312" s="762">
        <v>0</v>
      </c>
      <c r="AX312" s="762">
        <v>0</v>
      </c>
      <c r="AY312" s="762">
        <v>0</v>
      </c>
      <c r="AZ312" s="762">
        <v>0</v>
      </c>
      <c r="BA312" s="762">
        <v>0</v>
      </c>
      <c r="BB312" s="762">
        <v>0</v>
      </c>
      <c r="BC312" s="762">
        <v>0</v>
      </c>
      <c r="BD312" s="762">
        <v>0</v>
      </c>
      <c r="BE312" s="762">
        <v>0</v>
      </c>
      <c r="BF312" s="762">
        <v>0</v>
      </c>
      <c r="BG312" s="762">
        <v>0</v>
      </c>
      <c r="BH312" s="762">
        <v>0</v>
      </c>
      <c r="BI312" s="762">
        <v>0</v>
      </c>
      <c r="BJ312" s="790">
        <v>0.5</v>
      </c>
      <c r="BK312" s="790">
        <v>0.4</v>
      </c>
      <c r="BL312" s="790">
        <v>0.09</v>
      </c>
      <c r="BM312" s="790">
        <v>0.01</v>
      </c>
      <c r="BN312" s="790">
        <v>1</v>
      </c>
      <c r="BO312" s="762">
        <v>856762</v>
      </c>
      <c r="BP312" s="762">
        <v>685410</v>
      </c>
      <c r="BQ312" s="762">
        <v>154217</v>
      </c>
      <c r="BR312" s="762">
        <v>17135</v>
      </c>
      <c r="BS312" s="762">
        <v>1713524</v>
      </c>
      <c r="BT312" s="790">
        <v>0.5</v>
      </c>
      <c r="BU312" s="790">
        <v>0.4</v>
      </c>
      <c r="BV312" s="790">
        <v>0.09</v>
      </c>
      <c r="BW312" s="790">
        <v>0.01</v>
      </c>
      <c r="BX312" s="790">
        <v>1</v>
      </c>
      <c r="BY312" s="762">
        <v>-371738</v>
      </c>
      <c r="BZ312" s="762">
        <v>-297390</v>
      </c>
      <c r="CA312" s="762">
        <v>-66913</v>
      </c>
      <c r="CB312" s="762">
        <v>-7435</v>
      </c>
      <c r="CC312" s="762">
        <v>-743476</v>
      </c>
      <c r="CD312" s="762">
        <v>485025</v>
      </c>
      <c r="CE312" s="762">
        <v>388019</v>
      </c>
      <c r="CF312" s="762">
        <v>87304</v>
      </c>
      <c r="CG312" s="762">
        <v>9700</v>
      </c>
      <c r="CH312" s="762">
        <v>970048</v>
      </c>
      <c r="CI312" s="762">
        <v>30761022</v>
      </c>
      <c r="CJ312" s="762">
        <v>25098085</v>
      </c>
      <c r="CK312" s="762">
        <v>5536983</v>
      </c>
      <c r="CL312" s="762">
        <v>615220</v>
      </c>
      <c r="CM312" s="762">
        <v>62011310</v>
      </c>
      <c r="CN312" s="762">
        <v>798625</v>
      </c>
      <c r="CO312" s="762">
        <v>177586</v>
      </c>
      <c r="CP312" s="762">
        <v>19732</v>
      </c>
      <c r="CQ312" s="762">
        <v>995943</v>
      </c>
      <c r="CR312" s="762">
        <v>1302158</v>
      </c>
      <c r="CS312" s="762">
        <v>292985</v>
      </c>
      <c r="CT312" s="762">
        <v>32554</v>
      </c>
      <c r="CU312" s="762">
        <v>1627697</v>
      </c>
      <c r="CV312" s="762">
        <v>119499</v>
      </c>
      <c r="CW312" s="762">
        <v>26887</v>
      </c>
      <c r="CX312" s="762">
        <v>2987</v>
      </c>
      <c r="CY312" s="762">
        <v>149373</v>
      </c>
      <c r="CZ312" s="762">
        <v>7333</v>
      </c>
      <c r="DA312" s="762">
        <v>1650</v>
      </c>
      <c r="DB312" s="762">
        <v>183</v>
      </c>
      <c r="DC312" s="762">
        <v>9166</v>
      </c>
      <c r="DD312" s="762">
        <v>2467</v>
      </c>
      <c r="DE312" s="762">
        <v>555</v>
      </c>
      <c r="DF312" s="762">
        <v>62</v>
      </c>
      <c r="DG312" s="762">
        <v>3084</v>
      </c>
      <c r="DH312" s="762">
        <v>620</v>
      </c>
      <c r="DI312" s="762">
        <v>139</v>
      </c>
      <c r="DJ312" s="762">
        <v>15</v>
      </c>
      <c r="DK312" s="762">
        <v>774</v>
      </c>
      <c r="DL312" s="762">
        <v>30378</v>
      </c>
      <c r="DM312" s="762">
        <v>6835</v>
      </c>
      <c r="DN312" s="762">
        <v>759</v>
      </c>
      <c r="DO312" s="762">
        <v>37972</v>
      </c>
      <c r="DP312" s="762">
        <v>43780</v>
      </c>
      <c r="DQ312" s="762">
        <v>9850</v>
      </c>
      <c r="DR312" s="762">
        <v>1094</v>
      </c>
      <c r="DS312" s="762">
        <v>54724</v>
      </c>
      <c r="DT312" s="762">
        <v>0</v>
      </c>
      <c r="DU312" s="762">
        <v>0</v>
      </c>
      <c r="DV312" s="762">
        <v>0</v>
      </c>
      <c r="DW312" s="762">
        <v>0</v>
      </c>
      <c r="DX312" s="762">
        <v>0</v>
      </c>
      <c r="DY312" s="762">
        <v>0</v>
      </c>
      <c r="DZ312" s="762">
        <v>0</v>
      </c>
      <c r="EA312" s="762">
        <v>0</v>
      </c>
      <c r="EB312" s="762">
        <v>593340</v>
      </c>
      <c r="EC312" s="762">
        <v>133502</v>
      </c>
      <c r="ED312" s="762">
        <v>14834</v>
      </c>
      <c r="EE312" s="762">
        <v>741676</v>
      </c>
      <c r="EF312" s="762">
        <v>2898200</v>
      </c>
      <c r="EG312" s="762">
        <v>649989</v>
      </c>
      <c r="EH312" s="762">
        <v>72220</v>
      </c>
      <c r="EI312" s="799">
        <v>3620409</v>
      </c>
      <c r="EJ312" s="763" t="s">
        <v>498</v>
      </c>
      <c r="EK312" s="607" t="s">
        <v>580</v>
      </c>
      <c r="EL312" s="805" t="s">
        <v>578</v>
      </c>
      <c r="EM312" t="s">
        <v>1878</v>
      </c>
    </row>
    <row r="313" spans="1:143" ht="12.75" x14ac:dyDescent="0.2">
      <c r="A313" s="764">
        <v>306</v>
      </c>
      <c r="B313" s="765" t="s">
        <v>501</v>
      </c>
      <c r="C313" s="766" t="s">
        <v>529</v>
      </c>
      <c r="D313" s="767" t="s">
        <v>1218</v>
      </c>
      <c r="E313" s="768" t="s">
        <v>894</v>
      </c>
      <c r="F313" s="761">
        <v>93995432</v>
      </c>
      <c r="G313" s="762">
        <v>84585</v>
      </c>
      <c r="H313" s="762">
        <v>0</v>
      </c>
      <c r="I313" s="762">
        <v>241470</v>
      </c>
      <c r="J313" s="762">
        <v>0</v>
      </c>
      <c r="K313" s="762">
        <v>241470</v>
      </c>
      <c r="L313" s="762">
        <v>0</v>
      </c>
      <c r="M313" s="762">
        <v>0</v>
      </c>
      <c r="N313" s="762">
        <v>13361</v>
      </c>
      <c r="O313" s="762">
        <v>0</v>
      </c>
      <c r="P313" s="762">
        <v>0</v>
      </c>
      <c r="Q313" s="762">
        <v>0</v>
      </c>
      <c r="R313" s="762">
        <v>93825186</v>
      </c>
      <c r="S313" s="790">
        <v>0.25</v>
      </c>
      <c r="T313" s="790">
        <v>0.74</v>
      </c>
      <c r="U313" s="790">
        <v>0</v>
      </c>
      <c r="V313" s="790">
        <v>0.01</v>
      </c>
      <c r="W313" s="790">
        <v>1</v>
      </c>
      <c r="X313" s="762">
        <v>23456296</v>
      </c>
      <c r="Y313" s="762">
        <v>69430638</v>
      </c>
      <c r="Z313" s="762">
        <v>0</v>
      </c>
      <c r="AA313" s="762">
        <v>938252</v>
      </c>
      <c r="AB313" s="762">
        <v>93825186</v>
      </c>
      <c r="AC313" s="762">
        <v>0</v>
      </c>
      <c r="AD313" s="762">
        <v>0</v>
      </c>
      <c r="AE313" s="762">
        <v>0</v>
      </c>
      <c r="AF313" s="762">
        <v>0</v>
      </c>
      <c r="AG313" s="762">
        <v>0</v>
      </c>
      <c r="AH313" s="762">
        <v>23456296</v>
      </c>
      <c r="AI313" s="762">
        <v>69430638</v>
      </c>
      <c r="AJ313" s="762">
        <v>0</v>
      </c>
      <c r="AK313" s="762">
        <v>938252</v>
      </c>
      <c r="AL313" s="762">
        <v>93825186</v>
      </c>
      <c r="AM313" s="762">
        <v>241470</v>
      </c>
      <c r="AN313" s="762">
        <v>241470</v>
      </c>
      <c r="AO313" s="762">
        <v>0</v>
      </c>
      <c r="AP313" s="762">
        <v>0</v>
      </c>
      <c r="AQ313" s="762">
        <v>0</v>
      </c>
      <c r="AR313" s="762">
        <v>0</v>
      </c>
      <c r="AS313" s="762">
        <v>13361</v>
      </c>
      <c r="AT313" s="762">
        <v>0</v>
      </c>
      <c r="AU313" s="762">
        <v>0</v>
      </c>
      <c r="AV313" s="762">
        <v>0</v>
      </c>
      <c r="AW313" s="762">
        <v>0</v>
      </c>
      <c r="AX313" s="762">
        <v>0</v>
      </c>
      <c r="AY313" s="762">
        <v>0</v>
      </c>
      <c r="AZ313" s="762">
        <v>0</v>
      </c>
      <c r="BA313" s="762">
        <v>0</v>
      </c>
      <c r="BB313" s="762">
        <v>0</v>
      </c>
      <c r="BC313" s="762">
        <v>0</v>
      </c>
      <c r="BD313" s="762">
        <v>0</v>
      </c>
      <c r="BE313" s="762">
        <v>0</v>
      </c>
      <c r="BF313" s="762">
        <v>0</v>
      </c>
      <c r="BG313" s="762">
        <v>0</v>
      </c>
      <c r="BH313" s="762">
        <v>0</v>
      </c>
      <c r="BI313" s="762">
        <v>0</v>
      </c>
      <c r="BJ313" s="790">
        <v>0</v>
      </c>
      <c r="BK313" s="790">
        <v>0.99</v>
      </c>
      <c r="BL313" s="790">
        <v>0</v>
      </c>
      <c r="BM313" s="790">
        <v>0.01</v>
      </c>
      <c r="BN313" s="790">
        <v>1</v>
      </c>
      <c r="BO313" s="762">
        <v>0</v>
      </c>
      <c r="BP313" s="762">
        <v>3324040</v>
      </c>
      <c r="BQ313" s="762">
        <v>0</v>
      </c>
      <c r="BR313" s="762">
        <v>33576</v>
      </c>
      <c r="BS313" s="762">
        <v>3357616</v>
      </c>
      <c r="BT313" s="790">
        <v>0.5</v>
      </c>
      <c r="BU313" s="790">
        <v>0.49</v>
      </c>
      <c r="BV313" s="790">
        <v>0</v>
      </c>
      <c r="BW313" s="790">
        <v>0.01</v>
      </c>
      <c r="BX313" s="790">
        <v>1</v>
      </c>
      <c r="BY313" s="762">
        <v>-2869472</v>
      </c>
      <c r="BZ313" s="762">
        <v>-2812083</v>
      </c>
      <c r="CA313" s="762">
        <v>0</v>
      </c>
      <c r="CB313" s="762">
        <v>-57389</v>
      </c>
      <c r="CC313" s="762">
        <v>-5738944</v>
      </c>
      <c r="CD313" s="762">
        <v>-2869472</v>
      </c>
      <c r="CE313" s="762">
        <v>511957</v>
      </c>
      <c r="CF313" s="762">
        <v>0</v>
      </c>
      <c r="CG313" s="762">
        <v>-23813</v>
      </c>
      <c r="CH313" s="762">
        <v>-2381328</v>
      </c>
      <c r="CI313" s="762">
        <v>20586824</v>
      </c>
      <c r="CJ313" s="762">
        <v>70184065</v>
      </c>
      <c r="CK313" s="762">
        <v>0</v>
      </c>
      <c r="CL313" s="762">
        <v>914439</v>
      </c>
      <c r="CM313" s="762">
        <v>91698689</v>
      </c>
      <c r="CN313" s="762">
        <v>2262506</v>
      </c>
      <c r="CO313" s="762">
        <v>0</v>
      </c>
      <c r="CP313" s="762">
        <v>30574</v>
      </c>
      <c r="CQ313" s="762">
        <v>2293080</v>
      </c>
      <c r="CR313" s="762">
        <v>2069324</v>
      </c>
      <c r="CS313" s="762">
        <v>0</v>
      </c>
      <c r="CT313" s="762">
        <v>27964</v>
      </c>
      <c r="CU313" s="762">
        <v>2097288</v>
      </c>
      <c r="CV313" s="762">
        <v>282693</v>
      </c>
      <c r="CW313" s="762">
        <v>0</v>
      </c>
      <c r="CX313" s="762">
        <v>3820</v>
      </c>
      <c r="CY313" s="762">
        <v>286513</v>
      </c>
      <c r="CZ313" s="762">
        <v>0</v>
      </c>
      <c r="DA313" s="762">
        <v>0</v>
      </c>
      <c r="DB313" s="762">
        <v>0</v>
      </c>
      <c r="DC313" s="762">
        <v>0</v>
      </c>
      <c r="DD313" s="762">
        <v>3294</v>
      </c>
      <c r="DE313" s="762">
        <v>0</v>
      </c>
      <c r="DF313" s="762">
        <v>45</v>
      </c>
      <c r="DG313" s="762">
        <v>3339</v>
      </c>
      <c r="DH313" s="762">
        <v>1147</v>
      </c>
      <c r="DI313" s="762">
        <v>0</v>
      </c>
      <c r="DJ313" s="762">
        <v>15</v>
      </c>
      <c r="DK313" s="762">
        <v>1162</v>
      </c>
      <c r="DL313" s="762">
        <v>4004</v>
      </c>
      <c r="DM313" s="762">
        <v>0</v>
      </c>
      <c r="DN313" s="762">
        <v>54</v>
      </c>
      <c r="DO313" s="762">
        <v>4058</v>
      </c>
      <c r="DP313" s="762">
        <v>103592</v>
      </c>
      <c r="DQ313" s="762">
        <v>0</v>
      </c>
      <c r="DR313" s="762">
        <v>1400</v>
      </c>
      <c r="DS313" s="762">
        <v>104992</v>
      </c>
      <c r="DT313" s="762">
        <v>0</v>
      </c>
      <c r="DU313" s="762">
        <v>0</v>
      </c>
      <c r="DV313" s="762">
        <v>0</v>
      </c>
      <c r="DW313" s="762">
        <v>0</v>
      </c>
      <c r="DX313" s="762">
        <v>0</v>
      </c>
      <c r="DY313" s="762">
        <v>0</v>
      </c>
      <c r="DZ313" s="762">
        <v>0</v>
      </c>
      <c r="EA313" s="762">
        <v>0</v>
      </c>
      <c r="EB313" s="762">
        <v>1602178</v>
      </c>
      <c r="EC313" s="762">
        <v>0</v>
      </c>
      <c r="ED313" s="762">
        <v>21651</v>
      </c>
      <c r="EE313" s="762">
        <v>1623829</v>
      </c>
      <c r="EF313" s="762">
        <v>6328738</v>
      </c>
      <c r="EG313" s="762">
        <v>0</v>
      </c>
      <c r="EH313" s="762">
        <v>85523</v>
      </c>
      <c r="EI313" s="799">
        <v>6414261</v>
      </c>
      <c r="EJ313" s="763" t="s">
        <v>894</v>
      </c>
      <c r="EK313" s="607" t="s">
        <v>529</v>
      </c>
      <c r="EL313" s="805" t="s">
        <v>537</v>
      </c>
      <c r="EM313" t="s">
        <v>1879</v>
      </c>
    </row>
    <row r="314" spans="1:143" ht="12.75" x14ac:dyDescent="0.2">
      <c r="A314" s="764">
        <v>307</v>
      </c>
      <c r="B314" s="765" t="s">
        <v>503</v>
      </c>
      <c r="C314" s="766" t="s">
        <v>1224</v>
      </c>
      <c r="D314" s="767" t="s">
        <v>1219</v>
      </c>
      <c r="E314" s="768" t="s">
        <v>502</v>
      </c>
      <c r="F314" s="761">
        <v>70944338</v>
      </c>
      <c r="G314" s="762">
        <v>0</v>
      </c>
      <c r="H314" s="762">
        <v>433116</v>
      </c>
      <c r="I314" s="762">
        <v>328485</v>
      </c>
      <c r="J314" s="762">
        <v>0</v>
      </c>
      <c r="K314" s="762">
        <v>328485</v>
      </c>
      <c r="L314" s="762">
        <v>0</v>
      </c>
      <c r="M314" s="762">
        <v>3211</v>
      </c>
      <c r="N314" s="762">
        <v>0</v>
      </c>
      <c r="O314" s="762">
        <v>0</v>
      </c>
      <c r="P314" s="762">
        <v>0</v>
      </c>
      <c r="Q314" s="762">
        <v>0</v>
      </c>
      <c r="R314" s="762">
        <v>70179526</v>
      </c>
      <c r="S314" s="790">
        <v>0</v>
      </c>
      <c r="T314" s="790">
        <v>0.99</v>
      </c>
      <c r="U314" s="790">
        <v>0</v>
      </c>
      <c r="V314" s="790">
        <v>0.01</v>
      </c>
      <c r="W314" s="790">
        <v>1</v>
      </c>
      <c r="X314" s="762">
        <v>0</v>
      </c>
      <c r="Y314" s="762">
        <v>69477731</v>
      </c>
      <c r="Z314" s="762">
        <v>0</v>
      </c>
      <c r="AA314" s="762">
        <v>701795</v>
      </c>
      <c r="AB314" s="762">
        <v>70179526</v>
      </c>
      <c r="AC314" s="762">
        <v>0</v>
      </c>
      <c r="AD314" s="762">
        <v>0</v>
      </c>
      <c r="AE314" s="762">
        <v>0</v>
      </c>
      <c r="AF314" s="762">
        <v>0</v>
      </c>
      <c r="AG314" s="762">
        <v>0</v>
      </c>
      <c r="AH314" s="762">
        <v>0</v>
      </c>
      <c r="AI314" s="762">
        <v>69477731</v>
      </c>
      <c r="AJ314" s="762">
        <v>0</v>
      </c>
      <c r="AK314" s="762">
        <v>701795</v>
      </c>
      <c r="AL314" s="762">
        <v>70179526</v>
      </c>
      <c r="AM314" s="762">
        <v>328485</v>
      </c>
      <c r="AN314" s="762">
        <v>328485</v>
      </c>
      <c r="AO314" s="762">
        <v>3211</v>
      </c>
      <c r="AP314" s="762">
        <v>3211</v>
      </c>
      <c r="AQ314" s="762">
        <v>0</v>
      </c>
      <c r="AR314" s="762">
        <v>0</v>
      </c>
      <c r="AS314" s="762">
        <v>0</v>
      </c>
      <c r="AT314" s="762">
        <v>0</v>
      </c>
      <c r="AU314" s="762">
        <v>0</v>
      </c>
      <c r="AV314" s="762">
        <v>0</v>
      </c>
      <c r="AW314" s="762">
        <v>0</v>
      </c>
      <c r="AX314" s="762">
        <v>0</v>
      </c>
      <c r="AY314" s="762">
        <v>0</v>
      </c>
      <c r="AZ314" s="762">
        <v>0</v>
      </c>
      <c r="BA314" s="762">
        <v>0</v>
      </c>
      <c r="BB314" s="762">
        <v>0</v>
      </c>
      <c r="BC314" s="762">
        <v>0</v>
      </c>
      <c r="BD314" s="762">
        <v>0</v>
      </c>
      <c r="BE314" s="762">
        <v>0</v>
      </c>
      <c r="BF314" s="762">
        <v>0</v>
      </c>
      <c r="BG314" s="762">
        <v>0</v>
      </c>
      <c r="BH314" s="762">
        <v>0</v>
      </c>
      <c r="BI314" s="762">
        <v>0</v>
      </c>
      <c r="BJ314" s="790">
        <v>0</v>
      </c>
      <c r="BK314" s="790">
        <v>0.99</v>
      </c>
      <c r="BL314" s="790">
        <v>0</v>
      </c>
      <c r="BM314" s="790">
        <v>0.01</v>
      </c>
      <c r="BN314" s="790">
        <v>1</v>
      </c>
      <c r="BO314" s="762">
        <v>0</v>
      </c>
      <c r="BP314" s="762">
        <v>1182439</v>
      </c>
      <c r="BQ314" s="762">
        <v>0</v>
      </c>
      <c r="BR314" s="762">
        <v>11944</v>
      </c>
      <c r="BS314" s="762">
        <v>1194383</v>
      </c>
      <c r="BT314" s="790">
        <v>0</v>
      </c>
      <c r="BU314" s="790">
        <v>0.99</v>
      </c>
      <c r="BV314" s="790">
        <v>0</v>
      </c>
      <c r="BW314" s="790">
        <v>0.01</v>
      </c>
      <c r="BX314" s="790">
        <v>1</v>
      </c>
      <c r="BY314" s="762">
        <v>0</v>
      </c>
      <c r="BZ314" s="762">
        <v>-1114029</v>
      </c>
      <c r="CA314" s="762">
        <v>0</v>
      </c>
      <c r="CB314" s="762">
        <v>-11253</v>
      </c>
      <c r="CC314" s="762">
        <v>-1125282</v>
      </c>
      <c r="CD314" s="762">
        <v>0</v>
      </c>
      <c r="CE314" s="762">
        <v>68410</v>
      </c>
      <c r="CF314" s="762">
        <v>0</v>
      </c>
      <c r="CG314" s="762">
        <v>691</v>
      </c>
      <c r="CH314" s="762">
        <v>69101</v>
      </c>
      <c r="CI314" s="762">
        <v>0</v>
      </c>
      <c r="CJ314" s="762">
        <v>69877837</v>
      </c>
      <c r="CK314" s="762">
        <v>0</v>
      </c>
      <c r="CL314" s="762">
        <v>702486</v>
      </c>
      <c r="CM314" s="762">
        <v>70580323</v>
      </c>
      <c r="CN314" s="762">
        <v>2264145</v>
      </c>
      <c r="CO314" s="762">
        <v>0</v>
      </c>
      <c r="CP314" s="762">
        <v>22869</v>
      </c>
      <c r="CQ314" s="762">
        <v>2287014</v>
      </c>
      <c r="CR314" s="762">
        <v>6738568</v>
      </c>
      <c r="CS314" s="762">
        <v>0</v>
      </c>
      <c r="CT314" s="762">
        <v>67885</v>
      </c>
      <c r="CU314" s="762">
        <v>6806453</v>
      </c>
      <c r="CV314" s="762">
        <v>355786</v>
      </c>
      <c r="CW314" s="762">
        <v>0</v>
      </c>
      <c r="CX314" s="762">
        <v>3579</v>
      </c>
      <c r="CY314" s="762">
        <v>359365</v>
      </c>
      <c r="CZ314" s="762">
        <v>37708</v>
      </c>
      <c r="DA314" s="762">
        <v>0</v>
      </c>
      <c r="DB314" s="762">
        <v>381</v>
      </c>
      <c r="DC314" s="762">
        <v>38089</v>
      </c>
      <c r="DD314" s="762">
        <v>0</v>
      </c>
      <c r="DE314" s="762">
        <v>0</v>
      </c>
      <c r="DF314" s="762">
        <v>0</v>
      </c>
      <c r="DG314" s="762">
        <v>0</v>
      </c>
      <c r="DH314" s="762">
        <v>1534</v>
      </c>
      <c r="DI314" s="762">
        <v>0</v>
      </c>
      <c r="DJ314" s="762">
        <v>15</v>
      </c>
      <c r="DK314" s="762">
        <v>1549</v>
      </c>
      <c r="DL314" s="762">
        <v>35834</v>
      </c>
      <c r="DM314" s="762">
        <v>0</v>
      </c>
      <c r="DN314" s="762">
        <v>362</v>
      </c>
      <c r="DO314" s="762">
        <v>36196</v>
      </c>
      <c r="DP314" s="762">
        <v>108359</v>
      </c>
      <c r="DQ314" s="762">
        <v>0</v>
      </c>
      <c r="DR314" s="762">
        <v>1095</v>
      </c>
      <c r="DS314" s="762">
        <v>109454</v>
      </c>
      <c r="DT314" s="762">
        <v>76307</v>
      </c>
      <c r="DU314" s="762">
        <v>0</v>
      </c>
      <c r="DV314" s="762">
        <v>0</v>
      </c>
      <c r="DW314" s="762">
        <v>76307</v>
      </c>
      <c r="DX314" s="762">
        <v>0</v>
      </c>
      <c r="DY314" s="762">
        <v>0</v>
      </c>
      <c r="DZ314" s="762">
        <v>0</v>
      </c>
      <c r="EA314" s="762">
        <v>0</v>
      </c>
      <c r="EB314" s="762">
        <v>1737843</v>
      </c>
      <c r="EC314" s="762">
        <v>0</v>
      </c>
      <c r="ED314" s="762">
        <v>17554</v>
      </c>
      <c r="EE314" s="762">
        <v>1755397</v>
      </c>
      <c r="EF314" s="762">
        <v>11356084</v>
      </c>
      <c r="EG314" s="762">
        <v>0</v>
      </c>
      <c r="EH314" s="762">
        <v>113740</v>
      </c>
      <c r="EI314" s="799">
        <v>11469824</v>
      </c>
      <c r="EJ314" s="763" t="s">
        <v>502</v>
      </c>
      <c r="EK314" s="607" t="s">
        <v>621</v>
      </c>
      <c r="EL314" s="805" t="s">
        <v>623</v>
      </c>
      <c r="EM314" t="s">
        <v>1880</v>
      </c>
    </row>
    <row r="315" spans="1:143" ht="12.75" x14ac:dyDescent="0.2">
      <c r="A315" s="764">
        <v>308</v>
      </c>
      <c r="B315" s="765" t="s">
        <v>505</v>
      </c>
      <c r="C315" s="766" t="s">
        <v>1217</v>
      </c>
      <c r="D315" s="767" t="s">
        <v>1218</v>
      </c>
      <c r="E315" s="768" t="s">
        <v>504</v>
      </c>
      <c r="F315" s="761">
        <v>45667910</v>
      </c>
      <c r="G315" s="762">
        <v>76361</v>
      </c>
      <c r="H315" s="762">
        <v>0</v>
      </c>
      <c r="I315" s="762">
        <v>132198</v>
      </c>
      <c r="J315" s="762">
        <v>0</v>
      </c>
      <c r="K315" s="762">
        <v>132198</v>
      </c>
      <c r="L315" s="762">
        <v>0</v>
      </c>
      <c r="M315" s="762">
        <v>0</v>
      </c>
      <c r="N315" s="762">
        <v>0</v>
      </c>
      <c r="O315" s="762">
        <v>0</v>
      </c>
      <c r="P315" s="762">
        <v>0</v>
      </c>
      <c r="Q315" s="762">
        <v>0</v>
      </c>
      <c r="R315" s="762">
        <v>45612073</v>
      </c>
      <c r="S315" s="790">
        <v>0.5</v>
      </c>
      <c r="T315" s="790">
        <v>0.4</v>
      </c>
      <c r="U315" s="790">
        <v>0.1</v>
      </c>
      <c r="V315" s="790">
        <v>0</v>
      </c>
      <c r="W315" s="790">
        <v>1</v>
      </c>
      <c r="X315" s="762">
        <v>22806037</v>
      </c>
      <c r="Y315" s="762">
        <v>18244829</v>
      </c>
      <c r="Z315" s="762">
        <v>4561207</v>
      </c>
      <c r="AA315" s="762">
        <v>0</v>
      </c>
      <c r="AB315" s="762">
        <v>45612073</v>
      </c>
      <c r="AC315" s="762">
        <v>0</v>
      </c>
      <c r="AD315" s="762">
        <v>0</v>
      </c>
      <c r="AE315" s="762">
        <v>0</v>
      </c>
      <c r="AF315" s="762">
        <v>0</v>
      </c>
      <c r="AG315" s="762">
        <v>0</v>
      </c>
      <c r="AH315" s="762">
        <v>22806037</v>
      </c>
      <c r="AI315" s="762">
        <v>18244829</v>
      </c>
      <c r="AJ315" s="762">
        <v>4561207</v>
      </c>
      <c r="AK315" s="762">
        <v>0</v>
      </c>
      <c r="AL315" s="762">
        <v>45612073</v>
      </c>
      <c r="AM315" s="762">
        <v>132198</v>
      </c>
      <c r="AN315" s="762">
        <v>132198</v>
      </c>
      <c r="AO315" s="762">
        <v>0</v>
      </c>
      <c r="AP315" s="762">
        <v>0</v>
      </c>
      <c r="AQ315" s="762">
        <v>0</v>
      </c>
      <c r="AR315" s="762">
        <v>0</v>
      </c>
      <c r="AS315" s="762">
        <v>0</v>
      </c>
      <c r="AT315" s="762">
        <v>0</v>
      </c>
      <c r="AU315" s="762">
        <v>0</v>
      </c>
      <c r="AV315" s="762">
        <v>0</v>
      </c>
      <c r="AW315" s="762">
        <v>0</v>
      </c>
      <c r="AX315" s="762">
        <v>0</v>
      </c>
      <c r="AY315" s="762">
        <v>0</v>
      </c>
      <c r="AZ315" s="762">
        <v>0</v>
      </c>
      <c r="BA315" s="762">
        <v>0</v>
      </c>
      <c r="BB315" s="762">
        <v>0</v>
      </c>
      <c r="BC315" s="762">
        <v>0</v>
      </c>
      <c r="BD315" s="762">
        <v>0</v>
      </c>
      <c r="BE315" s="762">
        <v>0</v>
      </c>
      <c r="BF315" s="762">
        <v>0</v>
      </c>
      <c r="BG315" s="762">
        <v>0</v>
      </c>
      <c r="BH315" s="762">
        <v>0</v>
      </c>
      <c r="BI315" s="762">
        <v>0</v>
      </c>
      <c r="BJ315" s="790">
        <v>0</v>
      </c>
      <c r="BK315" s="790">
        <v>0.3</v>
      </c>
      <c r="BL315" s="790">
        <v>0.7</v>
      </c>
      <c r="BM315" s="790">
        <v>0</v>
      </c>
      <c r="BN315" s="790">
        <v>1</v>
      </c>
      <c r="BO315" s="762">
        <v>0</v>
      </c>
      <c r="BP315" s="762">
        <v>1895418</v>
      </c>
      <c r="BQ315" s="762">
        <v>4422641</v>
      </c>
      <c r="BR315" s="762">
        <v>0</v>
      </c>
      <c r="BS315" s="762">
        <v>6318059</v>
      </c>
      <c r="BT315" s="790">
        <v>0.5</v>
      </c>
      <c r="BU315" s="790">
        <v>0.4</v>
      </c>
      <c r="BV315" s="790">
        <v>0.1</v>
      </c>
      <c r="BW315" s="790">
        <v>0</v>
      </c>
      <c r="BX315" s="790">
        <v>1</v>
      </c>
      <c r="BY315" s="762">
        <v>-12403</v>
      </c>
      <c r="BZ315" s="762">
        <v>-9922</v>
      </c>
      <c r="CA315" s="762">
        <v>-2481</v>
      </c>
      <c r="CB315" s="762">
        <v>0</v>
      </c>
      <c r="CC315" s="762">
        <v>-24806</v>
      </c>
      <c r="CD315" s="762">
        <v>-12403</v>
      </c>
      <c r="CE315" s="762">
        <v>1885496</v>
      </c>
      <c r="CF315" s="762">
        <v>4420160</v>
      </c>
      <c r="CG315" s="762">
        <v>0</v>
      </c>
      <c r="CH315" s="762">
        <v>6293253</v>
      </c>
      <c r="CI315" s="762">
        <v>22793634</v>
      </c>
      <c r="CJ315" s="762">
        <v>20262523</v>
      </c>
      <c r="CK315" s="762">
        <v>8981367</v>
      </c>
      <c r="CL315" s="762">
        <v>0</v>
      </c>
      <c r="CM315" s="762">
        <v>52037524</v>
      </c>
      <c r="CN315" s="762">
        <v>594536</v>
      </c>
      <c r="CO315" s="762">
        <v>148634</v>
      </c>
      <c r="CP315" s="762">
        <v>0</v>
      </c>
      <c r="CQ315" s="762">
        <v>743170</v>
      </c>
      <c r="CR315" s="762">
        <v>699540</v>
      </c>
      <c r="CS315" s="762">
        <v>174885</v>
      </c>
      <c r="CT315" s="762">
        <v>0</v>
      </c>
      <c r="CU315" s="762">
        <v>874425</v>
      </c>
      <c r="CV315" s="762">
        <v>86935</v>
      </c>
      <c r="CW315" s="762">
        <v>21734</v>
      </c>
      <c r="CX315" s="762">
        <v>0</v>
      </c>
      <c r="CY315" s="762">
        <v>108669</v>
      </c>
      <c r="CZ315" s="762">
        <v>0</v>
      </c>
      <c r="DA315" s="762">
        <v>0</v>
      </c>
      <c r="DB315" s="762">
        <v>0</v>
      </c>
      <c r="DC315" s="762">
        <v>0</v>
      </c>
      <c r="DD315" s="762">
        <v>0</v>
      </c>
      <c r="DE315" s="762">
        <v>0</v>
      </c>
      <c r="DF315" s="762">
        <v>0</v>
      </c>
      <c r="DG315" s="762">
        <v>0</v>
      </c>
      <c r="DH315" s="762">
        <v>0</v>
      </c>
      <c r="DI315" s="762">
        <v>0</v>
      </c>
      <c r="DJ315" s="762">
        <v>0</v>
      </c>
      <c r="DK315" s="762">
        <v>0</v>
      </c>
      <c r="DL315" s="762">
        <v>8914</v>
      </c>
      <c r="DM315" s="762">
        <v>2229</v>
      </c>
      <c r="DN315" s="762">
        <v>0</v>
      </c>
      <c r="DO315" s="762">
        <v>11143</v>
      </c>
      <c r="DP315" s="762">
        <v>23750</v>
      </c>
      <c r="DQ315" s="762">
        <v>5937</v>
      </c>
      <c r="DR315" s="762">
        <v>0</v>
      </c>
      <c r="DS315" s="762">
        <v>29687</v>
      </c>
      <c r="DT315" s="762">
        <v>0</v>
      </c>
      <c r="DU315" s="762">
        <v>0</v>
      </c>
      <c r="DV315" s="762">
        <v>0</v>
      </c>
      <c r="DW315" s="762">
        <v>0</v>
      </c>
      <c r="DX315" s="762">
        <v>0</v>
      </c>
      <c r="DY315" s="762">
        <v>0</v>
      </c>
      <c r="DZ315" s="762">
        <v>0</v>
      </c>
      <c r="EA315" s="762">
        <v>0</v>
      </c>
      <c r="EB315" s="762">
        <v>790109</v>
      </c>
      <c r="EC315" s="762">
        <v>197527</v>
      </c>
      <c r="ED315" s="762">
        <v>0</v>
      </c>
      <c r="EE315" s="762">
        <v>987636</v>
      </c>
      <c r="EF315" s="762">
        <v>2203784</v>
      </c>
      <c r="EG315" s="762">
        <v>550946</v>
      </c>
      <c r="EH315" s="762">
        <v>0</v>
      </c>
      <c r="EI315" s="799">
        <v>2754730</v>
      </c>
      <c r="EJ315" s="763" t="s">
        <v>504</v>
      </c>
      <c r="EK315" s="607" t="s">
        <v>616</v>
      </c>
      <c r="EL315" s="805" t="s">
        <v>556</v>
      </c>
      <c r="EM315" t="s">
        <v>1881</v>
      </c>
    </row>
    <row r="316" spans="1:143" ht="12.75" x14ac:dyDescent="0.2">
      <c r="A316" s="764">
        <v>309</v>
      </c>
      <c r="B316" s="765" t="s">
        <v>507</v>
      </c>
      <c r="C316" s="766" t="s">
        <v>529</v>
      </c>
      <c r="D316" s="767" t="s">
        <v>1218</v>
      </c>
      <c r="E316" s="768" t="s">
        <v>541</v>
      </c>
      <c r="F316" s="761">
        <v>74659173</v>
      </c>
      <c r="G316" s="762">
        <v>887073</v>
      </c>
      <c r="H316" s="762">
        <v>0</v>
      </c>
      <c r="I316" s="762">
        <v>202719</v>
      </c>
      <c r="J316" s="762">
        <v>0</v>
      </c>
      <c r="K316" s="762">
        <v>202719</v>
      </c>
      <c r="L316" s="762">
        <v>0</v>
      </c>
      <c r="M316" s="762">
        <v>0</v>
      </c>
      <c r="N316" s="762">
        <v>12734</v>
      </c>
      <c r="O316" s="762">
        <v>12734</v>
      </c>
      <c r="P316" s="762">
        <v>0</v>
      </c>
      <c r="Q316" s="762">
        <v>0</v>
      </c>
      <c r="R316" s="762">
        <v>75330793</v>
      </c>
      <c r="S316" s="790">
        <v>0.25</v>
      </c>
      <c r="T316" s="790">
        <v>0.74</v>
      </c>
      <c r="U316" s="790">
        <v>0</v>
      </c>
      <c r="V316" s="790">
        <v>0.01</v>
      </c>
      <c r="W316" s="790">
        <v>1</v>
      </c>
      <c r="X316" s="762">
        <v>18832698</v>
      </c>
      <c r="Y316" s="762">
        <v>55744787</v>
      </c>
      <c r="Z316" s="762">
        <v>0</v>
      </c>
      <c r="AA316" s="762">
        <v>753308</v>
      </c>
      <c r="AB316" s="762">
        <v>75330793</v>
      </c>
      <c r="AC316" s="762">
        <v>0</v>
      </c>
      <c r="AD316" s="762">
        <v>0</v>
      </c>
      <c r="AE316" s="762">
        <v>0</v>
      </c>
      <c r="AF316" s="762">
        <v>0</v>
      </c>
      <c r="AG316" s="762">
        <v>0</v>
      </c>
      <c r="AH316" s="762">
        <v>18832698</v>
      </c>
      <c r="AI316" s="762">
        <v>55744787</v>
      </c>
      <c r="AJ316" s="762">
        <v>0</v>
      </c>
      <c r="AK316" s="762">
        <v>753308</v>
      </c>
      <c r="AL316" s="762">
        <v>75330793</v>
      </c>
      <c r="AM316" s="762">
        <v>202719</v>
      </c>
      <c r="AN316" s="762">
        <v>202719</v>
      </c>
      <c r="AO316" s="762">
        <v>0</v>
      </c>
      <c r="AP316" s="762">
        <v>0</v>
      </c>
      <c r="AQ316" s="762">
        <v>12734</v>
      </c>
      <c r="AR316" s="762">
        <v>0</v>
      </c>
      <c r="AS316" s="762">
        <v>12734</v>
      </c>
      <c r="AT316" s="762">
        <v>0</v>
      </c>
      <c r="AU316" s="762">
        <v>0</v>
      </c>
      <c r="AV316" s="762">
        <v>0</v>
      </c>
      <c r="AW316" s="762">
        <v>0</v>
      </c>
      <c r="AX316" s="762">
        <v>0</v>
      </c>
      <c r="AY316" s="762">
        <v>0</v>
      </c>
      <c r="AZ316" s="762">
        <v>0</v>
      </c>
      <c r="BA316" s="762">
        <v>0</v>
      </c>
      <c r="BB316" s="762">
        <v>0</v>
      </c>
      <c r="BC316" s="762">
        <v>0</v>
      </c>
      <c r="BD316" s="762">
        <v>0</v>
      </c>
      <c r="BE316" s="762">
        <v>0</v>
      </c>
      <c r="BF316" s="762">
        <v>0</v>
      </c>
      <c r="BG316" s="762">
        <v>0</v>
      </c>
      <c r="BH316" s="762">
        <v>0</v>
      </c>
      <c r="BI316" s="762">
        <v>0</v>
      </c>
      <c r="BJ316" s="790">
        <v>0</v>
      </c>
      <c r="BK316" s="790">
        <v>0.99</v>
      </c>
      <c r="BL316" s="790">
        <v>0</v>
      </c>
      <c r="BM316" s="790">
        <v>0.01</v>
      </c>
      <c r="BN316" s="790">
        <v>1</v>
      </c>
      <c r="BO316" s="762">
        <v>0</v>
      </c>
      <c r="BP316" s="762">
        <v>4256982</v>
      </c>
      <c r="BQ316" s="762">
        <v>0</v>
      </c>
      <c r="BR316" s="762">
        <v>43000</v>
      </c>
      <c r="BS316" s="762">
        <v>4299982</v>
      </c>
      <c r="BT316" s="790">
        <v>0.5</v>
      </c>
      <c r="BU316" s="790">
        <v>0.49</v>
      </c>
      <c r="BV316" s="790">
        <v>0</v>
      </c>
      <c r="BW316" s="790">
        <v>0.01</v>
      </c>
      <c r="BX316" s="790">
        <v>1</v>
      </c>
      <c r="BY316" s="762">
        <v>-461251.8599999994</v>
      </c>
      <c r="BZ316" s="762">
        <v>-452026</v>
      </c>
      <c r="CA316" s="762">
        <v>0</v>
      </c>
      <c r="CB316" s="762">
        <v>-9225</v>
      </c>
      <c r="CC316" s="762">
        <v>-922502.8599999994</v>
      </c>
      <c r="CD316" s="762">
        <v>-461252</v>
      </c>
      <c r="CE316" s="762">
        <v>3804956</v>
      </c>
      <c r="CF316" s="762">
        <v>0</v>
      </c>
      <c r="CG316" s="762">
        <v>33775</v>
      </c>
      <c r="CH316" s="762">
        <v>3377479.1400000006</v>
      </c>
      <c r="CI316" s="762">
        <v>18371446</v>
      </c>
      <c r="CJ316" s="762">
        <v>59765196</v>
      </c>
      <c r="CK316" s="762">
        <v>0</v>
      </c>
      <c r="CL316" s="762">
        <v>787083</v>
      </c>
      <c r="CM316" s="762">
        <v>78923725</v>
      </c>
      <c r="CN316" s="762">
        <v>1816946</v>
      </c>
      <c r="CO316" s="762">
        <v>0</v>
      </c>
      <c r="CP316" s="762">
        <v>24548</v>
      </c>
      <c r="CQ316" s="762">
        <v>1841494</v>
      </c>
      <c r="CR316" s="762">
        <v>1797585</v>
      </c>
      <c r="CS316" s="762">
        <v>0</v>
      </c>
      <c r="CT316" s="762">
        <v>24292</v>
      </c>
      <c r="CU316" s="762">
        <v>1821877</v>
      </c>
      <c r="CV316" s="762">
        <v>210423</v>
      </c>
      <c r="CW316" s="762">
        <v>0</v>
      </c>
      <c r="CX316" s="762">
        <v>2844</v>
      </c>
      <c r="CY316" s="762">
        <v>213267</v>
      </c>
      <c r="CZ316" s="762">
        <v>3208</v>
      </c>
      <c r="DA316" s="762">
        <v>0</v>
      </c>
      <c r="DB316" s="762">
        <v>43</v>
      </c>
      <c r="DC316" s="762">
        <v>3251</v>
      </c>
      <c r="DD316" s="762">
        <v>1868</v>
      </c>
      <c r="DE316" s="762">
        <v>0</v>
      </c>
      <c r="DF316" s="762">
        <v>25</v>
      </c>
      <c r="DG316" s="762">
        <v>1893</v>
      </c>
      <c r="DH316" s="762">
        <v>0</v>
      </c>
      <c r="DI316" s="762">
        <v>0</v>
      </c>
      <c r="DJ316" s="762">
        <v>0</v>
      </c>
      <c r="DK316" s="762">
        <v>0</v>
      </c>
      <c r="DL316" s="762">
        <v>28424</v>
      </c>
      <c r="DM316" s="762">
        <v>0</v>
      </c>
      <c r="DN316" s="762">
        <v>384</v>
      </c>
      <c r="DO316" s="762">
        <v>28808</v>
      </c>
      <c r="DP316" s="762">
        <v>60365</v>
      </c>
      <c r="DQ316" s="762">
        <v>0</v>
      </c>
      <c r="DR316" s="762">
        <v>816</v>
      </c>
      <c r="DS316" s="762">
        <v>61181</v>
      </c>
      <c r="DT316" s="762">
        <v>0</v>
      </c>
      <c r="DU316" s="762">
        <v>0</v>
      </c>
      <c r="DV316" s="762">
        <v>0</v>
      </c>
      <c r="DW316" s="762">
        <v>0</v>
      </c>
      <c r="DX316" s="762">
        <v>0</v>
      </c>
      <c r="DY316" s="762">
        <v>0</v>
      </c>
      <c r="DZ316" s="762">
        <v>0</v>
      </c>
      <c r="EA316" s="762">
        <v>0</v>
      </c>
      <c r="EB316" s="762">
        <v>534880</v>
      </c>
      <c r="EC316" s="762">
        <v>0</v>
      </c>
      <c r="ED316" s="762">
        <v>7228</v>
      </c>
      <c r="EE316" s="762">
        <v>542108</v>
      </c>
      <c r="EF316" s="762">
        <v>4453699</v>
      </c>
      <c r="EG316" s="762">
        <v>0</v>
      </c>
      <c r="EH316" s="762">
        <v>60180</v>
      </c>
      <c r="EI316" s="799">
        <v>4513879</v>
      </c>
      <c r="EJ316" s="763" t="s">
        <v>541</v>
      </c>
      <c r="EK316" s="778" t="s">
        <v>529</v>
      </c>
      <c r="EL316" s="807" t="s">
        <v>537</v>
      </c>
      <c r="EM316" t="s">
        <v>1882</v>
      </c>
    </row>
    <row r="317" spans="1:143" ht="12.75" x14ac:dyDescent="0.2">
      <c r="A317" s="764">
        <v>310</v>
      </c>
      <c r="B317" s="765" t="s">
        <v>509</v>
      </c>
      <c r="C317" s="766" t="s">
        <v>1224</v>
      </c>
      <c r="D317" s="767" t="s">
        <v>1227</v>
      </c>
      <c r="E317" s="768" t="s">
        <v>508</v>
      </c>
      <c r="F317" s="761">
        <v>73321408</v>
      </c>
      <c r="G317" s="762">
        <v>293470</v>
      </c>
      <c r="H317" s="762">
        <v>0</v>
      </c>
      <c r="I317" s="762">
        <v>331117</v>
      </c>
      <c r="J317" s="762">
        <v>0</v>
      </c>
      <c r="K317" s="762">
        <v>331117</v>
      </c>
      <c r="L317" s="762">
        <v>0</v>
      </c>
      <c r="M317" s="762">
        <v>81139</v>
      </c>
      <c r="N317" s="762">
        <v>5033</v>
      </c>
      <c r="O317" s="762">
        <v>5033</v>
      </c>
      <c r="P317" s="762">
        <v>0</v>
      </c>
      <c r="Q317" s="762">
        <v>0</v>
      </c>
      <c r="R317" s="762">
        <v>73197589</v>
      </c>
      <c r="S317" s="790">
        <v>0</v>
      </c>
      <c r="T317" s="790">
        <v>0.99</v>
      </c>
      <c r="U317" s="790">
        <v>0</v>
      </c>
      <c r="V317" s="790">
        <v>0.01</v>
      </c>
      <c r="W317" s="790">
        <v>1</v>
      </c>
      <c r="X317" s="762">
        <v>0</v>
      </c>
      <c r="Y317" s="762">
        <v>72465613</v>
      </c>
      <c r="Z317" s="762">
        <v>0</v>
      </c>
      <c r="AA317" s="762">
        <v>731976</v>
      </c>
      <c r="AB317" s="762">
        <v>73197589</v>
      </c>
      <c r="AC317" s="762">
        <v>0</v>
      </c>
      <c r="AD317" s="762">
        <v>0</v>
      </c>
      <c r="AE317" s="762">
        <v>0</v>
      </c>
      <c r="AF317" s="762">
        <v>0</v>
      </c>
      <c r="AG317" s="762">
        <v>0</v>
      </c>
      <c r="AH317" s="762">
        <v>0</v>
      </c>
      <c r="AI317" s="762">
        <v>72465613</v>
      </c>
      <c r="AJ317" s="762">
        <v>0</v>
      </c>
      <c r="AK317" s="762">
        <v>731976</v>
      </c>
      <c r="AL317" s="762">
        <v>73197589</v>
      </c>
      <c r="AM317" s="762">
        <v>331117</v>
      </c>
      <c r="AN317" s="762">
        <v>331117</v>
      </c>
      <c r="AO317" s="762">
        <v>81139</v>
      </c>
      <c r="AP317" s="762">
        <v>81139</v>
      </c>
      <c r="AQ317" s="762">
        <v>5033</v>
      </c>
      <c r="AR317" s="762">
        <v>0</v>
      </c>
      <c r="AS317" s="762">
        <v>5033</v>
      </c>
      <c r="AT317" s="762">
        <v>0</v>
      </c>
      <c r="AU317" s="762">
        <v>0</v>
      </c>
      <c r="AV317" s="762">
        <v>0</v>
      </c>
      <c r="AW317" s="762">
        <v>0</v>
      </c>
      <c r="AX317" s="762">
        <v>0</v>
      </c>
      <c r="AY317" s="762">
        <v>0</v>
      </c>
      <c r="AZ317" s="762">
        <v>0</v>
      </c>
      <c r="BA317" s="762">
        <v>0</v>
      </c>
      <c r="BB317" s="762">
        <v>0</v>
      </c>
      <c r="BC317" s="762">
        <v>0</v>
      </c>
      <c r="BD317" s="762">
        <v>0</v>
      </c>
      <c r="BE317" s="762">
        <v>0</v>
      </c>
      <c r="BF317" s="762">
        <v>0</v>
      </c>
      <c r="BG317" s="762">
        <v>0</v>
      </c>
      <c r="BH317" s="762">
        <v>0</v>
      </c>
      <c r="BI317" s="762">
        <v>0</v>
      </c>
      <c r="BJ317" s="790">
        <v>0</v>
      </c>
      <c r="BK317" s="790">
        <v>0.99</v>
      </c>
      <c r="BL317" s="790">
        <v>0</v>
      </c>
      <c r="BM317" s="790">
        <v>0.01</v>
      </c>
      <c r="BN317" s="790">
        <v>1</v>
      </c>
      <c r="BO317" s="762">
        <v>-3.7252902984619141E-9</v>
      </c>
      <c r="BP317" s="762">
        <v>-1685097</v>
      </c>
      <c r="BQ317" s="762">
        <v>0</v>
      </c>
      <c r="BR317" s="762">
        <v>-17021</v>
      </c>
      <c r="BS317" s="762">
        <v>-1702118.0000000037</v>
      </c>
      <c r="BT317" s="790">
        <v>0</v>
      </c>
      <c r="BU317" s="790">
        <v>0.99</v>
      </c>
      <c r="BV317" s="790">
        <v>0</v>
      </c>
      <c r="BW317" s="790">
        <v>0.01</v>
      </c>
      <c r="BX317" s="790">
        <v>1</v>
      </c>
      <c r="BY317" s="762">
        <v>0.30000000074505806</v>
      </c>
      <c r="BZ317" s="762">
        <v>612730</v>
      </c>
      <c r="CA317" s="762">
        <v>0</v>
      </c>
      <c r="CB317" s="762">
        <v>6189</v>
      </c>
      <c r="CC317" s="762">
        <v>618919.30000000075</v>
      </c>
      <c r="CD317" s="762">
        <v>0</v>
      </c>
      <c r="CE317" s="762">
        <v>-1072367</v>
      </c>
      <c r="CF317" s="762">
        <v>0</v>
      </c>
      <c r="CG317" s="762">
        <v>-10832</v>
      </c>
      <c r="CH317" s="762">
        <v>-1083198.700000003</v>
      </c>
      <c r="CI317" s="762">
        <v>0</v>
      </c>
      <c r="CJ317" s="762">
        <v>71810535</v>
      </c>
      <c r="CK317" s="762">
        <v>0</v>
      </c>
      <c r="CL317" s="762">
        <v>721144</v>
      </c>
      <c r="CM317" s="762">
        <v>72531679</v>
      </c>
      <c r="CN317" s="762">
        <v>2364213</v>
      </c>
      <c r="CO317" s="762">
        <v>0</v>
      </c>
      <c r="CP317" s="762">
        <v>23853</v>
      </c>
      <c r="CQ317" s="762">
        <v>2388066</v>
      </c>
      <c r="CR317" s="762">
        <v>6525387</v>
      </c>
      <c r="CS317" s="762">
        <v>0</v>
      </c>
      <c r="CT317" s="762">
        <v>65913</v>
      </c>
      <c r="CU317" s="762">
        <v>6591300</v>
      </c>
      <c r="CV317" s="762">
        <v>360923</v>
      </c>
      <c r="CW317" s="762">
        <v>0</v>
      </c>
      <c r="CX317" s="762">
        <v>3646</v>
      </c>
      <c r="CY317" s="762">
        <v>364569</v>
      </c>
      <c r="CZ317" s="762">
        <v>16598</v>
      </c>
      <c r="DA317" s="762">
        <v>0</v>
      </c>
      <c r="DB317" s="762">
        <v>168</v>
      </c>
      <c r="DC317" s="762">
        <v>16766</v>
      </c>
      <c r="DD317" s="762">
        <v>0</v>
      </c>
      <c r="DE317" s="762">
        <v>0</v>
      </c>
      <c r="DF317" s="762">
        <v>0</v>
      </c>
      <c r="DG317" s="762">
        <v>0</v>
      </c>
      <c r="DH317" s="762">
        <v>1534</v>
      </c>
      <c r="DI317" s="762">
        <v>0</v>
      </c>
      <c r="DJ317" s="762">
        <v>15</v>
      </c>
      <c r="DK317" s="762">
        <v>1549</v>
      </c>
      <c r="DL317" s="762">
        <v>31865</v>
      </c>
      <c r="DM317" s="762">
        <v>0</v>
      </c>
      <c r="DN317" s="762">
        <v>322</v>
      </c>
      <c r="DO317" s="762">
        <v>32187</v>
      </c>
      <c r="DP317" s="762">
        <v>80160</v>
      </c>
      <c r="DQ317" s="762">
        <v>0</v>
      </c>
      <c r="DR317" s="762">
        <v>810</v>
      </c>
      <c r="DS317" s="762">
        <v>80970</v>
      </c>
      <c r="DT317" s="762">
        <v>8715</v>
      </c>
      <c r="DU317" s="762">
        <v>0</v>
      </c>
      <c r="DV317" s="762">
        <v>0</v>
      </c>
      <c r="DW317" s="762">
        <v>8715</v>
      </c>
      <c r="DX317" s="762">
        <v>0</v>
      </c>
      <c r="DY317" s="762">
        <v>0</v>
      </c>
      <c r="DZ317" s="762">
        <v>0</v>
      </c>
      <c r="EA317" s="762">
        <v>0</v>
      </c>
      <c r="EB317" s="762">
        <v>1222232</v>
      </c>
      <c r="EC317" s="762">
        <v>0</v>
      </c>
      <c r="ED317" s="762">
        <v>12346</v>
      </c>
      <c r="EE317" s="762">
        <v>1234578</v>
      </c>
      <c r="EF317" s="762">
        <v>10611627</v>
      </c>
      <c r="EG317" s="762">
        <v>0</v>
      </c>
      <c r="EH317" s="762">
        <v>107073</v>
      </c>
      <c r="EI317" s="799">
        <v>10718700</v>
      </c>
      <c r="EJ317" s="763" t="s">
        <v>508</v>
      </c>
      <c r="EK317" s="783" t="s">
        <v>621</v>
      </c>
      <c r="EL317" s="807" t="s">
        <v>626</v>
      </c>
      <c r="EM317" t="s">
        <v>1883</v>
      </c>
    </row>
    <row r="318" spans="1:143" ht="12.75" x14ac:dyDescent="0.2">
      <c r="A318" s="764">
        <v>311</v>
      </c>
      <c r="B318" s="765" t="s">
        <v>511</v>
      </c>
      <c r="C318" s="766" t="s">
        <v>1217</v>
      </c>
      <c r="D318" s="767" t="s">
        <v>1227</v>
      </c>
      <c r="E318" s="768" t="s">
        <v>510</v>
      </c>
      <c r="F318" s="761">
        <v>38684432</v>
      </c>
      <c r="G318" s="762">
        <v>0</v>
      </c>
      <c r="H318" s="762">
        <v>250153</v>
      </c>
      <c r="I318" s="762">
        <v>132392</v>
      </c>
      <c r="J318" s="762">
        <v>0</v>
      </c>
      <c r="K318" s="762">
        <v>132392</v>
      </c>
      <c r="L318" s="762">
        <v>0</v>
      </c>
      <c r="M318" s="762">
        <v>0</v>
      </c>
      <c r="N318" s="762">
        <v>4075</v>
      </c>
      <c r="O318" s="762">
        <v>4075</v>
      </c>
      <c r="P318" s="762">
        <v>0</v>
      </c>
      <c r="Q318" s="762">
        <v>0</v>
      </c>
      <c r="R318" s="762">
        <v>38297812</v>
      </c>
      <c r="S318" s="790">
        <v>0.25</v>
      </c>
      <c r="T318" s="790">
        <v>0</v>
      </c>
      <c r="U318" s="790">
        <v>0.74</v>
      </c>
      <c r="V318" s="790">
        <v>0.01</v>
      </c>
      <c r="W318" s="790">
        <v>1</v>
      </c>
      <c r="X318" s="762">
        <v>9574453</v>
      </c>
      <c r="Y318" s="762">
        <v>0</v>
      </c>
      <c r="Z318" s="762">
        <v>28340381</v>
      </c>
      <c r="AA318" s="762">
        <v>382978</v>
      </c>
      <c r="AB318" s="762">
        <v>38297812</v>
      </c>
      <c r="AC318" s="762">
        <v>0</v>
      </c>
      <c r="AD318" s="762">
        <v>0</v>
      </c>
      <c r="AE318" s="762">
        <v>0</v>
      </c>
      <c r="AF318" s="762">
        <v>0</v>
      </c>
      <c r="AG318" s="762">
        <v>0</v>
      </c>
      <c r="AH318" s="762">
        <v>9574453</v>
      </c>
      <c r="AI318" s="762">
        <v>0</v>
      </c>
      <c r="AJ318" s="762">
        <v>28340381</v>
      </c>
      <c r="AK318" s="762">
        <v>382978</v>
      </c>
      <c r="AL318" s="762">
        <v>38297812</v>
      </c>
      <c r="AM318" s="762">
        <v>132392</v>
      </c>
      <c r="AN318" s="762">
        <v>132392</v>
      </c>
      <c r="AO318" s="762">
        <v>0</v>
      </c>
      <c r="AP318" s="762">
        <v>0</v>
      </c>
      <c r="AQ318" s="762">
        <v>4075</v>
      </c>
      <c r="AR318" s="762">
        <v>0</v>
      </c>
      <c r="AS318" s="762">
        <v>4075</v>
      </c>
      <c r="AT318" s="762">
        <v>0</v>
      </c>
      <c r="AU318" s="762">
        <v>0</v>
      </c>
      <c r="AV318" s="762">
        <v>0</v>
      </c>
      <c r="AW318" s="762">
        <v>0</v>
      </c>
      <c r="AX318" s="762">
        <v>0</v>
      </c>
      <c r="AY318" s="762">
        <v>0</v>
      </c>
      <c r="AZ318" s="762">
        <v>0</v>
      </c>
      <c r="BA318" s="762">
        <v>0</v>
      </c>
      <c r="BB318" s="762">
        <v>0</v>
      </c>
      <c r="BC318" s="762">
        <v>0</v>
      </c>
      <c r="BD318" s="762">
        <v>0</v>
      </c>
      <c r="BE318" s="762">
        <v>0</v>
      </c>
      <c r="BF318" s="762">
        <v>0</v>
      </c>
      <c r="BG318" s="762">
        <v>0</v>
      </c>
      <c r="BH318" s="762">
        <v>0</v>
      </c>
      <c r="BI318" s="762">
        <v>0</v>
      </c>
      <c r="BJ318" s="790">
        <v>0.5</v>
      </c>
      <c r="BK318" s="790">
        <v>0.4</v>
      </c>
      <c r="BL318" s="790">
        <v>0.09</v>
      </c>
      <c r="BM318" s="790">
        <v>0.01</v>
      </c>
      <c r="BN318" s="790">
        <v>1</v>
      </c>
      <c r="BO318" s="762">
        <v>370414</v>
      </c>
      <c r="BP318" s="762">
        <v>296330</v>
      </c>
      <c r="BQ318" s="762">
        <v>66674</v>
      </c>
      <c r="BR318" s="762">
        <v>7408</v>
      </c>
      <c r="BS318" s="762">
        <v>740826</v>
      </c>
      <c r="BT318" s="790">
        <v>0.5</v>
      </c>
      <c r="BU318" s="790">
        <v>0.4</v>
      </c>
      <c r="BV318" s="790">
        <v>0.09</v>
      </c>
      <c r="BW318" s="790">
        <v>0.01</v>
      </c>
      <c r="BX318" s="790">
        <v>1</v>
      </c>
      <c r="BY318" s="762">
        <v>-74591</v>
      </c>
      <c r="BZ318" s="762">
        <v>-59672</v>
      </c>
      <c r="CA318" s="762">
        <v>-13426</v>
      </c>
      <c r="CB318" s="762">
        <v>-1492</v>
      </c>
      <c r="CC318" s="762">
        <v>-149181</v>
      </c>
      <c r="CD318" s="762">
        <v>295823</v>
      </c>
      <c r="CE318" s="762">
        <v>236658</v>
      </c>
      <c r="CF318" s="762">
        <v>53248</v>
      </c>
      <c r="CG318" s="762">
        <v>5916</v>
      </c>
      <c r="CH318" s="762">
        <v>591645</v>
      </c>
      <c r="CI318" s="762">
        <v>9870276</v>
      </c>
      <c r="CJ318" s="762">
        <v>373125</v>
      </c>
      <c r="CK318" s="762">
        <v>28393629</v>
      </c>
      <c r="CL318" s="762">
        <v>388894</v>
      </c>
      <c r="CM318" s="762">
        <v>39025924</v>
      </c>
      <c r="CN318" s="762">
        <v>133</v>
      </c>
      <c r="CO318" s="762">
        <v>923515</v>
      </c>
      <c r="CP318" s="762">
        <v>12480</v>
      </c>
      <c r="CQ318" s="762">
        <v>936128</v>
      </c>
      <c r="CR318" s="762">
        <v>0</v>
      </c>
      <c r="CS318" s="762">
        <v>1765417</v>
      </c>
      <c r="CT318" s="762">
        <v>23857</v>
      </c>
      <c r="CU318" s="762">
        <v>1789274</v>
      </c>
      <c r="CV318" s="762">
        <v>0</v>
      </c>
      <c r="CW318" s="762">
        <v>138365</v>
      </c>
      <c r="CX318" s="762">
        <v>1870</v>
      </c>
      <c r="CY318" s="762">
        <v>140235</v>
      </c>
      <c r="CZ318" s="762">
        <v>0</v>
      </c>
      <c r="DA318" s="762">
        <v>0</v>
      </c>
      <c r="DB318" s="762">
        <v>0</v>
      </c>
      <c r="DC318" s="762">
        <v>0</v>
      </c>
      <c r="DD318" s="762">
        <v>0</v>
      </c>
      <c r="DE318" s="762">
        <v>0</v>
      </c>
      <c r="DF318" s="762">
        <v>0</v>
      </c>
      <c r="DG318" s="762">
        <v>0</v>
      </c>
      <c r="DH318" s="762">
        <v>1</v>
      </c>
      <c r="DI318" s="762">
        <v>1146</v>
      </c>
      <c r="DJ318" s="762">
        <v>15</v>
      </c>
      <c r="DK318" s="762">
        <v>1162</v>
      </c>
      <c r="DL318" s="762">
        <v>0</v>
      </c>
      <c r="DM318" s="762">
        <v>103252</v>
      </c>
      <c r="DN318" s="762">
        <v>1395</v>
      </c>
      <c r="DO318" s="762">
        <v>104647</v>
      </c>
      <c r="DP318" s="762">
        <v>0</v>
      </c>
      <c r="DQ318" s="762">
        <v>36378</v>
      </c>
      <c r="DR318" s="762">
        <v>492</v>
      </c>
      <c r="DS318" s="762">
        <v>36870</v>
      </c>
      <c r="DT318" s="762">
        <v>0</v>
      </c>
      <c r="DU318" s="762">
        <v>0</v>
      </c>
      <c r="DV318" s="762">
        <v>0</v>
      </c>
      <c r="DW318" s="762">
        <v>0</v>
      </c>
      <c r="DX318" s="762">
        <v>0</v>
      </c>
      <c r="DY318" s="762">
        <v>0</v>
      </c>
      <c r="DZ318" s="762">
        <v>0</v>
      </c>
      <c r="EA318" s="762">
        <v>0</v>
      </c>
      <c r="EB318" s="762">
        <v>0</v>
      </c>
      <c r="EC318" s="762">
        <v>1423261</v>
      </c>
      <c r="ED318" s="762">
        <v>19233</v>
      </c>
      <c r="EE318" s="762">
        <v>1442494</v>
      </c>
      <c r="EF318" s="762">
        <v>134</v>
      </c>
      <c r="EG318" s="762">
        <v>4391334</v>
      </c>
      <c r="EH318" s="762">
        <v>59342</v>
      </c>
      <c r="EI318" s="799">
        <v>4450810</v>
      </c>
      <c r="EJ318" s="763" t="s">
        <v>510</v>
      </c>
      <c r="EK318" s="783" t="s">
        <v>583</v>
      </c>
      <c r="EL318" s="807" t="s">
        <v>582</v>
      </c>
      <c r="EM318" t="s">
        <v>1884</v>
      </c>
    </row>
    <row r="319" spans="1:143" ht="12.75" x14ac:dyDescent="0.2">
      <c r="A319" s="764">
        <v>312</v>
      </c>
      <c r="B319" s="769" t="s">
        <v>513</v>
      </c>
      <c r="C319" s="766" t="s">
        <v>1217</v>
      </c>
      <c r="D319" s="767" t="s">
        <v>1218</v>
      </c>
      <c r="E319" s="772" t="s">
        <v>512</v>
      </c>
      <c r="F319" s="761">
        <v>32535665</v>
      </c>
      <c r="G319" s="762">
        <v>154530</v>
      </c>
      <c r="H319" s="762">
        <v>0</v>
      </c>
      <c r="I319" s="762">
        <v>127461</v>
      </c>
      <c r="J319" s="762">
        <v>0</v>
      </c>
      <c r="K319" s="762">
        <v>127461</v>
      </c>
      <c r="L319" s="762">
        <v>0</v>
      </c>
      <c r="M319" s="762">
        <v>0</v>
      </c>
      <c r="N319" s="762">
        <v>0</v>
      </c>
      <c r="O319" s="762">
        <v>0</v>
      </c>
      <c r="P319" s="762">
        <v>0</v>
      </c>
      <c r="Q319" s="762">
        <v>0</v>
      </c>
      <c r="R319" s="762">
        <v>32562734</v>
      </c>
      <c r="S319" s="790">
        <v>0.24999999999999994</v>
      </c>
      <c r="T319" s="790">
        <v>0.2</v>
      </c>
      <c r="U319" s="790">
        <v>0.55000000000000004</v>
      </c>
      <c r="V319" s="790">
        <v>0</v>
      </c>
      <c r="W319" s="790">
        <v>1</v>
      </c>
      <c r="X319" s="762">
        <v>8140683</v>
      </c>
      <c r="Y319" s="762">
        <v>6512547</v>
      </c>
      <c r="Z319" s="762">
        <v>17909504</v>
      </c>
      <c r="AA319" s="762">
        <v>0</v>
      </c>
      <c r="AB319" s="762">
        <v>32562734</v>
      </c>
      <c r="AC319" s="762">
        <v>0</v>
      </c>
      <c r="AD319" s="762">
        <v>0</v>
      </c>
      <c r="AE319" s="762">
        <v>0</v>
      </c>
      <c r="AF319" s="762">
        <v>0</v>
      </c>
      <c r="AG319" s="762">
        <v>0</v>
      </c>
      <c r="AH319" s="762">
        <v>8140683</v>
      </c>
      <c r="AI319" s="762">
        <v>6512547</v>
      </c>
      <c r="AJ319" s="762">
        <v>17909504</v>
      </c>
      <c r="AK319" s="762">
        <v>0</v>
      </c>
      <c r="AL319" s="762">
        <v>32562734</v>
      </c>
      <c r="AM319" s="762">
        <v>127461</v>
      </c>
      <c r="AN319" s="762">
        <v>127461</v>
      </c>
      <c r="AO319" s="762">
        <v>0</v>
      </c>
      <c r="AP319" s="762">
        <v>0</v>
      </c>
      <c r="AQ319" s="762">
        <v>0</v>
      </c>
      <c r="AR319" s="762">
        <v>0</v>
      </c>
      <c r="AS319" s="762">
        <v>0</v>
      </c>
      <c r="AT319" s="762">
        <v>0</v>
      </c>
      <c r="AU319" s="762">
        <v>0</v>
      </c>
      <c r="AV319" s="762">
        <v>0</v>
      </c>
      <c r="AW319" s="762">
        <v>0</v>
      </c>
      <c r="AX319" s="762">
        <v>0</v>
      </c>
      <c r="AY319" s="762">
        <v>0</v>
      </c>
      <c r="AZ319" s="762">
        <v>0</v>
      </c>
      <c r="BA319" s="762">
        <v>0</v>
      </c>
      <c r="BB319" s="762">
        <v>0</v>
      </c>
      <c r="BC319" s="762">
        <v>0</v>
      </c>
      <c r="BD319" s="762">
        <v>0</v>
      </c>
      <c r="BE319" s="762">
        <v>0</v>
      </c>
      <c r="BF319" s="762">
        <v>0</v>
      </c>
      <c r="BG319" s="762">
        <v>0</v>
      </c>
      <c r="BH319" s="762">
        <v>0</v>
      </c>
      <c r="BI319" s="762">
        <v>0</v>
      </c>
      <c r="BJ319" s="790">
        <v>0.5</v>
      </c>
      <c r="BK319" s="790">
        <v>0.4</v>
      </c>
      <c r="BL319" s="790">
        <v>0.1</v>
      </c>
      <c r="BM319" s="790">
        <v>0</v>
      </c>
      <c r="BN319" s="790">
        <v>1</v>
      </c>
      <c r="BO319" s="762">
        <v>-236441</v>
      </c>
      <c r="BP319" s="762">
        <v>-189152</v>
      </c>
      <c r="BQ319" s="762">
        <v>-47288</v>
      </c>
      <c r="BR319" s="762">
        <v>0</v>
      </c>
      <c r="BS319" s="762">
        <v>-472881</v>
      </c>
      <c r="BT319" s="790">
        <v>0.5</v>
      </c>
      <c r="BU319" s="790">
        <v>0.4</v>
      </c>
      <c r="BV319" s="790">
        <v>0.1</v>
      </c>
      <c r="BW319" s="790">
        <v>0</v>
      </c>
      <c r="BX319" s="790">
        <v>1</v>
      </c>
      <c r="BY319" s="762">
        <v>-591487</v>
      </c>
      <c r="BZ319" s="762">
        <v>-473190</v>
      </c>
      <c r="CA319" s="762">
        <v>-118298</v>
      </c>
      <c r="CB319" s="762">
        <v>0</v>
      </c>
      <c r="CC319" s="762">
        <v>-1182975</v>
      </c>
      <c r="CD319" s="762">
        <v>-827928</v>
      </c>
      <c r="CE319" s="762">
        <v>-662342</v>
      </c>
      <c r="CF319" s="762">
        <v>-165586</v>
      </c>
      <c r="CG319" s="762">
        <v>0</v>
      </c>
      <c r="CH319" s="762">
        <v>-1655856</v>
      </c>
      <c r="CI319" s="762">
        <v>7312755</v>
      </c>
      <c r="CJ319" s="762">
        <v>5977666</v>
      </c>
      <c r="CK319" s="762">
        <v>17743918</v>
      </c>
      <c r="CL319" s="762">
        <v>0</v>
      </c>
      <c r="CM319" s="762">
        <v>31034339</v>
      </c>
      <c r="CN319" s="762">
        <v>212221</v>
      </c>
      <c r="CO319" s="762">
        <v>583609</v>
      </c>
      <c r="CP319" s="762">
        <v>0</v>
      </c>
      <c r="CQ319" s="762">
        <v>795830</v>
      </c>
      <c r="CR319" s="762">
        <v>494644</v>
      </c>
      <c r="CS319" s="762">
        <v>1360271</v>
      </c>
      <c r="CT319" s="762">
        <v>0</v>
      </c>
      <c r="CU319" s="762">
        <v>1854915</v>
      </c>
      <c r="CV319" s="762">
        <v>31323</v>
      </c>
      <c r="CW319" s="762">
        <v>86138</v>
      </c>
      <c r="CX319" s="762">
        <v>0</v>
      </c>
      <c r="CY319" s="762">
        <v>117461</v>
      </c>
      <c r="CZ319" s="762">
        <v>0</v>
      </c>
      <c r="DA319" s="762">
        <v>0</v>
      </c>
      <c r="DB319" s="762">
        <v>0</v>
      </c>
      <c r="DC319" s="762">
        <v>0</v>
      </c>
      <c r="DD319" s="762">
        <v>0</v>
      </c>
      <c r="DE319" s="762">
        <v>0</v>
      </c>
      <c r="DF319" s="762">
        <v>0</v>
      </c>
      <c r="DG319" s="762">
        <v>0</v>
      </c>
      <c r="DH319" s="762">
        <v>310</v>
      </c>
      <c r="DI319" s="762">
        <v>852</v>
      </c>
      <c r="DJ319" s="762">
        <v>0</v>
      </c>
      <c r="DK319" s="762">
        <v>1162</v>
      </c>
      <c r="DL319" s="762">
        <v>8620</v>
      </c>
      <c r="DM319" s="762">
        <v>23705</v>
      </c>
      <c r="DN319" s="762">
        <v>0</v>
      </c>
      <c r="DO319" s="762">
        <v>32325</v>
      </c>
      <c r="DP319" s="762">
        <v>0</v>
      </c>
      <c r="DQ319" s="762">
        <v>0</v>
      </c>
      <c r="DR319" s="762">
        <v>0</v>
      </c>
      <c r="DS319" s="762">
        <v>0</v>
      </c>
      <c r="DT319" s="762">
        <v>0</v>
      </c>
      <c r="DU319" s="762">
        <v>0</v>
      </c>
      <c r="DV319" s="762">
        <v>0</v>
      </c>
      <c r="DW319" s="762">
        <v>0</v>
      </c>
      <c r="DX319" s="762">
        <v>0</v>
      </c>
      <c r="DY319" s="762">
        <v>0</v>
      </c>
      <c r="DZ319" s="762">
        <v>0</v>
      </c>
      <c r="EA319" s="762">
        <v>0</v>
      </c>
      <c r="EB319" s="762">
        <v>4994</v>
      </c>
      <c r="EC319" s="762">
        <v>13732</v>
      </c>
      <c r="ED319" s="762">
        <v>0</v>
      </c>
      <c r="EE319" s="762">
        <v>18726</v>
      </c>
      <c r="EF319" s="762">
        <v>752112</v>
      </c>
      <c r="EG319" s="762">
        <v>2068307</v>
      </c>
      <c r="EH319" s="762">
        <v>0</v>
      </c>
      <c r="EI319" s="799">
        <v>2820419</v>
      </c>
      <c r="EJ319" s="763" t="s">
        <v>512</v>
      </c>
      <c r="EK319" s="783" t="s">
        <v>618</v>
      </c>
      <c r="EL319" s="807" t="s">
        <v>556</v>
      </c>
      <c r="EM319" t="s">
        <v>1885</v>
      </c>
    </row>
    <row r="320" spans="1:143" ht="12.75" x14ac:dyDescent="0.2">
      <c r="A320" s="764">
        <v>313</v>
      </c>
      <c r="B320" s="765" t="s">
        <v>515</v>
      </c>
      <c r="C320" s="766" t="s">
        <v>1217</v>
      </c>
      <c r="D320" s="767" t="s">
        <v>1227</v>
      </c>
      <c r="E320" s="768" t="s">
        <v>514</v>
      </c>
      <c r="F320" s="761">
        <v>40027371</v>
      </c>
      <c r="G320" s="762">
        <v>262640</v>
      </c>
      <c r="H320" s="762">
        <v>0</v>
      </c>
      <c r="I320" s="762">
        <v>187966</v>
      </c>
      <c r="J320" s="762">
        <v>0</v>
      </c>
      <c r="K320" s="762">
        <v>187966</v>
      </c>
      <c r="L320" s="762">
        <v>0</v>
      </c>
      <c r="M320" s="762">
        <v>0</v>
      </c>
      <c r="N320" s="762">
        <v>375487</v>
      </c>
      <c r="O320" s="762">
        <v>212286</v>
      </c>
      <c r="P320" s="762">
        <v>163201</v>
      </c>
      <c r="Q320" s="762">
        <v>0</v>
      </c>
      <c r="R320" s="762">
        <v>39726558</v>
      </c>
      <c r="S320" s="790">
        <v>0.25</v>
      </c>
      <c r="T320" s="790">
        <v>0</v>
      </c>
      <c r="U320" s="790">
        <v>0.74</v>
      </c>
      <c r="V320" s="790">
        <v>0.01</v>
      </c>
      <c r="W320" s="790">
        <v>1</v>
      </c>
      <c r="X320" s="762">
        <v>9931639</v>
      </c>
      <c r="Y320" s="762">
        <v>0</v>
      </c>
      <c r="Z320" s="762">
        <v>29397653</v>
      </c>
      <c r="AA320" s="762">
        <v>397266</v>
      </c>
      <c r="AB320" s="762">
        <v>39726558</v>
      </c>
      <c r="AC320" s="762">
        <v>0</v>
      </c>
      <c r="AD320" s="762">
        <v>0</v>
      </c>
      <c r="AE320" s="762">
        <v>0</v>
      </c>
      <c r="AF320" s="762">
        <v>0</v>
      </c>
      <c r="AG320" s="762">
        <v>0</v>
      </c>
      <c r="AH320" s="762">
        <v>9931639</v>
      </c>
      <c r="AI320" s="762">
        <v>0</v>
      </c>
      <c r="AJ320" s="762">
        <v>29397653</v>
      </c>
      <c r="AK320" s="762">
        <v>397266</v>
      </c>
      <c r="AL320" s="762">
        <v>39726558</v>
      </c>
      <c r="AM320" s="762">
        <v>187966</v>
      </c>
      <c r="AN320" s="762">
        <v>187966</v>
      </c>
      <c r="AO320" s="762">
        <v>0</v>
      </c>
      <c r="AP320" s="762">
        <v>0</v>
      </c>
      <c r="AQ320" s="762">
        <v>212286</v>
      </c>
      <c r="AR320" s="762">
        <v>163201</v>
      </c>
      <c r="AS320" s="762">
        <v>375487</v>
      </c>
      <c r="AT320" s="762">
        <v>0</v>
      </c>
      <c r="AU320" s="762">
        <v>0</v>
      </c>
      <c r="AV320" s="762">
        <v>0</v>
      </c>
      <c r="AW320" s="762">
        <v>0</v>
      </c>
      <c r="AX320" s="762">
        <v>0</v>
      </c>
      <c r="AY320" s="762">
        <v>0</v>
      </c>
      <c r="AZ320" s="762">
        <v>0</v>
      </c>
      <c r="BA320" s="762">
        <v>0</v>
      </c>
      <c r="BB320" s="762">
        <v>0</v>
      </c>
      <c r="BC320" s="762">
        <v>0</v>
      </c>
      <c r="BD320" s="762">
        <v>0</v>
      </c>
      <c r="BE320" s="762">
        <v>0</v>
      </c>
      <c r="BF320" s="762">
        <v>0</v>
      </c>
      <c r="BG320" s="762">
        <v>0</v>
      </c>
      <c r="BH320" s="762">
        <v>0</v>
      </c>
      <c r="BI320" s="762">
        <v>0</v>
      </c>
      <c r="BJ320" s="790">
        <v>0.5</v>
      </c>
      <c r="BK320" s="790">
        <v>0.4</v>
      </c>
      <c r="BL320" s="790">
        <v>0.09</v>
      </c>
      <c r="BM320" s="790">
        <v>0.01</v>
      </c>
      <c r="BN320" s="790">
        <v>1</v>
      </c>
      <c r="BO320" s="762">
        <v>844403</v>
      </c>
      <c r="BP320" s="762">
        <v>675522</v>
      </c>
      <c r="BQ320" s="762">
        <v>151993</v>
      </c>
      <c r="BR320" s="762">
        <v>16888</v>
      </c>
      <c r="BS320" s="762">
        <v>1688806</v>
      </c>
      <c r="BT320" s="790">
        <v>0.5</v>
      </c>
      <c r="BU320" s="790">
        <v>0.4</v>
      </c>
      <c r="BV320" s="790">
        <v>0.09</v>
      </c>
      <c r="BW320" s="790">
        <v>0.01</v>
      </c>
      <c r="BX320" s="790">
        <v>1</v>
      </c>
      <c r="BY320" s="762">
        <v>-131125.52479200065</v>
      </c>
      <c r="BZ320" s="762">
        <v>-104901</v>
      </c>
      <c r="CA320" s="762">
        <v>-23603</v>
      </c>
      <c r="CB320" s="762">
        <v>-2623</v>
      </c>
      <c r="CC320" s="762">
        <v>-262252.52479200065</v>
      </c>
      <c r="CD320" s="762">
        <v>713276</v>
      </c>
      <c r="CE320" s="762">
        <v>570621</v>
      </c>
      <c r="CF320" s="762">
        <v>128390</v>
      </c>
      <c r="CG320" s="762">
        <v>14266</v>
      </c>
      <c r="CH320" s="762">
        <v>1426553.4752079993</v>
      </c>
      <c r="CI320" s="762">
        <v>10644915</v>
      </c>
      <c r="CJ320" s="762">
        <v>970873</v>
      </c>
      <c r="CK320" s="762">
        <v>29689244</v>
      </c>
      <c r="CL320" s="762">
        <v>411532</v>
      </c>
      <c r="CM320" s="762">
        <v>41716564</v>
      </c>
      <c r="CN320" s="762">
        <v>6918</v>
      </c>
      <c r="CO320" s="762">
        <v>963286</v>
      </c>
      <c r="CP320" s="762">
        <v>12946</v>
      </c>
      <c r="CQ320" s="762">
        <v>983150</v>
      </c>
      <c r="CR320" s="762">
        <v>1</v>
      </c>
      <c r="CS320" s="762">
        <v>2753714</v>
      </c>
      <c r="CT320" s="762">
        <v>37212</v>
      </c>
      <c r="CU320" s="762">
        <v>2790927</v>
      </c>
      <c r="CV320" s="762">
        <v>0</v>
      </c>
      <c r="CW320" s="762">
        <v>158079</v>
      </c>
      <c r="CX320" s="762">
        <v>2136</v>
      </c>
      <c r="CY320" s="762">
        <v>160215</v>
      </c>
      <c r="CZ320" s="762">
        <v>0</v>
      </c>
      <c r="DA320" s="762">
        <v>0</v>
      </c>
      <c r="DB320" s="762">
        <v>0</v>
      </c>
      <c r="DC320" s="762">
        <v>0</v>
      </c>
      <c r="DD320" s="762">
        <v>0</v>
      </c>
      <c r="DE320" s="762">
        <v>38702</v>
      </c>
      <c r="DF320" s="762">
        <v>523</v>
      </c>
      <c r="DG320" s="762">
        <v>39225</v>
      </c>
      <c r="DH320" s="762">
        <v>0</v>
      </c>
      <c r="DI320" s="762">
        <v>0</v>
      </c>
      <c r="DJ320" s="762">
        <v>0</v>
      </c>
      <c r="DK320" s="762">
        <v>0</v>
      </c>
      <c r="DL320" s="762">
        <v>0</v>
      </c>
      <c r="DM320" s="762">
        <v>27421</v>
      </c>
      <c r="DN320" s="762">
        <v>371</v>
      </c>
      <c r="DO320" s="762">
        <v>27792</v>
      </c>
      <c r="DP320" s="762">
        <v>-1</v>
      </c>
      <c r="DQ320" s="762">
        <v>45034</v>
      </c>
      <c r="DR320" s="762">
        <v>609</v>
      </c>
      <c r="DS320" s="762">
        <v>45642</v>
      </c>
      <c r="DT320" s="762">
        <v>0</v>
      </c>
      <c r="DU320" s="762">
        <v>0</v>
      </c>
      <c r="DV320" s="762">
        <v>0</v>
      </c>
      <c r="DW320" s="762">
        <v>0</v>
      </c>
      <c r="DX320" s="762">
        <v>0</v>
      </c>
      <c r="DY320" s="762">
        <v>0</v>
      </c>
      <c r="DZ320" s="762">
        <v>0</v>
      </c>
      <c r="EA320" s="762">
        <v>0</v>
      </c>
      <c r="EB320" s="762">
        <v>0</v>
      </c>
      <c r="EC320" s="762">
        <v>1224609</v>
      </c>
      <c r="ED320" s="762">
        <v>16549</v>
      </c>
      <c r="EE320" s="762">
        <v>1241158</v>
      </c>
      <c r="EF320" s="762">
        <v>6918</v>
      </c>
      <c r="EG320" s="762">
        <v>5210845</v>
      </c>
      <c r="EH320" s="762">
        <v>70346</v>
      </c>
      <c r="EI320" s="799">
        <v>5288109</v>
      </c>
      <c r="EJ320" s="763" t="s">
        <v>514</v>
      </c>
      <c r="EK320" s="783" t="s">
        <v>583</v>
      </c>
      <c r="EL320" s="807" t="s">
        <v>582</v>
      </c>
      <c r="EM320" t="s">
        <v>1886</v>
      </c>
    </row>
    <row r="321" spans="1:143" ht="12.75" x14ac:dyDescent="0.2">
      <c r="A321" s="764">
        <v>314</v>
      </c>
      <c r="B321" s="765" t="s">
        <v>517</v>
      </c>
      <c r="C321" s="766" t="s">
        <v>1217</v>
      </c>
      <c r="D321" s="767" t="s">
        <v>1218</v>
      </c>
      <c r="E321" s="768" t="s">
        <v>516</v>
      </c>
      <c r="F321" s="761">
        <v>73663946</v>
      </c>
      <c r="G321" s="762">
        <v>0</v>
      </c>
      <c r="H321" s="762">
        <v>504059</v>
      </c>
      <c r="I321" s="762">
        <v>234074</v>
      </c>
      <c r="J321" s="762">
        <v>0</v>
      </c>
      <c r="K321" s="762">
        <v>234074</v>
      </c>
      <c r="L321" s="762">
        <v>0</v>
      </c>
      <c r="M321" s="762">
        <v>0</v>
      </c>
      <c r="N321" s="762">
        <v>0</v>
      </c>
      <c r="O321" s="762">
        <v>0</v>
      </c>
      <c r="P321" s="762">
        <v>0</v>
      </c>
      <c r="Q321" s="762">
        <v>0</v>
      </c>
      <c r="R321" s="762">
        <v>72925813</v>
      </c>
      <c r="S321" s="790">
        <v>0.25000000000000006</v>
      </c>
      <c r="T321" s="790">
        <v>0.42499999999999999</v>
      </c>
      <c r="U321" s="790">
        <v>0.315</v>
      </c>
      <c r="V321" s="790">
        <v>0.01</v>
      </c>
      <c r="W321" s="790">
        <v>1</v>
      </c>
      <c r="X321" s="762">
        <v>18231453</v>
      </c>
      <c r="Y321" s="762">
        <v>30993471</v>
      </c>
      <c r="Z321" s="762">
        <v>22971631</v>
      </c>
      <c r="AA321" s="762">
        <v>729258</v>
      </c>
      <c r="AB321" s="762">
        <v>72925813</v>
      </c>
      <c r="AC321" s="762">
        <v>0</v>
      </c>
      <c r="AD321" s="762">
        <v>0</v>
      </c>
      <c r="AE321" s="762">
        <v>0</v>
      </c>
      <c r="AF321" s="762">
        <v>0</v>
      </c>
      <c r="AG321" s="762">
        <v>0</v>
      </c>
      <c r="AH321" s="762">
        <v>18231453</v>
      </c>
      <c r="AI321" s="762">
        <v>30993471</v>
      </c>
      <c r="AJ321" s="762">
        <v>22971631</v>
      </c>
      <c r="AK321" s="762">
        <v>729258</v>
      </c>
      <c r="AL321" s="762">
        <v>72925813</v>
      </c>
      <c r="AM321" s="762">
        <v>234074</v>
      </c>
      <c r="AN321" s="762">
        <v>234074</v>
      </c>
      <c r="AO321" s="762">
        <v>0</v>
      </c>
      <c r="AP321" s="762">
        <v>0</v>
      </c>
      <c r="AQ321" s="762">
        <v>0</v>
      </c>
      <c r="AR321" s="762">
        <v>0</v>
      </c>
      <c r="AS321" s="762">
        <v>0</v>
      </c>
      <c r="AT321" s="762">
        <v>0</v>
      </c>
      <c r="AU321" s="762">
        <v>0</v>
      </c>
      <c r="AV321" s="762">
        <v>0</v>
      </c>
      <c r="AW321" s="762">
        <v>0</v>
      </c>
      <c r="AX321" s="762">
        <v>0</v>
      </c>
      <c r="AY321" s="762">
        <v>0</v>
      </c>
      <c r="AZ321" s="762">
        <v>0</v>
      </c>
      <c r="BA321" s="762">
        <v>0</v>
      </c>
      <c r="BB321" s="762">
        <v>0</v>
      </c>
      <c r="BC321" s="762">
        <v>0</v>
      </c>
      <c r="BD321" s="762">
        <v>0</v>
      </c>
      <c r="BE321" s="762">
        <v>0</v>
      </c>
      <c r="BF321" s="762">
        <v>0</v>
      </c>
      <c r="BG321" s="762">
        <v>0</v>
      </c>
      <c r="BH321" s="762">
        <v>0</v>
      </c>
      <c r="BI321" s="762">
        <v>0</v>
      </c>
      <c r="BJ321" s="790">
        <v>0.5</v>
      </c>
      <c r="BK321" s="790">
        <v>0.4</v>
      </c>
      <c r="BL321" s="790">
        <v>0.09</v>
      </c>
      <c r="BM321" s="790">
        <v>0.01</v>
      </c>
      <c r="BN321" s="790">
        <v>1</v>
      </c>
      <c r="BO321" s="762">
        <v>436528</v>
      </c>
      <c r="BP321" s="762">
        <v>349222</v>
      </c>
      <c r="BQ321" s="762">
        <v>78575</v>
      </c>
      <c r="BR321" s="762">
        <v>8731</v>
      </c>
      <c r="BS321" s="762">
        <v>873056</v>
      </c>
      <c r="BT321" s="790">
        <v>0.5</v>
      </c>
      <c r="BU321" s="790">
        <v>0.4</v>
      </c>
      <c r="BV321" s="790">
        <v>0.09</v>
      </c>
      <c r="BW321" s="790">
        <v>0.01</v>
      </c>
      <c r="BX321" s="790">
        <v>1</v>
      </c>
      <c r="BY321" s="762">
        <v>-3128714</v>
      </c>
      <c r="BZ321" s="762">
        <v>-2502972</v>
      </c>
      <c r="CA321" s="762">
        <v>-563169</v>
      </c>
      <c r="CB321" s="762">
        <v>-62574</v>
      </c>
      <c r="CC321" s="762">
        <v>-6257429</v>
      </c>
      <c r="CD321" s="762">
        <v>-2692186</v>
      </c>
      <c r="CE321" s="762">
        <v>-2153749</v>
      </c>
      <c r="CF321" s="762">
        <v>-484594</v>
      </c>
      <c r="CG321" s="762">
        <v>-53844</v>
      </c>
      <c r="CH321" s="762">
        <v>-5384373</v>
      </c>
      <c r="CI321" s="762">
        <v>15539267</v>
      </c>
      <c r="CJ321" s="762">
        <v>29073796</v>
      </c>
      <c r="CK321" s="762">
        <v>22487037</v>
      </c>
      <c r="CL321" s="762">
        <v>675414</v>
      </c>
      <c r="CM321" s="762">
        <v>67775514</v>
      </c>
      <c r="CN321" s="762">
        <v>1009971</v>
      </c>
      <c r="CO321" s="762">
        <v>748566</v>
      </c>
      <c r="CP321" s="762">
        <v>23764</v>
      </c>
      <c r="CQ321" s="762">
        <v>1782301</v>
      </c>
      <c r="CR321" s="762">
        <v>1372189</v>
      </c>
      <c r="CS321" s="762">
        <v>1017035</v>
      </c>
      <c r="CT321" s="762">
        <v>32287</v>
      </c>
      <c r="CU321" s="762">
        <v>2421511</v>
      </c>
      <c r="CV321" s="762">
        <v>158227</v>
      </c>
      <c r="CW321" s="762">
        <v>117274</v>
      </c>
      <c r="CX321" s="762">
        <v>3723</v>
      </c>
      <c r="CY321" s="762">
        <v>279224</v>
      </c>
      <c r="CZ321" s="762">
        <v>5204</v>
      </c>
      <c r="DA321" s="762">
        <v>3857</v>
      </c>
      <c r="DB321" s="762">
        <v>122</v>
      </c>
      <c r="DC321" s="762">
        <v>9183</v>
      </c>
      <c r="DD321" s="762">
        <v>4022</v>
      </c>
      <c r="DE321" s="762">
        <v>2982</v>
      </c>
      <c r="DF321" s="762">
        <v>95</v>
      </c>
      <c r="DG321" s="762">
        <v>7099</v>
      </c>
      <c r="DH321" s="762">
        <v>659</v>
      </c>
      <c r="DI321" s="762">
        <v>488</v>
      </c>
      <c r="DJ321" s="762">
        <v>15</v>
      </c>
      <c r="DK321" s="762">
        <v>1162</v>
      </c>
      <c r="DL321" s="762">
        <v>14327</v>
      </c>
      <c r="DM321" s="762">
        <v>10618</v>
      </c>
      <c r="DN321" s="762">
        <v>337</v>
      </c>
      <c r="DO321" s="762">
        <v>25282</v>
      </c>
      <c r="DP321" s="762">
        <v>32697</v>
      </c>
      <c r="DQ321" s="762">
        <v>24235</v>
      </c>
      <c r="DR321" s="762">
        <v>769</v>
      </c>
      <c r="DS321" s="762">
        <v>57701</v>
      </c>
      <c r="DT321" s="762">
        <v>0</v>
      </c>
      <c r="DU321" s="762">
        <v>0</v>
      </c>
      <c r="DV321" s="762">
        <v>0</v>
      </c>
      <c r="DW321" s="762">
        <v>0</v>
      </c>
      <c r="DX321" s="762">
        <v>0</v>
      </c>
      <c r="DY321" s="762">
        <v>0</v>
      </c>
      <c r="DZ321" s="762">
        <v>0</v>
      </c>
      <c r="EA321" s="762">
        <v>0</v>
      </c>
      <c r="EB321" s="762">
        <v>808037</v>
      </c>
      <c r="EC321" s="762">
        <v>598899</v>
      </c>
      <c r="ED321" s="762">
        <v>19013</v>
      </c>
      <c r="EE321" s="762">
        <v>1425949</v>
      </c>
      <c r="EF321" s="762">
        <v>3405333</v>
      </c>
      <c r="EG321" s="762">
        <v>2523954</v>
      </c>
      <c r="EH321" s="762">
        <v>80125</v>
      </c>
      <c r="EI321" s="799">
        <v>6009412</v>
      </c>
      <c r="EJ321" s="763" t="s">
        <v>516</v>
      </c>
      <c r="EK321" s="783" t="s">
        <v>544</v>
      </c>
      <c r="EL321" s="807" t="s">
        <v>543</v>
      </c>
      <c r="EM321" t="s">
        <v>1887</v>
      </c>
    </row>
    <row r="322" spans="1:143" ht="12.75" x14ac:dyDescent="0.2">
      <c r="A322" s="764">
        <v>315</v>
      </c>
      <c r="B322" s="765" t="s">
        <v>519</v>
      </c>
      <c r="C322" s="766" t="s">
        <v>1217</v>
      </c>
      <c r="D322" s="767" t="s">
        <v>1219</v>
      </c>
      <c r="E322" s="768" t="s">
        <v>518</v>
      </c>
      <c r="F322" s="761">
        <v>25963709</v>
      </c>
      <c r="G322" s="762">
        <v>0</v>
      </c>
      <c r="H322" s="762">
        <v>889648</v>
      </c>
      <c r="I322" s="762">
        <v>149787</v>
      </c>
      <c r="J322" s="762">
        <v>0</v>
      </c>
      <c r="K322" s="762">
        <v>149787</v>
      </c>
      <c r="L322" s="762">
        <v>0</v>
      </c>
      <c r="M322" s="762">
        <v>138593</v>
      </c>
      <c r="N322" s="762">
        <v>0</v>
      </c>
      <c r="O322" s="762">
        <v>0</v>
      </c>
      <c r="P322" s="762">
        <v>0</v>
      </c>
      <c r="Q322" s="762">
        <v>0</v>
      </c>
      <c r="R322" s="762">
        <v>24785681</v>
      </c>
      <c r="S322" s="790">
        <v>0.25</v>
      </c>
      <c r="T322" s="790">
        <v>0.56000000000000005</v>
      </c>
      <c r="U322" s="790">
        <v>0.17499999999999999</v>
      </c>
      <c r="V322" s="790">
        <v>1.4999999999999999E-2</v>
      </c>
      <c r="W322" s="790">
        <v>1</v>
      </c>
      <c r="X322" s="762">
        <v>6196421</v>
      </c>
      <c r="Y322" s="762">
        <v>13879981</v>
      </c>
      <c r="Z322" s="762">
        <v>4337494</v>
      </c>
      <c r="AA322" s="762">
        <v>371785</v>
      </c>
      <c r="AB322" s="762">
        <v>24785681</v>
      </c>
      <c r="AC322" s="762">
        <v>0</v>
      </c>
      <c r="AD322" s="762">
        <v>0</v>
      </c>
      <c r="AE322" s="762">
        <v>0</v>
      </c>
      <c r="AF322" s="762">
        <v>0</v>
      </c>
      <c r="AG322" s="762">
        <v>0</v>
      </c>
      <c r="AH322" s="762">
        <v>6196421</v>
      </c>
      <c r="AI322" s="762">
        <v>13879981</v>
      </c>
      <c r="AJ322" s="762">
        <v>4337494</v>
      </c>
      <c r="AK322" s="762">
        <v>371785</v>
      </c>
      <c r="AL322" s="762">
        <v>24785681</v>
      </c>
      <c r="AM322" s="762">
        <v>149787</v>
      </c>
      <c r="AN322" s="762">
        <v>149787</v>
      </c>
      <c r="AO322" s="762">
        <v>138593</v>
      </c>
      <c r="AP322" s="762">
        <v>138593</v>
      </c>
      <c r="AQ322" s="762">
        <v>0</v>
      </c>
      <c r="AR322" s="762">
        <v>0</v>
      </c>
      <c r="AS322" s="762">
        <v>0</v>
      </c>
      <c r="AT322" s="762">
        <v>0</v>
      </c>
      <c r="AU322" s="762">
        <v>0</v>
      </c>
      <c r="AV322" s="762">
        <v>0</v>
      </c>
      <c r="AW322" s="762">
        <v>0</v>
      </c>
      <c r="AX322" s="762">
        <v>0</v>
      </c>
      <c r="AY322" s="762">
        <v>0</v>
      </c>
      <c r="AZ322" s="762">
        <v>0</v>
      </c>
      <c r="BA322" s="762">
        <v>0</v>
      </c>
      <c r="BB322" s="762">
        <v>0</v>
      </c>
      <c r="BC322" s="762">
        <v>0</v>
      </c>
      <c r="BD322" s="762">
        <v>0</v>
      </c>
      <c r="BE322" s="762">
        <v>0</v>
      </c>
      <c r="BF322" s="762">
        <v>0</v>
      </c>
      <c r="BG322" s="762">
        <v>0</v>
      </c>
      <c r="BH322" s="762">
        <v>0</v>
      </c>
      <c r="BI322" s="762">
        <v>0</v>
      </c>
      <c r="BJ322" s="790">
        <v>0.5</v>
      </c>
      <c r="BK322" s="790">
        <v>0.4</v>
      </c>
      <c r="BL322" s="790">
        <v>0.09</v>
      </c>
      <c r="BM322" s="790">
        <v>0.01</v>
      </c>
      <c r="BN322" s="790">
        <v>1</v>
      </c>
      <c r="BO322" s="762">
        <v>-305031</v>
      </c>
      <c r="BP322" s="762">
        <v>-244024</v>
      </c>
      <c r="BQ322" s="762">
        <v>-54905</v>
      </c>
      <c r="BR322" s="762">
        <v>-6101</v>
      </c>
      <c r="BS322" s="762">
        <v>-610061</v>
      </c>
      <c r="BT322" s="790">
        <v>0.5</v>
      </c>
      <c r="BU322" s="790">
        <v>0.4</v>
      </c>
      <c r="BV322" s="790">
        <v>0.09</v>
      </c>
      <c r="BW322" s="790">
        <v>0.01</v>
      </c>
      <c r="BX322" s="790">
        <v>1</v>
      </c>
      <c r="BY322" s="762">
        <v>-217281</v>
      </c>
      <c r="BZ322" s="762">
        <v>-173825</v>
      </c>
      <c r="CA322" s="762">
        <v>-39111</v>
      </c>
      <c r="CB322" s="762">
        <v>-4346</v>
      </c>
      <c r="CC322" s="762">
        <v>-434563</v>
      </c>
      <c r="CD322" s="762">
        <v>-522312</v>
      </c>
      <c r="CE322" s="762">
        <v>-417850</v>
      </c>
      <c r="CF322" s="762">
        <v>-94016</v>
      </c>
      <c r="CG322" s="762">
        <v>-10446</v>
      </c>
      <c r="CH322" s="762">
        <v>-1044624</v>
      </c>
      <c r="CI322" s="762">
        <v>5674109</v>
      </c>
      <c r="CJ322" s="762">
        <v>13750511</v>
      </c>
      <c r="CK322" s="762">
        <v>4243478</v>
      </c>
      <c r="CL322" s="762">
        <v>361339</v>
      </c>
      <c r="CM322" s="762">
        <v>24029437</v>
      </c>
      <c r="CN322" s="762">
        <v>456817</v>
      </c>
      <c r="CO322" s="762">
        <v>141344</v>
      </c>
      <c r="CP322" s="762">
        <v>12115</v>
      </c>
      <c r="CQ322" s="762">
        <v>610276</v>
      </c>
      <c r="CR322" s="762">
        <v>1938723</v>
      </c>
      <c r="CS322" s="762">
        <v>595773</v>
      </c>
      <c r="CT322" s="762">
        <v>51066</v>
      </c>
      <c r="CU322" s="762">
        <v>2585562</v>
      </c>
      <c r="CV322" s="762">
        <v>89401</v>
      </c>
      <c r="CW322" s="762">
        <v>27321</v>
      </c>
      <c r="CX322" s="762">
        <v>2342</v>
      </c>
      <c r="CY322" s="762">
        <v>119064</v>
      </c>
      <c r="CZ322" s="762">
        <v>6431</v>
      </c>
      <c r="DA322" s="762">
        <v>2010</v>
      </c>
      <c r="DB322" s="762">
        <v>172</v>
      </c>
      <c r="DC322" s="762">
        <v>8613</v>
      </c>
      <c r="DD322" s="762">
        <v>0</v>
      </c>
      <c r="DE322" s="762">
        <v>0</v>
      </c>
      <c r="DF322" s="762">
        <v>0</v>
      </c>
      <c r="DG322" s="762">
        <v>0</v>
      </c>
      <c r="DH322" s="762">
        <v>0</v>
      </c>
      <c r="DI322" s="762">
        <v>0</v>
      </c>
      <c r="DJ322" s="762">
        <v>0</v>
      </c>
      <c r="DK322" s="762">
        <v>0</v>
      </c>
      <c r="DL322" s="762">
        <v>6945</v>
      </c>
      <c r="DM322" s="762">
        <v>2170</v>
      </c>
      <c r="DN322" s="762">
        <v>186</v>
      </c>
      <c r="DO322" s="762">
        <v>9301</v>
      </c>
      <c r="DP322" s="762">
        <v>8963</v>
      </c>
      <c r="DQ322" s="762">
        <v>2801</v>
      </c>
      <c r="DR322" s="762">
        <v>240</v>
      </c>
      <c r="DS322" s="762">
        <v>12004</v>
      </c>
      <c r="DT322" s="762">
        <v>0</v>
      </c>
      <c r="DU322" s="762">
        <v>0</v>
      </c>
      <c r="DV322" s="762">
        <v>0</v>
      </c>
      <c r="DW322" s="762">
        <v>0</v>
      </c>
      <c r="DX322" s="762">
        <v>0</v>
      </c>
      <c r="DY322" s="762">
        <v>0</v>
      </c>
      <c r="DZ322" s="762">
        <v>0</v>
      </c>
      <c r="EA322" s="762">
        <v>0</v>
      </c>
      <c r="EB322" s="762">
        <v>425707</v>
      </c>
      <c r="EC322" s="762">
        <v>133033</v>
      </c>
      <c r="ED322" s="762">
        <v>11403</v>
      </c>
      <c r="EE322" s="762">
        <v>570143</v>
      </c>
      <c r="EF322" s="762">
        <v>2932987</v>
      </c>
      <c r="EG322" s="762">
        <v>904452</v>
      </c>
      <c r="EH322" s="762">
        <v>77524</v>
      </c>
      <c r="EI322" s="799">
        <v>3914963</v>
      </c>
      <c r="EJ322" s="763" t="s">
        <v>518</v>
      </c>
      <c r="EK322" s="786" t="s">
        <v>595</v>
      </c>
      <c r="EL322" s="808" t="s">
        <v>593</v>
      </c>
      <c r="EM322" t="s">
        <v>1888</v>
      </c>
    </row>
    <row r="323" spans="1:143" ht="12.75" x14ac:dyDescent="0.2">
      <c r="A323" s="764">
        <v>316</v>
      </c>
      <c r="B323" s="765" t="s">
        <v>521</v>
      </c>
      <c r="C323" s="766" t="s">
        <v>1217</v>
      </c>
      <c r="D323" s="767" t="s">
        <v>1227</v>
      </c>
      <c r="E323" s="768" t="s">
        <v>520</v>
      </c>
      <c r="F323" s="761">
        <v>26445911</v>
      </c>
      <c r="G323" s="762">
        <v>56036</v>
      </c>
      <c r="H323" s="762">
        <v>0</v>
      </c>
      <c r="I323" s="762">
        <v>133232</v>
      </c>
      <c r="J323" s="762">
        <v>0</v>
      </c>
      <c r="K323" s="762">
        <v>133232</v>
      </c>
      <c r="L323" s="762">
        <v>0</v>
      </c>
      <c r="M323" s="762">
        <v>0</v>
      </c>
      <c r="N323" s="762">
        <v>5156</v>
      </c>
      <c r="O323" s="762">
        <v>5156</v>
      </c>
      <c r="P323" s="762">
        <v>0</v>
      </c>
      <c r="Q323" s="762">
        <v>0</v>
      </c>
      <c r="R323" s="762">
        <v>26363559</v>
      </c>
      <c r="S323" s="790">
        <v>0.25</v>
      </c>
      <c r="T323" s="790">
        <v>0</v>
      </c>
      <c r="U323" s="790">
        <v>0.74</v>
      </c>
      <c r="V323" s="790">
        <v>0.01</v>
      </c>
      <c r="W323" s="790">
        <v>1</v>
      </c>
      <c r="X323" s="762">
        <v>6590889</v>
      </c>
      <c r="Y323" s="762">
        <v>0</v>
      </c>
      <c r="Z323" s="762">
        <v>19509034</v>
      </c>
      <c r="AA323" s="762">
        <v>263636</v>
      </c>
      <c r="AB323" s="762">
        <v>26363559</v>
      </c>
      <c r="AC323" s="762">
        <v>0</v>
      </c>
      <c r="AD323" s="762">
        <v>0</v>
      </c>
      <c r="AE323" s="762">
        <v>0</v>
      </c>
      <c r="AF323" s="762">
        <v>0</v>
      </c>
      <c r="AG323" s="762">
        <v>0</v>
      </c>
      <c r="AH323" s="762">
        <v>6590889</v>
      </c>
      <c r="AI323" s="762">
        <v>0</v>
      </c>
      <c r="AJ323" s="762">
        <v>19509034</v>
      </c>
      <c r="AK323" s="762">
        <v>263636</v>
      </c>
      <c r="AL323" s="762">
        <v>26363559</v>
      </c>
      <c r="AM323" s="762">
        <v>133232</v>
      </c>
      <c r="AN323" s="762">
        <v>133232</v>
      </c>
      <c r="AO323" s="762">
        <v>0</v>
      </c>
      <c r="AP323" s="762">
        <v>0</v>
      </c>
      <c r="AQ323" s="762">
        <v>5156</v>
      </c>
      <c r="AR323" s="762">
        <v>0</v>
      </c>
      <c r="AS323" s="762">
        <v>5156</v>
      </c>
      <c r="AT323" s="762">
        <v>0</v>
      </c>
      <c r="AU323" s="762">
        <v>0</v>
      </c>
      <c r="AV323" s="762">
        <v>0</v>
      </c>
      <c r="AW323" s="762">
        <v>0</v>
      </c>
      <c r="AX323" s="762">
        <v>0</v>
      </c>
      <c r="AY323" s="762">
        <v>0</v>
      </c>
      <c r="AZ323" s="762">
        <v>0</v>
      </c>
      <c r="BA323" s="762">
        <v>0</v>
      </c>
      <c r="BB323" s="762">
        <v>0</v>
      </c>
      <c r="BC323" s="762">
        <v>0</v>
      </c>
      <c r="BD323" s="762">
        <v>0</v>
      </c>
      <c r="BE323" s="762">
        <v>0</v>
      </c>
      <c r="BF323" s="762">
        <v>0</v>
      </c>
      <c r="BG323" s="762">
        <v>0</v>
      </c>
      <c r="BH323" s="762">
        <v>0</v>
      </c>
      <c r="BI323" s="762">
        <v>0</v>
      </c>
      <c r="BJ323" s="790">
        <v>0.5</v>
      </c>
      <c r="BK323" s="790">
        <v>0.4</v>
      </c>
      <c r="BL323" s="790">
        <v>0.09</v>
      </c>
      <c r="BM323" s="790">
        <v>0.01</v>
      </c>
      <c r="BN323" s="790">
        <v>1</v>
      </c>
      <c r="BO323" s="762">
        <v>-176125</v>
      </c>
      <c r="BP323" s="762">
        <v>-140899</v>
      </c>
      <c r="BQ323" s="762">
        <v>-31702</v>
      </c>
      <c r="BR323" s="762">
        <v>-3522</v>
      </c>
      <c r="BS323" s="762">
        <v>-352248</v>
      </c>
      <c r="BT323" s="790">
        <v>0.5</v>
      </c>
      <c r="BU323" s="790">
        <v>0.4</v>
      </c>
      <c r="BV323" s="790">
        <v>0.09</v>
      </c>
      <c r="BW323" s="790">
        <v>0.01</v>
      </c>
      <c r="BX323" s="790">
        <v>1</v>
      </c>
      <c r="BY323" s="762">
        <v>-114117</v>
      </c>
      <c r="BZ323" s="762">
        <v>-91294</v>
      </c>
      <c r="CA323" s="762">
        <v>-20541</v>
      </c>
      <c r="CB323" s="762">
        <v>-2282</v>
      </c>
      <c r="CC323" s="762">
        <v>-228234</v>
      </c>
      <c r="CD323" s="762">
        <v>-290241</v>
      </c>
      <c r="CE323" s="762">
        <v>-232193</v>
      </c>
      <c r="CF323" s="762">
        <v>-52243</v>
      </c>
      <c r="CG323" s="762">
        <v>-5805</v>
      </c>
      <c r="CH323" s="762">
        <v>-580482</v>
      </c>
      <c r="CI323" s="762">
        <v>6300648</v>
      </c>
      <c r="CJ323" s="762">
        <v>-93805</v>
      </c>
      <c r="CK323" s="762">
        <v>19456791</v>
      </c>
      <c r="CL323" s="762">
        <v>257831</v>
      </c>
      <c r="CM323" s="762">
        <v>25921465</v>
      </c>
      <c r="CN323" s="762">
        <v>168</v>
      </c>
      <c r="CO323" s="762">
        <v>635732</v>
      </c>
      <c r="CP323" s="762">
        <v>8591</v>
      </c>
      <c r="CQ323" s="762">
        <v>644491</v>
      </c>
      <c r="CR323" s="762">
        <v>0</v>
      </c>
      <c r="CS323" s="762">
        <v>1882393</v>
      </c>
      <c r="CT323" s="762">
        <v>25438</v>
      </c>
      <c r="CU323" s="762">
        <v>1907831</v>
      </c>
      <c r="CV323" s="762">
        <v>0</v>
      </c>
      <c r="CW323" s="762">
        <v>116129</v>
      </c>
      <c r="CX323" s="762">
        <v>1569</v>
      </c>
      <c r="CY323" s="762">
        <v>117698</v>
      </c>
      <c r="CZ323" s="762">
        <v>0</v>
      </c>
      <c r="DA323" s="762">
        <v>0</v>
      </c>
      <c r="DB323" s="762">
        <v>0</v>
      </c>
      <c r="DC323" s="762">
        <v>0</v>
      </c>
      <c r="DD323" s="762">
        <v>0</v>
      </c>
      <c r="DE323" s="762">
        <v>8165</v>
      </c>
      <c r="DF323" s="762">
        <v>110</v>
      </c>
      <c r="DG323" s="762">
        <v>8275</v>
      </c>
      <c r="DH323" s="762">
        <v>0</v>
      </c>
      <c r="DI323" s="762">
        <v>0</v>
      </c>
      <c r="DJ323" s="762">
        <v>0</v>
      </c>
      <c r="DK323" s="762">
        <v>0</v>
      </c>
      <c r="DL323" s="762">
        <v>-1</v>
      </c>
      <c r="DM323" s="762">
        <v>12250</v>
      </c>
      <c r="DN323" s="762">
        <v>166</v>
      </c>
      <c r="DO323" s="762">
        <v>12415</v>
      </c>
      <c r="DP323" s="762">
        <v>0</v>
      </c>
      <c r="DQ323" s="762">
        <v>17575</v>
      </c>
      <c r="DR323" s="762">
        <v>237</v>
      </c>
      <c r="DS323" s="762">
        <v>17812</v>
      </c>
      <c r="DT323" s="762">
        <v>0</v>
      </c>
      <c r="DU323" s="762">
        <v>0</v>
      </c>
      <c r="DV323" s="762">
        <v>0</v>
      </c>
      <c r="DW323" s="762">
        <v>0</v>
      </c>
      <c r="DX323" s="762">
        <v>0</v>
      </c>
      <c r="DY323" s="762">
        <v>0</v>
      </c>
      <c r="DZ323" s="762">
        <v>0</v>
      </c>
      <c r="EA323" s="762">
        <v>0</v>
      </c>
      <c r="EB323" s="762">
        <v>0</v>
      </c>
      <c r="EC323" s="762">
        <v>781446</v>
      </c>
      <c r="ED323" s="762">
        <v>10560</v>
      </c>
      <c r="EE323" s="762">
        <v>792006</v>
      </c>
      <c r="EF323" s="762">
        <v>167</v>
      </c>
      <c r="EG323" s="762">
        <v>3453690</v>
      </c>
      <c r="EH323" s="762">
        <v>46671</v>
      </c>
      <c r="EI323" s="799">
        <v>3500528</v>
      </c>
      <c r="EJ323" s="763" t="s">
        <v>520</v>
      </c>
      <c r="EK323" s="786" t="s">
        <v>583</v>
      </c>
      <c r="EL323" s="808" t="s">
        <v>582</v>
      </c>
      <c r="EM323" t="s">
        <v>1889</v>
      </c>
    </row>
    <row r="324" spans="1:143" ht="13.5" thickBot="1" x14ac:dyDescent="0.25">
      <c r="A324" s="764">
        <v>317</v>
      </c>
      <c r="B324" s="765" t="s">
        <v>523</v>
      </c>
      <c r="C324" s="766" t="s">
        <v>529</v>
      </c>
      <c r="D324" s="767" t="s">
        <v>1225</v>
      </c>
      <c r="E324" s="768" t="s">
        <v>602</v>
      </c>
      <c r="F324" s="761">
        <v>101675032</v>
      </c>
      <c r="G324" s="788">
        <v>0</v>
      </c>
      <c r="H324" s="788">
        <v>139082</v>
      </c>
      <c r="I324" s="788">
        <v>289330</v>
      </c>
      <c r="J324" s="788">
        <v>0</v>
      </c>
      <c r="K324" s="788">
        <v>289330</v>
      </c>
      <c r="L324" s="788">
        <v>0</v>
      </c>
      <c r="M324" s="788">
        <v>400640</v>
      </c>
      <c r="N324" s="788">
        <v>0</v>
      </c>
      <c r="O324" s="788">
        <v>0</v>
      </c>
      <c r="P324" s="788">
        <v>0</v>
      </c>
      <c r="Q324" s="788">
        <v>0</v>
      </c>
      <c r="R324" s="788">
        <v>100845980</v>
      </c>
      <c r="S324" s="791">
        <v>0.25</v>
      </c>
      <c r="T324" s="791">
        <v>0.74</v>
      </c>
      <c r="U324" s="791">
        <v>0</v>
      </c>
      <c r="V324" s="791">
        <v>0.01</v>
      </c>
      <c r="W324" s="791">
        <v>1</v>
      </c>
      <c r="X324" s="788">
        <v>25211495</v>
      </c>
      <c r="Y324" s="788">
        <v>74626025</v>
      </c>
      <c r="Z324" s="788">
        <v>0</v>
      </c>
      <c r="AA324" s="788">
        <v>1008460</v>
      </c>
      <c r="AB324" s="788">
        <v>100845980</v>
      </c>
      <c r="AC324" s="788">
        <v>0</v>
      </c>
      <c r="AD324" s="788">
        <v>0</v>
      </c>
      <c r="AE324" s="788">
        <v>0</v>
      </c>
      <c r="AF324" s="788">
        <v>0</v>
      </c>
      <c r="AG324" s="788">
        <v>0</v>
      </c>
      <c r="AH324" s="788">
        <v>25211495</v>
      </c>
      <c r="AI324" s="788">
        <v>74626025</v>
      </c>
      <c r="AJ324" s="788">
        <v>0</v>
      </c>
      <c r="AK324" s="788">
        <v>1008460</v>
      </c>
      <c r="AL324" s="788">
        <v>100845980</v>
      </c>
      <c r="AM324" s="788">
        <v>289330</v>
      </c>
      <c r="AN324" s="788">
        <v>289330</v>
      </c>
      <c r="AO324" s="788">
        <v>400640</v>
      </c>
      <c r="AP324" s="788">
        <v>400640</v>
      </c>
      <c r="AQ324" s="788">
        <v>0</v>
      </c>
      <c r="AR324" s="788">
        <v>0</v>
      </c>
      <c r="AS324" s="788">
        <v>0</v>
      </c>
      <c r="AT324" s="788">
        <v>0</v>
      </c>
      <c r="AU324" s="788">
        <v>0</v>
      </c>
      <c r="AV324" s="788">
        <v>0</v>
      </c>
      <c r="AW324" s="788">
        <v>0</v>
      </c>
      <c r="AX324" s="788">
        <v>0</v>
      </c>
      <c r="AY324" s="788">
        <v>0</v>
      </c>
      <c r="AZ324" s="788">
        <v>0</v>
      </c>
      <c r="BA324" s="788">
        <v>0</v>
      </c>
      <c r="BB324" s="788">
        <v>0</v>
      </c>
      <c r="BC324" s="788">
        <v>0</v>
      </c>
      <c r="BD324" s="788">
        <v>0</v>
      </c>
      <c r="BE324" s="788">
        <v>0</v>
      </c>
      <c r="BF324" s="788">
        <v>0</v>
      </c>
      <c r="BG324" s="788">
        <v>0</v>
      </c>
      <c r="BH324" s="788">
        <v>0</v>
      </c>
      <c r="BI324" s="788">
        <v>0</v>
      </c>
      <c r="BJ324" s="791">
        <v>0</v>
      </c>
      <c r="BK324" s="791">
        <v>0.99</v>
      </c>
      <c r="BL324" s="791">
        <v>0</v>
      </c>
      <c r="BM324" s="791">
        <v>0.01</v>
      </c>
      <c r="BN324" s="791">
        <v>1</v>
      </c>
      <c r="BO324" s="788">
        <v>0</v>
      </c>
      <c r="BP324" s="788">
        <v>4329160</v>
      </c>
      <c r="BQ324" s="788">
        <v>0</v>
      </c>
      <c r="BR324" s="788">
        <v>43729</v>
      </c>
      <c r="BS324" s="788">
        <v>4372889</v>
      </c>
      <c r="BT324" s="791">
        <v>0.5</v>
      </c>
      <c r="BU324" s="791">
        <v>0.49</v>
      </c>
      <c r="BV324" s="791">
        <v>0</v>
      </c>
      <c r="BW324" s="791">
        <v>0.01</v>
      </c>
      <c r="BX324" s="791">
        <v>1</v>
      </c>
      <c r="BY324" s="788">
        <v>-56543</v>
      </c>
      <c r="BZ324" s="788">
        <v>-55413</v>
      </c>
      <c r="CA324" s="788">
        <v>0</v>
      </c>
      <c r="CB324" s="788">
        <v>-1131</v>
      </c>
      <c r="CC324" s="788">
        <v>-113087</v>
      </c>
      <c r="CD324" s="788">
        <v>-56543</v>
      </c>
      <c r="CE324" s="788">
        <v>4273747</v>
      </c>
      <c r="CF324" s="788">
        <v>0</v>
      </c>
      <c r="CG324" s="788">
        <v>42598</v>
      </c>
      <c r="CH324" s="788">
        <v>4259802</v>
      </c>
      <c r="CI324" s="788">
        <v>25154952</v>
      </c>
      <c r="CJ324" s="788">
        <v>79589742</v>
      </c>
      <c r="CK324" s="788">
        <v>0</v>
      </c>
      <c r="CL324" s="788">
        <v>1051058</v>
      </c>
      <c r="CM324" s="788">
        <v>105795752</v>
      </c>
      <c r="CN324" s="788">
        <v>2444861</v>
      </c>
      <c r="CO324" s="788">
        <v>0</v>
      </c>
      <c r="CP324" s="788">
        <v>32862</v>
      </c>
      <c r="CQ324" s="788">
        <v>2477723</v>
      </c>
      <c r="CR324" s="788">
        <v>3152267</v>
      </c>
      <c r="CS324" s="788">
        <v>0</v>
      </c>
      <c r="CT324" s="788">
        <v>42542</v>
      </c>
      <c r="CU324" s="788">
        <v>3194809</v>
      </c>
      <c r="CV324" s="788">
        <v>286037</v>
      </c>
      <c r="CW324" s="788">
        <v>0</v>
      </c>
      <c r="CX324" s="788">
        <v>3835</v>
      </c>
      <c r="CY324" s="788">
        <v>289872</v>
      </c>
      <c r="CZ324" s="788">
        <v>38206</v>
      </c>
      <c r="DA324" s="788">
        <v>0</v>
      </c>
      <c r="DB324" s="788">
        <v>516</v>
      </c>
      <c r="DC324" s="788">
        <v>38722</v>
      </c>
      <c r="DD324" s="788">
        <v>3143</v>
      </c>
      <c r="DE324" s="788">
        <v>0</v>
      </c>
      <c r="DF324" s="788">
        <v>42</v>
      </c>
      <c r="DG324" s="788">
        <v>3185</v>
      </c>
      <c r="DH324" s="788">
        <v>1147</v>
      </c>
      <c r="DI324" s="788">
        <v>0</v>
      </c>
      <c r="DJ324" s="788">
        <v>15</v>
      </c>
      <c r="DK324" s="788">
        <v>1162</v>
      </c>
      <c r="DL324" s="788">
        <v>30565</v>
      </c>
      <c r="DM324" s="788">
        <v>0</v>
      </c>
      <c r="DN324" s="788">
        <v>413</v>
      </c>
      <c r="DO324" s="788">
        <v>30978</v>
      </c>
      <c r="DP324" s="788">
        <v>120406</v>
      </c>
      <c r="DQ324" s="788">
        <v>0</v>
      </c>
      <c r="DR324" s="788">
        <v>1627</v>
      </c>
      <c r="DS324" s="788">
        <v>122033</v>
      </c>
      <c r="DT324" s="788">
        <v>0</v>
      </c>
      <c r="DU324" s="788">
        <v>0</v>
      </c>
      <c r="DV324" s="788">
        <v>0</v>
      </c>
      <c r="DW324" s="788">
        <v>0</v>
      </c>
      <c r="DX324" s="788">
        <v>0</v>
      </c>
      <c r="DY324" s="788">
        <v>0</v>
      </c>
      <c r="DZ324" s="788">
        <v>0</v>
      </c>
      <c r="EA324" s="788">
        <v>0</v>
      </c>
      <c r="EB324" s="788">
        <v>2244258</v>
      </c>
      <c r="EC324" s="788">
        <v>0</v>
      </c>
      <c r="ED324" s="788">
        <v>30034</v>
      </c>
      <c r="EE324" s="788">
        <v>2274292</v>
      </c>
      <c r="EF324" s="788">
        <v>8320890</v>
      </c>
      <c r="EG324" s="788">
        <v>0</v>
      </c>
      <c r="EH324" s="788">
        <v>111886</v>
      </c>
      <c r="EI324" s="800">
        <v>8432776</v>
      </c>
      <c r="EJ324" s="763" t="s">
        <v>602</v>
      </c>
      <c r="EK324" s="786" t="s">
        <v>529</v>
      </c>
      <c r="EL324" s="808" t="s">
        <v>603</v>
      </c>
      <c r="EM324" t="s">
        <v>1890</v>
      </c>
    </row>
    <row r="325" spans="1:143" s="357" customFormat="1" ht="13.5" thickBot="1" x14ac:dyDescent="0.25">
      <c r="A325" s="773">
        <v>327</v>
      </c>
      <c r="B325" s="864" t="s">
        <v>524</v>
      </c>
      <c r="C325" s="774"/>
      <c r="D325" s="775" t="s">
        <v>1221</v>
      </c>
      <c r="E325" s="775" t="s">
        <v>1230</v>
      </c>
      <c r="F325" s="776">
        <f>SUM(F8:F324)</f>
        <v>25219905851.436001</v>
      </c>
      <c r="G325" s="777">
        <f t="shared" ref="G325:BR325" si="0">SUM(G8:G324)</f>
        <v>156653349.75</v>
      </c>
      <c r="H325" s="777">
        <f t="shared" si="0"/>
        <v>185085245.61500001</v>
      </c>
      <c r="I325" s="777">
        <f t="shared" si="0"/>
        <v>84000006</v>
      </c>
      <c r="J325" s="777">
        <f t="shared" si="0"/>
        <v>58225</v>
      </c>
      <c r="K325" s="777">
        <f t="shared" si="0"/>
        <v>84058231</v>
      </c>
      <c r="L325" s="777">
        <f t="shared" si="0"/>
        <v>11871000</v>
      </c>
      <c r="M325" s="777">
        <f t="shared" si="0"/>
        <v>61929102</v>
      </c>
      <c r="N325" s="777">
        <f t="shared" si="0"/>
        <v>66669194</v>
      </c>
      <c r="O325" s="777">
        <f t="shared" si="0"/>
        <v>63539003</v>
      </c>
      <c r="P325" s="777">
        <f t="shared" si="0"/>
        <v>3116830</v>
      </c>
      <c r="Q325" s="777">
        <f t="shared" si="0"/>
        <v>25956</v>
      </c>
      <c r="R325" s="777">
        <f t="shared" si="0"/>
        <v>24966920473</v>
      </c>
      <c r="S325" s="777" t="s">
        <v>1892</v>
      </c>
      <c r="T325" s="777" t="s">
        <v>1892</v>
      </c>
      <c r="U325" s="777" t="s">
        <v>1892</v>
      </c>
      <c r="V325" s="777" t="s">
        <v>1892</v>
      </c>
      <c r="W325" s="777" t="s">
        <v>1892</v>
      </c>
      <c r="X325" s="777">
        <f t="shared" si="0"/>
        <v>7508720368</v>
      </c>
      <c r="Y325" s="777">
        <f t="shared" si="0"/>
        <v>13456856337</v>
      </c>
      <c r="Z325" s="777">
        <f t="shared" si="0"/>
        <v>3862760025</v>
      </c>
      <c r="AA325" s="777">
        <f t="shared" si="0"/>
        <v>138583743</v>
      </c>
      <c r="AB325" s="777">
        <f t="shared" si="0"/>
        <v>24966920473</v>
      </c>
      <c r="AC325" s="777">
        <f t="shared" si="0"/>
        <v>14846615</v>
      </c>
      <c r="AD325" s="777">
        <f t="shared" si="0"/>
        <v>0</v>
      </c>
      <c r="AE325" s="777">
        <f t="shared" si="0"/>
        <v>0</v>
      </c>
      <c r="AF325" s="777">
        <f t="shared" si="0"/>
        <v>0</v>
      </c>
      <c r="AG325" s="777">
        <f t="shared" si="0"/>
        <v>14846615</v>
      </c>
      <c r="AH325" s="777">
        <f t="shared" si="0"/>
        <v>7493873753</v>
      </c>
      <c r="AI325" s="777">
        <f t="shared" si="0"/>
        <v>13456856337</v>
      </c>
      <c r="AJ325" s="777">
        <f t="shared" si="0"/>
        <v>3862760025</v>
      </c>
      <c r="AK325" s="777">
        <f t="shared" si="0"/>
        <v>138583743</v>
      </c>
      <c r="AL325" s="777">
        <f t="shared" si="0"/>
        <v>24952073858</v>
      </c>
      <c r="AM325" s="777">
        <f t="shared" si="0"/>
        <v>84058231</v>
      </c>
      <c r="AN325" s="777">
        <f t="shared" si="0"/>
        <v>84058231</v>
      </c>
      <c r="AO325" s="777">
        <f t="shared" si="0"/>
        <v>61929102</v>
      </c>
      <c r="AP325" s="777">
        <f t="shared" si="0"/>
        <v>61929102</v>
      </c>
      <c r="AQ325" s="777">
        <f t="shared" si="0"/>
        <v>63539003</v>
      </c>
      <c r="AR325" s="777">
        <f t="shared" si="0"/>
        <v>3116830</v>
      </c>
      <c r="AS325" s="777">
        <f t="shared" si="0"/>
        <v>66669194</v>
      </c>
      <c r="AT325" s="777">
        <f t="shared" si="0"/>
        <v>10382.400000000001</v>
      </c>
      <c r="AU325" s="777">
        <f t="shared" si="0"/>
        <v>15314.039999999999</v>
      </c>
      <c r="AV325" s="777">
        <f t="shared" si="0"/>
        <v>259.56</v>
      </c>
      <c r="AW325" s="777">
        <f t="shared" si="0"/>
        <v>25956</v>
      </c>
      <c r="AX325" s="777">
        <f t="shared" si="0"/>
        <v>10741765</v>
      </c>
      <c r="AY325" s="777">
        <f t="shared" si="0"/>
        <v>177750</v>
      </c>
      <c r="AZ325" s="777">
        <f t="shared" si="0"/>
        <v>20055</v>
      </c>
      <c r="BA325" s="777">
        <f t="shared" si="0"/>
        <v>10939570</v>
      </c>
      <c r="BB325" s="777">
        <f t="shared" si="0"/>
        <v>11871000</v>
      </c>
      <c r="BC325" s="777">
        <f t="shared" si="0"/>
        <v>11871000</v>
      </c>
      <c r="BD325" s="777">
        <f t="shared" si="0"/>
        <v>3146258</v>
      </c>
      <c r="BE325" s="777">
        <f t="shared" si="0"/>
        <v>0</v>
      </c>
      <c r="BF325" s="777">
        <f t="shared" si="0"/>
        <v>64209</v>
      </c>
      <c r="BG325" s="777">
        <f t="shared" si="0"/>
        <v>3210467</v>
      </c>
      <c r="BH325" s="777">
        <f t="shared" si="0"/>
        <v>696578</v>
      </c>
      <c r="BI325" s="777">
        <f t="shared" si="0"/>
        <v>696578</v>
      </c>
      <c r="BJ325" s="840" t="s">
        <v>1892</v>
      </c>
      <c r="BK325" s="840" t="s">
        <v>1892</v>
      </c>
      <c r="BL325" s="840" t="s">
        <v>1892</v>
      </c>
      <c r="BM325" s="840" t="s">
        <v>1892</v>
      </c>
      <c r="BN325" s="840" t="s">
        <v>1892</v>
      </c>
      <c r="BO325" s="777">
        <f t="shared" si="0"/>
        <v>1648866.740000017</v>
      </c>
      <c r="BP325" s="777">
        <f t="shared" si="0"/>
        <v>160008032</v>
      </c>
      <c r="BQ325" s="777">
        <f t="shared" si="0"/>
        <v>83412030</v>
      </c>
      <c r="BR325" s="777">
        <f t="shared" si="0"/>
        <v>744542</v>
      </c>
      <c r="BS325" s="777">
        <f t="shared" ref="BS325:ED325" si="1">SUM(BS8:BS324)</f>
        <v>245813470.74000001</v>
      </c>
      <c r="BT325" s="840" t="s">
        <v>1892</v>
      </c>
      <c r="BU325" s="840" t="s">
        <v>1892</v>
      </c>
      <c r="BV325" s="840" t="s">
        <v>1892</v>
      </c>
      <c r="BW325" s="840" t="s">
        <v>1892</v>
      </c>
      <c r="BX325" s="840" t="s">
        <v>1892</v>
      </c>
      <c r="BY325" s="777">
        <f t="shared" si="1"/>
        <v>-94928212.566681013</v>
      </c>
      <c r="BZ325" s="777">
        <f t="shared" si="1"/>
        <v>-75455184</v>
      </c>
      <c r="CA325" s="777">
        <f t="shared" si="1"/>
        <v>-19922646</v>
      </c>
      <c r="CB325" s="777">
        <f t="shared" si="1"/>
        <v>-950949</v>
      </c>
      <c r="CC325" s="777">
        <f t="shared" si="1"/>
        <v>-191256991.56668097</v>
      </c>
      <c r="CD325" s="777">
        <f t="shared" si="1"/>
        <v>-93279353</v>
      </c>
      <c r="CE325" s="777">
        <f t="shared" si="1"/>
        <v>84552841</v>
      </c>
      <c r="CF325" s="777">
        <f t="shared" si="1"/>
        <v>63489389</v>
      </c>
      <c r="CG325" s="777">
        <f t="shared" si="1"/>
        <v>-206400</v>
      </c>
      <c r="CH325" s="777">
        <f t="shared" si="1"/>
        <v>54556479.173319004</v>
      </c>
      <c r="CI325" s="777">
        <f t="shared" si="1"/>
        <v>7400594400</v>
      </c>
      <c r="CJ325" s="777">
        <f t="shared" si="1"/>
        <v>13777401497</v>
      </c>
      <c r="CK325" s="777">
        <f t="shared" si="1"/>
        <v>3929559308</v>
      </c>
      <c r="CL325" s="777">
        <f t="shared" si="1"/>
        <v>138461867</v>
      </c>
      <c r="CM325" s="777">
        <f t="shared" si="1"/>
        <v>25246030435</v>
      </c>
      <c r="CN325" s="777">
        <f t="shared" si="1"/>
        <v>443463643</v>
      </c>
      <c r="CO325" s="777">
        <f t="shared" si="1"/>
        <v>125981907</v>
      </c>
      <c r="CP325" s="777">
        <f t="shared" si="1"/>
        <v>4518716</v>
      </c>
      <c r="CQ325" s="777">
        <f t="shared" si="1"/>
        <v>573964266</v>
      </c>
      <c r="CR325" s="777">
        <f t="shared" si="1"/>
        <v>744401581</v>
      </c>
      <c r="CS325" s="777">
        <f t="shared" si="1"/>
        <v>157620676</v>
      </c>
      <c r="CT325" s="777">
        <f t="shared" si="1"/>
        <v>10070432</v>
      </c>
      <c r="CU325" s="777">
        <f t="shared" si="1"/>
        <v>912092689</v>
      </c>
      <c r="CV325" s="777">
        <f t="shared" si="1"/>
        <v>49979737</v>
      </c>
      <c r="CW325" s="777">
        <f t="shared" si="1"/>
        <v>11551708</v>
      </c>
      <c r="CX325" s="777">
        <f t="shared" si="1"/>
        <v>632168</v>
      </c>
      <c r="CY325" s="777">
        <f t="shared" si="1"/>
        <v>62163613</v>
      </c>
      <c r="CZ325" s="777">
        <f t="shared" si="1"/>
        <v>1770617</v>
      </c>
      <c r="DA325" s="777">
        <f t="shared" si="1"/>
        <v>268422</v>
      </c>
      <c r="DB325" s="777">
        <f t="shared" si="1"/>
        <v>26592</v>
      </c>
      <c r="DC325" s="777">
        <f t="shared" si="1"/>
        <v>2065631</v>
      </c>
      <c r="DD325" s="777">
        <f t="shared" si="1"/>
        <v>2068574</v>
      </c>
      <c r="DE325" s="777">
        <f t="shared" si="1"/>
        <v>695823</v>
      </c>
      <c r="DF325" s="777">
        <f t="shared" si="1"/>
        <v>32010</v>
      </c>
      <c r="DG325" s="777">
        <f t="shared" si="1"/>
        <v>2796407</v>
      </c>
      <c r="DH325" s="777">
        <f t="shared" si="1"/>
        <v>110942</v>
      </c>
      <c r="DI325" s="777">
        <f t="shared" si="1"/>
        <v>27036</v>
      </c>
      <c r="DJ325" s="777">
        <f t="shared" si="1"/>
        <v>1396</v>
      </c>
      <c r="DK325" s="777">
        <f t="shared" si="1"/>
        <v>139374</v>
      </c>
      <c r="DL325" s="777">
        <f t="shared" si="1"/>
        <v>9236654</v>
      </c>
      <c r="DM325" s="777">
        <f t="shared" si="1"/>
        <v>3264520</v>
      </c>
      <c r="DN325" s="777">
        <f t="shared" si="1"/>
        <v>108563</v>
      </c>
      <c r="DO325" s="777">
        <f t="shared" si="1"/>
        <v>12609737</v>
      </c>
      <c r="DP325" s="777">
        <f t="shared" si="1"/>
        <v>18044749</v>
      </c>
      <c r="DQ325" s="777">
        <f t="shared" si="1"/>
        <v>5885373</v>
      </c>
      <c r="DR325" s="777">
        <f t="shared" si="1"/>
        <v>158363</v>
      </c>
      <c r="DS325" s="777">
        <f t="shared" si="1"/>
        <v>24088485</v>
      </c>
      <c r="DT325" s="777">
        <f t="shared" si="1"/>
        <v>4991855.17</v>
      </c>
      <c r="DU325" s="777">
        <f t="shared" si="1"/>
        <v>0</v>
      </c>
      <c r="DV325" s="777">
        <f t="shared" si="1"/>
        <v>1872.83</v>
      </c>
      <c r="DW325" s="777">
        <f t="shared" si="1"/>
        <v>4993728</v>
      </c>
      <c r="DX325" s="777">
        <f t="shared" si="1"/>
        <v>226417</v>
      </c>
      <c r="DY325" s="777">
        <f t="shared" si="1"/>
        <v>61540</v>
      </c>
      <c r="DZ325" s="777">
        <f t="shared" si="1"/>
        <v>5458</v>
      </c>
      <c r="EA325" s="777">
        <f t="shared" si="1"/>
        <v>293415</v>
      </c>
      <c r="EB325" s="777">
        <f t="shared" si="1"/>
        <v>275747121</v>
      </c>
      <c r="EC325" s="777">
        <f t="shared" si="1"/>
        <v>78232683</v>
      </c>
      <c r="ED325" s="777">
        <f t="shared" si="1"/>
        <v>3127703</v>
      </c>
      <c r="EE325" s="777">
        <f t="shared" ref="EE325:EI325" si="2">SUM(EE8:EE324)</f>
        <v>357107507</v>
      </c>
      <c r="EF325" s="777">
        <f t="shared" si="2"/>
        <v>1550041890.1700001</v>
      </c>
      <c r="EG325" s="777">
        <f t="shared" si="2"/>
        <v>383589688</v>
      </c>
      <c r="EH325" s="777">
        <f t="shared" si="2"/>
        <v>18683273.829999998</v>
      </c>
      <c r="EI325" s="777">
        <f t="shared" si="2"/>
        <v>1952314852</v>
      </c>
      <c r="EJ325" s="811" t="s">
        <v>1230</v>
      </c>
      <c r="EK325" s="809"/>
      <c r="EL325" s="810"/>
    </row>
    <row r="326" spans="1:143" x14ac:dyDescent="0.2">
      <c r="A326" s="865" t="s">
        <v>1901</v>
      </c>
      <c r="D326" s="780"/>
      <c r="E326" s="781"/>
      <c r="F326" s="141"/>
      <c r="G326" s="141"/>
      <c r="H326" s="141"/>
      <c r="I326" s="141"/>
      <c r="J326" s="141"/>
      <c r="K326" s="141"/>
      <c r="L326" s="141"/>
      <c r="M326" s="141"/>
      <c r="N326" s="141"/>
      <c r="O326" s="141"/>
      <c r="P326" s="141"/>
      <c r="Q326" s="141"/>
      <c r="R326" s="141"/>
      <c r="S326" s="141"/>
      <c r="T326" s="141"/>
      <c r="U326" s="141"/>
      <c r="V326" s="141"/>
      <c r="W326" s="141"/>
      <c r="X326" s="141"/>
      <c r="Y326" s="141"/>
      <c r="Z326" s="141"/>
      <c r="AA326" s="141"/>
      <c r="AB326" s="141"/>
      <c r="AC326" s="141"/>
      <c r="AD326" s="141"/>
      <c r="AE326" s="141"/>
      <c r="AF326" s="141"/>
      <c r="AG326" s="141"/>
      <c r="AH326" s="141"/>
      <c r="AI326" s="141"/>
      <c r="AJ326" s="141"/>
      <c r="AK326" s="141"/>
      <c r="AL326" s="141"/>
      <c r="AM326" s="141"/>
      <c r="AN326" s="141"/>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c r="BQ326" s="141"/>
      <c r="BR326" s="141"/>
      <c r="BS326" s="141"/>
      <c r="BT326" s="141"/>
      <c r="BU326" s="141"/>
      <c r="BV326" s="141"/>
      <c r="BW326" s="141"/>
      <c r="BX326" s="141"/>
      <c r="BY326" s="141"/>
      <c r="BZ326" s="141"/>
      <c r="CA326" s="141"/>
      <c r="CB326" s="141"/>
      <c r="CC326" s="141"/>
      <c r="CD326" s="141"/>
      <c r="CE326" s="141"/>
      <c r="CF326" s="141"/>
      <c r="CG326" s="141"/>
      <c r="CH326" s="141"/>
      <c r="CI326" s="141"/>
      <c r="CJ326" s="141"/>
      <c r="CK326" s="141"/>
      <c r="CL326" s="141"/>
      <c r="CM326" s="141"/>
      <c r="CN326" s="141"/>
      <c r="CO326" s="141"/>
      <c r="CP326" s="141"/>
      <c r="CQ326" s="141"/>
      <c r="CR326" s="141"/>
      <c r="CS326" s="141"/>
      <c r="CT326" s="141"/>
      <c r="CU326" s="141"/>
      <c r="CV326" s="141"/>
      <c r="CW326" s="141"/>
      <c r="CX326" s="141"/>
      <c r="CY326" s="141"/>
      <c r="CZ326" s="141"/>
      <c r="DA326" s="141"/>
      <c r="DB326" s="141"/>
      <c r="DC326" s="141"/>
      <c r="DD326" s="141"/>
      <c r="DE326" s="141"/>
      <c r="DF326" s="141"/>
      <c r="DG326" s="141"/>
      <c r="DH326" s="141"/>
      <c r="DI326" s="141"/>
      <c r="DJ326" s="141"/>
      <c r="DK326" s="141"/>
      <c r="DL326" s="141"/>
      <c r="DM326" s="141"/>
      <c r="DN326" s="141"/>
      <c r="DO326" s="141"/>
      <c r="DP326" s="141"/>
      <c r="DQ326" s="141"/>
      <c r="DR326" s="141"/>
      <c r="DS326" s="141"/>
      <c r="DT326" s="141"/>
      <c r="DU326" s="141"/>
      <c r="DV326" s="141"/>
      <c r="DW326" s="141"/>
      <c r="DX326" s="141"/>
      <c r="DY326" s="141"/>
      <c r="DZ326" s="141"/>
      <c r="EA326" s="141"/>
      <c r="EB326" s="141"/>
      <c r="EC326" s="141"/>
      <c r="ED326" s="141"/>
      <c r="EE326" s="141"/>
      <c r="EF326" s="141"/>
      <c r="EG326" s="141"/>
      <c r="EH326" s="141"/>
      <c r="EI326" s="141"/>
      <c r="EJ326" s="782"/>
    </row>
    <row r="327" spans="1:143" x14ac:dyDescent="0.2">
      <c r="D327" s="780"/>
      <c r="E327" s="781"/>
      <c r="F327" s="855"/>
      <c r="G327" s="855"/>
      <c r="H327" s="855"/>
      <c r="I327" s="855"/>
      <c r="J327" s="855"/>
      <c r="K327" s="855"/>
      <c r="L327" s="855"/>
      <c r="M327" s="855"/>
      <c r="N327" s="855"/>
      <c r="O327" s="855"/>
      <c r="P327" s="855"/>
      <c r="Q327" s="855"/>
      <c r="R327" s="855"/>
      <c r="S327" s="855"/>
      <c r="T327" s="855"/>
      <c r="U327" s="855"/>
      <c r="V327" s="855"/>
      <c r="W327" s="855"/>
      <c r="X327" s="855"/>
      <c r="Y327" s="855"/>
      <c r="Z327" s="855"/>
      <c r="AA327" s="855"/>
      <c r="AB327" s="855"/>
      <c r="AC327" s="855"/>
      <c r="AD327" s="855"/>
      <c r="AE327" s="855"/>
      <c r="AF327" s="855"/>
      <c r="AG327" s="855"/>
      <c r="AH327" s="855"/>
      <c r="AI327" s="855"/>
      <c r="AJ327" s="855"/>
      <c r="AK327" s="855"/>
      <c r="AL327" s="855"/>
      <c r="AM327" s="855"/>
      <c r="AN327" s="855"/>
      <c r="AO327" s="855"/>
      <c r="AP327" s="855"/>
      <c r="AQ327" s="855"/>
      <c r="AR327" s="855"/>
      <c r="AS327" s="855"/>
      <c r="AT327" s="855"/>
      <c r="AU327" s="855"/>
      <c r="AV327" s="855"/>
      <c r="AW327" s="855"/>
      <c r="AX327" s="855"/>
      <c r="AY327" s="855"/>
      <c r="AZ327" s="855"/>
      <c r="BA327" s="855"/>
      <c r="BB327" s="855"/>
      <c r="BC327" s="855"/>
      <c r="BD327" s="855"/>
      <c r="BE327" s="855"/>
      <c r="BF327" s="855"/>
      <c r="BG327" s="855"/>
      <c r="BH327" s="855"/>
      <c r="BI327" s="855"/>
      <c r="BJ327" s="855"/>
      <c r="BK327" s="855"/>
      <c r="BL327" s="855"/>
      <c r="BM327" s="855"/>
      <c r="BN327" s="855"/>
      <c r="BO327" s="855"/>
      <c r="BP327" s="855"/>
      <c r="BQ327" s="855"/>
      <c r="BR327" s="855"/>
      <c r="BS327" s="855"/>
      <c r="BT327" s="855"/>
      <c r="BU327" s="855"/>
      <c r="BV327" s="855"/>
      <c r="BW327" s="855"/>
      <c r="BX327" s="855"/>
      <c r="BY327" s="855"/>
      <c r="BZ327" s="855"/>
      <c r="CA327" s="855"/>
      <c r="CB327" s="855"/>
      <c r="CC327" s="855"/>
      <c r="CD327" s="855"/>
      <c r="CE327" s="855"/>
      <c r="CF327" s="855"/>
      <c r="CG327" s="855"/>
      <c r="CH327" s="855"/>
      <c r="CI327" s="855"/>
      <c r="CJ327" s="855"/>
      <c r="CK327" s="855"/>
      <c r="CL327" s="855"/>
      <c r="CM327" s="855"/>
      <c r="CN327" s="855"/>
      <c r="CO327" s="855"/>
      <c r="CP327" s="855"/>
      <c r="CQ327" s="855"/>
      <c r="CR327" s="855"/>
      <c r="CS327" s="855"/>
      <c r="CT327" s="855"/>
      <c r="CU327" s="855"/>
      <c r="CV327" s="855"/>
      <c r="CW327" s="855"/>
      <c r="CX327" s="855"/>
      <c r="CY327" s="855"/>
      <c r="CZ327" s="855"/>
      <c r="DA327" s="855"/>
      <c r="DB327" s="855"/>
      <c r="DC327" s="855"/>
      <c r="DD327" s="855"/>
      <c r="DE327" s="855"/>
      <c r="DF327" s="855"/>
      <c r="DG327" s="855"/>
      <c r="DH327" s="855"/>
      <c r="DI327" s="855"/>
      <c r="DJ327" s="855"/>
      <c r="DK327" s="855"/>
      <c r="DL327" s="855"/>
      <c r="DM327" s="855"/>
      <c r="DN327" s="855"/>
      <c r="DO327" s="855"/>
      <c r="DP327" s="855"/>
      <c r="DQ327" s="855"/>
      <c r="DR327" s="855"/>
      <c r="DS327" s="855"/>
      <c r="DT327" s="855"/>
      <c r="DU327" s="855"/>
      <c r="DV327" s="855"/>
      <c r="DW327" s="855"/>
      <c r="DX327" s="855"/>
      <c r="DY327" s="855"/>
      <c r="DZ327" s="855"/>
      <c r="EA327" s="855"/>
      <c r="EB327" s="855"/>
      <c r="EC327" s="855"/>
      <c r="ED327" s="855"/>
      <c r="EE327" s="855"/>
      <c r="EF327" s="855"/>
      <c r="EG327" s="855"/>
      <c r="EH327" s="855"/>
      <c r="EI327" s="855"/>
      <c r="EJ327" s="782"/>
    </row>
    <row r="328" spans="1:143" x14ac:dyDescent="0.2">
      <c r="A328" s="784"/>
      <c r="D328" s="780"/>
      <c r="E328" s="781"/>
      <c r="EJ328" s="782"/>
    </row>
    <row r="329" spans="1:143" x14ac:dyDescent="0.2">
      <c r="D329" s="780"/>
      <c r="E329" s="781"/>
      <c r="EJ329" s="782"/>
    </row>
    <row r="330" spans="1:143" x14ac:dyDescent="0.2">
      <c r="D330" s="780"/>
      <c r="E330" s="781"/>
      <c r="EJ330" s="782"/>
    </row>
    <row r="331" spans="1:143" x14ac:dyDescent="0.2">
      <c r="EJ331" s="51"/>
    </row>
  </sheetData>
  <mergeCells count="33">
    <mergeCell ref="DX2:EA2"/>
    <mergeCell ref="EB2:EE2"/>
    <mergeCell ref="DL2:DO2"/>
    <mergeCell ref="DP2:DS2"/>
    <mergeCell ref="DT2:DW2"/>
    <mergeCell ref="DH2:DK2"/>
    <mergeCell ref="AX2:BA2"/>
    <mergeCell ref="BB2:BC2"/>
    <mergeCell ref="BD2:BG2"/>
    <mergeCell ref="BH2:BI2"/>
    <mergeCell ref="BY2:CC2"/>
    <mergeCell ref="CV2:CY2"/>
    <mergeCell ref="CI2:CM2"/>
    <mergeCell ref="CN2:CQ2"/>
    <mergeCell ref="CR2:CU2"/>
    <mergeCell ref="BJ2:BN2"/>
    <mergeCell ref="CD2:CH2"/>
    <mergeCell ref="F1:R1"/>
    <mergeCell ref="S1:CM1"/>
    <mergeCell ref="CN1:EI1"/>
    <mergeCell ref="S2:W2"/>
    <mergeCell ref="X2:AB2"/>
    <mergeCell ref="AC2:AG2"/>
    <mergeCell ref="AH2:AL2"/>
    <mergeCell ref="AM2:AN2"/>
    <mergeCell ref="AO2:AP2"/>
    <mergeCell ref="AQ2:AS2"/>
    <mergeCell ref="EF2:EI2"/>
    <mergeCell ref="AT2:AW2"/>
    <mergeCell ref="BT2:BX2"/>
    <mergeCell ref="BO2:BS2"/>
    <mergeCell ref="CZ2:DC2"/>
    <mergeCell ref="DD2:DG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330"/>
  <sheetViews>
    <sheetView workbookViewId="0"/>
  </sheetViews>
  <sheetFormatPr defaultRowHeight="15" x14ac:dyDescent="0.2"/>
  <cols>
    <col min="1" max="1" width="7.85546875" style="779" customWidth="1"/>
    <col min="2" max="2" width="8.42578125" style="9" customWidth="1"/>
    <col min="3" max="3" width="6.7109375" style="9" customWidth="1"/>
    <col min="4" max="4" width="8.140625" style="9" customWidth="1"/>
    <col min="5" max="5" width="32.28515625" style="9" customWidth="1"/>
    <col min="6" max="6" width="16.7109375" bestFit="1" customWidth="1"/>
    <col min="7" max="7" width="13.5703125" customWidth="1"/>
    <col min="8" max="8" width="11.140625" bestFit="1" customWidth="1"/>
    <col min="9" max="9" width="13.7109375" customWidth="1"/>
    <col min="10" max="10" width="9.28515625" bestFit="1" customWidth="1"/>
    <col min="11" max="11" width="13.85546875" bestFit="1" customWidth="1"/>
    <col min="12" max="13" width="11.140625" bestFit="1" customWidth="1"/>
    <col min="14" max="14" width="10.140625" bestFit="1" customWidth="1"/>
    <col min="15" max="15" width="13.85546875" bestFit="1" customWidth="1"/>
    <col min="16" max="16" width="11.140625" bestFit="1" customWidth="1"/>
    <col min="17" max="17" width="13.85546875" bestFit="1" customWidth="1"/>
    <col min="18" max="18" width="11.7109375" bestFit="1" customWidth="1"/>
    <col min="19" max="19" width="9.7109375" bestFit="1" customWidth="1"/>
    <col min="20" max="20" width="11.7109375" bestFit="1" customWidth="1"/>
    <col min="21" max="21" width="11.140625" bestFit="1" customWidth="1"/>
    <col min="22" max="22" width="9.28515625" bestFit="1" customWidth="1"/>
    <col min="23" max="23" width="11.140625" bestFit="1" customWidth="1"/>
    <col min="24" max="24" width="10.7109375" bestFit="1" customWidth="1"/>
    <col min="25" max="27" width="9.28515625" bestFit="1" customWidth="1"/>
    <col min="28" max="28" width="10.7109375" bestFit="1" customWidth="1"/>
    <col min="29" max="29" width="9.28515625" bestFit="1" customWidth="1"/>
    <col min="30" max="31" width="10.7109375" bestFit="1" customWidth="1"/>
    <col min="32" max="32" width="9.7109375" bestFit="1" customWidth="1"/>
    <col min="33" max="33" width="10.7109375" bestFit="1" customWidth="1"/>
    <col min="34" max="34" width="13.42578125" bestFit="1" customWidth="1"/>
    <col min="35" max="35" width="9.7109375" bestFit="1" customWidth="1"/>
    <col min="36" max="36" width="13.42578125" bestFit="1" customWidth="1"/>
    <col min="37" max="37" width="9.7109375" bestFit="1" customWidth="1"/>
    <col min="38" max="38" width="9.28515625" bestFit="1" customWidth="1"/>
    <col min="39" max="39" width="9.7109375" bestFit="1" customWidth="1"/>
    <col min="40" max="40" width="11.140625" bestFit="1" customWidth="1"/>
    <col min="41" max="41" width="9.28515625" bestFit="1" customWidth="1"/>
    <col min="42" max="42" width="11.140625" bestFit="1" customWidth="1"/>
    <col min="43" max="43" width="13.42578125" bestFit="1" customWidth="1"/>
    <col min="44" max="44" width="9.28515625" bestFit="1" customWidth="1"/>
    <col min="45" max="46" width="13.42578125" bestFit="1" customWidth="1"/>
    <col min="47" max="47" width="10.7109375" bestFit="1" customWidth="1"/>
    <col min="48" max="48" width="13.42578125" bestFit="1" customWidth="1"/>
    <col min="49" max="49" width="10.7109375" bestFit="1" customWidth="1"/>
    <col min="50" max="50" width="9.28515625" bestFit="1" customWidth="1"/>
    <col min="51" max="51" width="10.7109375" bestFit="1" customWidth="1"/>
    <col min="52" max="52" width="9.7109375" bestFit="1" customWidth="1"/>
    <col min="53" max="53" width="9.28515625" bestFit="1" customWidth="1"/>
    <col min="54" max="54" width="9.7109375" bestFit="1" customWidth="1"/>
    <col min="55" max="55" width="13.42578125" bestFit="1" customWidth="1"/>
    <col min="56" max="57" width="10.7109375" bestFit="1" customWidth="1"/>
    <col min="58" max="58" width="9.28515625" bestFit="1" customWidth="1"/>
    <col min="59" max="59" width="13.42578125" bestFit="1" customWidth="1"/>
    <col min="60" max="60" width="10.7109375" bestFit="1" customWidth="1"/>
    <col min="61" max="61" width="13.42578125" bestFit="1" customWidth="1"/>
    <col min="62" max="62" width="10.7109375" bestFit="1" customWidth="1"/>
    <col min="63" max="63" width="9.28515625" bestFit="1" customWidth="1"/>
    <col min="64" max="64" width="10.7109375" bestFit="1" customWidth="1"/>
    <col min="65" max="65" width="11.7109375" bestFit="1" customWidth="1"/>
    <col min="66" max="66" width="10.7109375" bestFit="1" customWidth="1"/>
    <col min="67" max="68" width="11.7109375" bestFit="1" customWidth="1"/>
    <col min="69" max="70" width="10.7109375" bestFit="1" customWidth="1"/>
    <col min="71" max="71" width="9.7109375" bestFit="1" customWidth="1"/>
    <col min="72" max="72" width="11.7109375" bestFit="1" customWidth="1"/>
    <col min="73" max="73" width="10.7109375" bestFit="1" customWidth="1"/>
    <col min="74" max="74" width="11.7109375" bestFit="1" customWidth="1"/>
    <col min="75" max="75" width="10.7109375" bestFit="1" customWidth="1"/>
    <col min="76" max="76" width="9.28515625" bestFit="1" customWidth="1"/>
    <col min="77" max="78" width="10.7109375" bestFit="1" customWidth="1"/>
    <col min="79" max="79" width="9.28515625" bestFit="1" customWidth="1"/>
    <col min="80" max="80" width="10.7109375" bestFit="1" customWidth="1"/>
    <col min="81" max="81" width="9.7109375" bestFit="1" customWidth="1"/>
    <col min="82" max="82" width="9.28515625" bestFit="1" customWidth="1"/>
    <col min="83" max="83" width="9.7109375" bestFit="1" customWidth="1"/>
    <col min="84" max="89" width="9.28515625" bestFit="1" customWidth="1"/>
    <col min="90" max="90" width="9.7109375" bestFit="1" customWidth="1"/>
    <col min="91" max="93" width="10.7109375" bestFit="1" customWidth="1"/>
    <col min="94" max="94" width="9.7109375" bestFit="1" customWidth="1"/>
    <col min="95" max="96" width="10.7109375" bestFit="1" customWidth="1"/>
    <col min="97" max="98" width="9.28515625" bestFit="1" customWidth="1"/>
    <col min="99" max="100" width="10.7109375" bestFit="1" customWidth="1"/>
    <col min="101" max="101" width="11.7109375" bestFit="1" customWidth="1"/>
    <col min="102" max="102" width="9.7109375" bestFit="1" customWidth="1"/>
    <col min="103" max="103" width="9.28515625" bestFit="1" customWidth="1"/>
    <col min="104" max="104" width="9.7109375" bestFit="1" customWidth="1"/>
    <col min="105" max="107" width="9.28515625" bestFit="1" customWidth="1"/>
    <col min="108" max="108" width="10.7109375" bestFit="1" customWidth="1"/>
    <col min="109" max="109" width="9.28515625" bestFit="1" customWidth="1"/>
    <col min="110" max="111" width="10.7109375" bestFit="1" customWidth="1"/>
    <col min="112" max="112" width="9.28515625" bestFit="1" customWidth="1"/>
    <col min="113" max="113" width="10.7109375" bestFit="1" customWidth="1"/>
    <col min="114" max="116" width="9.28515625" bestFit="1" customWidth="1"/>
    <col min="117" max="117" width="11.7109375" bestFit="1" customWidth="1"/>
    <col min="118" max="118" width="9.7109375" bestFit="1" customWidth="1"/>
    <col min="119" max="119" width="11.7109375" bestFit="1" customWidth="1"/>
    <col min="120" max="120" width="11.7109375" customWidth="1"/>
    <col min="121" max="121" width="11.140625" customWidth="1"/>
    <col min="122" max="123" width="9.28515625" bestFit="1" customWidth="1"/>
    <col min="124" max="124" width="11.7109375" bestFit="1" customWidth="1"/>
    <col min="125" max="125" width="9.7109375" bestFit="1" customWidth="1"/>
    <col min="126" max="126" width="11.7109375" bestFit="1" customWidth="1"/>
    <col min="127" max="127" width="13.85546875" bestFit="1" customWidth="1"/>
    <col min="128" max="128" width="11" customWidth="1"/>
    <col min="129" max="129" width="13.5703125" customWidth="1"/>
    <col min="130" max="130" width="11.42578125" customWidth="1"/>
  </cols>
  <sheetData>
    <row r="1" spans="1:130" ht="13.5" thickBot="1" x14ac:dyDescent="0.25">
      <c r="A1" s="719"/>
      <c r="B1" s="720"/>
      <c r="C1" s="721"/>
      <c r="D1" s="722"/>
      <c r="E1" s="723"/>
      <c r="F1" s="794"/>
      <c r="G1" s="1102"/>
      <c r="H1" s="1102"/>
      <c r="I1" s="1102"/>
      <c r="J1" s="795"/>
      <c r="K1" s="1102"/>
      <c r="L1" s="1102"/>
      <c r="M1" s="1102"/>
      <c r="N1" s="1102"/>
      <c r="O1" s="1102"/>
      <c r="P1" s="1102"/>
      <c r="Q1" s="1102"/>
      <c r="R1" s="1102"/>
      <c r="S1" s="1102"/>
      <c r="T1" s="1102"/>
      <c r="U1" s="1102"/>
      <c r="V1" s="1102"/>
      <c r="W1" s="1102"/>
      <c r="X1" s="1102"/>
      <c r="Y1" s="1102"/>
      <c r="Z1" s="1102"/>
      <c r="AA1" s="1102"/>
      <c r="AB1" s="1102"/>
      <c r="AC1" s="1102"/>
      <c r="AD1" s="1102"/>
      <c r="AE1" s="1102"/>
      <c r="AF1" s="1102"/>
      <c r="AG1" s="1102"/>
      <c r="AH1" s="1102"/>
      <c r="AI1" s="1102"/>
      <c r="AJ1" s="1102"/>
      <c r="AK1" s="1102"/>
      <c r="AL1" s="1102"/>
      <c r="AM1" s="1102"/>
      <c r="AN1" s="1102"/>
      <c r="AO1" s="1102"/>
      <c r="AP1" s="1102"/>
      <c r="AQ1" s="1102"/>
      <c r="AR1" s="1102"/>
      <c r="AS1" s="1102"/>
      <c r="AT1" s="1102"/>
      <c r="AU1" s="1102"/>
      <c r="AV1" s="1102"/>
      <c r="AW1" s="1102"/>
      <c r="AX1" s="1102"/>
      <c r="AY1" s="1102"/>
      <c r="AZ1" s="1102"/>
      <c r="BA1" s="1102"/>
      <c r="BB1" s="1102"/>
      <c r="BC1" s="1102"/>
      <c r="BD1" s="1102"/>
      <c r="BE1" s="1102"/>
      <c r="BF1" s="1102"/>
      <c r="BG1" s="1102"/>
      <c r="BH1" s="1102"/>
      <c r="BI1" s="1102"/>
      <c r="BJ1" s="1102"/>
      <c r="BK1" s="1102"/>
      <c r="BL1" s="1102"/>
      <c r="BM1" s="1102"/>
      <c r="BN1" s="1102"/>
      <c r="BO1" s="1102"/>
      <c r="BP1" s="1102"/>
      <c r="BQ1" s="1102"/>
      <c r="BR1" s="1102"/>
      <c r="BS1" s="1102"/>
      <c r="BT1" s="1102"/>
      <c r="BU1" s="1102"/>
      <c r="BV1" s="1102"/>
      <c r="BW1" s="1102"/>
      <c r="BX1" s="1102"/>
      <c r="BY1" s="1102"/>
      <c r="BZ1" s="1102"/>
      <c r="CA1" s="1102"/>
      <c r="CB1" s="1102"/>
      <c r="CC1" s="1102"/>
      <c r="CD1" s="1102"/>
      <c r="CE1" s="1102"/>
      <c r="CF1" s="1102"/>
      <c r="CG1" s="1102"/>
      <c r="CH1" s="1102"/>
      <c r="CI1" s="1102"/>
      <c r="CJ1" s="1102"/>
      <c r="CK1" s="1102"/>
      <c r="CL1" s="1102"/>
      <c r="CM1" s="1102"/>
      <c r="CN1" s="1102"/>
      <c r="CO1" s="795"/>
      <c r="CP1" s="795"/>
      <c r="CQ1" s="1102"/>
      <c r="CR1" s="1102"/>
      <c r="CS1" s="1102"/>
      <c r="CT1" s="1102"/>
      <c r="CU1" s="1102"/>
      <c r="CV1" s="1102"/>
      <c r="CW1" s="1102"/>
      <c r="CX1" s="1102"/>
      <c r="CY1" s="1102"/>
      <c r="CZ1" s="1102"/>
      <c r="DA1" s="1102"/>
      <c r="DB1" s="1102"/>
      <c r="DC1" s="1102"/>
      <c r="DD1" s="1102"/>
      <c r="DE1" s="1102"/>
      <c r="DF1" s="1102"/>
      <c r="DG1" s="1102"/>
      <c r="DH1" s="1102"/>
      <c r="DI1" s="1102"/>
      <c r="DJ1" s="1102"/>
      <c r="DK1" s="1102"/>
      <c r="DL1" s="1102"/>
      <c r="DM1" s="795"/>
      <c r="DN1" s="795"/>
      <c r="DO1" s="795"/>
      <c r="DP1" s="1102"/>
      <c r="DQ1" s="1102"/>
      <c r="DR1" s="1102"/>
      <c r="DS1" s="1102"/>
      <c r="DT1" s="1102"/>
      <c r="DU1" s="1102"/>
      <c r="DV1" s="1102"/>
      <c r="DW1" s="1103"/>
      <c r="DX1" s="1103"/>
      <c r="DY1" s="1103"/>
    </row>
    <row r="2" spans="1:130" ht="51.75" thickBot="1" x14ac:dyDescent="0.25">
      <c r="A2" s="724"/>
      <c r="B2" s="725"/>
      <c r="C2" s="726"/>
      <c r="D2" s="727"/>
      <c r="E2" s="726"/>
      <c r="F2" s="813" t="s">
        <v>1249</v>
      </c>
      <c r="G2" s="1097" t="s">
        <v>1250</v>
      </c>
      <c r="H2" s="1097"/>
      <c r="I2" s="1097"/>
      <c r="J2" s="729" t="s">
        <v>1251</v>
      </c>
      <c r="K2" s="1099" t="s">
        <v>1273</v>
      </c>
      <c r="L2" s="1097"/>
      <c r="M2" s="1097" t="s">
        <v>1252</v>
      </c>
      <c r="N2" s="1097"/>
      <c r="O2" s="1097" t="s">
        <v>1123</v>
      </c>
      <c r="P2" s="1097"/>
      <c r="Q2" s="1097"/>
      <c r="R2" s="1097" t="s">
        <v>1253</v>
      </c>
      <c r="S2" s="1097"/>
      <c r="T2" s="1097"/>
      <c r="U2" s="1097" t="s">
        <v>1254</v>
      </c>
      <c r="V2" s="1097"/>
      <c r="W2" s="1097"/>
      <c r="X2" s="1104" t="s">
        <v>1255</v>
      </c>
      <c r="Y2" s="1097"/>
      <c r="Z2" s="1097" t="s">
        <v>1256</v>
      </c>
      <c r="AA2" s="1097"/>
      <c r="AB2" s="1097" t="s">
        <v>671</v>
      </c>
      <c r="AC2" s="1097"/>
      <c r="AD2" s="1097"/>
      <c r="AE2" s="1097" t="s">
        <v>1257</v>
      </c>
      <c r="AF2" s="1097"/>
      <c r="AG2" s="1100"/>
      <c r="AH2" s="1099" t="s">
        <v>1272</v>
      </c>
      <c r="AI2" s="1097"/>
      <c r="AJ2" s="1097"/>
      <c r="AK2" s="1097" t="s">
        <v>1258</v>
      </c>
      <c r="AL2" s="1097"/>
      <c r="AM2" s="1097"/>
      <c r="AN2" s="1097" t="s">
        <v>1259</v>
      </c>
      <c r="AO2" s="1097"/>
      <c r="AP2" s="1097"/>
      <c r="AQ2" s="1097" t="s">
        <v>1260</v>
      </c>
      <c r="AR2" s="1097"/>
      <c r="AS2" s="1097"/>
      <c r="AT2" s="1099" t="s">
        <v>1274</v>
      </c>
      <c r="AU2" s="1097"/>
      <c r="AV2" s="1097"/>
      <c r="AW2" s="1099" t="s">
        <v>1275</v>
      </c>
      <c r="AX2" s="1097"/>
      <c r="AY2" s="1097"/>
      <c r="AZ2" s="1099" t="s">
        <v>1276</v>
      </c>
      <c r="BA2" s="1097"/>
      <c r="BB2" s="1097"/>
      <c r="BC2" s="1099" t="s">
        <v>1277</v>
      </c>
      <c r="BD2" s="1097"/>
      <c r="BE2" s="1097" t="s">
        <v>1261</v>
      </c>
      <c r="BF2" s="1097"/>
      <c r="BG2" s="1099" t="s">
        <v>1278</v>
      </c>
      <c r="BH2" s="1097"/>
      <c r="BI2" s="1097"/>
      <c r="BJ2" s="1099" t="s">
        <v>1279</v>
      </c>
      <c r="BK2" s="1097"/>
      <c r="BL2" s="1097"/>
      <c r="BM2" s="1099" t="s">
        <v>1280</v>
      </c>
      <c r="BN2" s="1097"/>
      <c r="BO2" s="1097"/>
      <c r="BP2" s="1099" t="s">
        <v>1281</v>
      </c>
      <c r="BQ2" s="1097"/>
      <c r="BR2" s="1097" t="s">
        <v>1262</v>
      </c>
      <c r="BS2" s="1097"/>
      <c r="BT2" s="1099" t="s">
        <v>1282</v>
      </c>
      <c r="BU2" s="1097"/>
      <c r="BV2" s="1097"/>
      <c r="BW2" s="1105" t="s">
        <v>1283</v>
      </c>
      <c r="BX2" s="1097"/>
      <c r="BY2" s="1097"/>
      <c r="BZ2" s="1099" t="s">
        <v>1284</v>
      </c>
      <c r="CA2" s="1097"/>
      <c r="CB2" s="1097"/>
      <c r="CC2" s="1099" t="s">
        <v>1285</v>
      </c>
      <c r="CD2" s="1097"/>
      <c r="CE2" s="1097"/>
      <c r="CF2" s="1099" t="s">
        <v>1286</v>
      </c>
      <c r="CG2" s="1097"/>
      <c r="CH2" s="1097"/>
      <c r="CI2" s="1099" t="s">
        <v>1287</v>
      </c>
      <c r="CJ2" s="1097"/>
      <c r="CK2" s="1097"/>
      <c r="CL2" s="1099" t="s">
        <v>1288</v>
      </c>
      <c r="CM2" s="1097"/>
      <c r="CN2" s="1097"/>
      <c r="CO2" s="729" t="s">
        <v>1263</v>
      </c>
      <c r="CP2" s="729" t="s">
        <v>1264</v>
      </c>
      <c r="CQ2" s="1099" t="s">
        <v>1289</v>
      </c>
      <c r="CR2" s="1097"/>
      <c r="CS2" s="1097" t="s">
        <v>1265</v>
      </c>
      <c r="CT2" s="1097"/>
      <c r="CU2" s="1099" t="s">
        <v>1290</v>
      </c>
      <c r="CV2" s="1097"/>
      <c r="CW2" s="1097"/>
      <c r="CX2" s="1105" t="s">
        <v>1291</v>
      </c>
      <c r="CY2" s="1097"/>
      <c r="CZ2" s="1097"/>
      <c r="DA2" s="1099" t="s">
        <v>1292</v>
      </c>
      <c r="DB2" s="1097"/>
      <c r="DC2" s="1097"/>
      <c r="DD2" s="1099" t="s">
        <v>1293</v>
      </c>
      <c r="DE2" s="1097"/>
      <c r="DF2" s="1097"/>
      <c r="DG2" s="1099" t="s">
        <v>1294</v>
      </c>
      <c r="DH2" s="1097"/>
      <c r="DI2" s="1097"/>
      <c r="DJ2" s="1099" t="s">
        <v>1267</v>
      </c>
      <c r="DK2" s="1097"/>
      <c r="DL2" s="1097"/>
      <c r="DM2" s="1099" t="s">
        <v>1268</v>
      </c>
      <c r="DN2" s="1097"/>
      <c r="DO2" s="1097"/>
      <c r="DP2" s="1099" t="s">
        <v>1269</v>
      </c>
      <c r="DQ2" s="1097"/>
      <c r="DR2" s="1099" t="s">
        <v>1270</v>
      </c>
      <c r="DS2" s="1097"/>
      <c r="DT2" s="1099" t="s">
        <v>1271</v>
      </c>
      <c r="DU2" s="1097"/>
      <c r="DV2" s="1097"/>
      <c r="DW2" s="1105" t="s">
        <v>1266</v>
      </c>
      <c r="DX2" s="1097"/>
      <c r="DY2" s="1100"/>
      <c r="DZ2" t="s">
        <v>1559</v>
      </c>
    </row>
    <row r="3" spans="1:130" ht="12.75" x14ac:dyDescent="0.2">
      <c r="A3" s="731">
        <v>1</v>
      </c>
      <c r="B3" s="732">
        <v>2</v>
      </c>
      <c r="C3" s="732">
        <v>3</v>
      </c>
      <c r="D3" s="733">
        <v>4</v>
      </c>
      <c r="E3" s="732">
        <v>5</v>
      </c>
      <c r="F3" s="812">
        <v>6</v>
      </c>
      <c r="G3" s="732">
        <v>7</v>
      </c>
      <c r="H3" s="732">
        <v>8</v>
      </c>
      <c r="I3" s="732">
        <v>9</v>
      </c>
      <c r="J3" s="732">
        <v>10</v>
      </c>
      <c r="K3" s="732">
        <v>11</v>
      </c>
      <c r="L3" s="732">
        <v>12</v>
      </c>
      <c r="M3" s="732">
        <v>13</v>
      </c>
      <c r="N3" s="732">
        <v>14</v>
      </c>
      <c r="O3" s="732">
        <v>15</v>
      </c>
      <c r="P3" s="732">
        <v>16</v>
      </c>
      <c r="Q3" s="732">
        <v>17</v>
      </c>
      <c r="R3" s="732">
        <v>18</v>
      </c>
      <c r="S3" s="732">
        <v>19</v>
      </c>
      <c r="T3" s="732">
        <v>20</v>
      </c>
      <c r="U3" s="732">
        <v>21</v>
      </c>
      <c r="V3" s="732">
        <v>22</v>
      </c>
      <c r="W3" s="732">
        <v>23</v>
      </c>
      <c r="X3" s="812">
        <v>24</v>
      </c>
      <c r="Y3" s="732">
        <v>25</v>
      </c>
      <c r="Z3" s="732">
        <v>26</v>
      </c>
      <c r="AA3" s="732">
        <v>27</v>
      </c>
      <c r="AB3" s="732">
        <v>28</v>
      </c>
      <c r="AC3" s="732">
        <v>29</v>
      </c>
      <c r="AD3" s="732">
        <v>30</v>
      </c>
      <c r="AE3" s="732">
        <v>31</v>
      </c>
      <c r="AF3" s="732">
        <v>32</v>
      </c>
      <c r="AG3" s="733">
        <v>33</v>
      </c>
      <c r="AH3" s="732">
        <v>34</v>
      </c>
      <c r="AI3" s="732">
        <v>35</v>
      </c>
      <c r="AJ3" s="732">
        <v>36</v>
      </c>
      <c r="AK3" s="732">
        <v>37</v>
      </c>
      <c r="AL3" s="732">
        <v>38</v>
      </c>
      <c r="AM3" s="732">
        <v>39</v>
      </c>
      <c r="AN3" s="732">
        <v>40</v>
      </c>
      <c r="AO3" s="732">
        <v>41</v>
      </c>
      <c r="AP3" s="732">
        <v>42</v>
      </c>
      <c r="AQ3" s="732">
        <v>43</v>
      </c>
      <c r="AR3" s="732">
        <v>44</v>
      </c>
      <c r="AS3" s="732">
        <v>45</v>
      </c>
      <c r="AT3" s="732">
        <v>46</v>
      </c>
      <c r="AU3" s="732">
        <v>47</v>
      </c>
      <c r="AV3" s="732">
        <v>48</v>
      </c>
      <c r="AW3" s="732">
        <v>49</v>
      </c>
      <c r="AX3" s="732">
        <v>50</v>
      </c>
      <c r="AY3" s="732">
        <v>51</v>
      </c>
      <c r="AZ3" s="732">
        <v>52</v>
      </c>
      <c r="BA3" s="732">
        <v>53</v>
      </c>
      <c r="BB3" s="732">
        <v>54</v>
      </c>
      <c r="BC3" s="732">
        <v>55</v>
      </c>
      <c r="BD3" s="732">
        <v>56</v>
      </c>
      <c r="BE3" s="732">
        <v>57</v>
      </c>
      <c r="BF3" s="732">
        <v>58</v>
      </c>
      <c r="BG3" s="732">
        <v>59</v>
      </c>
      <c r="BH3" s="732">
        <v>60</v>
      </c>
      <c r="BI3" s="732">
        <v>61</v>
      </c>
      <c r="BJ3" s="732">
        <v>62</v>
      </c>
      <c r="BK3" s="732">
        <v>63</v>
      </c>
      <c r="BL3" s="732">
        <v>64</v>
      </c>
      <c r="BM3" s="732">
        <v>65</v>
      </c>
      <c r="BN3" s="732">
        <v>66</v>
      </c>
      <c r="BO3" s="732">
        <v>67</v>
      </c>
      <c r="BP3" s="732">
        <v>68</v>
      </c>
      <c r="BQ3" s="732">
        <v>69</v>
      </c>
      <c r="BR3" s="732">
        <v>70</v>
      </c>
      <c r="BS3" s="732">
        <v>71</v>
      </c>
      <c r="BT3" s="732">
        <v>72</v>
      </c>
      <c r="BU3" s="732">
        <v>73</v>
      </c>
      <c r="BV3" s="732">
        <v>74</v>
      </c>
      <c r="BW3" s="812">
        <v>75</v>
      </c>
      <c r="BX3" s="732">
        <v>76</v>
      </c>
      <c r="BY3" s="732">
        <v>77</v>
      </c>
      <c r="BZ3" s="732">
        <v>78</v>
      </c>
      <c r="CA3" s="732">
        <v>79</v>
      </c>
      <c r="CB3" s="732">
        <v>80</v>
      </c>
      <c r="CC3" s="732">
        <v>81</v>
      </c>
      <c r="CD3" s="732">
        <v>82</v>
      </c>
      <c r="CE3" s="732">
        <v>83</v>
      </c>
      <c r="CF3" s="732">
        <v>84</v>
      </c>
      <c r="CG3" s="732">
        <v>85</v>
      </c>
      <c r="CH3" s="732">
        <v>86</v>
      </c>
      <c r="CI3" s="732">
        <v>87</v>
      </c>
      <c r="CJ3" s="732">
        <v>88</v>
      </c>
      <c r="CK3" s="732">
        <v>89</v>
      </c>
      <c r="CL3" s="732">
        <v>90</v>
      </c>
      <c r="CM3" s="732">
        <v>91</v>
      </c>
      <c r="CN3" s="732">
        <v>92</v>
      </c>
      <c r="CO3" s="732">
        <v>93</v>
      </c>
      <c r="CP3" s="732">
        <v>94</v>
      </c>
      <c r="CQ3" s="732">
        <v>95</v>
      </c>
      <c r="CR3" s="732">
        <v>96</v>
      </c>
      <c r="CS3" s="732">
        <v>97</v>
      </c>
      <c r="CT3" s="732">
        <v>98</v>
      </c>
      <c r="CU3" s="732">
        <v>99</v>
      </c>
      <c r="CV3" s="732">
        <v>100</v>
      </c>
      <c r="CW3" s="732">
        <v>101</v>
      </c>
      <c r="CX3" s="812">
        <v>102</v>
      </c>
      <c r="CY3" s="732">
        <v>103</v>
      </c>
      <c r="CZ3" s="732">
        <v>104</v>
      </c>
      <c r="DA3" s="732">
        <v>105</v>
      </c>
      <c r="DB3" s="732">
        <v>106</v>
      </c>
      <c r="DC3" s="732">
        <v>107</v>
      </c>
      <c r="DD3" s="732">
        <v>108</v>
      </c>
      <c r="DE3" s="732">
        <v>109</v>
      </c>
      <c r="DF3" s="732">
        <v>110</v>
      </c>
      <c r="DG3" s="732">
        <v>111</v>
      </c>
      <c r="DH3" s="732">
        <v>112</v>
      </c>
      <c r="DI3" s="732">
        <v>113</v>
      </c>
      <c r="DJ3" s="732">
        <v>114</v>
      </c>
      <c r="DK3" s="732">
        <v>115</v>
      </c>
      <c r="DL3" s="732">
        <v>116</v>
      </c>
      <c r="DM3" s="732"/>
      <c r="DN3" s="732"/>
      <c r="DO3" s="732"/>
      <c r="DP3" s="732">
        <v>117</v>
      </c>
      <c r="DQ3" s="732">
        <v>118</v>
      </c>
      <c r="DR3" s="732">
        <v>119</v>
      </c>
      <c r="DS3" s="732">
        <v>120</v>
      </c>
      <c r="DT3" s="732">
        <v>121</v>
      </c>
      <c r="DU3" s="732">
        <v>122</v>
      </c>
      <c r="DV3" s="732">
        <v>123</v>
      </c>
      <c r="DW3" s="812">
        <v>124</v>
      </c>
      <c r="DX3" s="732">
        <v>125</v>
      </c>
      <c r="DY3" s="733">
        <v>126</v>
      </c>
    </row>
    <row r="4" spans="1:130" ht="12.75" x14ac:dyDescent="0.2">
      <c r="A4" s="731"/>
      <c r="B4" s="736"/>
      <c r="C4" s="737"/>
      <c r="D4" s="738"/>
      <c r="E4" s="723"/>
      <c r="F4" s="739"/>
      <c r="G4" s="796"/>
      <c r="H4" s="796"/>
      <c r="I4" s="796"/>
      <c r="J4" s="796"/>
      <c r="K4" s="796"/>
      <c r="L4" s="796"/>
      <c r="M4" s="796"/>
      <c r="N4" s="796"/>
      <c r="O4" s="796"/>
      <c r="P4" s="796"/>
      <c r="Q4" s="796"/>
      <c r="R4" s="796"/>
      <c r="S4" s="796"/>
      <c r="T4" s="796"/>
      <c r="U4" s="796"/>
      <c r="V4" s="796"/>
      <c r="W4" s="796"/>
      <c r="X4" s="739"/>
      <c r="Y4" s="740"/>
      <c r="Z4" s="796"/>
      <c r="AA4" s="796"/>
      <c r="AB4" s="796"/>
      <c r="AC4" s="796"/>
      <c r="AD4" s="796"/>
      <c r="AE4" s="740"/>
      <c r="AF4" s="740"/>
      <c r="AG4" s="741"/>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39"/>
      <c r="BX4" s="740"/>
      <c r="BY4" s="740"/>
      <c r="BZ4" s="796"/>
      <c r="CA4" s="796"/>
      <c r="CB4" s="796"/>
      <c r="CC4" s="796"/>
      <c r="CD4" s="796"/>
      <c r="CE4" s="796"/>
      <c r="CF4" s="796"/>
      <c r="CG4" s="796"/>
      <c r="CH4" s="796"/>
      <c r="CI4" s="796"/>
      <c r="CJ4" s="796"/>
      <c r="CK4" s="796"/>
      <c r="CL4" s="796"/>
      <c r="CM4" s="796"/>
      <c r="CN4" s="796"/>
      <c r="CO4" s="796"/>
      <c r="CP4" s="796"/>
      <c r="CQ4" s="796"/>
      <c r="CR4" s="796"/>
      <c r="CS4" s="796"/>
      <c r="CT4" s="796"/>
      <c r="CU4" s="796"/>
      <c r="CV4" s="796"/>
      <c r="CW4" s="796"/>
      <c r="CX4" s="739"/>
      <c r="CY4" s="740"/>
      <c r="CZ4" s="740"/>
      <c r="DA4" s="796"/>
      <c r="DB4" s="796"/>
      <c r="DC4" s="796"/>
      <c r="DD4" s="796"/>
      <c r="DE4" s="796"/>
      <c r="DF4" s="796"/>
      <c r="DG4" s="796"/>
      <c r="DH4" s="796"/>
      <c r="DI4" s="796"/>
      <c r="DJ4" s="796"/>
      <c r="DK4" s="796"/>
      <c r="DL4" s="796"/>
      <c r="DM4" s="796"/>
      <c r="DN4" s="796"/>
      <c r="DO4" s="796"/>
      <c r="DP4" s="796"/>
      <c r="DQ4" s="796"/>
      <c r="DR4" s="796"/>
      <c r="DS4" s="796"/>
      <c r="DT4" s="796"/>
      <c r="DU4" s="796"/>
      <c r="DV4" s="796"/>
      <c r="DW4" s="739"/>
      <c r="DX4" s="740"/>
      <c r="DY4" s="741"/>
    </row>
    <row r="5" spans="1:130" ht="13.5" thickBot="1" x14ac:dyDescent="0.25">
      <c r="A5" s="731"/>
      <c r="B5" s="742" t="s">
        <v>678</v>
      </c>
      <c r="C5" s="742" t="s">
        <v>1215</v>
      </c>
      <c r="D5" s="743" t="s">
        <v>1216</v>
      </c>
      <c r="E5" s="742" t="s">
        <v>677</v>
      </c>
      <c r="F5" s="739"/>
      <c r="G5" s="796"/>
      <c r="H5" s="796"/>
      <c r="I5" s="796"/>
      <c r="J5" s="796"/>
      <c r="K5" s="796"/>
      <c r="L5" s="796"/>
      <c r="M5" s="796"/>
      <c r="N5" s="796"/>
      <c r="O5" s="796"/>
      <c r="P5" s="796"/>
      <c r="Q5" s="796"/>
      <c r="R5" s="796"/>
      <c r="S5" s="796"/>
      <c r="T5" s="796"/>
      <c r="U5" s="796"/>
      <c r="V5" s="796"/>
      <c r="W5" s="796"/>
      <c r="X5" s="739"/>
      <c r="Y5" s="740"/>
      <c r="Z5" s="796"/>
      <c r="AA5" s="796"/>
      <c r="AB5" s="796"/>
      <c r="AC5" s="796"/>
      <c r="AD5" s="796"/>
      <c r="AE5" s="740"/>
      <c r="AF5" s="740"/>
      <c r="AG5" s="741"/>
      <c r="AH5" s="796"/>
      <c r="AI5" s="796"/>
      <c r="AJ5" s="796"/>
      <c r="AK5" s="796"/>
      <c r="AL5" s="796"/>
      <c r="AM5" s="796"/>
      <c r="AN5" s="796"/>
      <c r="AO5" s="796"/>
      <c r="AP5" s="796"/>
      <c r="AQ5" s="796"/>
      <c r="AR5" s="796"/>
      <c r="AS5" s="796"/>
      <c r="AT5" s="796"/>
      <c r="AU5" s="796"/>
      <c r="AV5" s="796"/>
      <c r="AW5" s="796"/>
      <c r="AX5" s="796"/>
      <c r="AY5" s="796"/>
      <c r="AZ5" s="796"/>
      <c r="BA5" s="796"/>
      <c r="BB5" s="796"/>
      <c r="BC5" s="796"/>
      <c r="BD5" s="796"/>
      <c r="BE5" s="796"/>
      <c r="BF5" s="796"/>
      <c r="BG5" s="796"/>
      <c r="BH5" s="796"/>
      <c r="BI5" s="796"/>
      <c r="BJ5" s="796"/>
      <c r="BK5" s="796"/>
      <c r="BL5" s="796"/>
      <c r="BM5" s="796"/>
      <c r="BN5" s="796"/>
      <c r="BO5" s="796"/>
      <c r="BP5" s="796"/>
      <c r="BQ5" s="796"/>
      <c r="BR5" s="796"/>
      <c r="BS5" s="796"/>
      <c r="BT5" s="796"/>
      <c r="BU5" s="796"/>
      <c r="BV5" s="796"/>
      <c r="BW5" s="739"/>
      <c r="BX5" s="740"/>
      <c r="BY5" s="740"/>
      <c r="BZ5" s="796"/>
      <c r="CA5" s="796"/>
      <c r="CB5" s="796"/>
      <c r="CC5" s="796"/>
      <c r="CD5" s="796"/>
      <c r="CE5" s="796"/>
      <c r="CF5" s="796"/>
      <c r="CG5" s="796"/>
      <c r="CH5" s="796"/>
      <c r="CI5" s="796"/>
      <c r="CJ5" s="796"/>
      <c r="CK5" s="796"/>
      <c r="CL5" s="796"/>
      <c r="CM5" s="796"/>
      <c r="CN5" s="796"/>
      <c r="CO5" s="796"/>
      <c r="CP5" s="796"/>
      <c r="CQ5" s="796"/>
      <c r="CR5" s="796"/>
      <c r="CS5" s="796"/>
      <c r="CT5" s="796"/>
      <c r="CU5" s="796"/>
      <c r="CV5" s="796"/>
      <c r="CW5" s="796"/>
      <c r="CX5" s="739"/>
      <c r="CY5" s="740"/>
      <c r="CZ5" s="740"/>
      <c r="DA5" s="796"/>
      <c r="DB5" s="796"/>
      <c r="DC5" s="796"/>
      <c r="DD5" s="796"/>
      <c r="DE5" s="796"/>
      <c r="DF5" s="796"/>
      <c r="DG5" s="796"/>
      <c r="DH5" s="796"/>
      <c r="DI5" s="796"/>
      <c r="DJ5" s="796"/>
      <c r="DK5" s="796"/>
      <c r="DL5" s="796"/>
      <c r="DM5" s="796"/>
      <c r="DN5" s="796"/>
      <c r="DO5" s="796"/>
      <c r="DP5" s="796"/>
      <c r="DQ5" s="796"/>
      <c r="DR5" s="796"/>
      <c r="DS5" s="796"/>
      <c r="DT5" s="796"/>
      <c r="DU5" s="796"/>
      <c r="DV5" s="796"/>
      <c r="DW5" s="739"/>
      <c r="DX5" s="740"/>
      <c r="DY5" s="741"/>
    </row>
    <row r="6" spans="1:130" ht="13.5" thickBot="1" x14ac:dyDescent="0.25">
      <c r="A6" s="745"/>
      <c r="B6" s="746"/>
      <c r="C6" s="747"/>
      <c r="D6" s="748"/>
      <c r="E6" s="747"/>
      <c r="F6" s="739"/>
      <c r="G6" s="796"/>
      <c r="H6" s="796"/>
      <c r="I6" s="796"/>
      <c r="J6" s="796"/>
      <c r="K6" s="796"/>
      <c r="L6" s="796"/>
      <c r="M6" s="796"/>
      <c r="N6" s="796"/>
      <c r="O6" s="796"/>
      <c r="P6" s="796"/>
      <c r="Q6" s="796"/>
      <c r="R6" s="796"/>
      <c r="S6" s="796"/>
      <c r="T6" s="796"/>
      <c r="U6" s="796"/>
      <c r="V6" s="796"/>
      <c r="W6" s="796"/>
      <c r="X6" s="739"/>
      <c r="Y6" s="740"/>
      <c r="Z6" s="796"/>
      <c r="AA6" s="796"/>
      <c r="AB6" s="796"/>
      <c r="AC6" s="796"/>
      <c r="AD6" s="796"/>
      <c r="AE6" s="740"/>
      <c r="AF6" s="740"/>
      <c r="AG6" s="741"/>
      <c r="AH6" s="796"/>
      <c r="AI6" s="796"/>
      <c r="AJ6" s="796"/>
      <c r="AK6" s="796"/>
      <c r="AL6" s="796"/>
      <c r="AM6" s="796"/>
      <c r="AN6" s="796"/>
      <c r="AO6" s="796"/>
      <c r="AP6" s="796"/>
      <c r="AQ6" s="796"/>
      <c r="AR6" s="796"/>
      <c r="AS6" s="796"/>
      <c r="AT6" s="796"/>
      <c r="AU6" s="796"/>
      <c r="AV6" s="796"/>
      <c r="AW6" s="796"/>
      <c r="AX6" s="796"/>
      <c r="AY6" s="796"/>
      <c r="AZ6" s="796"/>
      <c r="BA6" s="796"/>
      <c r="BB6" s="796"/>
      <c r="BC6" s="796"/>
      <c r="BD6" s="796"/>
      <c r="BE6" s="796"/>
      <c r="BF6" s="796"/>
      <c r="BG6" s="796"/>
      <c r="BH6" s="796"/>
      <c r="BI6" s="796"/>
      <c r="BJ6" s="796"/>
      <c r="BK6" s="796"/>
      <c r="BL6" s="796"/>
      <c r="BM6" s="796"/>
      <c r="BN6" s="796"/>
      <c r="BO6" s="796"/>
      <c r="BP6" s="796"/>
      <c r="BQ6" s="796"/>
      <c r="BR6" s="796"/>
      <c r="BS6" s="796"/>
      <c r="BT6" s="796"/>
      <c r="BU6" s="796"/>
      <c r="BV6" s="796"/>
      <c r="BW6" s="739"/>
      <c r="BX6" s="740"/>
      <c r="BY6" s="740"/>
      <c r="BZ6" s="796"/>
      <c r="CA6" s="796"/>
      <c r="CB6" s="796"/>
      <c r="CC6" s="796"/>
      <c r="CD6" s="796"/>
      <c r="CE6" s="796"/>
      <c r="CF6" s="796"/>
      <c r="CG6" s="796"/>
      <c r="CH6" s="796"/>
      <c r="CI6" s="796"/>
      <c r="CJ6" s="796"/>
      <c r="CK6" s="796"/>
      <c r="CL6" s="796"/>
      <c r="CM6" s="796"/>
      <c r="CN6" s="796"/>
      <c r="CO6" s="796"/>
      <c r="CP6" s="796"/>
      <c r="CQ6" s="796"/>
      <c r="CR6" s="796"/>
      <c r="CS6" s="796"/>
      <c r="CT6" s="796"/>
      <c r="CU6" s="796"/>
      <c r="CV6" s="796"/>
      <c r="CW6" s="796"/>
      <c r="CX6" s="739"/>
      <c r="CY6" s="740"/>
      <c r="CZ6" s="740"/>
      <c r="DA6" s="796"/>
      <c r="DB6" s="796"/>
      <c r="DC6" s="796"/>
      <c r="DD6" s="796"/>
      <c r="DE6" s="796"/>
      <c r="DF6" s="796"/>
      <c r="DG6" s="796"/>
      <c r="DH6" s="796"/>
      <c r="DI6" s="796"/>
      <c r="DJ6" s="796"/>
      <c r="DK6" s="796"/>
      <c r="DL6" s="796"/>
      <c r="DM6" s="796"/>
      <c r="DN6" s="796"/>
      <c r="DO6" s="796"/>
      <c r="DP6" s="796"/>
      <c r="DQ6" s="796"/>
      <c r="DR6" s="796"/>
      <c r="DS6" s="796"/>
      <c r="DT6" s="796"/>
      <c r="DU6" s="796"/>
      <c r="DV6" s="796"/>
      <c r="DW6" s="739"/>
      <c r="DX6" s="740"/>
      <c r="DY6" s="741"/>
    </row>
    <row r="7" spans="1:130" ht="13.5" thickBot="1" x14ac:dyDescent="0.25">
      <c r="A7" s="750"/>
      <c r="B7" s="751"/>
      <c r="C7" s="752"/>
      <c r="D7" s="753"/>
      <c r="E7" s="754"/>
      <c r="F7" s="797">
        <v>6</v>
      </c>
      <c r="G7" s="755">
        <v>3</v>
      </c>
      <c r="H7" s="755">
        <v>4</v>
      </c>
      <c r="I7" s="755">
        <v>5</v>
      </c>
      <c r="J7" s="755">
        <v>7</v>
      </c>
      <c r="K7" s="755">
        <v>8</v>
      </c>
      <c r="L7" s="755">
        <v>9</v>
      </c>
      <c r="M7" s="755">
        <v>10</v>
      </c>
      <c r="N7" s="755">
        <v>11</v>
      </c>
      <c r="O7" s="755">
        <v>12</v>
      </c>
      <c r="P7" s="755">
        <v>13</v>
      </c>
      <c r="Q7" s="755">
        <v>14</v>
      </c>
      <c r="R7" s="755">
        <v>15</v>
      </c>
      <c r="S7" s="755">
        <v>16</v>
      </c>
      <c r="T7" s="755">
        <v>17</v>
      </c>
      <c r="U7" s="755">
        <v>18</v>
      </c>
      <c r="V7" s="755">
        <v>19</v>
      </c>
      <c r="W7" s="755">
        <v>20</v>
      </c>
      <c r="X7" s="797">
        <v>21</v>
      </c>
      <c r="Y7" s="755">
        <v>22</v>
      </c>
      <c r="Z7" s="755">
        <v>23</v>
      </c>
      <c r="AA7" s="755">
        <v>24</v>
      </c>
      <c r="AB7" s="755">
        <v>25</v>
      </c>
      <c r="AC7" s="755">
        <v>26</v>
      </c>
      <c r="AD7" s="755">
        <v>27</v>
      </c>
      <c r="AE7" s="755">
        <v>28</v>
      </c>
      <c r="AF7" s="755">
        <v>29</v>
      </c>
      <c r="AG7" s="801">
        <v>30</v>
      </c>
      <c r="AH7" s="755">
        <v>31</v>
      </c>
      <c r="AI7" s="755">
        <v>32</v>
      </c>
      <c r="AJ7" s="755">
        <v>33</v>
      </c>
      <c r="AK7" s="755">
        <v>34</v>
      </c>
      <c r="AL7" s="755">
        <v>35</v>
      </c>
      <c r="AM7" s="755">
        <v>36</v>
      </c>
      <c r="AN7" s="755">
        <v>37</v>
      </c>
      <c r="AO7" s="755">
        <v>38</v>
      </c>
      <c r="AP7" s="755">
        <v>39</v>
      </c>
      <c r="AQ7" s="755">
        <v>40</v>
      </c>
      <c r="AR7" s="755">
        <v>41</v>
      </c>
      <c r="AS7" s="755">
        <v>42</v>
      </c>
      <c r="AT7" s="755">
        <v>43</v>
      </c>
      <c r="AU7" s="755">
        <v>44</v>
      </c>
      <c r="AV7" s="755">
        <v>45</v>
      </c>
      <c r="AW7" s="755">
        <v>46</v>
      </c>
      <c r="AX7" s="755">
        <v>47</v>
      </c>
      <c r="AY7" s="755">
        <v>48</v>
      </c>
      <c r="AZ7" s="755">
        <v>49</v>
      </c>
      <c r="BA7" s="755">
        <v>50</v>
      </c>
      <c r="BB7" s="755">
        <v>51</v>
      </c>
      <c r="BC7" s="755">
        <v>52</v>
      </c>
      <c r="BD7" s="755">
        <v>53</v>
      </c>
      <c r="BE7" s="755">
        <v>54</v>
      </c>
      <c r="BF7" s="755">
        <v>55</v>
      </c>
      <c r="BG7" s="755">
        <v>56</v>
      </c>
      <c r="BH7" s="755">
        <v>57</v>
      </c>
      <c r="BI7" s="755">
        <v>58</v>
      </c>
      <c r="BJ7" s="755">
        <v>59</v>
      </c>
      <c r="BK7" s="755">
        <v>60</v>
      </c>
      <c r="BL7" s="755">
        <v>61</v>
      </c>
      <c r="BM7" s="755">
        <v>62</v>
      </c>
      <c r="BN7" s="755">
        <v>63</v>
      </c>
      <c r="BO7" s="755">
        <v>64</v>
      </c>
      <c r="BP7" s="755">
        <v>65</v>
      </c>
      <c r="BQ7" s="755">
        <v>66</v>
      </c>
      <c r="BR7" s="755">
        <v>67</v>
      </c>
      <c r="BS7" s="755">
        <v>68</v>
      </c>
      <c r="BT7" s="755">
        <v>69</v>
      </c>
      <c r="BU7" s="755">
        <v>70</v>
      </c>
      <c r="BV7" s="755">
        <v>71</v>
      </c>
      <c r="BW7" s="797">
        <v>72</v>
      </c>
      <c r="BX7" s="755">
        <v>73</v>
      </c>
      <c r="BY7" s="755">
        <v>74</v>
      </c>
      <c r="BZ7" s="755">
        <v>75</v>
      </c>
      <c r="CA7" s="755">
        <v>76</v>
      </c>
      <c r="CB7" s="755">
        <v>77</v>
      </c>
      <c r="CC7" s="755">
        <v>78</v>
      </c>
      <c r="CD7" s="755">
        <v>79</v>
      </c>
      <c r="CE7" s="755">
        <v>80</v>
      </c>
      <c r="CF7" s="755">
        <v>81</v>
      </c>
      <c r="CG7" s="755">
        <v>82</v>
      </c>
      <c r="CH7" s="755">
        <v>83</v>
      </c>
      <c r="CI7" s="755">
        <v>84</v>
      </c>
      <c r="CJ7" s="755">
        <v>85</v>
      </c>
      <c r="CK7" s="755">
        <v>86</v>
      </c>
      <c r="CL7" s="755">
        <v>87</v>
      </c>
      <c r="CM7" s="755">
        <v>88</v>
      </c>
      <c r="CN7" s="755">
        <v>89</v>
      </c>
      <c r="CO7" s="755">
        <v>90</v>
      </c>
      <c r="CP7" s="755">
        <v>91</v>
      </c>
      <c r="CQ7" s="755">
        <v>92</v>
      </c>
      <c r="CR7" s="755">
        <v>93</v>
      </c>
      <c r="CS7" s="755">
        <v>94</v>
      </c>
      <c r="CT7" s="755">
        <v>95</v>
      </c>
      <c r="CU7" s="755">
        <v>96</v>
      </c>
      <c r="CV7" s="755">
        <v>97</v>
      </c>
      <c r="CW7" s="755">
        <v>98</v>
      </c>
      <c r="CX7" s="797">
        <v>99</v>
      </c>
      <c r="CY7" s="755">
        <v>100</v>
      </c>
      <c r="CZ7" s="755">
        <v>101</v>
      </c>
      <c r="DA7" s="755">
        <v>102</v>
      </c>
      <c r="DB7" s="755">
        <v>103</v>
      </c>
      <c r="DC7" s="755">
        <v>104</v>
      </c>
      <c r="DD7" s="755">
        <v>105</v>
      </c>
      <c r="DE7" s="755">
        <v>106</v>
      </c>
      <c r="DF7" s="755">
        <v>107</v>
      </c>
      <c r="DG7" s="755">
        <v>108</v>
      </c>
      <c r="DH7" s="755">
        <v>109</v>
      </c>
      <c r="DI7" s="755">
        <v>110</v>
      </c>
      <c r="DJ7" s="755">
        <v>111</v>
      </c>
      <c r="DK7" s="755">
        <v>112</v>
      </c>
      <c r="DL7" s="755">
        <v>113</v>
      </c>
      <c r="DM7" s="755">
        <v>114</v>
      </c>
      <c r="DN7" s="755">
        <v>115</v>
      </c>
      <c r="DO7" s="755">
        <v>116</v>
      </c>
      <c r="DP7" s="755">
        <v>117</v>
      </c>
      <c r="DQ7" s="755">
        <v>118</v>
      </c>
      <c r="DR7" s="755">
        <v>119</v>
      </c>
      <c r="DS7" s="755">
        <v>120</v>
      </c>
      <c r="DT7" s="755">
        <v>121</v>
      </c>
      <c r="DU7" s="755">
        <v>122</v>
      </c>
      <c r="DV7" s="755">
        <v>123</v>
      </c>
      <c r="DW7" s="797">
        <v>124</v>
      </c>
      <c r="DX7" s="755">
        <v>125</v>
      </c>
      <c r="DY7" s="801">
        <v>126</v>
      </c>
    </row>
    <row r="8" spans="1:130" ht="12.75" x14ac:dyDescent="0.2">
      <c r="A8" s="756">
        <v>1</v>
      </c>
      <c r="B8" s="757" t="s">
        <v>680</v>
      </c>
      <c r="C8" s="758" t="s">
        <v>1217</v>
      </c>
      <c r="D8" s="759" t="s">
        <v>1218</v>
      </c>
      <c r="E8" s="760" t="s">
        <v>679</v>
      </c>
      <c r="F8" s="867">
        <v>43469</v>
      </c>
      <c r="G8" s="141">
        <v>46488273</v>
      </c>
      <c r="H8" s="141">
        <v>0</v>
      </c>
      <c r="I8" s="141">
        <v>46488273</v>
      </c>
      <c r="J8" s="141">
        <v>49.1</v>
      </c>
      <c r="K8" s="141">
        <v>22825742</v>
      </c>
      <c r="L8" s="141">
        <v>0</v>
      </c>
      <c r="M8" s="141">
        <v>122750</v>
      </c>
      <c r="N8" s="141">
        <v>0</v>
      </c>
      <c r="O8" s="141">
        <v>22948492</v>
      </c>
      <c r="P8" s="141">
        <v>0</v>
      </c>
      <c r="Q8" s="141">
        <v>22948492</v>
      </c>
      <c r="R8" s="141">
        <v>-170593</v>
      </c>
      <c r="S8" s="141">
        <v>0</v>
      </c>
      <c r="T8" s="141">
        <v>-170593</v>
      </c>
      <c r="U8" s="141">
        <v>972308</v>
      </c>
      <c r="V8" s="141">
        <v>0</v>
      </c>
      <c r="W8" s="141">
        <v>972308</v>
      </c>
      <c r="X8" s="141">
        <v>801715</v>
      </c>
      <c r="Y8" s="141">
        <v>0</v>
      </c>
      <c r="Z8" s="141">
        <v>0</v>
      </c>
      <c r="AA8" s="141">
        <v>0</v>
      </c>
      <c r="AB8" s="141">
        <v>801715</v>
      </c>
      <c r="AC8" s="141">
        <v>0</v>
      </c>
      <c r="AD8" s="141">
        <v>801715</v>
      </c>
      <c r="AE8" s="141">
        <v>-801715</v>
      </c>
      <c r="AF8" s="141">
        <v>0</v>
      </c>
      <c r="AG8" s="141">
        <v>-801715</v>
      </c>
      <c r="AH8" s="141">
        <v>-2123329</v>
      </c>
      <c r="AI8" s="141">
        <v>0</v>
      </c>
      <c r="AJ8" s="141">
        <v>-2123329</v>
      </c>
      <c r="AK8" s="141">
        <v>0</v>
      </c>
      <c r="AL8" s="141">
        <v>0</v>
      </c>
      <c r="AM8" s="141">
        <v>0</v>
      </c>
      <c r="AN8" s="141">
        <v>402044</v>
      </c>
      <c r="AO8" s="141">
        <v>0</v>
      </c>
      <c r="AP8" s="141">
        <v>402044</v>
      </c>
      <c r="AQ8" s="141">
        <v>-1721285</v>
      </c>
      <c r="AR8" s="141">
        <v>0</v>
      </c>
      <c r="AS8" s="141">
        <v>-1721285</v>
      </c>
      <c r="AT8" s="141">
        <v>-1802654</v>
      </c>
      <c r="AU8" s="141">
        <v>0</v>
      </c>
      <c r="AV8" s="141">
        <v>-1802654</v>
      </c>
      <c r="AW8" s="141">
        <v>-34654</v>
      </c>
      <c r="AX8" s="141">
        <v>0</v>
      </c>
      <c r="AY8" s="141">
        <v>-34654</v>
      </c>
      <c r="AZ8" s="141">
        <v>0</v>
      </c>
      <c r="BA8" s="141">
        <v>0</v>
      </c>
      <c r="BB8" s="141">
        <v>0</v>
      </c>
      <c r="BC8" s="141">
        <v>-3558593</v>
      </c>
      <c r="BD8" s="141">
        <v>0</v>
      </c>
      <c r="BE8" s="141">
        <v>0</v>
      </c>
      <c r="BF8" s="141">
        <v>0</v>
      </c>
      <c r="BG8" s="141">
        <v>-3558593</v>
      </c>
      <c r="BH8" s="141">
        <v>0</v>
      </c>
      <c r="BI8" s="141">
        <v>-3558593</v>
      </c>
      <c r="BJ8" s="141">
        <v>0</v>
      </c>
      <c r="BK8" s="141">
        <v>0</v>
      </c>
      <c r="BL8" s="141">
        <v>0</v>
      </c>
      <c r="BM8" s="141">
        <v>-129374</v>
      </c>
      <c r="BN8" s="141">
        <v>0</v>
      </c>
      <c r="BO8" s="141">
        <v>-129374</v>
      </c>
      <c r="BP8" s="141">
        <v>-129374</v>
      </c>
      <c r="BQ8" s="141">
        <v>0</v>
      </c>
      <c r="BR8" s="141">
        <v>0</v>
      </c>
      <c r="BS8" s="141">
        <v>0</v>
      </c>
      <c r="BT8" s="141">
        <v>-129374</v>
      </c>
      <c r="BU8" s="141">
        <v>0</v>
      </c>
      <c r="BV8" s="141">
        <v>-129374</v>
      </c>
      <c r="BW8" s="141">
        <v>-49012</v>
      </c>
      <c r="BX8" s="141">
        <v>0</v>
      </c>
      <c r="BY8" s="141">
        <v>-49012</v>
      </c>
      <c r="BZ8" s="141">
        <v>-20254</v>
      </c>
      <c r="CA8" s="141">
        <v>0</v>
      </c>
      <c r="CB8" s="141">
        <v>-20254</v>
      </c>
      <c r="CC8" s="141">
        <v>0</v>
      </c>
      <c r="CD8" s="141">
        <v>0</v>
      </c>
      <c r="CE8" s="141">
        <v>0</v>
      </c>
      <c r="CF8" s="141">
        <v>0</v>
      </c>
      <c r="CG8" s="141">
        <v>0</v>
      </c>
      <c r="CH8" s="141">
        <v>0</v>
      </c>
      <c r="CI8" s="141">
        <v>0</v>
      </c>
      <c r="CJ8" s="141">
        <v>0</v>
      </c>
      <c r="CK8" s="141">
        <v>0</v>
      </c>
      <c r="CL8" s="141">
        <v>0</v>
      </c>
      <c r="CM8" s="141">
        <v>0</v>
      </c>
      <c r="CN8" s="141">
        <v>0</v>
      </c>
      <c r="CO8" s="141">
        <v>0</v>
      </c>
      <c r="CP8" s="141">
        <v>0</v>
      </c>
      <c r="CQ8" s="141">
        <v>-69266</v>
      </c>
      <c r="CR8" s="141">
        <v>0</v>
      </c>
      <c r="CS8" s="141">
        <v>0</v>
      </c>
      <c r="CT8" s="141">
        <v>0</v>
      </c>
      <c r="CU8" s="141">
        <v>-69266</v>
      </c>
      <c r="CV8" s="141">
        <v>0</v>
      </c>
      <c r="CW8" s="141">
        <v>-69266</v>
      </c>
      <c r="CX8" s="141">
        <v>0</v>
      </c>
      <c r="CY8" s="141">
        <v>0</v>
      </c>
      <c r="CZ8" s="141">
        <v>0</v>
      </c>
      <c r="DA8" s="141">
        <v>0</v>
      </c>
      <c r="DB8" s="141">
        <v>0</v>
      </c>
      <c r="DC8" s="141">
        <v>0</v>
      </c>
      <c r="DD8" s="141">
        <v>-12297</v>
      </c>
      <c r="DE8" s="141">
        <v>0</v>
      </c>
      <c r="DF8" s="141">
        <v>-12297</v>
      </c>
      <c r="DG8" s="141">
        <v>0</v>
      </c>
      <c r="DH8" s="141">
        <v>0</v>
      </c>
      <c r="DI8" s="141">
        <v>0</v>
      </c>
      <c r="DJ8" s="141">
        <v>0</v>
      </c>
      <c r="DK8" s="141">
        <v>0</v>
      </c>
      <c r="DL8" s="141">
        <v>0</v>
      </c>
      <c r="DM8" s="141">
        <v>-254087</v>
      </c>
      <c r="DN8" s="141">
        <v>0</v>
      </c>
      <c r="DO8" s="141">
        <v>-254087</v>
      </c>
      <c r="DP8" s="141">
        <v>-266384</v>
      </c>
      <c r="DQ8" s="141">
        <v>0</v>
      </c>
      <c r="DR8" s="141">
        <v>0</v>
      </c>
      <c r="DS8" s="141">
        <v>0</v>
      </c>
      <c r="DT8" s="141">
        <v>-266384</v>
      </c>
      <c r="DU8" s="141">
        <v>0</v>
      </c>
      <c r="DV8" s="141">
        <v>-266384</v>
      </c>
      <c r="DW8" s="856">
        <v>19726590</v>
      </c>
      <c r="DX8" s="856">
        <v>0</v>
      </c>
      <c r="DY8" s="857">
        <v>19726590</v>
      </c>
      <c r="DZ8" t="s">
        <v>1574</v>
      </c>
    </row>
    <row r="9" spans="1:130" ht="12.75" x14ac:dyDescent="0.2">
      <c r="A9" s="764">
        <v>2</v>
      </c>
      <c r="B9" s="765" t="s">
        <v>682</v>
      </c>
      <c r="C9" s="766" t="s">
        <v>1217</v>
      </c>
      <c r="D9" s="767" t="s">
        <v>1219</v>
      </c>
      <c r="E9" s="768" t="s">
        <v>681</v>
      </c>
      <c r="F9" s="867">
        <v>43481</v>
      </c>
      <c r="G9" s="141">
        <v>79085447</v>
      </c>
      <c r="H9" s="141">
        <v>0</v>
      </c>
      <c r="I9" s="141">
        <v>79085447</v>
      </c>
      <c r="J9" s="141">
        <v>49.1</v>
      </c>
      <c r="K9" s="141">
        <v>38830954</v>
      </c>
      <c r="L9" s="141">
        <v>0</v>
      </c>
      <c r="M9" s="141">
        <v>-284941</v>
      </c>
      <c r="N9" s="141">
        <v>0</v>
      </c>
      <c r="O9" s="141">
        <v>38546013</v>
      </c>
      <c r="P9" s="141">
        <v>0</v>
      </c>
      <c r="Q9" s="141">
        <v>38546013</v>
      </c>
      <c r="R9" s="141">
        <v>-715721</v>
      </c>
      <c r="S9" s="141">
        <v>0</v>
      </c>
      <c r="T9" s="141">
        <v>-715721</v>
      </c>
      <c r="U9" s="141">
        <v>290371</v>
      </c>
      <c r="V9" s="141">
        <v>0</v>
      </c>
      <c r="W9" s="141">
        <v>290371</v>
      </c>
      <c r="X9" s="141">
        <v>-425350</v>
      </c>
      <c r="Y9" s="141">
        <v>0</v>
      </c>
      <c r="Z9" s="141">
        <v>0</v>
      </c>
      <c r="AA9" s="141">
        <v>0</v>
      </c>
      <c r="AB9" s="141">
        <v>-425350</v>
      </c>
      <c r="AC9" s="141">
        <v>0</v>
      </c>
      <c r="AD9" s="141">
        <v>-425350</v>
      </c>
      <c r="AE9" s="141">
        <v>425350</v>
      </c>
      <c r="AF9" s="141">
        <v>0</v>
      </c>
      <c r="AG9" s="141">
        <v>425350</v>
      </c>
      <c r="AH9" s="141">
        <v>-5606545</v>
      </c>
      <c r="AI9" s="141">
        <v>0</v>
      </c>
      <c r="AJ9" s="141">
        <v>-5606545</v>
      </c>
      <c r="AK9" s="141">
        <v>-12064</v>
      </c>
      <c r="AL9" s="141">
        <v>0</v>
      </c>
      <c r="AM9" s="141">
        <v>-12064</v>
      </c>
      <c r="AN9" s="141">
        <v>584326</v>
      </c>
      <c r="AO9" s="141">
        <v>0</v>
      </c>
      <c r="AP9" s="141">
        <v>584326</v>
      </c>
      <c r="AQ9" s="141">
        <v>-5022219</v>
      </c>
      <c r="AR9" s="141">
        <v>0</v>
      </c>
      <c r="AS9" s="141">
        <v>-5022219</v>
      </c>
      <c r="AT9" s="141">
        <v>-2249197</v>
      </c>
      <c r="AU9" s="141">
        <v>0</v>
      </c>
      <c r="AV9" s="141">
        <v>-2249197</v>
      </c>
      <c r="AW9" s="141">
        <v>-63625</v>
      </c>
      <c r="AX9" s="141">
        <v>0</v>
      </c>
      <c r="AY9" s="141">
        <v>-63625</v>
      </c>
      <c r="AZ9" s="141">
        <v>-41818</v>
      </c>
      <c r="BA9" s="141">
        <v>0</v>
      </c>
      <c r="BB9" s="141">
        <v>-41818</v>
      </c>
      <c r="BC9" s="141">
        <v>-7376859</v>
      </c>
      <c r="BD9" s="141">
        <v>0</v>
      </c>
      <c r="BE9" s="141">
        <v>0</v>
      </c>
      <c r="BF9" s="141">
        <v>0</v>
      </c>
      <c r="BG9" s="141">
        <v>-7376859</v>
      </c>
      <c r="BH9" s="141">
        <v>0</v>
      </c>
      <c r="BI9" s="141">
        <v>-7376859</v>
      </c>
      <c r="BJ9" s="141">
        <v>0</v>
      </c>
      <c r="BK9" s="141">
        <v>0</v>
      </c>
      <c r="BL9" s="141">
        <v>0</v>
      </c>
      <c r="BM9" s="141">
        <v>-473360</v>
      </c>
      <c r="BN9" s="141">
        <v>0</v>
      </c>
      <c r="BO9" s="141">
        <v>-473360</v>
      </c>
      <c r="BP9" s="141">
        <v>-473360</v>
      </c>
      <c r="BQ9" s="141">
        <v>0</v>
      </c>
      <c r="BR9" s="141">
        <v>-186340</v>
      </c>
      <c r="BS9" s="141">
        <v>0</v>
      </c>
      <c r="BT9" s="141">
        <v>-659700</v>
      </c>
      <c r="BU9" s="141">
        <v>0</v>
      </c>
      <c r="BV9" s="141">
        <v>-659700</v>
      </c>
      <c r="BW9" s="141">
        <v>-173044</v>
      </c>
      <c r="BX9" s="141">
        <v>0</v>
      </c>
      <c r="BY9" s="141">
        <v>-173044</v>
      </c>
      <c r="BZ9" s="141">
        <v>-75136</v>
      </c>
      <c r="CA9" s="141">
        <v>0</v>
      </c>
      <c r="CB9" s="141">
        <v>-75136</v>
      </c>
      <c r="CC9" s="141">
        <v>-1260</v>
      </c>
      <c r="CD9" s="141">
        <v>0</v>
      </c>
      <c r="CE9" s="141">
        <v>-1260</v>
      </c>
      <c r="CF9" s="141">
        <v>0</v>
      </c>
      <c r="CG9" s="141">
        <v>0</v>
      </c>
      <c r="CH9" s="141">
        <v>0</v>
      </c>
      <c r="CI9" s="141">
        <v>0</v>
      </c>
      <c r="CJ9" s="141">
        <v>0</v>
      </c>
      <c r="CK9" s="141">
        <v>0</v>
      </c>
      <c r="CL9" s="141">
        <v>0</v>
      </c>
      <c r="CM9" s="141">
        <v>0</v>
      </c>
      <c r="CN9" s="141">
        <v>0</v>
      </c>
      <c r="CO9" s="141">
        <v>0</v>
      </c>
      <c r="CP9" s="141">
        <v>0</v>
      </c>
      <c r="CQ9" s="141">
        <v>-249440</v>
      </c>
      <c r="CR9" s="141">
        <v>0</v>
      </c>
      <c r="CS9" s="141">
        <v>0</v>
      </c>
      <c r="CT9" s="141">
        <v>0</v>
      </c>
      <c r="CU9" s="141">
        <v>-249440</v>
      </c>
      <c r="CV9" s="141">
        <v>0</v>
      </c>
      <c r="CW9" s="141">
        <v>-249440</v>
      </c>
      <c r="CX9" s="141">
        <v>-41818</v>
      </c>
      <c r="CY9" s="141">
        <v>0</v>
      </c>
      <c r="CZ9" s="141">
        <v>-41818</v>
      </c>
      <c r="DA9" s="141">
        <v>0</v>
      </c>
      <c r="DB9" s="141">
        <v>0</v>
      </c>
      <c r="DC9" s="141">
        <v>0</v>
      </c>
      <c r="DD9" s="141">
        <v>-25745</v>
      </c>
      <c r="DE9" s="141">
        <v>0</v>
      </c>
      <c r="DF9" s="141">
        <v>-25745</v>
      </c>
      <c r="DG9" s="141">
        <v>-71275</v>
      </c>
      <c r="DH9" s="141">
        <v>0</v>
      </c>
      <c r="DI9" s="141">
        <v>-71275</v>
      </c>
      <c r="DJ9" s="141">
        <v>0</v>
      </c>
      <c r="DK9" s="141">
        <v>0</v>
      </c>
      <c r="DL9" s="141">
        <v>0</v>
      </c>
      <c r="DM9" s="141">
        <v>-1336280</v>
      </c>
      <c r="DN9" s="141">
        <v>0</v>
      </c>
      <c r="DO9" s="141">
        <v>-1336280</v>
      </c>
      <c r="DP9" s="141">
        <v>-1475118</v>
      </c>
      <c r="DQ9" s="141">
        <v>0</v>
      </c>
      <c r="DR9" s="141">
        <v>0</v>
      </c>
      <c r="DS9" s="141">
        <v>0</v>
      </c>
      <c r="DT9" s="141">
        <v>-1475118</v>
      </c>
      <c r="DU9" s="141">
        <v>0</v>
      </c>
      <c r="DV9" s="141">
        <v>-1475118</v>
      </c>
      <c r="DW9" s="856">
        <v>28359546</v>
      </c>
      <c r="DX9" s="856">
        <v>0</v>
      </c>
      <c r="DY9" s="857">
        <v>28359546</v>
      </c>
      <c r="DZ9" t="s">
        <v>1575</v>
      </c>
    </row>
    <row r="10" spans="1:130" ht="12.75" x14ac:dyDescent="0.2">
      <c r="A10" s="764">
        <v>3</v>
      </c>
      <c r="B10" s="765" t="s">
        <v>684</v>
      </c>
      <c r="C10" s="766" t="s">
        <v>1217</v>
      </c>
      <c r="D10" s="767" t="s">
        <v>1220</v>
      </c>
      <c r="E10" s="768" t="s">
        <v>683</v>
      </c>
      <c r="F10" s="867">
        <v>43468</v>
      </c>
      <c r="G10" s="141">
        <v>83515343</v>
      </c>
      <c r="H10" s="141">
        <v>0</v>
      </c>
      <c r="I10" s="141">
        <v>83515343</v>
      </c>
      <c r="J10" s="141">
        <v>49.1</v>
      </c>
      <c r="K10" s="141">
        <v>41006033</v>
      </c>
      <c r="L10" s="141">
        <v>0</v>
      </c>
      <c r="M10" s="141">
        <v>0</v>
      </c>
      <c r="N10" s="141">
        <v>0</v>
      </c>
      <c r="O10" s="141">
        <v>41006033</v>
      </c>
      <c r="P10" s="141">
        <v>0</v>
      </c>
      <c r="Q10" s="141">
        <v>41006033</v>
      </c>
      <c r="R10" s="141">
        <v>-525877</v>
      </c>
      <c r="S10" s="141">
        <v>0</v>
      </c>
      <c r="T10" s="141">
        <v>-525877</v>
      </c>
      <c r="U10" s="141">
        <v>178827</v>
      </c>
      <c r="V10" s="141">
        <v>0</v>
      </c>
      <c r="W10" s="141">
        <v>178827</v>
      </c>
      <c r="X10" s="141">
        <v>-347050</v>
      </c>
      <c r="Y10" s="141">
        <v>0</v>
      </c>
      <c r="Z10" s="141">
        <v>0</v>
      </c>
      <c r="AA10" s="141">
        <v>0</v>
      </c>
      <c r="AB10" s="141">
        <v>-347050</v>
      </c>
      <c r="AC10" s="141">
        <v>0</v>
      </c>
      <c r="AD10" s="141">
        <v>-347050</v>
      </c>
      <c r="AE10" s="141">
        <v>347050</v>
      </c>
      <c r="AF10" s="141">
        <v>0</v>
      </c>
      <c r="AG10" s="141">
        <v>347050</v>
      </c>
      <c r="AH10" s="141">
        <v>-4582604</v>
      </c>
      <c r="AI10" s="141">
        <v>0</v>
      </c>
      <c r="AJ10" s="141">
        <v>-4582604</v>
      </c>
      <c r="AK10" s="141">
        <v>0</v>
      </c>
      <c r="AL10" s="141">
        <v>0</v>
      </c>
      <c r="AM10" s="141">
        <v>0</v>
      </c>
      <c r="AN10" s="141">
        <v>701408</v>
      </c>
      <c r="AO10" s="141">
        <v>0</v>
      </c>
      <c r="AP10" s="141">
        <v>701408</v>
      </c>
      <c r="AQ10" s="141">
        <v>-3881196</v>
      </c>
      <c r="AR10" s="141">
        <v>0</v>
      </c>
      <c r="AS10" s="141">
        <v>-3881196</v>
      </c>
      <c r="AT10" s="141">
        <v>-1866064</v>
      </c>
      <c r="AU10" s="141">
        <v>0</v>
      </c>
      <c r="AV10" s="141">
        <v>-1866064</v>
      </c>
      <c r="AW10" s="141">
        <v>-22982</v>
      </c>
      <c r="AX10" s="141">
        <v>0</v>
      </c>
      <c r="AY10" s="141">
        <v>-22982</v>
      </c>
      <c r="AZ10" s="141">
        <v>-16700</v>
      </c>
      <c r="BA10" s="141">
        <v>0</v>
      </c>
      <c r="BB10" s="141">
        <v>-16700</v>
      </c>
      <c r="BC10" s="141">
        <v>-5786942</v>
      </c>
      <c r="BD10" s="141">
        <v>0</v>
      </c>
      <c r="BE10" s="141">
        <v>0</v>
      </c>
      <c r="BF10" s="141">
        <v>0</v>
      </c>
      <c r="BG10" s="141">
        <v>-5786942</v>
      </c>
      <c r="BH10" s="141">
        <v>0</v>
      </c>
      <c r="BI10" s="141">
        <v>-5786942</v>
      </c>
      <c r="BJ10" s="141">
        <v>-59102</v>
      </c>
      <c r="BK10" s="141">
        <v>0</v>
      </c>
      <c r="BL10" s="141">
        <v>-59102</v>
      </c>
      <c r="BM10" s="141">
        <v>-1259848</v>
      </c>
      <c r="BN10" s="141">
        <v>0</v>
      </c>
      <c r="BO10" s="141">
        <v>-1259848</v>
      </c>
      <c r="BP10" s="141">
        <v>-1318950</v>
      </c>
      <c r="BQ10" s="141">
        <v>0</v>
      </c>
      <c r="BR10" s="141">
        <v>0</v>
      </c>
      <c r="BS10" s="141">
        <v>0</v>
      </c>
      <c r="BT10" s="141">
        <v>-1318950</v>
      </c>
      <c r="BU10" s="141">
        <v>0</v>
      </c>
      <c r="BV10" s="141">
        <v>-1318950</v>
      </c>
      <c r="BW10" s="141">
        <v>-49000</v>
      </c>
      <c r="BX10" s="141">
        <v>0</v>
      </c>
      <c r="BY10" s="141">
        <v>-49000</v>
      </c>
      <c r="BZ10" s="141">
        <v>-404697</v>
      </c>
      <c r="CA10" s="141">
        <v>0</v>
      </c>
      <c r="CB10" s="141">
        <v>-404697</v>
      </c>
      <c r="CC10" s="141">
        <v>0</v>
      </c>
      <c r="CD10" s="141">
        <v>0</v>
      </c>
      <c r="CE10" s="141">
        <v>0</v>
      </c>
      <c r="CF10" s="141">
        <v>-2344</v>
      </c>
      <c r="CG10" s="141">
        <v>0</v>
      </c>
      <c r="CH10" s="141">
        <v>-2344</v>
      </c>
      <c r="CI10" s="141">
        <v>-1001</v>
      </c>
      <c r="CJ10" s="141">
        <v>0</v>
      </c>
      <c r="CK10" s="141">
        <v>-1001</v>
      </c>
      <c r="CL10" s="141">
        <v>0</v>
      </c>
      <c r="CM10" s="141">
        <v>0</v>
      </c>
      <c r="CN10" s="141">
        <v>0</v>
      </c>
      <c r="CO10" s="141">
        <v>0</v>
      </c>
      <c r="CP10" s="141">
        <v>0</v>
      </c>
      <c r="CQ10" s="141">
        <v>-457042</v>
      </c>
      <c r="CR10" s="141">
        <v>0</v>
      </c>
      <c r="CS10" s="141">
        <v>0</v>
      </c>
      <c r="CT10" s="141">
        <v>0</v>
      </c>
      <c r="CU10" s="141">
        <v>-457042</v>
      </c>
      <c r="CV10" s="141">
        <v>0</v>
      </c>
      <c r="CW10" s="141">
        <v>-457042</v>
      </c>
      <c r="CX10" s="141">
        <v>-14356</v>
      </c>
      <c r="CY10" s="141">
        <v>0</v>
      </c>
      <c r="CZ10" s="141">
        <v>-14356</v>
      </c>
      <c r="DA10" s="141">
        <v>0</v>
      </c>
      <c r="DB10" s="141">
        <v>0</v>
      </c>
      <c r="DC10" s="141">
        <v>0</v>
      </c>
      <c r="DD10" s="141">
        <v>-46602</v>
      </c>
      <c r="DE10" s="141">
        <v>0</v>
      </c>
      <c r="DF10" s="141">
        <v>-46602</v>
      </c>
      <c r="DG10" s="141">
        <v>-11172</v>
      </c>
      <c r="DH10" s="141">
        <v>0</v>
      </c>
      <c r="DI10" s="141">
        <v>-11172</v>
      </c>
      <c r="DJ10" s="141">
        <v>0</v>
      </c>
      <c r="DK10" s="141">
        <v>0</v>
      </c>
      <c r="DL10" s="141">
        <v>0</v>
      </c>
      <c r="DM10" s="141">
        <v>-874232</v>
      </c>
      <c r="DN10" s="141">
        <v>0</v>
      </c>
      <c r="DO10" s="141">
        <v>-874232</v>
      </c>
      <c r="DP10" s="141">
        <v>-946362</v>
      </c>
      <c r="DQ10" s="141">
        <v>0</v>
      </c>
      <c r="DR10" s="141">
        <v>0</v>
      </c>
      <c r="DS10" s="141">
        <v>0</v>
      </c>
      <c r="DT10" s="141">
        <v>-946362</v>
      </c>
      <c r="DU10" s="141">
        <v>0</v>
      </c>
      <c r="DV10" s="141">
        <v>-946362</v>
      </c>
      <c r="DW10" s="856">
        <v>32149687</v>
      </c>
      <c r="DX10" s="856">
        <v>0</v>
      </c>
      <c r="DY10" s="857">
        <v>32149687</v>
      </c>
      <c r="DZ10" t="s">
        <v>1576</v>
      </c>
    </row>
    <row r="11" spans="1:130" ht="12.75" x14ac:dyDescent="0.2">
      <c r="A11" s="764">
        <v>4</v>
      </c>
      <c r="B11" s="765" t="s">
        <v>686</v>
      </c>
      <c r="C11" s="766" t="s">
        <v>1217</v>
      </c>
      <c r="D11" s="767" t="s">
        <v>1218</v>
      </c>
      <c r="E11" s="768" t="s">
        <v>685</v>
      </c>
      <c r="F11" s="867">
        <v>43468</v>
      </c>
      <c r="G11" s="141">
        <v>98105121</v>
      </c>
      <c r="H11" s="141">
        <v>0</v>
      </c>
      <c r="I11" s="141">
        <v>98105121</v>
      </c>
      <c r="J11" s="141">
        <v>49.1</v>
      </c>
      <c r="K11" s="141">
        <v>48169614</v>
      </c>
      <c r="L11" s="141">
        <v>0</v>
      </c>
      <c r="M11" s="141">
        <v>0</v>
      </c>
      <c r="N11" s="141">
        <v>0</v>
      </c>
      <c r="O11" s="141">
        <v>48169614</v>
      </c>
      <c r="P11" s="141">
        <v>0</v>
      </c>
      <c r="Q11" s="141">
        <v>48169614</v>
      </c>
      <c r="R11" s="141">
        <v>-725134</v>
      </c>
      <c r="S11" s="141">
        <v>0</v>
      </c>
      <c r="T11" s="141">
        <v>-725134</v>
      </c>
      <c r="U11" s="141">
        <v>580472</v>
      </c>
      <c r="V11" s="141">
        <v>0</v>
      </c>
      <c r="W11" s="141">
        <v>580472</v>
      </c>
      <c r="X11" s="141">
        <v>-144662</v>
      </c>
      <c r="Y11" s="141">
        <v>0</v>
      </c>
      <c r="Z11" s="141">
        <v>0</v>
      </c>
      <c r="AA11" s="141">
        <v>0</v>
      </c>
      <c r="AB11" s="141">
        <v>-144662</v>
      </c>
      <c r="AC11" s="141">
        <v>0</v>
      </c>
      <c r="AD11" s="141">
        <v>-144662</v>
      </c>
      <c r="AE11" s="141">
        <v>144662</v>
      </c>
      <c r="AF11" s="141">
        <v>0</v>
      </c>
      <c r="AG11" s="141">
        <v>144662</v>
      </c>
      <c r="AH11" s="141">
        <v>-5455694</v>
      </c>
      <c r="AI11" s="141">
        <v>0</v>
      </c>
      <c r="AJ11" s="141">
        <v>-5455694</v>
      </c>
      <c r="AK11" s="141">
        <v>-11875</v>
      </c>
      <c r="AL11" s="141">
        <v>0</v>
      </c>
      <c r="AM11" s="141">
        <v>-11875</v>
      </c>
      <c r="AN11" s="141">
        <v>796513</v>
      </c>
      <c r="AO11" s="141">
        <v>0</v>
      </c>
      <c r="AP11" s="141">
        <v>796513</v>
      </c>
      <c r="AQ11" s="141">
        <v>-4659181</v>
      </c>
      <c r="AR11" s="141">
        <v>0</v>
      </c>
      <c r="AS11" s="141">
        <v>-4659181</v>
      </c>
      <c r="AT11" s="141">
        <v>-3002505</v>
      </c>
      <c r="AU11" s="141">
        <v>0</v>
      </c>
      <c r="AV11" s="141">
        <v>-3002505</v>
      </c>
      <c r="AW11" s="141">
        <v>-120996</v>
      </c>
      <c r="AX11" s="141">
        <v>0</v>
      </c>
      <c r="AY11" s="141">
        <v>-120996</v>
      </c>
      <c r="AZ11" s="141">
        <v>0</v>
      </c>
      <c r="BA11" s="141">
        <v>0</v>
      </c>
      <c r="BB11" s="141">
        <v>0</v>
      </c>
      <c r="BC11" s="141">
        <v>-7782682</v>
      </c>
      <c r="BD11" s="141">
        <v>0</v>
      </c>
      <c r="BE11" s="141">
        <v>0</v>
      </c>
      <c r="BF11" s="141">
        <v>0</v>
      </c>
      <c r="BG11" s="141">
        <v>-7782682</v>
      </c>
      <c r="BH11" s="141">
        <v>0</v>
      </c>
      <c r="BI11" s="141">
        <v>-7782682</v>
      </c>
      <c r="BJ11" s="141">
        <v>0</v>
      </c>
      <c r="BK11" s="141">
        <v>0</v>
      </c>
      <c r="BL11" s="141">
        <v>0</v>
      </c>
      <c r="BM11" s="141">
        <v>-297995</v>
      </c>
      <c r="BN11" s="141">
        <v>0</v>
      </c>
      <c r="BO11" s="141">
        <v>-297995</v>
      </c>
      <c r="BP11" s="141">
        <v>-297995</v>
      </c>
      <c r="BQ11" s="141">
        <v>0</v>
      </c>
      <c r="BR11" s="141">
        <v>0</v>
      </c>
      <c r="BS11" s="141">
        <v>0</v>
      </c>
      <c r="BT11" s="141">
        <v>-297995</v>
      </c>
      <c r="BU11" s="141">
        <v>0</v>
      </c>
      <c r="BV11" s="141">
        <v>-297995</v>
      </c>
      <c r="BW11" s="141">
        <v>-105321</v>
      </c>
      <c r="BX11" s="141">
        <v>0</v>
      </c>
      <c r="BY11" s="141">
        <v>-105321</v>
      </c>
      <c r="BZ11" s="141">
        <v>-55520</v>
      </c>
      <c r="CA11" s="141">
        <v>0</v>
      </c>
      <c r="CB11" s="141">
        <v>-55520</v>
      </c>
      <c r="CC11" s="141">
        <v>-488</v>
      </c>
      <c r="CD11" s="141">
        <v>0</v>
      </c>
      <c r="CE11" s="141">
        <v>-488</v>
      </c>
      <c r="CF11" s="141">
        <v>0</v>
      </c>
      <c r="CG11" s="141">
        <v>0</v>
      </c>
      <c r="CH11" s="141">
        <v>0</v>
      </c>
      <c r="CI11" s="141">
        <v>0</v>
      </c>
      <c r="CJ11" s="141">
        <v>0</v>
      </c>
      <c r="CK11" s="141">
        <v>0</v>
      </c>
      <c r="CL11" s="141">
        <v>0</v>
      </c>
      <c r="CM11" s="141">
        <v>0</v>
      </c>
      <c r="CN11" s="141">
        <v>0</v>
      </c>
      <c r="CO11" s="141">
        <v>0</v>
      </c>
      <c r="CP11" s="141">
        <v>0</v>
      </c>
      <c r="CQ11" s="141">
        <v>-161329</v>
      </c>
      <c r="CR11" s="141">
        <v>0</v>
      </c>
      <c r="CS11" s="141">
        <v>0</v>
      </c>
      <c r="CT11" s="141">
        <v>0</v>
      </c>
      <c r="CU11" s="141">
        <v>-161329</v>
      </c>
      <c r="CV11" s="141">
        <v>0</v>
      </c>
      <c r="CW11" s="141">
        <v>-161329</v>
      </c>
      <c r="CX11" s="141">
        <v>0</v>
      </c>
      <c r="CY11" s="141">
        <v>0</v>
      </c>
      <c r="CZ11" s="141">
        <v>0</v>
      </c>
      <c r="DA11" s="141">
        <v>0</v>
      </c>
      <c r="DB11" s="141">
        <v>0</v>
      </c>
      <c r="DC11" s="141">
        <v>0</v>
      </c>
      <c r="DD11" s="141">
        <v>-42028</v>
      </c>
      <c r="DE11" s="141">
        <v>0</v>
      </c>
      <c r="DF11" s="141">
        <v>-42028</v>
      </c>
      <c r="DG11" s="141">
        <v>-72000</v>
      </c>
      <c r="DH11" s="141">
        <v>0</v>
      </c>
      <c r="DI11" s="141">
        <v>-72000</v>
      </c>
      <c r="DJ11" s="141">
        <v>0</v>
      </c>
      <c r="DK11" s="141">
        <v>0</v>
      </c>
      <c r="DL11" s="141">
        <v>0</v>
      </c>
      <c r="DM11" s="141">
        <v>-1344526</v>
      </c>
      <c r="DN11" s="141">
        <v>0</v>
      </c>
      <c r="DO11" s="141">
        <v>-1344526</v>
      </c>
      <c r="DP11" s="141">
        <v>-1458554</v>
      </c>
      <c r="DQ11" s="141">
        <v>0</v>
      </c>
      <c r="DR11" s="141">
        <v>0</v>
      </c>
      <c r="DS11" s="141">
        <v>0</v>
      </c>
      <c r="DT11" s="141">
        <v>-1458554</v>
      </c>
      <c r="DU11" s="141">
        <v>0</v>
      </c>
      <c r="DV11" s="141">
        <v>-1458554</v>
      </c>
      <c r="DW11" s="856">
        <v>38324392</v>
      </c>
      <c r="DX11" s="856">
        <v>0</v>
      </c>
      <c r="DY11" s="857">
        <v>38324392</v>
      </c>
      <c r="DZ11" t="s">
        <v>1577</v>
      </c>
    </row>
    <row r="12" spans="1:130" ht="12.75" x14ac:dyDescent="0.2">
      <c r="A12" s="764">
        <v>5</v>
      </c>
      <c r="B12" s="765" t="s">
        <v>688</v>
      </c>
      <c r="C12" s="766" t="s">
        <v>1217</v>
      </c>
      <c r="D12" s="767" t="s">
        <v>1220</v>
      </c>
      <c r="E12" s="768" t="s">
        <v>687</v>
      </c>
      <c r="F12" s="867">
        <v>43494</v>
      </c>
      <c r="G12" s="141">
        <v>90835088</v>
      </c>
      <c r="H12" s="141">
        <v>0</v>
      </c>
      <c r="I12" s="141">
        <v>90835088</v>
      </c>
      <c r="J12" s="141">
        <v>49.1</v>
      </c>
      <c r="K12" s="141">
        <v>44600028</v>
      </c>
      <c r="L12" s="141">
        <v>0</v>
      </c>
      <c r="M12" s="141">
        <v>0</v>
      </c>
      <c r="N12" s="141">
        <v>0</v>
      </c>
      <c r="O12" s="141">
        <v>44600028</v>
      </c>
      <c r="P12" s="141">
        <v>0</v>
      </c>
      <c r="Q12" s="141">
        <v>44600028</v>
      </c>
      <c r="R12" s="141">
        <v>-346011</v>
      </c>
      <c r="S12" s="141">
        <v>0</v>
      </c>
      <c r="T12" s="141">
        <v>-346011</v>
      </c>
      <c r="U12" s="141">
        <v>74589</v>
      </c>
      <c r="V12" s="141">
        <v>0</v>
      </c>
      <c r="W12" s="141">
        <v>74589</v>
      </c>
      <c r="X12" s="141">
        <v>-271422</v>
      </c>
      <c r="Y12" s="141">
        <v>0</v>
      </c>
      <c r="Z12" s="141">
        <v>0</v>
      </c>
      <c r="AA12" s="141">
        <v>0</v>
      </c>
      <c r="AB12" s="141">
        <v>-271422</v>
      </c>
      <c r="AC12" s="141">
        <v>0</v>
      </c>
      <c r="AD12" s="141">
        <v>-271422</v>
      </c>
      <c r="AE12" s="141">
        <v>271422</v>
      </c>
      <c r="AF12" s="141">
        <v>0</v>
      </c>
      <c r="AG12" s="141">
        <v>271422</v>
      </c>
      <c r="AH12" s="141">
        <v>-3314089</v>
      </c>
      <c r="AI12" s="141">
        <v>0</v>
      </c>
      <c r="AJ12" s="141">
        <v>-3314089</v>
      </c>
      <c r="AK12" s="141">
        <v>0</v>
      </c>
      <c r="AL12" s="141">
        <v>0</v>
      </c>
      <c r="AM12" s="141">
        <v>0</v>
      </c>
      <c r="AN12" s="141">
        <v>882835</v>
      </c>
      <c r="AO12" s="141">
        <v>0</v>
      </c>
      <c r="AP12" s="141">
        <v>882835</v>
      </c>
      <c r="AQ12" s="141">
        <v>-2431254</v>
      </c>
      <c r="AR12" s="141">
        <v>0</v>
      </c>
      <c r="AS12" s="141">
        <v>-2431254</v>
      </c>
      <c r="AT12" s="141">
        <v>-2131208</v>
      </c>
      <c r="AU12" s="141">
        <v>0</v>
      </c>
      <c r="AV12" s="141">
        <v>-2131208</v>
      </c>
      <c r="AW12" s="141">
        <v>-23527</v>
      </c>
      <c r="AX12" s="141">
        <v>0</v>
      </c>
      <c r="AY12" s="141">
        <v>-23527</v>
      </c>
      <c r="AZ12" s="141">
        <v>-11029</v>
      </c>
      <c r="BA12" s="141">
        <v>0</v>
      </c>
      <c r="BB12" s="141">
        <v>-11029</v>
      </c>
      <c r="BC12" s="141">
        <v>-4597018</v>
      </c>
      <c r="BD12" s="141">
        <v>0</v>
      </c>
      <c r="BE12" s="141">
        <v>0</v>
      </c>
      <c r="BF12" s="141">
        <v>0</v>
      </c>
      <c r="BG12" s="141">
        <v>-4597018</v>
      </c>
      <c r="BH12" s="141">
        <v>0</v>
      </c>
      <c r="BI12" s="141">
        <v>-4597018</v>
      </c>
      <c r="BJ12" s="141">
        <v>0</v>
      </c>
      <c r="BK12" s="141">
        <v>0</v>
      </c>
      <c r="BL12" s="141">
        <v>0</v>
      </c>
      <c r="BM12" s="141">
        <v>-643660</v>
      </c>
      <c r="BN12" s="141">
        <v>0</v>
      </c>
      <c r="BO12" s="141">
        <v>-643660</v>
      </c>
      <c r="BP12" s="141">
        <v>-643660</v>
      </c>
      <c r="BQ12" s="141">
        <v>0</v>
      </c>
      <c r="BR12" s="141">
        <v>0</v>
      </c>
      <c r="BS12" s="141">
        <v>0</v>
      </c>
      <c r="BT12" s="141">
        <v>-643660</v>
      </c>
      <c r="BU12" s="141">
        <v>0</v>
      </c>
      <c r="BV12" s="141">
        <v>-643660</v>
      </c>
      <c r="BW12" s="141">
        <v>-156137</v>
      </c>
      <c r="BX12" s="141">
        <v>0</v>
      </c>
      <c r="BY12" s="141">
        <v>-156137</v>
      </c>
      <c r="BZ12" s="141">
        <v>-38792</v>
      </c>
      <c r="CA12" s="141">
        <v>0</v>
      </c>
      <c r="CB12" s="141">
        <v>-38792</v>
      </c>
      <c r="CC12" s="141">
        <v>0</v>
      </c>
      <c r="CD12" s="141">
        <v>0</v>
      </c>
      <c r="CE12" s="141">
        <v>0</v>
      </c>
      <c r="CF12" s="141">
        <v>-9000</v>
      </c>
      <c r="CG12" s="141">
        <v>0</v>
      </c>
      <c r="CH12" s="141">
        <v>-9000</v>
      </c>
      <c r="CI12" s="141">
        <v>-4832</v>
      </c>
      <c r="CJ12" s="141">
        <v>0</v>
      </c>
      <c r="CK12" s="141">
        <v>-4832</v>
      </c>
      <c r="CL12" s="141">
        <v>0</v>
      </c>
      <c r="CM12" s="141">
        <v>0</v>
      </c>
      <c r="CN12" s="141">
        <v>0</v>
      </c>
      <c r="CO12" s="141">
        <v>0</v>
      </c>
      <c r="CP12" s="141">
        <v>0</v>
      </c>
      <c r="CQ12" s="141">
        <v>-208761</v>
      </c>
      <c r="CR12" s="141">
        <v>0</v>
      </c>
      <c r="CS12" s="141">
        <v>0</v>
      </c>
      <c r="CT12" s="141">
        <v>0</v>
      </c>
      <c r="CU12" s="141">
        <v>-208761</v>
      </c>
      <c r="CV12" s="141">
        <v>0</v>
      </c>
      <c r="CW12" s="141">
        <v>-208761</v>
      </c>
      <c r="CX12" s="141">
        <v>-13832</v>
      </c>
      <c r="CY12" s="141">
        <v>0</v>
      </c>
      <c r="CZ12" s="141">
        <v>-13832</v>
      </c>
      <c r="DA12" s="141">
        <v>0</v>
      </c>
      <c r="DB12" s="141">
        <v>0</v>
      </c>
      <c r="DC12" s="141">
        <v>0</v>
      </c>
      <c r="DD12" s="141">
        <v>-15120</v>
      </c>
      <c r="DE12" s="141">
        <v>0</v>
      </c>
      <c r="DF12" s="141">
        <v>-15120</v>
      </c>
      <c r="DG12" s="141">
        <v>-38609</v>
      </c>
      <c r="DH12" s="141">
        <v>0</v>
      </c>
      <c r="DI12" s="141">
        <v>-38609</v>
      </c>
      <c r="DJ12" s="141">
        <v>0</v>
      </c>
      <c r="DK12" s="141">
        <v>0</v>
      </c>
      <c r="DL12" s="141">
        <v>0</v>
      </c>
      <c r="DM12" s="141">
        <v>-400000</v>
      </c>
      <c r="DN12" s="141">
        <v>0</v>
      </c>
      <c r="DO12" s="141">
        <v>-400000</v>
      </c>
      <c r="DP12" s="141">
        <v>-467561</v>
      </c>
      <c r="DQ12" s="141">
        <v>0</v>
      </c>
      <c r="DR12" s="141">
        <v>0</v>
      </c>
      <c r="DS12" s="141">
        <v>0</v>
      </c>
      <c r="DT12" s="141">
        <v>-467561</v>
      </c>
      <c r="DU12" s="141">
        <v>0</v>
      </c>
      <c r="DV12" s="141">
        <v>-467561</v>
      </c>
      <c r="DW12" s="856">
        <v>38411606</v>
      </c>
      <c r="DX12" s="856">
        <v>0</v>
      </c>
      <c r="DY12" s="857">
        <v>38411606</v>
      </c>
      <c r="DZ12" t="s">
        <v>1578</v>
      </c>
    </row>
    <row r="13" spans="1:130" ht="12.75" x14ac:dyDescent="0.2">
      <c r="A13" s="764">
        <v>6</v>
      </c>
      <c r="B13" s="765" t="s">
        <v>690</v>
      </c>
      <c r="C13" s="766" t="s">
        <v>1217</v>
      </c>
      <c r="D13" s="767" t="s">
        <v>1218</v>
      </c>
      <c r="E13" s="768" t="s">
        <v>689</v>
      </c>
      <c r="F13" s="867">
        <v>43481</v>
      </c>
      <c r="G13" s="141">
        <v>127925772</v>
      </c>
      <c r="H13" s="141">
        <v>0</v>
      </c>
      <c r="I13" s="141">
        <v>127925772</v>
      </c>
      <c r="J13" s="141">
        <v>49.1</v>
      </c>
      <c r="K13" s="141">
        <v>62811554</v>
      </c>
      <c r="L13" s="141">
        <v>0</v>
      </c>
      <c r="M13" s="141">
        <v>450000</v>
      </c>
      <c r="N13" s="141">
        <v>0</v>
      </c>
      <c r="O13" s="141">
        <v>63261554</v>
      </c>
      <c r="P13" s="141">
        <v>0</v>
      </c>
      <c r="Q13" s="141">
        <v>63261554</v>
      </c>
      <c r="R13" s="141">
        <v>-713539</v>
      </c>
      <c r="S13" s="141">
        <v>0</v>
      </c>
      <c r="T13" s="141">
        <v>-713539</v>
      </c>
      <c r="U13" s="141">
        <v>423454</v>
      </c>
      <c r="V13" s="141">
        <v>0</v>
      </c>
      <c r="W13" s="141">
        <v>423454</v>
      </c>
      <c r="X13" s="141">
        <v>-290085</v>
      </c>
      <c r="Y13" s="141">
        <v>0</v>
      </c>
      <c r="Z13" s="141">
        <v>0</v>
      </c>
      <c r="AA13" s="141">
        <v>0</v>
      </c>
      <c r="AB13" s="141">
        <v>-290085</v>
      </c>
      <c r="AC13" s="141">
        <v>0</v>
      </c>
      <c r="AD13" s="141">
        <v>-290085</v>
      </c>
      <c r="AE13" s="141">
        <v>290085</v>
      </c>
      <c r="AF13" s="141">
        <v>0</v>
      </c>
      <c r="AG13" s="141">
        <v>290085</v>
      </c>
      <c r="AH13" s="141">
        <v>-4851630</v>
      </c>
      <c r="AI13" s="141">
        <v>0</v>
      </c>
      <c r="AJ13" s="141">
        <v>-4851630</v>
      </c>
      <c r="AK13" s="141">
        <v>-14214</v>
      </c>
      <c r="AL13" s="141">
        <v>0</v>
      </c>
      <c r="AM13" s="141">
        <v>-14214</v>
      </c>
      <c r="AN13" s="141">
        <v>1200092</v>
      </c>
      <c r="AO13" s="141">
        <v>0</v>
      </c>
      <c r="AP13" s="141">
        <v>1200092</v>
      </c>
      <c r="AQ13" s="141">
        <v>-3651538</v>
      </c>
      <c r="AR13" s="141">
        <v>0</v>
      </c>
      <c r="AS13" s="141">
        <v>-3651538</v>
      </c>
      <c r="AT13" s="141">
        <v>-3861055</v>
      </c>
      <c r="AU13" s="141">
        <v>0</v>
      </c>
      <c r="AV13" s="141">
        <v>-3861055</v>
      </c>
      <c r="AW13" s="141">
        <v>-95344</v>
      </c>
      <c r="AX13" s="141">
        <v>0</v>
      </c>
      <c r="AY13" s="141">
        <v>-95344</v>
      </c>
      <c r="AZ13" s="141">
        <v>-11602</v>
      </c>
      <c r="BA13" s="141">
        <v>0</v>
      </c>
      <c r="BB13" s="141">
        <v>-11602</v>
      </c>
      <c r="BC13" s="141">
        <v>-7619539</v>
      </c>
      <c r="BD13" s="141">
        <v>0</v>
      </c>
      <c r="BE13" s="141">
        <v>-300000</v>
      </c>
      <c r="BF13" s="141">
        <v>0</v>
      </c>
      <c r="BG13" s="141">
        <v>-7919539</v>
      </c>
      <c r="BH13" s="141">
        <v>0</v>
      </c>
      <c r="BI13" s="141">
        <v>-7919539</v>
      </c>
      <c r="BJ13" s="141">
        <v>0</v>
      </c>
      <c r="BK13" s="141">
        <v>0</v>
      </c>
      <c r="BL13" s="141">
        <v>0</v>
      </c>
      <c r="BM13" s="141">
        <v>-1412597</v>
      </c>
      <c r="BN13" s="141">
        <v>0</v>
      </c>
      <c r="BO13" s="141">
        <v>-1412597</v>
      </c>
      <c r="BP13" s="141">
        <v>-1412597</v>
      </c>
      <c r="BQ13" s="141">
        <v>0</v>
      </c>
      <c r="BR13" s="141">
        <v>-350000</v>
      </c>
      <c r="BS13" s="141">
        <v>0</v>
      </c>
      <c r="BT13" s="141">
        <v>-1762597</v>
      </c>
      <c r="BU13" s="141">
        <v>0</v>
      </c>
      <c r="BV13" s="141">
        <v>-1762597</v>
      </c>
      <c r="BW13" s="141">
        <v>-163604</v>
      </c>
      <c r="BX13" s="141">
        <v>0</v>
      </c>
      <c r="BY13" s="141">
        <v>-163604</v>
      </c>
      <c r="BZ13" s="141">
        <v>-50000</v>
      </c>
      <c r="CA13" s="141">
        <v>0</v>
      </c>
      <c r="CB13" s="141">
        <v>-50000</v>
      </c>
      <c r="CC13" s="141">
        <v>-13867</v>
      </c>
      <c r="CD13" s="141">
        <v>0</v>
      </c>
      <c r="CE13" s="141">
        <v>-13867</v>
      </c>
      <c r="CF13" s="141">
        <v>0</v>
      </c>
      <c r="CG13" s="141">
        <v>0</v>
      </c>
      <c r="CH13" s="141">
        <v>0</v>
      </c>
      <c r="CI13" s="141">
        <v>-46293</v>
      </c>
      <c r="CJ13" s="141">
        <v>0</v>
      </c>
      <c r="CK13" s="141">
        <v>-46293</v>
      </c>
      <c r="CL13" s="141">
        <v>0</v>
      </c>
      <c r="CM13" s="141">
        <v>0</v>
      </c>
      <c r="CN13" s="141">
        <v>0</v>
      </c>
      <c r="CO13" s="141">
        <v>0</v>
      </c>
      <c r="CP13" s="141">
        <v>0</v>
      </c>
      <c r="CQ13" s="141">
        <v>-273764</v>
      </c>
      <c r="CR13" s="141">
        <v>0</v>
      </c>
      <c r="CS13" s="141">
        <v>-50000</v>
      </c>
      <c r="CT13" s="141">
        <v>0</v>
      </c>
      <c r="CU13" s="141">
        <v>-323764</v>
      </c>
      <c r="CV13" s="141">
        <v>0</v>
      </c>
      <c r="CW13" s="141">
        <v>-323764</v>
      </c>
      <c r="CX13" s="141">
        <v>-11602</v>
      </c>
      <c r="CY13" s="141">
        <v>0</v>
      </c>
      <c r="CZ13" s="141">
        <v>-11602</v>
      </c>
      <c r="DA13" s="141">
        <v>0</v>
      </c>
      <c r="DB13" s="141">
        <v>0</v>
      </c>
      <c r="DC13" s="141">
        <v>0</v>
      </c>
      <c r="DD13" s="141">
        <v>-28310</v>
      </c>
      <c r="DE13" s="141">
        <v>0</v>
      </c>
      <c r="DF13" s="141">
        <v>-28310</v>
      </c>
      <c r="DG13" s="141">
        <v>-70000</v>
      </c>
      <c r="DH13" s="141">
        <v>0</v>
      </c>
      <c r="DI13" s="141">
        <v>-70000</v>
      </c>
      <c r="DJ13" s="141">
        <v>0</v>
      </c>
      <c r="DK13" s="141">
        <v>0</v>
      </c>
      <c r="DL13" s="141">
        <v>0</v>
      </c>
      <c r="DM13" s="141">
        <v>-1461255</v>
      </c>
      <c r="DN13" s="141">
        <v>0</v>
      </c>
      <c r="DO13" s="141">
        <v>-1461255</v>
      </c>
      <c r="DP13" s="141">
        <v>-1571167</v>
      </c>
      <c r="DQ13" s="141">
        <v>0</v>
      </c>
      <c r="DR13" s="141">
        <v>-80000</v>
      </c>
      <c r="DS13" s="141">
        <v>0</v>
      </c>
      <c r="DT13" s="141">
        <v>-1651167</v>
      </c>
      <c r="DU13" s="141">
        <v>0</v>
      </c>
      <c r="DV13" s="141">
        <v>-1651167</v>
      </c>
      <c r="DW13" s="856">
        <v>51314402</v>
      </c>
      <c r="DX13" s="856">
        <v>0</v>
      </c>
      <c r="DY13" s="857">
        <v>51314402</v>
      </c>
      <c r="DZ13" t="s">
        <v>1579</v>
      </c>
    </row>
    <row r="14" spans="1:130" ht="12.75" x14ac:dyDescent="0.2">
      <c r="A14" s="764">
        <v>7</v>
      </c>
      <c r="B14" s="765" t="s">
        <v>692</v>
      </c>
      <c r="C14" s="766" t="s">
        <v>1217</v>
      </c>
      <c r="D14" s="767" t="s">
        <v>1218</v>
      </c>
      <c r="E14" s="768" t="s">
        <v>691</v>
      </c>
      <c r="F14" s="867">
        <v>43460</v>
      </c>
      <c r="G14" s="141">
        <v>140256590</v>
      </c>
      <c r="H14" s="141">
        <v>1544250</v>
      </c>
      <c r="I14" s="141">
        <v>141800840</v>
      </c>
      <c r="J14" s="141">
        <v>49.1</v>
      </c>
      <c r="K14" s="141">
        <v>68865986</v>
      </c>
      <c r="L14" s="141">
        <v>758227</v>
      </c>
      <c r="M14" s="141">
        <v>0</v>
      </c>
      <c r="N14" s="141">
        <v>0</v>
      </c>
      <c r="O14" s="141">
        <v>68865986</v>
      </c>
      <c r="P14" s="141">
        <v>758227</v>
      </c>
      <c r="Q14" s="141">
        <v>69624213</v>
      </c>
      <c r="R14" s="141">
        <v>-715819</v>
      </c>
      <c r="S14" s="141">
        <v>0</v>
      </c>
      <c r="T14" s="141">
        <v>-715819</v>
      </c>
      <c r="U14" s="141">
        <v>511357</v>
      </c>
      <c r="V14" s="141">
        <v>0</v>
      </c>
      <c r="W14" s="141">
        <v>511357</v>
      </c>
      <c r="X14" s="141">
        <v>-204462</v>
      </c>
      <c r="Y14" s="141">
        <v>0</v>
      </c>
      <c r="Z14" s="141">
        <v>0</v>
      </c>
      <c r="AA14" s="141">
        <v>0</v>
      </c>
      <c r="AB14" s="141">
        <v>-204462</v>
      </c>
      <c r="AC14" s="141">
        <v>0</v>
      </c>
      <c r="AD14" s="141">
        <v>-204462</v>
      </c>
      <c r="AE14" s="141">
        <v>204462</v>
      </c>
      <c r="AF14" s="141">
        <v>0</v>
      </c>
      <c r="AG14" s="141">
        <v>204462</v>
      </c>
      <c r="AH14" s="141">
        <v>-5703520</v>
      </c>
      <c r="AI14" s="141">
        <v>0</v>
      </c>
      <c r="AJ14" s="141">
        <v>-5703520</v>
      </c>
      <c r="AK14" s="141">
        <v>-11899</v>
      </c>
      <c r="AL14" s="141">
        <v>0</v>
      </c>
      <c r="AM14" s="141">
        <v>-11899</v>
      </c>
      <c r="AN14" s="141">
        <v>1279686</v>
      </c>
      <c r="AO14" s="141">
        <v>0</v>
      </c>
      <c r="AP14" s="141">
        <v>1279686</v>
      </c>
      <c r="AQ14" s="141">
        <v>-4423834</v>
      </c>
      <c r="AR14" s="141">
        <v>0</v>
      </c>
      <c r="AS14" s="141">
        <v>-4423834</v>
      </c>
      <c r="AT14" s="141">
        <v>-5637629</v>
      </c>
      <c r="AU14" s="141">
        <v>0</v>
      </c>
      <c r="AV14" s="141">
        <v>-5637629</v>
      </c>
      <c r="AW14" s="141">
        <v>-24538</v>
      </c>
      <c r="AX14" s="141">
        <v>0</v>
      </c>
      <c r="AY14" s="141">
        <v>-24538</v>
      </c>
      <c r="AZ14" s="141">
        <v>-58617</v>
      </c>
      <c r="BA14" s="141">
        <v>0</v>
      </c>
      <c r="BB14" s="141">
        <v>-58617</v>
      </c>
      <c r="BC14" s="141">
        <v>-10144618</v>
      </c>
      <c r="BD14" s="141">
        <v>0</v>
      </c>
      <c r="BE14" s="141">
        <v>0</v>
      </c>
      <c r="BF14" s="141">
        <v>0</v>
      </c>
      <c r="BG14" s="141">
        <v>-10144618</v>
      </c>
      <c r="BH14" s="141">
        <v>0</v>
      </c>
      <c r="BI14" s="141">
        <v>-10144618</v>
      </c>
      <c r="BJ14" s="141">
        <v>-15000</v>
      </c>
      <c r="BK14" s="141">
        <v>0</v>
      </c>
      <c r="BL14" s="141">
        <v>-15000</v>
      </c>
      <c r="BM14" s="141">
        <v>-1473520</v>
      </c>
      <c r="BN14" s="141">
        <v>0</v>
      </c>
      <c r="BO14" s="141">
        <v>-1473520</v>
      </c>
      <c r="BP14" s="141">
        <v>-1488520</v>
      </c>
      <c r="BQ14" s="141">
        <v>0</v>
      </c>
      <c r="BR14" s="141">
        <v>0</v>
      </c>
      <c r="BS14" s="141">
        <v>0</v>
      </c>
      <c r="BT14" s="141">
        <v>-1488520</v>
      </c>
      <c r="BU14" s="141">
        <v>0</v>
      </c>
      <c r="BV14" s="141">
        <v>-1488520</v>
      </c>
      <c r="BW14" s="141">
        <v>-230943</v>
      </c>
      <c r="BX14" s="141">
        <v>0</v>
      </c>
      <c r="BY14" s="141">
        <v>-230943</v>
      </c>
      <c r="BZ14" s="141">
        <v>-81995</v>
      </c>
      <c r="CA14" s="141">
        <v>0</v>
      </c>
      <c r="CB14" s="141">
        <v>-81995</v>
      </c>
      <c r="CC14" s="141">
        <v>-12092</v>
      </c>
      <c r="CD14" s="141">
        <v>0</v>
      </c>
      <c r="CE14" s="141">
        <v>-12092</v>
      </c>
      <c r="CF14" s="141">
        <v>-44137</v>
      </c>
      <c r="CG14" s="141">
        <v>0</v>
      </c>
      <c r="CH14" s="141">
        <v>-44137</v>
      </c>
      <c r="CI14" s="141">
        <v>-14480</v>
      </c>
      <c r="CJ14" s="141">
        <v>0</v>
      </c>
      <c r="CK14" s="141">
        <v>-14480</v>
      </c>
      <c r="CL14" s="141">
        <v>0</v>
      </c>
      <c r="CM14" s="141">
        <v>-162463</v>
      </c>
      <c r="CN14" s="141">
        <v>-162463</v>
      </c>
      <c r="CO14" s="141">
        <v>-162463</v>
      </c>
      <c r="CP14" s="141">
        <v>0</v>
      </c>
      <c r="CQ14" s="141">
        <v>-383647</v>
      </c>
      <c r="CR14" s="141">
        <v>-162463</v>
      </c>
      <c r="CS14" s="141">
        <v>0</v>
      </c>
      <c r="CT14" s="141">
        <v>0</v>
      </c>
      <c r="CU14" s="141">
        <v>-383647</v>
      </c>
      <c r="CV14" s="141">
        <v>-162463</v>
      </c>
      <c r="CW14" s="141">
        <v>-546110</v>
      </c>
      <c r="CX14" s="141">
        <v>-58617</v>
      </c>
      <c r="CY14" s="141">
        <v>0</v>
      </c>
      <c r="CZ14" s="141">
        <v>-58617</v>
      </c>
      <c r="DA14" s="141">
        <v>-1500</v>
      </c>
      <c r="DB14" s="141">
        <v>0</v>
      </c>
      <c r="DC14" s="141">
        <v>-1500</v>
      </c>
      <c r="DD14" s="141">
        <v>-31778</v>
      </c>
      <c r="DE14" s="141">
        <v>0</v>
      </c>
      <c r="DF14" s="141">
        <v>-31778</v>
      </c>
      <c r="DG14" s="141">
        <v>-86000</v>
      </c>
      <c r="DH14" s="141">
        <v>0</v>
      </c>
      <c r="DI14" s="141">
        <v>-86000</v>
      </c>
      <c r="DJ14" s="141">
        <v>0</v>
      </c>
      <c r="DK14" s="141">
        <v>0</v>
      </c>
      <c r="DL14" s="141">
        <v>0</v>
      </c>
      <c r="DM14" s="141">
        <v>-850997</v>
      </c>
      <c r="DN14" s="141">
        <v>0</v>
      </c>
      <c r="DO14" s="141">
        <v>-850997</v>
      </c>
      <c r="DP14" s="141">
        <v>-1028892</v>
      </c>
      <c r="DQ14" s="141">
        <v>0</v>
      </c>
      <c r="DR14" s="141">
        <v>0</v>
      </c>
      <c r="DS14" s="141">
        <v>0</v>
      </c>
      <c r="DT14" s="141">
        <v>-1028892</v>
      </c>
      <c r="DU14" s="141">
        <v>0</v>
      </c>
      <c r="DV14" s="141">
        <v>-1028892</v>
      </c>
      <c r="DW14" s="856">
        <v>55615847</v>
      </c>
      <c r="DX14" s="856">
        <v>595764</v>
      </c>
      <c r="DY14" s="857">
        <v>56211611</v>
      </c>
      <c r="DZ14" t="s">
        <v>1580</v>
      </c>
    </row>
    <row r="15" spans="1:130" ht="12.75" x14ac:dyDescent="0.2">
      <c r="A15" s="764">
        <v>8</v>
      </c>
      <c r="B15" s="765" t="s">
        <v>694</v>
      </c>
      <c r="C15" s="766" t="s">
        <v>1217</v>
      </c>
      <c r="D15" s="767" t="s">
        <v>1221</v>
      </c>
      <c r="E15" s="768" t="s">
        <v>693</v>
      </c>
      <c r="F15" s="867">
        <v>43468</v>
      </c>
      <c r="G15" s="141">
        <v>63736567</v>
      </c>
      <c r="H15" s="141">
        <v>101125</v>
      </c>
      <c r="I15" s="141">
        <v>63837692</v>
      </c>
      <c r="J15" s="141">
        <v>49.1</v>
      </c>
      <c r="K15" s="141">
        <v>31294654</v>
      </c>
      <c r="L15" s="141">
        <v>49652</v>
      </c>
      <c r="M15" s="141">
        <v>0</v>
      </c>
      <c r="N15" s="141">
        <v>108000</v>
      </c>
      <c r="O15" s="141">
        <v>31294654</v>
      </c>
      <c r="P15" s="141">
        <v>157652</v>
      </c>
      <c r="Q15" s="141">
        <v>31452306</v>
      </c>
      <c r="R15" s="141">
        <v>-340952</v>
      </c>
      <c r="S15" s="141">
        <v>0</v>
      </c>
      <c r="T15" s="141">
        <v>-340952</v>
      </c>
      <c r="U15" s="141">
        <v>292645</v>
      </c>
      <c r="V15" s="141">
        <v>0</v>
      </c>
      <c r="W15" s="141">
        <v>292645</v>
      </c>
      <c r="X15" s="141">
        <v>-48307</v>
      </c>
      <c r="Y15" s="141">
        <v>0</v>
      </c>
      <c r="Z15" s="141">
        <v>0</v>
      </c>
      <c r="AA15" s="141">
        <v>0</v>
      </c>
      <c r="AB15" s="141">
        <v>-48307</v>
      </c>
      <c r="AC15" s="141">
        <v>0</v>
      </c>
      <c r="AD15" s="141">
        <v>-48307</v>
      </c>
      <c r="AE15" s="141">
        <v>48307</v>
      </c>
      <c r="AF15" s="141">
        <v>0</v>
      </c>
      <c r="AG15" s="141">
        <v>48307</v>
      </c>
      <c r="AH15" s="141">
        <v>-3720009</v>
      </c>
      <c r="AI15" s="141">
        <v>-749</v>
      </c>
      <c r="AJ15" s="141">
        <v>-3720758</v>
      </c>
      <c r="AK15" s="141">
        <v>-4174</v>
      </c>
      <c r="AL15" s="141">
        <v>0</v>
      </c>
      <c r="AM15" s="141">
        <v>-4174</v>
      </c>
      <c r="AN15" s="141">
        <v>494435</v>
      </c>
      <c r="AO15" s="141">
        <v>1027</v>
      </c>
      <c r="AP15" s="141">
        <v>495462</v>
      </c>
      <c r="AQ15" s="141">
        <v>-3225574</v>
      </c>
      <c r="AR15" s="141">
        <v>278</v>
      </c>
      <c r="AS15" s="141">
        <v>-3225296</v>
      </c>
      <c r="AT15" s="141">
        <v>-2332198</v>
      </c>
      <c r="AU15" s="141">
        <v>0</v>
      </c>
      <c r="AV15" s="141">
        <v>-2332198</v>
      </c>
      <c r="AW15" s="141">
        <v>-46761</v>
      </c>
      <c r="AX15" s="141">
        <v>0</v>
      </c>
      <c r="AY15" s="141">
        <v>-46761</v>
      </c>
      <c r="AZ15" s="141">
        <v>-75390</v>
      </c>
      <c r="BA15" s="141">
        <v>0</v>
      </c>
      <c r="BB15" s="141">
        <v>-75390</v>
      </c>
      <c r="BC15" s="141">
        <v>-5679923</v>
      </c>
      <c r="BD15" s="141">
        <v>278</v>
      </c>
      <c r="BE15" s="141">
        <v>0</v>
      </c>
      <c r="BF15" s="141">
        <v>0</v>
      </c>
      <c r="BG15" s="141">
        <v>-5679923</v>
      </c>
      <c r="BH15" s="141">
        <v>278</v>
      </c>
      <c r="BI15" s="141">
        <v>-5679645</v>
      </c>
      <c r="BJ15" s="141">
        <v>-25449</v>
      </c>
      <c r="BK15" s="141">
        <v>0</v>
      </c>
      <c r="BL15" s="141">
        <v>-25449</v>
      </c>
      <c r="BM15" s="141">
        <v>-1019546</v>
      </c>
      <c r="BN15" s="141">
        <v>-10080</v>
      </c>
      <c r="BO15" s="141">
        <v>-1029626</v>
      </c>
      <c r="BP15" s="141">
        <v>-1044995</v>
      </c>
      <c r="BQ15" s="141">
        <v>-10080</v>
      </c>
      <c r="BR15" s="141">
        <v>0</v>
      </c>
      <c r="BS15" s="141">
        <v>0</v>
      </c>
      <c r="BT15" s="141">
        <v>-1044995</v>
      </c>
      <c r="BU15" s="141">
        <v>-10080</v>
      </c>
      <c r="BV15" s="141">
        <v>-1055075</v>
      </c>
      <c r="BW15" s="141">
        <v>-49261</v>
      </c>
      <c r="BX15" s="141">
        <v>0</v>
      </c>
      <c r="BY15" s="141">
        <v>-49261</v>
      </c>
      <c r="BZ15" s="141">
        <v>-17455</v>
      </c>
      <c r="CA15" s="141">
        <v>0</v>
      </c>
      <c r="CB15" s="141">
        <v>-17455</v>
      </c>
      <c r="CC15" s="141">
        <v>-5845</v>
      </c>
      <c r="CD15" s="141">
        <v>0</v>
      </c>
      <c r="CE15" s="141">
        <v>-5845</v>
      </c>
      <c r="CF15" s="141">
        <v>0</v>
      </c>
      <c r="CG15" s="141">
        <v>0</v>
      </c>
      <c r="CH15" s="141">
        <v>0</v>
      </c>
      <c r="CI15" s="141">
        <v>-15368</v>
      </c>
      <c r="CJ15" s="141">
        <v>0</v>
      </c>
      <c r="CK15" s="141">
        <v>-15368</v>
      </c>
      <c r="CL15" s="141">
        <v>0</v>
      </c>
      <c r="CM15" s="141">
        <v>0</v>
      </c>
      <c r="CN15" s="141">
        <v>0</v>
      </c>
      <c r="CO15" s="141">
        <v>0</v>
      </c>
      <c r="CP15" s="141">
        <v>0</v>
      </c>
      <c r="CQ15" s="141">
        <v>-87929</v>
      </c>
      <c r="CR15" s="141">
        <v>0</v>
      </c>
      <c r="CS15" s="141">
        <v>0</v>
      </c>
      <c r="CT15" s="141">
        <v>0</v>
      </c>
      <c r="CU15" s="141">
        <v>-87929</v>
      </c>
      <c r="CV15" s="141">
        <v>0</v>
      </c>
      <c r="CW15" s="141">
        <v>-87929</v>
      </c>
      <c r="CX15" s="141">
        <v>-75390</v>
      </c>
      <c r="CY15" s="141">
        <v>0</v>
      </c>
      <c r="CZ15" s="141">
        <v>-75390</v>
      </c>
      <c r="DA15" s="141">
        <v>-1500</v>
      </c>
      <c r="DB15" s="141">
        <v>0</v>
      </c>
      <c r="DC15" s="141">
        <v>-1500</v>
      </c>
      <c r="DD15" s="141">
        <v>-38654</v>
      </c>
      <c r="DE15" s="141">
        <v>0</v>
      </c>
      <c r="DF15" s="141">
        <v>-38654</v>
      </c>
      <c r="DG15" s="141">
        <v>-35611</v>
      </c>
      <c r="DH15" s="141">
        <v>0</v>
      </c>
      <c r="DI15" s="141">
        <v>-35611</v>
      </c>
      <c r="DJ15" s="141">
        <v>0</v>
      </c>
      <c r="DK15" s="141">
        <v>0</v>
      </c>
      <c r="DL15" s="141">
        <v>0</v>
      </c>
      <c r="DM15" s="141">
        <v>-682822</v>
      </c>
      <c r="DN15" s="141">
        <v>0</v>
      </c>
      <c r="DO15" s="141">
        <v>-682822</v>
      </c>
      <c r="DP15" s="141">
        <v>-833977</v>
      </c>
      <c r="DQ15" s="141">
        <v>0</v>
      </c>
      <c r="DR15" s="141">
        <v>0</v>
      </c>
      <c r="DS15" s="141">
        <v>0</v>
      </c>
      <c r="DT15" s="141">
        <v>-833977</v>
      </c>
      <c r="DU15" s="141">
        <v>0</v>
      </c>
      <c r="DV15" s="141">
        <v>-833977</v>
      </c>
      <c r="DW15" s="856">
        <v>23599523</v>
      </c>
      <c r="DX15" s="856">
        <v>147850</v>
      </c>
      <c r="DY15" s="857">
        <v>23747373</v>
      </c>
      <c r="DZ15" t="s">
        <v>1581</v>
      </c>
    </row>
    <row r="16" spans="1:130" ht="12.75" x14ac:dyDescent="0.2">
      <c r="A16" s="764">
        <v>9</v>
      </c>
      <c r="B16" s="765" t="s">
        <v>696</v>
      </c>
      <c r="C16" s="766" t="s">
        <v>1222</v>
      </c>
      <c r="D16" s="767" t="s">
        <v>1223</v>
      </c>
      <c r="E16" s="768" t="s">
        <v>695</v>
      </c>
      <c r="F16" s="867">
        <v>43479</v>
      </c>
      <c r="G16" s="141">
        <v>153942081</v>
      </c>
      <c r="H16" s="141">
        <v>0</v>
      </c>
      <c r="I16" s="141">
        <v>153942081</v>
      </c>
      <c r="J16" s="141">
        <v>49.1</v>
      </c>
      <c r="K16" s="141">
        <v>75585562</v>
      </c>
      <c r="L16" s="141">
        <v>0</v>
      </c>
      <c r="M16" s="141">
        <v>0</v>
      </c>
      <c r="N16" s="141">
        <v>0</v>
      </c>
      <c r="O16" s="141">
        <v>75585562</v>
      </c>
      <c r="P16" s="141">
        <v>0</v>
      </c>
      <c r="Q16" s="141">
        <v>75585562</v>
      </c>
      <c r="R16" s="141">
        <v>-909688</v>
      </c>
      <c r="S16" s="141">
        <v>0</v>
      </c>
      <c r="T16" s="141">
        <v>-909688</v>
      </c>
      <c r="U16" s="141">
        <v>695665</v>
      </c>
      <c r="V16" s="141">
        <v>0</v>
      </c>
      <c r="W16" s="141">
        <v>695665</v>
      </c>
      <c r="X16" s="141">
        <v>-214023</v>
      </c>
      <c r="Y16" s="141">
        <v>0</v>
      </c>
      <c r="Z16" s="141">
        <v>0</v>
      </c>
      <c r="AA16" s="141">
        <v>0</v>
      </c>
      <c r="AB16" s="141">
        <v>-214023</v>
      </c>
      <c r="AC16" s="141">
        <v>0</v>
      </c>
      <c r="AD16" s="141">
        <v>-214023</v>
      </c>
      <c r="AE16" s="141">
        <v>214023</v>
      </c>
      <c r="AF16" s="141">
        <v>0</v>
      </c>
      <c r="AG16" s="141">
        <v>214023</v>
      </c>
      <c r="AH16" s="141">
        <v>-4955542</v>
      </c>
      <c r="AI16" s="141">
        <v>0</v>
      </c>
      <c r="AJ16" s="141">
        <v>-4955542</v>
      </c>
      <c r="AK16" s="141">
        <v>-18252</v>
      </c>
      <c r="AL16" s="141">
        <v>0</v>
      </c>
      <c r="AM16" s="141">
        <v>-18252</v>
      </c>
      <c r="AN16" s="141">
        <v>1460680</v>
      </c>
      <c r="AO16" s="141">
        <v>0</v>
      </c>
      <c r="AP16" s="141">
        <v>1460680</v>
      </c>
      <c r="AQ16" s="141">
        <v>-3494862</v>
      </c>
      <c r="AR16" s="141">
        <v>0</v>
      </c>
      <c r="AS16" s="141">
        <v>-3494862</v>
      </c>
      <c r="AT16" s="141">
        <v>-4690663</v>
      </c>
      <c r="AU16" s="141">
        <v>0</v>
      </c>
      <c r="AV16" s="141">
        <v>-4690663</v>
      </c>
      <c r="AW16" s="141">
        <v>-17640</v>
      </c>
      <c r="AX16" s="141">
        <v>0</v>
      </c>
      <c r="AY16" s="141">
        <v>-17640</v>
      </c>
      <c r="AZ16" s="141">
        <v>0</v>
      </c>
      <c r="BA16" s="141">
        <v>0</v>
      </c>
      <c r="BB16" s="141">
        <v>0</v>
      </c>
      <c r="BC16" s="141">
        <v>-8203165</v>
      </c>
      <c r="BD16" s="141">
        <v>0</v>
      </c>
      <c r="BE16" s="141">
        <v>0</v>
      </c>
      <c r="BF16" s="141">
        <v>0</v>
      </c>
      <c r="BG16" s="141">
        <v>-8203165</v>
      </c>
      <c r="BH16" s="141">
        <v>0</v>
      </c>
      <c r="BI16" s="141">
        <v>-8203165</v>
      </c>
      <c r="BJ16" s="141">
        <v>0</v>
      </c>
      <c r="BK16" s="141">
        <v>0</v>
      </c>
      <c r="BL16" s="141">
        <v>0</v>
      </c>
      <c r="BM16" s="141">
        <v>-2329331</v>
      </c>
      <c r="BN16" s="141">
        <v>0</v>
      </c>
      <c r="BO16" s="141">
        <v>-2329331</v>
      </c>
      <c r="BP16" s="141">
        <v>-2329331</v>
      </c>
      <c r="BQ16" s="141">
        <v>0</v>
      </c>
      <c r="BR16" s="141">
        <v>0</v>
      </c>
      <c r="BS16" s="141">
        <v>0</v>
      </c>
      <c r="BT16" s="141">
        <v>-2329331</v>
      </c>
      <c r="BU16" s="141">
        <v>0</v>
      </c>
      <c r="BV16" s="141">
        <v>-2329331</v>
      </c>
      <c r="BW16" s="141">
        <v>-233349</v>
      </c>
      <c r="BX16" s="141">
        <v>0</v>
      </c>
      <c r="BY16" s="141">
        <v>-233349</v>
      </c>
      <c r="BZ16" s="141">
        <v>0</v>
      </c>
      <c r="CA16" s="141">
        <v>0</v>
      </c>
      <c r="CB16" s="141">
        <v>0</v>
      </c>
      <c r="CC16" s="141">
        <v>-3528</v>
      </c>
      <c r="CD16" s="141">
        <v>0</v>
      </c>
      <c r="CE16" s="141">
        <v>-3528</v>
      </c>
      <c r="CF16" s="141">
        <v>0</v>
      </c>
      <c r="CG16" s="141">
        <v>0</v>
      </c>
      <c r="CH16" s="141">
        <v>0</v>
      </c>
      <c r="CI16" s="141">
        <v>0</v>
      </c>
      <c r="CJ16" s="141">
        <v>0</v>
      </c>
      <c r="CK16" s="141">
        <v>0</v>
      </c>
      <c r="CL16" s="141">
        <v>0</v>
      </c>
      <c r="CM16" s="141">
        <v>0</v>
      </c>
      <c r="CN16" s="141">
        <v>0</v>
      </c>
      <c r="CO16" s="141">
        <v>0</v>
      </c>
      <c r="CP16" s="141">
        <v>0</v>
      </c>
      <c r="CQ16" s="141">
        <v>-236877</v>
      </c>
      <c r="CR16" s="141">
        <v>0</v>
      </c>
      <c r="CS16" s="141">
        <v>0</v>
      </c>
      <c r="CT16" s="141">
        <v>0</v>
      </c>
      <c r="CU16" s="141">
        <v>-236877</v>
      </c>
      <c r="CV16" s="141">
        <v>0</v>
      </c>
      <c r="CW16" s="141">
        <v>-236877</v>
      </c>
      <c r="CX16" s="141">
        <v>0</v>
      </c>
      <c r="CY16" s="141">
        <v>0</v>
      </c>
      <c r="CZ16" s="141">
        <v>0</v>
      </c>
      <c r="DA16" s="141">
        <v>0</v>
      </c>
      <c r="DB16" s="141">
        <v>0</v>
      </c>
      <c r="DC16" s="141">
        <v>0</v>
      </c>
      <c r="DD16" s="141">
        <v>-49455</v>
      </c>
      <c r="DE16" s="141">
        <v>0</v>
      </c>
      <c r="DF16" s="141">
        <v>-49455</v>
      </c>
      <c r="DG16" s="141">
        <v>-91800</v>
      </c>
      <c r="DH16" s="141">
        <v>0</v>
      </c>
      <c r="DI16" s="141">
        <v>-91800</v>
      </c>
      <c r="DJ16" s="141">
        <v>0</v>
      </c>
      <c r="DK16" s="141">
        <v>0</v>
      </c>
      <c r="DL16" s="141">
        <v>0</v>
      </c>
      <c r="DM16" s="141">
        <v>-1385371</v>
      </c>
      <c r="DN16" s="141">
        <v>0</v>
      </c>
      <c r="DO16" s="141">
        <v>-1385371</v>
      </c>
      <c r="DP16" s="141">
        <v>-1526626</v>
      </c>
      <c r="DQ16" s="141">
        <v>0</v>
      </c>
      <c r="DR16" s="141">
        <v>0</v>
      </c>
      <c r="DS16" s="141">
        <v>0</v>
      </c>
      <c r="DT16" s="141">
        <v>-1526626</v>
      </c>
      <c r="DU16" s="141">
        <v>0</v>
      </c>
      <c r="DV16" s="141">
        <v>-1526626</v>
      </c>
      <c r="DW16" s="856">
        <v>63075540</v>
      </c>
      <c r="DX16" s="856">
        <v>0</v>
      </c>
      <c r="DY16" s="857">
        <v>63075540</v>
      </c>
      <c r="DZ16" t="s">
        <v>1582</v>
      </c>
    </row>
    <row r="17" spans="1:130" ht="12.75" x14ac:dyDescent="0.2">
      <c r="A17" s="764">
        <v>10</v>
      </c>
      <c r="B17" s="765" t="s">
        <v>698</v>
      </c>
      <c r="C17" s="766" t="s">
        <v>1222</v>
      </c>
      <c r="D17" s="767" t="s">
        <v>1223</v>
      </c>
      <c r="E17" s="768" t="s">
        <v>697</v>
      </c>
      <c r="F17" s="867">
        <v>43468</v>
      </c>
      <c r="G17" s="141">
        <v>258412384</v>
      </c>
      <c r="H17" s="141">
        <v>39271001</v>
      </c>
      <c r="I17" s="141">
        <v>297683385</v>
      </c>
      <c r="J17" s="141">
        <v>49.1</v>
      </c>
      <c r="K17" s="141">
        <v>126880481</v>
      </c>
      <c r="L17" s="141">
        <v>19282061</v>
      </c>
      <c r="M17" s="141">
        <v>-868455</v>
      </c>
      <c r="N17" s="141">
        <v>-1000658</v>
      </c>
      <c r="O17" s="141">
        <v>126012026</v>
      </c>
      <c r="P17" s="141">
        <v>18281403</v>
      </c>
      <c r="Q17" s="141">
        <v>144293429</v>
      </c>
      <c r="R17" s="141">
        <v>-2194079</v>
      </c>
      <c r="S17" s="141">
        <v>-49950</v>
      </c>
      <c r="T17" s="141">
        <v>-2244029</v>
      </c>
      <c r="U17" s="141">
        <v>510323</v>
      </c>
      <c r="V17" s="141">
        <v>2083542</v>
      </c>
      <c r="W17" s="141">
        <v>2593865</v>
      </c>
      <c r="X17" s="141">
        <v>-1683756</v>
      </c>
      <c r="Y17" s="141">
        <v>2033592</v>
      </c>
      <c r="Z17" s="141">
        <v>281000</v>
      </c>
      <c r="AA17" s="141">
        <v>225000</v>
      </c>
      <c r="AB17" s="141">
        <v>-1402756</v>
      </c>
      <c r="AC17" s="141">
        <v>2258592</v>
      </c>
      <c r="AD17" s="141">
        <v>855836</v>
      </c>
      <c r="AE17" s="141">
        <v>1402756</v>
      </c>
      <c r="AF17" s="141">
        <v>-2258592</v>
      </c>
      <c r="AG17" s="141">
        <v>-855836</v>
      </c>
      <c r="AH17" s="141">
        <v>-7585296</v>
      </c>
      <c r="AI17" s="141">
        <v>-5524</v>
      </c>
      <c r="AJ17" s="141">
        <v>-7590820</v>
      </c>
      <c r="AK17" s="141">
        <v>0</v>
      </c>
      <c r="AL17" s="141">
        <v>0</v>
      </c>
      <c r="AM17" s="141">
        <v>0</v>
      </c>
      <c r="AN17" s="141">
        <v>2170426</v>
      </c>
      <c r="AO17" s="141">
        <v>503681</v>
      </c>
      <c r="AP17" s="141">
        <v>2674107</v>
      </c>
      <c r="AQ17" s="141">
        <v>-5414870</v>
      </c>
      <c r="AR17" s="141">
        <v>498157</v>
      </c>
      <c r="AS17" s="141">
        <v>-4916713</v>
      </c>
      <c r="AT17" s="141">
        <v>-13501125</v>
      </c>
      <c r="AU17" s="141">
        <v>0</v>
      </c>
      <c r="AV17" s="141">
        <v>-13501125</v>
      </c>
      <c r="AW17" s="141">
        <v>-229018</v>
      </c>
      <c r="AX17" s="141">
        <v>0</v>
      </c>
      <c r="AY17" s="141">
        <v>-229018</v>
      </c>
      <c r="AZ17" s="141">
        <v>0</v>
      </c>
      <c r="BA17" s="141">
        <v>0</v>
      </c>
      <c r="BB17" s="141">
        <v>0</v>
      </c>
      <c r="BC17" s="141">
        <v>-19145013</v>
      </c>
      <c r="BD17" s="141">
        <v>498157</v>
      </c>
      <c r="BE17" s="141">
        <v>20000</v>
      </c>
      <c r="BF17" s="141">
        <v>-31000</v>
      </c>
      <c r="BG17" s="141">
        <v>-19125013</v>
      </c>
      <c r="BH17" s="141">
        <v>467157</v>
      </c>
      <c r="BI17" s="141">
        <v>-18657856</v>
      </c>
      <c r="BJ17" s="141">
        <v>0</v>
      </c>
      <c r="BK17" s="141">
        <v>0</v>
      </c>
      <c r="BL17" s="141">
        <v>0</v>
      </c>
      <c r="BM17" s="141">
        <v>-2944798</v>
      </c>
      <c r="BN17" s="141">
        <v>-1483156</v>
      </c>
      <c r="BO17" s="141">
        <v>-4427954</v>
      </c>
      <c r="BP17" s="141">
        <v>-2944798</v>
      </c>
      <c r="BQ17" s="141">
        <v>-1483156</v>
      </c>
      <c r="BR17" s="141">
        <v>0</v>
      </c>
      <c r="BS17" s="141">
        <v>0</v>
      </c>
      <c r="BT17" s="141">
        <v>-2944798</v>
      </c>
      <c r="BU17" s="141">
        <v>-1483156</v>
      </c>
      <c r="BV17" s="141">
        <v>-4427954</v>
      </c>
      <c r="BW17" s="141">
        <v>-352078</v>
      </c>
      <c r="BX17" s="141">
        <v>0</v>
      </c>
      <c r="BY17" s="141">
        <v>-352078</v>
      </c>
      <c r="BZ17" s="141">
        <v>-19757</v>
      </c>
      <c r="CA17" s="141">
        <v>0</v>
      </c>
      <c r="CB17" s="141">
        <v>-19757</v>
      </c>
      <c r="CC17" s="141">
        <v>-3732</v>
      </c>
      <c r="CD17" s="141">
        <v>0</v>
      </c>
      <c r="CE17" s="141">
        <v>-3732</v>
      </c>
      <c r="CF17" s="141">
        <v>0</v>
      </c>
      <c r="CG17" s="141">
        <v>0</v>
      </c>
      <c r="CH17" s="141">
        <v>0</v>
      </c>
      <c r="CI17" s="141">
        <v>0</v>
      </c>
      <c r="CJ17" s="141">
        <v>0</v>
      </c>
      <c r="CK17" s="141">
        <v>0</v>
      </c>
      <c r="CL17" s="141">
        <v>0</v>
      </c>
      <c r="CM17" s="141">
        <v>0</v>
      </c>
      <c r="CN17" s="141">
        <v>0</v>
      </c>
      <c r="CO17" s="141">
        <v>0</v>
      </c>
      <c r="CP17" s="141">
        <v>0</v>
      </c>
      <c r="CQ17" s="141">
        <v>-375567</v>
      </c>
      <c r="CR17" s="141">
        <v>0</v>
      </c>
      <c r="CS17" s="141">
        <v>0</v>
      </c>
      <c r="CT17" s="141">
        <v>0</v>
      </c>
      <c r="CU17" s="141">
        <v>-375567</v>
      </c>
      <c r="CV17" s="141">
        <v>0</v>
      </c>
      <c r="CW17" s="141">
        <v>-375567</v>
      </c>
      <c r="CX17" s="141">
        <v>0</v>
      </c>
      <c r="CY17" s="141">
        <v>0</v>
      </c>
      <c r="CZ17" s="141">
        <v>0</v>
      </c>
      <c r="DA17" s="141">
        <v>0</v>
      </c>
      <c r="DB17" s="141">
        <v>0</v>
      </c>
      <c r="DC17" s="141">
        <v>0</v>
      </c>
      <c r="DD17" s="141">
        <v>-144050</v>
      </c>
      <c r="DE17" s="141">
        <v>0</v>
      </c>
      <c r="DF17" s="141">
        <v>-144050</v>
      </c>
      <c r="DG17" s="141">
        <v>-276735</v>
      </c>
      <c r="DH17" s="141">
        <v>0</v>
      </c>
      <c r="DI17" s="141">
        <v>-276735</v>
      </c>
      <c r="DJ17" s="141">
        <v>0</v>
      </c>
      <c r="DK17" s="141">
        <v>0</v>
      </c>
      <c r="DL17" s="141">
        <v>0</v>
      </c>
      <c r="DM17" s="141">
        <v>-5847286</v>
      </c>
      <c r="DN17" s="141">
        <v>-40561</v>
      </c>
      <c r="DO17" s="141">
        <v>-5887847</v>
      </c>
      <c r="DP17" s="141">
        <v>-6268071</v>
      </c>
      <c r="DQ17" s="141">
        <v>-40561</v>
      </c>
      <c r="DR17" s="141">
        <v>0</v>
      </c>
      <c r="DS17" s="141">
        <v>0</v>
      </c>
      <c r="DT17" s="141">
        <v>-6268071</v>
      </c>
      <c r="DU17" s="141">
        <v>-40561</v>
      </c>
      <c r="DV17" s="141">
        <v>-6308632</v>
      </c>
      <c r="DW17" s="856">
        <v>95895821</v>
      </c>
      <c r="DX17" s="856">
        <v>19483435</v>
      </c>
      <c r="DY17" s="857">
        <v>115379256</v>
      </c>
      <c r="DZ17" t="s">
        <v>1583</v>
      </c>
    </row>
    <row r="18" spans="1:130" ht="12.75" x14ac:dyDescent="0.2">
      <c r="A18" s="764">
        <v>11</v>
      </c>
      <c r="B18" s="765" t="s">
        <v>700</v>
      </c>
      <c r="C18" s="766" t="s">
        <v>1224</v>
      </c>
      <c r="D18" s="767" t="s">
        <v>1225</v>
      </c>
      <c r="E18" s="768" t="s">
        <v>699</v>
      </c>
      <c r="F18" s="867">
        <v>43453</v>
      </c>
      <c r="G18" s="141">
        <v>137852240</v>
      </c>
      <c r="H18" s="141">
        <v>1859750</v>
      </c>
      <c r="I18" s="141">
        <v>139711990</v>
      </c>
      <c r="J18" s="141">
        <v>49.1</v>
      </c>
      <c r="K18" s="141">
        <v>67685450</v>
      </c>
      <c r="L18" s="141">
        <v>913137</v>
      </c>
      <c r="M18" s="141">
        <v>-326515</v>
      </c>
      <c r="N18" s="141">
        <v>0</v>
      </c>
      <c r="O18" s="141">
        <v>67358935</v>
      </c>
      <c r="P18" s="141">
        <v>913137</v>
      </c>
      <c r="Q18" s="141">
        <v>68272072</v>
      </c>
      <c r="R18" s="141">
        <v>-561434</v>
      </c>
      <c r="S18" s="141">
        <v>0</v>
      </c>
      <c r="T18" s="141">
        <v>-561434</v>
      </c>
      <c r="U18" s="141">
        <v>1761195</v>
      </c>
      <c r="V18" s="141">
        <v>0</v>
      </c>
      <c r="W18" s="141">
        <v>1761195</v>
      </c>
      <c r="X18" s="141">
        <v>1199761</v>
      </c>
      <c r="Y18" s="141">
        <v>0</v>
      </c>
      <c r="Z18" s="141">
        <v>0</v>
      </c>
      <c r="AA18" s="141">
        <v>0</v>
      </c>
      <c r="AB18" s="141">
        <v>1199761</v>
      </c>
      <c r="AC18" s="141">
        <v>0</v>
      </c>
      <c r="AD18" s="141">
        <v>1199761</v>
      </c>
      <c r="AE18" s="141">
        <v>-1199761</v>
      </c>
      <c r="AF18" s="141">
        <v>0</v>
      </c>
      <c r="AG18" s="141">
        <v>-1199761</v>
      </c>
      <c r="AH18" s="141">
        <v>-7332273</v>
      </c>
      <c r="AI18" s="141">
        <v>0</v>
      </c>
      <c r="AJ18" s="141">
        <v>-7332273</v>
      </c>
      <c r="AK18" s="141">
        <v>0</v>
      </c>
      <c r="AL18" s="141">
        <v>0</v>
      </c>
      <c r="AM18" s="141">
        <v>0</v>
      </c>
      <c r="AN18" s="141">
        <v>1191956</v>
      </c>
      <c r="AO18" s="141">
        <v>20677</v>
      </c>
      <c r="AP18" s="141">
        <v>1212633</v>
      </c>
      <c r="AQ18" s="141">
        <v>-6140317</v>
      </c>
      <c r="AR18" s="141">
        <v>20677</v>
      </c>
      <c r="AS18" s="141">
        <v>-6119640</v>
      </c>
      <c r="AT18" s="141">
        <v>-4661649</v>
      </c>
      <c r="AU18" s="141">
        <v>0</v>
      </c>
      <c r="AV18" s="141">
        <v>-4661649</v>
      </c>
      <c r="AW18" s="141">
        <v>-66135</v>
      </c>
      <c r="AX18" s="141">
        <v>0</v>
      </c>
      <c r="AY18" s="141">
        <v>-66135</v>
      </c>
      <c r="AZ18" s="141">
        <v>-3371</v>
      </c>
      <c r="BA18" s="141">
        <v>0</v>
      </c>
      <c r="BB18" s="141">
        <v>-3371</v>
      </c>
      <c r="BC18" s="141">
        <v>-10871472</v>
      </c>
      <c r="BD18" s="141">
        <v>20677</v>
      </c>
      <c r="BE18" s="141">
        <v>-1415802</v>
      </c>
      <c r="BF18" s="141">
        <v>0</v>
      </c>
      <c r="BG18" s="141">
        <v>-12287274</v>
      </c>
      <c r="BH18" s="141">
        <v>20677</v>
      </c>
      <c r="BI18" s="141">
        <v>-12266597</v>
      </c>
      <c r="BJ18" s="141">
        <v>-20981</v>
      </c>
      <c r="BK18" s="141">
        <v>0</v>
      </c>
      <c r="BL18" s="141">
        <v>-20981</v>
      </c>
      <c r="BM18" s="141">
        <v>-2288078</v>
      </c>
      <c r="BN18" s="141">
        <v>0</v>
      </c>
      <c r="BO18" s="141">
        <v>-2288078</v>
      </c>
      <c r="BP18" s="141">
        <v>-2309059</v>
      </c>
      <c r="BQ18" s="141">
        <v>0</v>
      </c>
      <c r="BR18" s="141">
        <v>-307538</v>
      </c>
      <c r="BS18" s="141">
        <v>0</v>
      </c>
      <c r="BT18" s="141">
        <v>-2616597</v>
      </c>
      <c r="BU18" s="141">
        <v>0</v>
      </c>
      <c r="BV18" s="141">
        <v>-2616597</v>
      </c>
      <c r="BW18" s="141">
        <v>-21234</v>
      </c>
      <c r="BX18" s="141">
        <v>0</v>
      </c>
      <c r="BY18" s="141">
        <v>-21234</v>
      </c>
      <c r="BZ18" s="141">
        <v>-9855</v>
      </c>
      <c r="CA18" s="141">
        <v>0</v>
      </c>
      <c r="CB18" s="141">
        <v>-9855</v>
      </c>
      <c r="CC18" s="141">
        <v>-710</v>
      </c>
      <c r="CD18" s="141">
        <v>0</v>
      </c>
      <c r="CE18" s="141">
        <v>-710</v>
      </c>
      <c r="CF18" s="141">
        <v>-4674</v>
      </c>
      <c r="CG18" s="141">
        <v>0</v>
      </c>
      <c r="CH18" s="141">
        <v>-4674</v>
      </c>
      <c r="CI18" s="141">
        <v>0</v>
      </c>
      <c r="CJ18" s="141">
        <v>0</v>
      </c>
      <c r="CK18" s="141">
        <v>0</v>
      </c>
      <c r="CL18" s="141">
        <v>-9942</v>
      </c>
      <c r="CM18" s="141">
        <v>-211874</v>
      </c>
      <c r="CN18" s="141">
        <v>-221816</v>
      </c>
      <c r="CO18" s="141">
        <v>-211874</v>
      </c>
      <c r="CP18" s="141">
        <v>0</v>
      </c>
      <c r="CQ18" s="141">
        <v>-46415</v>
      </c>
      <c r="CR18" s="141">
        <v>-211874</v>
      </c>
      <c r="CS18" s="141">
        <v>0</v>
      </c>
      <c r="CT18" s="141">
        <v>0</v>
      </c>
      <c r="CU18" s="141">
        <v>-46415</v>
      </c>
      <c r="CV18" s="141">
        <v>-211874</v>
      </c>
      <c r="CW18" s="141">
        <v>-258289</v>
      </c>
      <c r="CX18" s="141">
        <v>-2955</v>
      </c>
      <c r="CY18" s="141">
        <v>0</v>
      </c>
      <c r="CZ18" s="141">
        <v>-2955</v>
      </c>
      <c r="DA18" s="141">
        <v>-1500</v>
      </c>
      <c r="DB18" s="141">
        <v>0</v>
      </c>
      <c r="DC18" s="141">
        <v>-1500</v>
      </c>
      <c r="DD18" s="141">
        <v>-20998</v>
      </c>
      <c r="DE18" s="141">
        <v>0</v>
      </c>
      <c r="DF18" s="141">
        <v>-20998</v>
      </c>
      <c r="DG18" s="141">
        <v>-55267</v>
      </c>
      <c r="DH18" s="141">
        <v>0</v>
      </c>
      <c r="DI18" s="141">
        <v>-55267</v>
      </c>
      <c r="DJ18" s="141">
        <v>0</v>
      </c>
      <c r="DK18" s="141">
        <v>0</v>
      </c>
      <c r="DL18" s="141">
        <v>0</v>
      </c>
      <c r="DM18" s="141">
        <v>-1102675</v>
      </c>
      <c r="DN18" s="141">
        <v>0</v>
      </c>
      <c r="DO18" s="141">
        <v>-1102675</v>
      </c>
      <c r="DP18" s="141">
        <v>-1183395</v>
      </c>
      <c r="DQ18" s="141">
        <v>0</v>
      </c>
      <c r="DR18" s="141">
        <v>0</v>
      </c>
      <c r="DS18" s="141">
        <v>0</v>
      </c>
      <c r="DT18" s="141">
        <v>-1183395</v>
      </c>
      <c r="DU18" s="141">
        <v>0</v>
      </c>
      <c r="DV18" s="141">
        <v>-1183395</v>
      </c>
      <c r="DW18" s="856">
        <v>52425015</v>
      </c>
      <c r="DX18" s="856">
        <v>721940</v>
      </c>
      <c r="DY18" s="857">
        <v>53146955</v>
      </c>
      <c r="DZ18" t="s">
        <v>1584</v>
      </c>
    </row>
    <row r="19" spans="1:130" ht="12.75" x14ac:dyDescent="0.2">
      <c r="A19" s="764">
        <v>12</v>
      </c>
      <c r="B19" s="765" t="s">
        <v>702</v>
      </c>
      <c r="C19" s="766" t="s">
        <v>1217</v>
      </c>
      <c r="D19" s="767" t="s">
        <v>1219</v>
      </c>
      <c r="E19" s="768" t="s">
        <v>701</v>
      </c>
      <c r="F19" s="867">
        <v>43465</v>
      </c>
      <c r="G19" s="141">
        <v>53729829</v>
      </c>
      <c r="H19" s="141">
        <v>0</v>
      </c>
      <c r="I19" s="141">
        <v>53729829</v>
      </c>
      <c r="J19" s="141">
        <v>49.1</v>
      </c>
      <c r="K19" s="141">
        <v>26381346</v>
      </c>
      <c r="L19" s="141">
        <v>0</v>
      </c>
      <c r="M19" s="141">
        <v>0</v>
      </c>
      <c r="N19" s="141">
        <v>0</v>
      </c>
      <c r="O19" s="141">
        <v>26381346</v>
      </c>
      <c r="P19" s="141">
        <v>0</v>
      </c>
      <c r="Q19" s="141">
        <v>26381346</v>
      </c>
      <c r="R19" s="141">
        <v>-172056</v>
      </c>
      <c r="S19" s="141">
        <v>0</v>
      </c>
      <c r="T19" s="141">
        <v>-172056</v>
      </c>
      <c r="U19" s="141">
        <v>1577680</v>
      </c>
      <c r="V19" s="141">
        <v>0</v>
      </c>
      <c r="W19" s="141">
        <v>1577680</v>
      </c>
      <c r="X19" s="141">
        <v>1405624</v>
      </c>
      <c r="Y19" s="141">
        <v>0</v>
      </c>
      <c r="Z19" s="141">
        <v>0</v>
      </c>
      <c r="AA19" s="141">
        <v>0</v>
      </c>
      <c r="AB19" s="141">
        <v>1405624</v>
      </c>
      <c r="AC19" s="141">
        <v>0</v>
      </c>
      <c r="AD19" s="141">
        <v>1405624</v>
      </c>
      <c r="AE19" s="141">
        <v>-1405624</v>
      </c>
      <c r="AF19" s="141">
        <v>0</v>
      </c>
      <c r="AG19" s="141">
        <v>-1405624</v>
      </c>
      <c r="AH19" s="141">
        <v>-2162400</v>
      </c>
      <c r="AI19" s="141">
        <v>0</v>
      </c>
      <c r="AJ19" s="141">
        <v>-2162400</v>
      </c>
      <c r="AK19" s="141">
        <v>0</v>
      </c>
      <c r="AL19" s="141">
        <v>0</v>
      </c>
      <c r="AM19" s="141">
        <v>0</v>
      </c>
      <c r="AN19" s="141">
        <v>498543</v>
      </c>
      <c r="AO19" s="141">
        <v>0</v>
      </c>
      <c r="AP19" s="141">
        <v>498543</v>
      </c>
      <c r="AQ19" s="141">
        <v>-1663857</v>
      </c>
      <c r="AR19" s="141">
        <v>0</v>
      </c>
      <c r="AS19" s="141">
        <v>-1663857</v>
      </c>
      <c r="AT19" s="141">
        <v>-1867588</v>
      </c>
      <c r="AU19" s="141">
        <v>0</v>
      </c>
      <c r="AV19" s="141">
        <v>-1867588</v>
      </c>
      <c r="AW19" s="141">
        <v>-97311</v>
      </c>
      <c r="AX19" s="141">
        <v>0</v>
      </c>
      <c r="AY19" s="141">
        <v>-97311</v>
      </c>
      <c r="AZ19" s="141">
        <v>0</v>
      </c>
      <c r="BA19" s="141">
        <v>0</v>
      </c>
      <c r="BB19" s="141">
        <v>0</v>
      </c>
      <c r="BC19" s="141">
        <v>-3628756</v>
      </c>
      <c r="BD19" s="141">
        <v>0</v>
      </c>
      <c r="BE19" s="141">
        <v>0</v>
      </c>
      <c r="BF19" s="141">
        <v>0</v>
      </c>
      <c r="BG19" s="141">
        <v>-3628756</v>
      </c>
      <c r="BH19" s="141">
        <v>0</v>
      </c>
      <c r="BI19" s="141">
        <v>-3628756</v>
      </c>
      <c r="BJ19" s="141">
        <v>0</v>
      </c>
      <c r="BK19" s="141">
        <v>0</v>
      </c>
      <c r="BL19" s="141">
        <v>0</v>
      </c>
      <c r="BM19" s="141">
        <v>-507075</v>
      </c>
      <c r="BN19" s="141">
        <v>0</v>
      </c>
      <c r="BO19" s="141">
        <v>-507075</v>
      </c>
      <c r="BP19" s="141">
        <v>-507075</v>
      </c>
      <c r="BQ19" s="141">
        <v>0</v>
      </c>
      <c r="BR19" s="141">
        <v>0</v>
      </c>
      <c r="BS19" s="141">
        <v>0</v>
      </c>
      <c r="BT19" s="141">
        <v>-507075</v>
      </c>
      <c r="BU19" s="141">
        <v>0</v>
      </c>
      <c r="BV19" s="141">
        <v>-507075</v>
      </c>
      <c r="BW19" s="141">
        <v>0</v>
      </c>
      <c r="BX19" s="141">
        <v>0</v>
      </c>
      <c r="BY19" s="141">
        <v>0</v>
      </c>
      <c r="BZ19" s="141">
        <v>0</v>
      </c>
      <c r="CA19" s="141">
        <v>0</v>
      </c>
      <c r="CB19" s="141">
        <v>0</v>
      </c>
      <c r="CC19" s="141">
        <v>0</v>
      </c>
      <c r="CD19" s="141">
        <v>0</v>
      </c>
      <c r="CE19" s="141">
        <v>0</v>
      </c>
      <c r="CF19" s="141">
        <v>0</v>
      </c>
      <c r="CG19" s="141">
        <v>0</v>
      </c>
      <c r="CH19" s="141">
        <v>0</v>
      </c>
      <c r="CI19" s="141">
        <v>0</v>
      </c>
      <c r="CJ19" s="141">
        <v>0</v>
      </c>
      <c r="CK19" s="141">
        <v>0</v>
      </c>
      <c r="CL19" s="141">
        <v>0</v>
      </c>
      <c r="CM19" s="141">
        <v>0</v>
      </c>
      <c r="CN19" s="141">
        <v>0</v>
      </c>
      <c r="CO19" s="141">
        <v>0</v>
      </c>
      <c r="CP19" s="141">
        <v>0</v>
      </c>
      <c r="CQ19" s="141">
        <v>0</v>
      </c>
      <c r="CR19" s="141">
        <v>0</v>
      </c>
      <c r="CS19" s="141">
        <v>0</v>
      </c>
      <c r="CT19" s="141">
        <v>0</v>
      </c>
      <c r="CU19" s="141">
        <v>0</v>
      </c>
      <c r="CV19" s="141">
        <v>0</v>
      </c>
      <c r="CW19" s="141">
        <v>0</v>
      </c>
      <c r="CX19" s="141">
        <v>0</v>
      </c>
      <c r="CY19" s="141">
        <v>0</v>
      </c>
      <c r="CZ19" s="141">
        <v>0</v>
      </c>
      <c r="DA19" s="141">
        <v>-1500</v>
      </c>
      <c r="DB19" s="141">
        <v>0</v>
      </c>
      <c r="DC19" s="141">
        <v>-1500</v>
      </c>
      <c r="DD19" s="141">
        <v>-3801</v>
      </c>
      <c r="DE19" s="141">
        <v>0</v>
      </c>
      <c r="DF19" s="141">
        <v>-3801</v>
      </c>
      <c r="DG19" s="141">
        <v>-10856</v>
      </c>
      <c r="DH19" s="141">
        <v>0</v>
      </c>
      <c r="DI19" s="141">
        <v>-10856</v>
      </c>
      <c r="DJ19" s="141">
        <v>0</v>
      </c>
      <c r="DK19" s="141">
        <v>0</v>
      </c>
      <c r="DL19" s="141">
        <v>0</v>
      </c>
      <c r="DM19" s="141">
        <v>-500000</v>
      </c>
      <c r="DN19" s="141">
        <v>0</v>
      </c>
      <c r="DO19" s="141">
        <v>-500000</v>
      </c>
      <c r="DP19" s="141">
        <v>-516157</v>
      </c>
      <c r="DQ19" s="141">
        <v>0</v>
      </c>
      <c r="DR19" s="141">
        <v>0</v>
      </c>
      <c r="DS19" s="141">
        <v>0</v>
      </c>
      <c r="DT19" s="141">
        <v>-516157</v>
      </c>
      <c r="DU19" s="141">
        <v>0</v>
      </c>
      <c r="DV19" s="141">
        <v>-516157</v>
      </c>
      <c r="DW19" s="856">
        <v>23134982</v>
      </c>
      <c r="DX19" s="856">
        <v>0</v>
      </c>
      <c r="DY19" s="857">
        <v>23134982</v>
      </c>
      <c r="DZ19" t="s">
        <v>1585</v>
      </c>
    </row>
    <row r="20" spans="1:130" ht="12.75" x14ac:dyDescent="0.2">
      <c r="A20" s="764">
        <v>13</v>
      </c>
      <c r="B20" s="765" t="s">
        <v>704</v>
      </c>
      <c r="C20" s="766" t="s">
        <v>1217</v>
      </c>
      <c r="D20" s="767" t="s">
        <v>1221</v>
      </c>
      <c r="E20" s="768" t="s">
        <v>703</v>
      </c>
      <c r="F20" s="867">
        <v>43493</v>
      </c>
      <c r="G20" s="141">
        <v>193688889</v>
      </c>
      <c r="H20" s="141">
        <v>0</v>
      </c>
      <c r="I20" s="141">
        <v>193688889</v>
      </c>
      <c r="J20" s="141">
        <v>49.1</v>
      </c>
      <c r="K20" s="141">
        <v>95101244</v>
      </c>
      <c r="L20" s="141">
        <v>0</v>
      </c>
      <c r="M20" s="141">
        <v>-186543</v>
      </c>
      <c r="N20" s="141">
        <v>0</v>
      </c>
      <c r="O20" s="141">
        <v>94914701</v>
      </c>
      <c r="P20" s="141">
        <v>0</v>
      </c>
      <c r="Q20" s="141">
        <v>94914701</v>
      </c>
      <c r="R20" s="141">
        <v>-871243</v>
      </c>
      <c r="S20" s="141">
        <v>0</v>
      </c>
      <c r="T20" s="141">
        <v>-871243</v>
      </c>
      <c r="U20" s="141">
        <v>1277529</v>
      </c>
      <c r="V20" s="141">
        <v>0</v>
      </c>
      <c r="W20" s="141">
        <v>1277529</v>
      </c>
      <c r="X20" s="141">
        <v>406286</v>
      </c>
      <c r="Y20" s="141">
        <v>0</v>
      </c>
      <c r="Z20" s="141">
        <v>0</v>
      </c>
      <c r="AA20" s="141">
        <v>0</v>
      </c>
      <c r="AB20" s="141">
        <v>406286</v>
      </c>
      <c r="AC20" s="141">
        <v>0</v>
      </c>
      <c r="AD20" s="141">
        <v>406286</v>
      </c>
      <c r="AE20" s="141">
        <v>-406286</v>
      </c>
      <c r="AF20" s="141">
        <v>0</v>
      </c>
      <c r="AG20" s="141">
        <v>-406286</v>
      </c>
      <c r="AH20" s="141">
        <v>-5149251</v>
      </c>
      <c r="AI20" s="141">
        <v>0</v>
      </c>
      <c r="AJ20" s="141">
        <v>-5149251</v>
      </c>
      <c r="AK20" s="141">
        <v>0</v>
      </c>
      <c r="AL20" s="141">
        <v>0</v>
      </c>
      <c r="AM20" s="141">
        <v>0</v>
      </c>
      <c r="AN20" s="141">
        <v>1870953</v>
      </c>
      <c r="AO20" s="141">
        <v>0</v>
      </c>
      <c r="AP20" s="141">
        <v>1870953</v>
      </c>
      <c r="AQ20" s="141">
        <v>-3278298</v>
      </c>
      <c r="AR20" s="141">
        <v>0</v>
      </c>
      <c r="AS20" s="141">
        <v>-3278298</v>
      </c>
      <c r="AT20" s="141">
        <v>-4158121</v>
      </c>
      <c r="AU20" s="141">
        <v>0</v>
      </c>
      <c r="AV20" s="141">
        <v>-4158121</v>
      </c>
      <c r="AW20" s="141">
        <v>-64994</v>
      </c>
      <c r="AX20" s="141">
        <v>0</v>
      </c>
      <c r="AY20" s="141">
        <v>-64994</v>
      </c>
      <c r="AZ20" s="141">
        <v>-1688</v>
      </c>
      <c r="BA20" s="141">
        <v>0</v>
      </c>
      <c r="BB20" s="141">
        <v>-1688</v>
      </c>
      <c r="BC20" s="141">
        <v>-7503101</v>
      </c>
      <c r="BD20" s="141">
        <v>0</v>
      </c>
      <c r="BE20" s="141">
        <v>2160</v>
      </c>
      <c r="BF20" s="141">
        <v>0</v>
      </c>
      <c r="BG20" s="141">
        <v>-7500941</v>
      </c>
      <c r="BH20" s="141">
        <v>0</v>
      </c>
      <c r="BI20" s="141">
        <v>-7500941</v>
      </c>
      <c r="BJ20" s="141">
        <v>-11823</v>
      </c>
      <c r="BK20" s="141">
        <v>0</v>
      </c>
      <c r="BL20" s="141">
        <v>-11823</v>
      </c>
      <c r="BM20" s="141">
        <v>-1341049</v>
      </c>
      <c r="BN20" s="141">
        <v>0</v>
      </c>
      <c r="BO20" s="141">
        <v>-1341049</v>
      </c>
      <c r="BP20" s="141">
        <v>-1352872</v>
      </c>
      <c r="BQ20" s="141">
        <v>0</v>
      </c>
      <c r="BR20" s="141">
        <v>-684500</v>
      </c>
      <c r="BS20" s="141">
        <v>0</v>
      </c>
      <c r="BT20" s="141">
        <v>-2037372</v>
      </c>
      <c r="BU20" s="141">
        <v>0</v>
      </c>
      <c r="BV20" s="141">
        <v>-2037372</v>
      </c>
      <c r="BW20" s="141">
        <v>-292</v>
      </c>
      <c r="BX20" s="141">
        <v>0</v>
      </c>
      <c r="BY20" s="141">
        <v>-292</v>
      </c>
      <c r="BZ20" s="141">
        <v>-19814</v>
      </c>
      <c r="CA20" s="141">
        <v>0</v>
      </c>
      <c r="CB20" s="141">
        <v>-19814</v>
      </c>
      <c r="CC20" s="141">
        <v>0</v>
      </c>
      <c r="CD20" s="141">
        <v>0</v>
      </c>
      <c r="CE20" s="141">
        <v>0</v>
      </c>
      <c r="CF20" s="141">
        <v>0</v>
      </c>
      <c r="CG20" s="141">
        <v>0</v>
      </c>
      <c r="CH20" s="141">
        <v>0</v>
      </c>
      <c r="CI20" s="141">
        <v>0</v>
      </c>
      <c r="CJ20" s="141">
        <v>0</v>
      </c>
      <c r="CK20" s="141">
        <v>0</v>
      </c>
      <c r="CL20" s="141">
        <v>0</v>
      </c>
      <c r="CM20" s="141">
        <v>0</v>
      </c>
      <c r="CN20" s="141">
        <v>0</v>
      </c>
      <c r="CO20" s="141">
        <v>0</v>
      </c>
      <c r="CP20" s="141">
        <v>0</v>
      </c>
      <c r="CQ20" s="141">
        <v>-20106</v>
      </c>
      <c r="CR20" s="141">
        <v>0</v>
      </c>
      <c r="CS20" s="141">
        <v>-50000</v>
      </c>
      <c r="CT20" s="141">
        <v>0</v>
      </c>
      <c r="CU20" s="141">
        <v>-70106</v>
      </c>
      <c r="CV20" s="141">
        <v>0</v>
      </c>
      <c r="CW20" s="141">
        <v>-70106</v>
      </c>
      <c r="CX20" s="141">
        <v>-1688</v>
      </c>
      <c r="CY20" s="141">
        <v>0</v>
      </c>
      <c r="CZ20" s="141">
        <v>-1688</v>
      </c>
      <c r="DA20" s="141">
        <v>-1500</v>
      </c>
      <c r="DB20" s="141">
        <v>0</v>
      </c>
      <c r="DC20" s="141">
        <v>-1500</v>
      </c>
      <c r="DD20" s="141">
        <v>-20945</v>
      </c>
      <c r="DE20" s="141">
        <v>0</v>
      </c>
      <c r="DF20" s="141">
        <v>-20945</v>
      </c>
      <c r="DG20" s="141">
        <v>-52163</v>
      </c>
      <c r="DH20" s="141">
        <v>0</v>
      </c>
      <c r="DI20" s="141">
        <v>-52163</v>
      </c>
      <c r="DJ20" s="141">
        <v>0</v>
      </c>
      <c r="DK20" s="141">
        <v>0</v>
      </c>
      <c r="DL20" s="141">
        <v>0</v>
      </c>
      <c r="DM20" s="141">
        <v>-1171711</v>
      </c>
      <c r="DN20" s="141">
        <v>0</v>
      </c>
      <c r="DO20" s="141">
        <v>-1171711</v>
      </c>
      <c r="DP20" s="141">
        <v>-1248007</v>
      </c>
      <c r="DQ20" s="141">
        <v>0</v>
      </c>
      <c r="DR20" s="141">
        <v>0</v>
      </c>
      <c r="DS20" s="141">
        <v>0</v>
      </c>
      <c r="DT20" s="141">
        <v>-1248007</v>
      </c>
      <c r="DU20" s="141">
        <v>0</v>
      </c>
      <c r="DV20" s="141">
        <v>-1248007</v>
      </c>
      <c r="DW20" s="856">
        <v>84464561</v>
      </c>
      <c r="DX20" s="856">
        <v>0</v>
      </c>
      <c r="DY20" s="857">
        <v>84464561</v>
      </c>
      <c r="DZ20" t="s">
        <v>1586</v>
      </c>
    </row>
    <row r="21" spans="1:130" ht="12.75" x14ac:dyDescent="0.2">
      <c r="A21" s="764">
        <v>14</v>
      </c>
      <c r="B21" s="765" t="s">
        <v>706</v>
      </c>
      <c r="C21" s="766" t="s">
        <v>1217</v>
      </c>
      <c r="D21" s="767" t="s">
        <v>1218</v>
      </c>
      <c r="E21" s="768" t="s">
        <v>903</v>
      </c>
      <c r="F21" s="867">
        <v>43475</v>
      </c>
      <c r="G21" s="141">
        <v>176563437</v>
      </c>
      <c r="H21" s="141">
        <v>4939065</v>
      </c>
      <c r="I21" s="141">
        <v>181502502</v>
      </c>
      <c r="J21" s="141">
        <v>49.1</v>
      </c>
      <c r="K21" s="141">
        <v>86692648</v>
      </c>
      <c r="L21" s="141">
        <v>2425081</v>
      </c>
      <c r="M21" s="141">
        <v>660000</v>
      </c>
      <c r="N21" s="141">
        <v>230000</v>
      </c>
      <c r="O21" s="141">
        <v>87352648</v>
      </c>
      <c r="P21" s="141">
        <v>2655081</v>
      </c>
      <c r="Q21" s="141">
        <v>90007729</v>
      </c>
      <c r="R21" s="141">
        <v>-590951</v>
      </c>
      <c r="S21" s="141">
        <v>-18656</v>
      </c>
      <c r="T21" s="141">
        <v>-609607</v>
      </c>
      <c r="U21" s="141">
        <v>2123247</v>
      </c>
      <c r="V21" s="141">
        <v>0</v>
      </c>
      <c r="W21" s="141">
        <v>2123247</v>
      </c>
      <c r="X21" s="141">
        <v>1532296</v>
      </c>
      <c r="Y21" s="141">
        <v>-18656</v>
      </c>
      <c r="Z21" s="141">
        <v>0</v>
      </c>
      <c r="AA21" s="141">
        <v>0</v>
      </c>
      <c r="AB21" s="141">
        <v>1532296</v>
      </c>
      <c r="AC21" s="141">
        <v>-18656</v>
      </c>
      <c r="AD21" s="141">
        <v>1513640</v>
      </c>
      <c r="AE21" s="141">
        <v>-1532296</v>
      </c>
      <c r="AF21" s="141">
        <v>18656</v>
      </c>
      <c r="AG21" s="141">
        <v>-1513640</v>
      </c>
      <c r="AH21" s="141">
        <v>-2914012</v>
      </c>
      <c r="AI21" s="141">
        <v>-41082</v>
      </c>
      <c r="AJ21" s="141">
        <v>-2955094</v>
      </c>
      <c r="AK21" s="141">
        <v>-74000</v>
      </c>
      <c r="AL21" s="141">
        <v>0</v>
      </c>
      <c r="AM21" s="141">
        <v>-74000</v>
      </c>
      <c r="AN21" s="141">
        <v>1798150</v>
      </c>
      <c r="AO21" s="141">
        <v>49178</v>
      </c>
      <c r="AP21" s="141">
        <v>1847328</v>
      </c>
      <c r="AQ21" s="141">
        <v>-1115862</v>
      </c>
      <c r="AR21" s="141">
        <v>8096</v>
      </c>
      <c r="AS21" s="141">
        <v>-1107766</v>
      </c>
      <c r="AT21" s="141">
        <v>-4048613</v>
      </c>
      <c r="AU21" s="141">
        <v>-28738</v>
      </c>
      <c r="AV21" s="141">
        <v>-4077351</v>
      </c>
      <c r="AW21" s="141">
        <v>-11471</v>
      </c>
      <c r="AX21" s="141">
        <v>0</v>
      </c>
      <c r="AY21" s="141">
        <v>-11471</v>
      </c>
      <c r="AZ21" s="141">
        <v>-24988</v>
      </c>
      <c r="BA21" s="141">
        <v>0</v>
      </c>
      <c r="BB21" s="141">
        <v>-24988</v>
      </c>
      <c r="BC21" s="141">
        <v>-5200934</v>
      </c>
      <c r="BD21" s="141">
        <v>-20642</v>
      </c>
      <c r="BE21" s="141">
        <v>-500000</v>
      </c>
      <c r="BF21" s="141">
        <v>-25000</v>
      </c>
      <c r="BG21" s="141">
        <v>-5700934</v>
      </c>
      <c r="BH21" s="141">
        <v>-45642</v>
      </c>
      <c r="BI21" s="141">
        <v>-5746576</v>
      </c>
      <c r="BJ21" s="141">
        <v>-550000</v>
      </c>
      <c r="BK21" s="141">
        <v>-50000</v>
      </c>
      <c r="BL21" s="141">
        <v>-600000</v>
      </c>
      <c r="BM21" s="141">
        <v>-1821043</v>
      </c>
      <c r="BN21" s="141">
        <v>-507173</v>
      </c>
      <c r="BO21" s="141">
        <v>-2328216</v>
      </c>
      <c r="BP21" s="141">
        <v>-2371043</v>
      </c>
      <c r="BQ21" s="141">
        <v>-557173</v>
      </c>
      <c r="BR21" s="141">
        <v>-2000000</v>
      </c>
      <c r="BS21" s="141">
        <v>-100000</v>
      </c>
      <c r="BT21" s="141">
        <v>-4371043</v>
      </c>
      <c r="BU21" s="141">
        <v>-657173</v>
      </c>
      <c r="BV21" s="141">
        <v>-5028216</v>
      </c>
      <c r="BW21" s="141">
        <v>-547472</v>
      </c>
      <c r="BX21" s="141">
        <v>-7185</v>
      </c>
      <c r="BY21" s="141">
        <v>-554657</v>
      </c>
      <c r="BZ21" s="141">
        <v>-144893</v>
      </c>
      <c r="CA21" s="141">
        <v>0</v>
      </c>
      <c r="CB21" s="141">
        <v>-144893</v>
      </c>
      <c r="CC21" s="141">
        <v>-2868</v>
      </c>
      <c r="CD21" s="141">
        <v>0</v>
      </c>
      <c r="CE21" s="141">
        <v>-2868</v>
      </c>
      <c r="CF21" s="141">
        <v>-57221</v>
      </c>
      <c r="CG21" s="141">
        <v>0</v>
      </c>
      <c r="CH21" s="141">
        <v>-57221</v>
      </c>
      <c r="CI21" s="141">
        <v>0</v>
      </c>
      <c r="CJ21" s="141">
        <v>0</v>
      </c>
      <c r="CK21" s="141">
        <v>0</v>
      </c>
      <c r="CL21" s="141">
        <v>0</v>
      </c>
      <c r="CM21" s="141">
        <v>-500000</v>
      </c>
      <c r="CN21" s="141">
        <v>-500000</v>
      </c>
      <c r="CO21" s="141">
        <v>-500000</v>
      </c>
      <c r="CP21" s="141">
        <v>0</v>
      </c>
      <c r="CQ21" s="141">
        <v>-752454</v>
      </c>
      <c r="CR21" s="141">
        <v>-507185</v>
      </c>
      <c r="CS21" s="141">
        <v>-50000</v>
      </c>
      <c r="CT21" s="141">
        <v>0</v>
      </c>
      <c r="CU21" s="141">
        <v>-802454</v>
      </c>
      <c r="CV21" s="141">
        <v>-507185</v>
      </c>
      <c r="CW21" s="141">
        <v>-1309639</v>
      </c>
      <c r="CX21" s="141">
        <v>-24988</v>
      </c>
      <c r="CY21" s="141">
        <v>0</v>
      </c>
      <c r="CZ21" s="141">
        <v>-24988</v>
      </c>
      <c r="DA21" s="141">
        <v>-1500</v>
      </c>
      <c r="DB21" s="141">
        <v>0</v>
      </c>
      <c r="DC21" s="141">
        <v>-1500</v>
      </c>
      <c r="DD21" s="141">
        <v>-25644</v>
      </c>
      <c r="DE21" s="141">
        <v>-37</v>
      </c>
      <c r="DF21" s="141">
        <v>-25681</v>
      </c>
      <c r="DG21" s="141">
        <v>-97500</v>
      </c>
      <c r="DH21" s="141">
        <v>-1500</v>
      </c>
      <c r="DI21" s="141">
        <v>-99000</v>
      </c>
      <c r="DJ21" s="141">
        <v>-327000</v>
      </c>
      <c r="DK21" s="141">
        <v>-7000</v>
      </c>
      <c r="DL21" s="141">
        <v>-334000</v>
      </c>
      <c r="DM21" s="141">
        <v>-1500000</v>
      </c>
      <c r="DN21" s="141">
        <v>0</v>
      </c>
      <c r="DO21" s="141">
        <v>-1500000</v>
      </c>
      <c r="DP21" s="141">
        <v>-1976632</v>
      </c>
      <c r="DQ21" s="141">
        <v>-8537</v>
      </c>
      <c r="DR21" s="141">
        <v>0</v>
      </c>
      <c r="DS21" s="141">
        <v>0</v>
      </c>
      <c r="DT21" s="141">
        <v>-1976632</v>
      </c>
      <c r="DU21" s="141">
        <v>-8537</v>
      </c>
      <c r="DV21" s="141">
        <v>-1985169</v>
      </c>
      <c r="DW21" s="856">
        <v>76033881</v>
      </c>
      <c r="DX21" s="856">
        <v>1417888</v>
      </c>
      <c r="DY21" s="857">
        <v>77451769</v>
      </c>
      <c r="DZ21" t="s">
        <v>1587</v>
      </c>
    </row>
    <row r="22" spans="1:130" ht="12.75" x14ac:dyDescent="0.2">
      <c r="A22" s="764">
        <v>15</v>
      </c>
      <c r="B22" s="765" t="s">
        <v>708</v>
      </c>
      <c r="C22" s="766" t="s">
        <v>1217</v>
      </c>
      <c r="D22" s="767" t="s">
        <v>1220</v>
      </c>
      <c r="E22" s="768" t="s">
        <v>707</v>
      </c>
      <c r="F22" s="867">
        <v>43465</v>
      </c>
      <c r="G22" s="141">
        <v>112471666</v>
      </c>
      <c r="H22" s="141">
        <v>0</v>
      </c>
      <c r="I22" s="141">
        <v>112471666</v>
      </c>
      <c r="J22" s="141">
        <v>49.1</v>
      </c>
      <c r="K22" s="141">
        <v>55223588</v>
      </c>
      <c r="L22" s="141">
        <v>0</v>
      </c>
      <c r="M22" s="141">
        <v>0</v>
      </c>
      <c r="N22" s="141">
        <v>0</v>
      </c>
      <c r="O22" s="141">
        <v>55223588</v>
      </c>
      <c r="P22" s="141">
        <v>0</v>
      </c>
      <c r="Q22" s="141">
        <v>55223588</v>
      </c>
      <c r="R22" s="141">
        <v>-600411</v>
      </c>
      <c r="S22" s="141">
        <v>0</v>
      </c>
      <c r="T22" s="141">
        <v>-600411</v>
      </c>
      <c r="U22" s="141">
        <v>6970045</v>
      </c>
      <c r="V22" s="141">
        <v>0</v>
      </c>
      <c r="W22" s="141">
        <v>6970045</v>
      </c>
      <c r="X22" s="141">
        <v>6369634</v>
      </c>
      <c r="Y22" s="141">
        <v>0</v>
      </c>
      <c r="Z22" s="141">
        <v>0</v>
      </c>
      <c r="AA22" s="141">
        <v>0</v>
      </c>
      <c r="AB22" s="141">
        <v>6369634</v>
      </c>
      <c r="AC22" s="141">
        <v>0</v>
      </c>
      <c r="AD22" s="141">
        <v>6369634</v>
      </c>
      <c r="AE22" s="141">
        <v>-6369634</v>
      </c>
      <c r="AF22" s="141">
        <v>0</v>
      </c>
      <c r="AG22" s="141">
        <v>-6369634</v>
      </c>
      <c r="AH22" s="141">
        <v>-4303361</v>
      </c>
      <c r="AI22" s="141">
        <v>0</v>
      </c>
      <c r="AJ22" s="141">
        <v>-4303361</v>
      </c>
      <c r="AK22" s="141">
        <v>-7316</v>
      </c>
      <c r="AL22" s="141">
        <v>0</v>
      </c>
      <c r="AM22" s="141">
        <v>-7316</v>
      </c>
      <c r="AN22" s="141">
        <v>1060284</v>
      </c>
      <c r="AO22" s="141">
        <v>0</v>
      </c>
      <c r="AP22" s="141">
        <v>1060284</v>
      </c>
      <c r="AQ22" s="141">
        <v>-3243077</v>
      </c>
      <c r="AR22" s="141">
        <v>0</v>
      </c>
      <c r="AS22" s="141">
        <v>-3243077</v>
      </c>
      <c r="AT22" s="141">
        <v>-3224240</v>
      </c>
      <c r="AU22" s="141">
        <v>0</v>
      </c>
      <c r="AV22" s="141">
        <v>-3224240</v>
      </c>
      <c r="AW22" s="141">
        <v>-35874</v>
      </c>
      <c r="AX22" s="141">
        <v>0</v>
      </c>
      <c r="AY22" s="141">
        <v>-35874</v>
      </c>
      <c r="AZ22" s="141">
        <v>-33789</v>
      </c>
      <c r="BA22" s="141">
        <v>0</v>
      </c>
      <c r="BB22" s="141">
        <v>-33789</v>
      </c>
      <c r="BC22" s="141">
        <v>-6536980</v>
      </c>
      <c r="BD22" s="141">
        <v>0</v>
      </c>
      <c r="BE22" s="141">
        <v>-100000</v>
      </c>
      <c r="BF22" s="141">
        <v>0</v>
      </c>
      <c r="BG22" s="141">
        <v>-6636980</v>
      </c>
      <c r="BH22" s="141">
        <v>0</v>
      </c>
      <c r="BI22" s="141">
        <v>-6636980</v>
      </c>
      <c r="BJ22" s="141">
        <v>-200900</v>
      </c>
      <c r="BK22" s="141">
        <v>0</v>
      </c>
      <c r="BL22" s="141">
        <v>-200900</v>
      </c>
      <c r="BM22" s="141">
        <v>-912232</v>
      </c>
      <c r="BN22" s="141">
        <v>0</v>
      </c>
      <c r="BO22" s="141">
        <v>-912232</v>
      </c>
      <c r="BP22" s="141">
        <v>-1113132</v>
      </c>
      <c r="BQ22" s="141">
        <v>0</v>
      </c>
      <c r="BR22" s="141">
        <v>-500000</v>
      </c>
      <c r="BS22" s="141">
        <v>0</v>
      </c>
      <c r="BT22" s="141">
        <v>-1613132</v>
      </c>
      <c r="BU22" s="141">
        <v>0</v>
      </c>
      <c r="BV22" s="141">
        <v>-1613132</v>
      </c>
      <c r="BW22" s="141">
        <v>-95000</v>
      </c>
      <c r="BX22" s="141">
        <v>0</v>
      </c>
      <c r="BY22" s="141">
        <v>-95000</v>
      </c>
      <c r="BZ22" s="141">
        <v>-32000</v>
      </c>
      <c r="CA22" s="141">
        <v>0</v>
      </c>
      <c r="CB22" s="141">
        <v>-32000</v>
      </c>
      <c r="CC22" s="141">
        <v>-2608</v>
      </c>
      <c r="CD22" s="141">
        <v>0</v>
      </c>
      <c r="CE22" s="141">
        <v>-2608</v>
      </c>
      <c r="CF22" s="141">
        <v>0</v>
      </c>
      <c r="CG22" s="141">
        <v>0</v>
      </c>
      <c r="CH22" s="141">
        <v>0</v>
      </c>
      <c r="CI22" s="141">
        <v>-2762</v>
      </c>
      <c r="CJ22" s="141">
        <v>0</v>
      </c>
      <c r="CK22" s="141">
        <v>-2762</v>
      </c>
      <c r="CL22" s="141">
        <v>0</v>
      </c>
      <c r="CM22" s="141">
        <v>0</v>
      </c>
      <c r="CN22" s="141">
        <v>0</v>
      </c>
      <c r="CO22" s="141">
        <v>0</v>
      </c>
      <c r="CP22" s="141">
        <v>0</v>
      </c>
      <c r="CQ22" s="141">
        <v>-132370</v>
      </c>
      <c r="CR22" s="141">
        <v>0</v>
      </c>
      <c r="CS22" s="141">
        <v>-88000</v>
      </c>
      <c r="CT22" s="141">
        <v>0</v>
      </c>
      <c r="CU22" s="141">
        <v>-220370</v>
      </c>
      <c r="CV22" s="141">
        <v>0</v>
      </c>
      <c r="CW22" s="141">
        <v>-220370</v>
      </c>
      <c r="CX22" s="141">
        <v>-33789</v>
      </c>
      <c r="CY22" s="141">
        <v>0</v>
      </c>
      <c r="CZ22" s="141">
        <v>-33789</v>
      </c>
      <c r="DA22" s="141">
        <v>0</v>
      </c>
      <c r="DB22" s="141">
        <v>0</v>
      </c>
      <c r="DC22" s="141">
        <v>0</v>
      </c>
      <c r="DD22" s="141">
        <v>-39059</v>
      </c>
      <c r="DE22" s="141">
        <v>0</v>
      </c>
      <c r="DF22" s="141">
        <v>-39059</v>
      </c>
      <c r="DG22" s="141">
        <v>-56000</v>
      </c>
      <c r="DH22" s="141">
        <v>0</v>
      </c>
      <c r="DI22" s="141">
        <v>-56000</v>
      </c>
      <c r="DJ22" s="141">
        <v>0</v>
      </c>
      <c r="DK22" s="141">
        <v>0</v>
      </c>
      <c r="DL22" s="141">
        <v>0</v>
      </c>
      <c r="DM22" s="141">
        <v>-900000</v>
      </c>
      <c r="DN22" s="141">
        <v>0</v>
      </c>
      <c r="DO22" s="141">
        <v>-900000</v>
      </c>
      <c r="DP22" s="141">
        <v>-1028848</v>
      </c>
      <c r="DQ22" s="141">
        <v>0</v>
      </c>
      <c r="DR22" s="141">
        <v>0</v>
      </c>
      <c r="DS22" s="141">
        <v>0</v>
      </c>
      <c r="DT22" s="141">
        <v>-1028848</v>
      </c>
      <c r="DU22" s="141">
        <v>0</v>
      </c>
      <c r="DV22" s="141">
        <v>-1028848</v>
      </c>
      <c r="DW22" s="856">
        <v>52093892</v>
      </c>
      <c r="DX22" s="856">
        <v>0</v>
      </c>
      <c r="DY22" s="857">
        <v>52093892</v>
      </c>
      <c r="DZ22" t="s">
        <v>1588</v>
      </c>
    </row>
    <row r="23" spans="1:130" ht="12.75" x14ac:dyDescent="0.2">
      <c r="A23" s="764">
        <v>16</v>
      </c>
      <c r="B23" s="765" t="s">
        <v>710</v>
      </c>
      <c r="C23" s="766" t="s">
        <v>529</v>
      </c>
      <c r="D23" s="767" t="s">
        <v>1226</v>
      </c>
      <c r="E23" s="768" t="s">
        <v>904</v>
      </c>
      <c r="F23" s="867">
        <v>43465</v>
      </c>
      <c r="G23" s="141">
        <v>169732823</v>
      </c>
      <c r="H23" s="141">
        <v>13988385</v>
      </c>
      <c r="I23" s="141">
        <v>183721208</v>
      </c>
      <c r="J23" s="141">
        <v>49.1</v>
      </c>
      <c r="K23" s="141">
        <v>83338816</v>
      </c>
      <c r="L23" s="141">
        <v>6868297</v>
      </c>
      <c r="M23" s="141">
        <v>262975</v>
      </c>
      <c r="N23" s="141">
        <v>28246</v>
      </c>
      <c r="O23" s="141">
        <v>83601791</v>
      </c>
      <c r="P23" s="141">
        <v>6896543</v>
      </c>
      <c r="Q23" s="141">
        <v>90498334</v>
      </c>
      <c r="R23" s="141">
        <v>-571397</v>
      </c>
      <c r="S23" s="141">
        <v>-26295</v>
      </c>
      <c r="T23" s="141">
        <v>-597692</v>
      </c>
      <c r="U23" s="141">
        <v>848665</v>
      </c>
      <c r="V23" s="141">
        <v>0</v>
      </c>
      <c r="W23" s="141">
        <v>848665</v>
      </c>
      <c r="X23" s="141">
        <v>277268</v>
      </c>
      <c r="Y23" s="141">
        <v>-26295</v>
      </c>
      <c r="Z23" s="141">
        <v>0</v>
      </c>
      <c r="AA23" s="141">
        <v>0</v>
      </c>
      <c r="AB23" s="141">
        <v>277268</v>
      </c>
      <c r="AC23" s="141">
        <v>-26295</v>
      </c>
      <c r="AD23" s="141">
        <v>250973</v>
      </c>
      <c r="AE23" s="141">
        <v>-277268</v>
      </c>
      <c r="AF23" s="141">
        <v>26295</v>
      </c>
      <c r="AG23" s="141">
        <v>-250973</v>
      </c>
      <c r="AH23" s="141">
        <v>-6630446</v>
      </c>
      <c r="AI23" s="141">
        <v>-124936</v>
      </c>
      <c r="AJ23" s="141">
        <v>-6755382</v>
      </c>
      <c r="AK23" s="141">
        <v>-3486</v>
      </c>
      <c r="AL23" s="141">
        <v>0</v>
      </c>
      <c r="AM23" s="141">
        <v>-3486</v>
      </c>
      <c r="AN23" s="141">
        <v>1532085</v>
      </c>
      <c r="AO23" s="141">
        <v>158947</v>
      </c>
      <c r="AP23" s="141">
        <v>1691032</v>
      </c>
      <c r="AQ23" s="141">
        <v>-5098361</v>
      </c>
      <c r="AR23" s="141">
        <v>34011</v>
      </c>
      <c r="AS23" s="141">
        <v>-5064350</v>
      </c>
      <c r="AT23" s="141">
        <v>-9191193</v>
      </c>
      <c r="AU23" s="141">
        <v>-346228</v>
      </c>
      <c r="AV23" s="141">
        <v>-9537421</v>
      </c>
      <c r="AW23" s="141">
        <v>-167668</v>
      </c>
      <c r="AX23" s="141">
        <v>0</v>
      </c>
      <c r="AY23" s="141">
        <v>-167668</v>
      </c>
      <c r="AZ23" s="141">
        <v>-19896</v>
      </c>
      <c r="BA23" s="141">
        <v>0</v>
      </c>
      <c r="BB23" s="141">
        <v>-19896</v>
      </c>
      <c r="BC23" s="141">
        <v>-14477118</v>
      </c>
      <c r="BD23" s="141">
        <v>-312217</v>
      </c>
      <c r="BE23" s="141">
        <v>0</v>
      </c>
      <c r="BF23" s="141">
        <v>0</v>
      </c>
      <c r="BG23" s="141">
        <v>-14477118</v>
      </c>
      <c r="BH23" s="141">
        <v>-312217</v>
      </c>
      <c r="BI23" s="141">
        <v>-14789335</v>
      </c>
      <c r="BJ23" s="141">
        <v>0</v>
      </c>
      <c r="BK23" s="141">
        <v>0</v>
      </c>
      <c r="BL23" s="141">
        <v>0</v>
      </c>
      <c r="BM23" s="141">
        <v>-2997323</v>
      </c>
      <c r="BN23" s="141">
        <v>-207088</v>
      </c>
      <c r="BO23" s="141">
        <v>-3204411</v>
      </c>
      <c r="BP23" s="141">
        <v>-2997323</v>
      </c>
      <c r="BQ23" s="141">
        <v>-207088</v>
      </c>
      <c r="BR23" s="141">
        <v>-299750</v>
      </c>
      <c r="BS23" s="141">
        <v>-21000</v>
      </c>
      <c r="BT23" s="141">
        <v>-3297073</v>
      </c>
      <c r="BU23" s="141">
        <v>-228088</v>
      </c>
      <c r="BV23" s="141">
        <v>-3525161</v>
      </c>
      <c r="BW23" s="141">
        <v>-95370</v>
      </c>
      <c r="BX23" s="141">
        <v>0</v>
      </c>
      <c r="BY23" s="141">
        <v>-95370</v>
      </c>
      <c r="BZ23" s="141">
        <v>-33515</v>
      </c>
      <c r="CA23" s="141">
        <v>0</v>
      </c>
      <c r="CB23" s="141">
        <v>-33515</v>
      </c>
      <c r="CC23" s="141">
        <v>-22221</v>
      </c>
      <c r="CD23" s="141">
        <v>0</v>
      </c>
      <c r="CE23" s="141">
        <v>-22221</v>
      </c>
      <c r="CF23" s="141">
        <v>0</v>
      </c>
      <c r="CG23" s="141">
        <v>0</v>
      </c>
      <c r="CH23" s="141">
        <v>0</v>
      </c>
      <c r="CI23" s="141">
        <v>-32116</v>
      </c>
      <c r="CJ23" s="141">
        <v>0</v>
      </c>
      <c r="CK23" s="141">
        <v>-32116</v>
      </c>
      <c r="CL23" s="141">
        <v>0</v>
      </c>
      <c r="CM23" s="141">
        <v>-146702</v>
      </c>
      <c r="CN23" s="141">
        <v>-146702</v>
      </c>
      <c r="CO23" s="141">
        <v>-146702</v>
      </c>
      <c r="CP23" s="141">
        <v>0</v>
      </c>
      <c r="CQ23" s="141">
        <v>-183222</v>
      </c>
      <c r="CR23" s="141">
        <v>-146702</v>
      </c>
      <c r="CS23" s="141">
        <v>0</v>
      </c>
      <c r="CT23" s="141">
        <v>0</v>
      </c>
      <c r="CU23" s="141">
        <v>-183222</v>
      </c>
      <c r="CV23" s="141">
        <v>-146702</v>
      </c>
      <c r="CW23" s="141">
        <v>-329924</v>
      </c>
      <c r="CX23" s="141">
        <v>-19896</v>
      </c>
      <c r="CY23" s="141">
        <v>0</v>
      </c>
      <c r="CZ23" s="141">
        <v>-19896</v>
      </c>
      <c r="DA23" s="141">
        <v>0</v>
      </c>
      <c r="DB23" s="141">
        <v>0</v>
      </c>
      <c r="DC23" s="141">
        <v>0</v>
      </c>
      <c r="DD23" s="141">
        <v>-25813</v>
      </c>
      <c r="DE23" s="141">
        <v>0</v>
      </c>
      <c r="DF23" s="141">
        <v>-25813</v>
      </c>
      <c r="DG23" s="141">
        <v>-75871</v>
      </c>
      <c r="DH23" s="141">
        <v>-2129</v>
      </c>
      <c r="DI23" s="141">
        <v>-78000</v>
      </c>
      <c r="DJ23" s="141">
        <v>0</v>
      </c>
      <c r="DK23" s="141">
        <v>0</v>
      </c>
      <c r="DL23" s="141">
        <v>0</v>
      </c>
      <c r="DM23" s="141">
        <v>-1725692</v>
      </c>
      <c r="DN23" s="141">
        <v>-110635</v>
      </c>
      <c r="DO23" s="141">
        <v>-1836327</v>
      </c>
      <c r="DP23" s="141">
        <v>-1847272</v>
      </c>
      <c r="DQ23" s="141">
        <v>-112764</v>
      </c>
      <c r="DR23" s="141">
        <v>0</v>
      </c>
      <c r="DS23" s="141">
        <v>0</v>
      </c>
      <c r="DT23" s="141">
        <v>-1847272</v>
      </c>
      <c r="DU23" s="141">
        <v>-112764</v>
      </c>
      <c r="DV23" s="141">
        <v>-1960036</v>
      </c>
      <c r="DW23" s="856">
        <v>64074374</v>
      </c>
      <c r="DX23" s="856">
        <v>6070477</v>
      </c>
      <c r="DY23" s="857">
        <v>70144851</v>
      </c>
      <c r="DZ23" t="s">
        <v>1589</v>
      </c>
    </row>
    <row r="24" spans="1:130" ht="12.75" x14ac:dyDescent="0.2">
      <c r="A24" s="764">
        <v>17</v>
      </c>
      <c r="B24" s="765" t="s">
        <v>712</v>
      </c>
      <c r="C24" s="766" t="s">
        <v>529</v>
      </c>
      <c r="D24" s="767" t="s">
        <v>1221</v>
      </c>
      <c r="E24" s="768" t="s">
        <v>711</v>
      </c>
      <c r="F24" s="867">
        <v>43468</v>
      </c>
      <c r="G24" s="141">
        <v>162944641</v>
      </c>
      <c r="H24" s="141">
        <v>0</v>
      </c>
      <c r="I24" s="141">
        <v>162944641</v>
      </c>
      <c r="J24" s="141">
        <v>49.1</v>
      </c>
      <c r="K24" s="141">
        <v>80005819</v>
      </c>
      <c r="L24" s="141">
        <v>0</v>
      </c>
      <c r="M24" s="141">
        <v>1197980</v>
      </c>
      <c r="N24" s="141">
        <v>0</v>
      </c>
      <c r="O24" s="141">
        <v>81203799</v>
      </c>
      <c r="P24" s="141">
        <v>0</v>
      </c>
      <c r="Q24" s="141">
        <v>81203799</v>
      </c>
      <c r="R24" s="141">
        <v>-387104</v>
      </c>
      <c r="S24" s="141">
        <v>0</v>
      </c>
      <c r="T24" s="141">
        <v>-387104</v>
      </c>
      <c r="U24" s="141">
        <v>2118055</v>
      </c>
      <c r="V24" s="141">
        <v>0</v>
      </c>
      <c r="W24" s="141">
        <v>2118055</v>
      </c>
      <c r="X24" s="141">
        <v>1730951</v>
      </c>
      <c r="Y24" s="141">
        <v>0</v>
      </c>
      <c r="Z24" s="141">
        <v>0</v>
      </c>
      <c r="AA24" s="141">
        <v>0</v>
      </c>
      <c r="AB24" s="141">
        <v>1730951</v>
      </c>
      <c r="AC24" s="141">
        <v>0</v>
      </c>
      <c r="AD24" s="141">
        <v>1730951</v>
      </c>
      <c r="AE24" s="141">
        <v>-1730951</v>
      </c>
      <c r="AF24" s="141">
        <v>0</v>
      </c>
      <c r="AG24" s="141">
        <v>-1730951</v>
      </c>
      <c r="AH24" s="141">
        <v>-5617325</v>
      </c>
      <c r="AI24" s="141">
        <v>0</v>
      </c>
      <c r="AJ24" s="141">
        <v>-5617325</v>
      </c>
      <c r="AK24" s="141">
        <v>-12447</v>
      </c>
      <c r="AL24" s="141">
        <v>0</v>
      </c>
      <c r="AM24" s="141">
        <v>-12447</v>
      </c>
      <c r="AN24" s="141">
        <v>1574961</v>
      </c>
      <c r="AO24" s="141">
        <v>0</v>
      </c>
      <c r="AP24" s="141">
        <v>1574961</v>
      </c>
      <c r="AQ24" s="141">
        <v>-4042364</v>
      </c>
      <c r="AR24" s="141">
        <v>0</v>
      </c>
      <c r="AS24" s="141">
        <v>-4042364</v>
      </c>
      <c r="AT24" s="141">
        <v>-6543223</v>
      </c>
      <c r="AU24" s="141">
        <v>0</v>
      </c>
      <c r="AV24" s="141">
        <v>-6543223</v>
      </c>
      <c r="AW24" s="141">
        <v>-154446</v>
      </c>
      <c r="AX24" s="141">
        <v>0</v>
      </c>
      <c r="AY24" s="141">
        <v>-154446</v>
      </c>
      <c r="AZ24" s="141">
        <v>-38242</v>
      </c>
      <c r="BA24" s="141">
        <v>0</v>
      </c>
      <c r="BB24" s="141">
        <v>-38242</v>
      </c>
      <c r="BC24" s="141">
        <v>-10778275</v>
      </c>
      <c r="BD24" s="141">
        <v>0</v>
      </c>
      <c r="BE24" s="141">
        <v>0</v>
      </c>
      <c r="BF24" s="141">
        <v>0</v>
      </c>
      <c r="BG24" s="141">
        <v>-10778275</v>
      </c>
      <c r="BH24" s="141">
        <v>0</v>
      </c>
      <c r="BI24" s="141">
        <v>-10778275</v>
      </c>
      <c r="BJ24" s="141">
        <v>0</v>
      </c>
      <c r="BK24" s="141">
        <v>0</v>
      </c>
      <c r="BL24" s="141">
        <v>0</v>
      </c>
      <c r="BM24" s="141">
        <v>-1495000</v>
      </c>
      <c r="BN24" s="141">
        <v>0</v>
      </c>
      <c r="BO24" s="141">
        <v>-1495000</v>
      </c>
      <c r="BP24" s="141">
        <v>-1495000</v>
      </c>
      <c r="BQ24" s="141">
        <v>0</v>
      </c>
      <c r="BR24" s="141">
        <v>0</v>
      </c>
      <c r="BS24" s="141">
        <v>0</v>
      </c>
      <c r="BT24" s="141">
        <v>-1495000</v>
      </c>
      <c r="BU24" s="141">
        <v>0</v>
      </c>
      <c r="BV24" s="141">
        <v>-1495000</v>
      </c>
      <c r="BW24" s="141">
        <v>-94640</v>
      </c>
      <c r="BX24" s="141">
        <v>0</v>
      </c>
      <c r="BY24" s="141">
        <v>-94640</v>
      </c>
      <c r="BZ24" s="141">
        <v>0</v>
      </c>
      <c r="CA24" s="141">
        <v>0</v>
      </c>
      <c r="CB24" s="141">
        <v>0</v>
      </c>
      <c r="CC24" s="141">
        <v>-691</v>
      </c>
      <c r="CD24" s="141">
        <v>0</v>
      </c>
      <c r="CE24" s="141">
        <v>-691</v>
      </c>
      <c r="CF24" s="141">
        <v>0</v>
      </c>
      <c r="CG24" s="141">
        <v>0</v>
      </c>
      <c r="CH24" s="141">
        <v>0</v>
      </c>
      <c r="CI24" s="141">
        <v>-2087</v>
      </c>
      <c r="CJ24" s="141">
        <v>0</v>
      </c>
      <c r="CK24" s="141">
        <v>-2087</v>
      </c>
      <c r="CL24" s="141">
        <v>0</v>
      </c>
      <c r="CM24" s="141">
        <v>0</v>
      </c>
      <c r="CN24" s="141">
        <v>0</v>
      </c>
      <c r="CO24" s="141">
        <v>0</v>
      </c>
      <c r="CP24" s="141">
        <v>0</v>
      </c>
      <c r="CQ24" s="141">
        <v>-97418</v>
      </c>
      <c r="CR24" s="141">
        <v>0</v>
      </c>
      <c r="CS24" s="141">
        <v>0</v>
      </c>
      <c r="CT24" s="141">
        <v>0</v>
      </c>
      <c r="CU24" s="141">
        <v>-97418</v>
      </c>
      <c r="CV24" s="141">
        <v>0</v>
      </c>
      <c r="CW24" s="141">
        <v>-97418</v>
      </c>
      <c r="CX24" s="141">
        <v>-31816</v>
      </c>
      <c r="CY24" s="141">
        <v>0</v>
      </c>
      <c r="CZ24" s="141">
        <v>-31816</v>
      </c>
      <c r="DA24" s="141">
        <v>0</v>
      </c>
      <c r="DB24" s="141">
        <v>0</v>
      </c>
      <c r="DC24" s="141">
        <v>0</v>
      </c>
      <c r="DD24" s="141">
        <v>-15052</v>
      </c>
      <c r="DE24" s="141">
        <v>0</v>
      </c>
      <c r="DF24" s="141">
        <v>-15052</v>
      </c>
      <c r="DG24" s="141">
        <v>-43000</v>
      </c>
      <c r="DH24" s="141">
        <v>0</v>
      </c>
      <c r="DI24" s="141">
        <v>-43000</v>
      </c>
      <c r="DJ24" s="141">
        <v>0</v>
      </c>
      <c r="DK24" s="141">
        <v>0</v>
      </c>
      <c r="DL24" s="141">
        <v>0</v>
      </c>
      <c r="DM24" s="141">
        <v>0</v>
      </c>
      <c r="DN24" s="141">
        <v>0</v>
      </c>
      <c r="DO24" s="141">
        <v>0</v>
      </c>
      <c r="DP24" s="141">
        <v>-89868</v>
      </c>
      <c r="DQ24" s="141">
        <v>0</v>
      </c>
      <c r="DR24" s="141">
        <v>0</v>
      </c>
      <c r="DS24" s="141">
        <v>0</v>
      </c>
      <c r="DT24" s="141">
        <v>-89868</v>
      </c>
      <c r="DU24" s="141">
        <v>0</v>
      </c>
      <c r="DV24" s="141">
        <v>-89868</v>
      </c>
      <c r="DW24" s="856">
        <v>70474189</v>
      </c>
      <c r="DX24" s="856">
        <v>0</v>
      </c>
      <c r="DY24" s="857">
        <v>70474189</v>
      </c>
      <c r="DZ24" t="s">
        <v>1590</v>
      </c>
    </row>
    <row r="25" spans="1:130" ht="12.75" x14ac:dyDescent="0.2">
      <c r="A25" s="764">
        <v>18</v>
      </c>
      <c r="B25" s="765" t="s">
        <v>714</v>
      </c>
      <c r="C25" s="766" t="s">
        <v>1222</v>
      </c>
      <c r="D25" s="767" t="s">
        <v>1223</v>
      </c>
      <c r="E25" s="768" t="s">
        <v>713</v>
      </c>
      <c r="F25" s="867">
        <v>43453</v>
      </c>
      <c r="G25" s="141">
        <v>188995595</v>
      </c>
      <c r="H25" s="141">
        <v>0</v>
      </c>
      <c r="I25" s="141">
        <v>188995595</v>
      </c>
      <c r="J25" s="141">
        <v>49.1</v>
      </c>
      <c r="K25" s="141">
        <v>92796837</v>
      </c>
      <c r="L25" s="141">
        <v>0</v>
      </c>
      <c r="M25" s="141">
        <v>0</v>
      </c>
      <c r="N25" s="141">
        <v>0</v>
      </c>
      <c r="O25" s="141">
        <v>92796837</v>
      </c>
      <c r="P25" s="141">
        <v>0</v>
      </c>
      <c r="Q25" s="141">
        <v>92796837</v>
      </c>
      <c r="R25" s="141">
        <v>-730170</v>
      </c>
      <c r="S25" s="141">
        <v>0</v>
      </c>
      <c r="T25" s="141">
        <v>-730170</v>
      </c>
      <c r="U25" s="141">
        <v>913291</v>
      </c>
      <c r="V25" s="141">
        <v>0</v>
      </c>
      <c r="W25" s="141">
        <v>913291</v>
      </c>
      <c r="X25" s="141">
        <v>183121</v>
      </c>
      <c r="Y25" s="141">
        <v>0</v>
      </c>
      <c r="Z25" s="141">
        <v>0</v>
      </c>
      <c r="AA25" s="141">
        <v>0</v>
      </c>
      <c r="AB25" s="141">
        <v>183121</v>
      </c>
      <c r="AC25" s="141">
        <v>0</v>
      </c>
      <c r="AD25" s="141">
        <v>183121</v>
      </c>
      <c r="AE25" s="141">
        <v>-183121</v>
      </c>
      <c r="AF25" s="141">
        <v>0</v>
      </c>
      <c r="AG25" s="141">
        <v>-183121</v>
      </c>
      <c r="AH25" s="141">
        <v>-6626247</v>
      </c>
      <c r="AI25" s="141">
        <v>0</v>
      </c>
      <c r="AJ25" s="141">
        <v>-6626247</v>
      </c>
      <c r="AK25" s="141">
        <v>0</v>
      </c>
      <c r="AL25" s="141">
        <v>0</v>
      </c>
      <c r="AM25" s="141">
        <v>0</v>
      </c>
      <c r="AN25" s="141">
        <v>1825963</v>
      </c>
      <c r="AO25" s="141">
        <v>0</v>
      </c>
      <c r="AP25" s="141">
        <v>1825963</v>
      </c>
      <c r="AQ25" s="141">
        <v>-4800284</v>
      </c>
      <c r="AR25" s="141">
        <v>0</v>
      </c>
      <c r="AS25" s="141">
        <v>-4800284</v>
      </c>
      <c r="AT25" s="141">
        <v>-8256465</v>
      </c>
      <c r="AU25" s="141">
        <v>0</v>
      </c>
      <c r="AV25" s="141">
        <v>-8256465</v>
      </c>
      <c r="AW25" s="141">
        <v>-106922</v>
      </c>
      <c r="AX25" s="141">
        <v>0</v>
      </c>
      <c r="AY25" s="141">
        <v>-106922</v>
      </c>
      <c r="AZ25" s="141">
        <v>0</v>
      </c>
      <c r="BA25" s="141">
        <v>0</v>
      </c>
      <c r="BB25" s="141">
        <v>0</v>
      </c>
      <c r="BC25" s="141">
        <v>-13163671</v>
      </c>
      <c r="BD25" s="141">
        <v>0</v>
      </c>
      <c r="BE25" s="141">
        <v>0</v>
      </c>
      <c r="BF25" s="141">
        <v>0</v>
      </c>
      <c r="BG25" s="141">
        <v>-13163671</v>
      </c>
      <c r="BH25" s="141">
        <v>0</v>
      </c>
      <c r="BI25" s="141">
        <v>-13163671</v>
      </c>
      <c r="BJ25" s="141">
        <v>-10603</v>
      </c>
      <c r="BK25" s="141">
        <v>0</v>
      </c>
      <c r="BL25" s="141">
        <v>-10603</v>
      </c>
      <c r="BM25" s="141">
        <v>-1362459</v>
      </c>
      <c r="BN25" s="141">
        <v>0</v>
      </c>
      <c r="BO25" s="141">
        <v>-1362459</v>
      </c>
      <c r="BP25" s="141">
        <v>-1373062</v>
      </c>
      <c r="BQ25" s="141">
        <v>0</v>
      </c>
      <c r="BR25" s="141">
        <v>0</v>
      </c>
      <c r="BS25" s="141">
        <v>0</v>
      </c>
      <c r="BT25" s="141">
        <v>-1373062</v>
      </c>
      <c r="BU25" s="141">
        <v>0</v>
      </c>
      <c r="BV25" s="141">
        <v>-1373062</v>
      </c>
      <c r="BW25" s="141">
        <v>0</v>
      </c>
      <c r="BX25" s="141">
        <v>0</v>
      </c>
      <c r="BY25" s="141">
        <v>0</v>
      </c>
      <c r="BZ25" s="141">
        <v>0</v>
      </c>
      <c r="CA25" s="141">
        <v>0</v>
      </c>
      <c r="CB25" s="141">
        <v>0</v>
      </c>
      <c r="CC25" s="141">
        <v>0</v>
      </c>
      <c r="CD25" s="141">
        <v>0</v>
      </c>
      <c r="CE25" s="141">
        <v>0</v>
      </c>
      <c r="CF25" s="141">
        <v>0</v>
      </c>
      <c r="CG25" s="141">
        <v>0</v>
      </c>
      <c r="CH25" s="141">
        <v>0</v>
      </c>
      <c r="CI25" s="141">
        <v>0</v>
      </c>
      <c r="CJ25" s="141">
        <v>0</v>
      </c>
      <c r="CK25" s="141">
        <v>0</v>
      </c>
      <c r="CL25" s="141">
        <v>0</v>
      </c>
      <c r="CM25" s="141">
        <v>0</v>
      </c>
      <c r="CN25" s="141">
        <v>0</v>
      </c>
      <c r="CO25" s="141">
        <v>0</v>
      </c>
      <c r="CP25" s="141">
        <v>0</v>
      </c>
      <c r="CQ25" s="141">
        <v>0</v>
      </c>
      <c r="CR25" s="141">
        <v>0</v>
      </c>
      <c r="CS25" s="141">
        <v>0</v>
      </c>
      <c r="CT25" s="141">
        <v>0</v>
      </c>
      <c r="CU25" s="141">
        <v>0</v>
      </c>
      <c r="CV25" s="141">
        <v>0</v>
      </c>
      <c r="CW25" s="141">
        <v>0</v>
      </c>
      <c r="CX25" s="141">
        <v>0</v>
      </c>
      <c r="CY25" s="141">
        <v>0</v>
      </c>
      <c r="CZ25" s="141">
        <v>0</v>
      </c>
      <c r="DA25" s="141">
        <v>0</v>
      </c>
      <c r="DB25" s="141">
        <v>0</v>
      </c>
      <c r="DC25" s="141">
        <v>0</v>
      </c>
      <c r="DD25" s="141">
        <v>-34087</v>
      </c>
      <c r="DE25" s="141">
        <v>0</v>
      </c>
      <c r="DF25" s="141">
        <v>-34087</v>
      </c>
      <c r="DG25" s="141">
        <v>-109680</v>
      </c>
      <c r="DH25" s="141">
        <v>0</v>
      </c>
      <c r="DI25" s="141">
        <v>-109680</v>
      </c>
      <c r="DJ25" s="141">
        <v>0</v>
      </c>
      <c r="DK25" s="141">
        <v>0</v>
      </c>
      <c r="DL25" s="141">
        <v>0</v>
      </c>
      <c r="DM25" s="141">
        <v>-1526997</v>
      </c>
      <c r="DN25" s="141">
        <v>0</v>
      </c>
      <c r="DO25" s="141">
        <v>-1526997</v>
      </c>
      <c r="DP25" s="141">
        <v>-1670764</v>
      </c>
      <c r="DQ25" s="141">
        <v>0</v>
      </c>
      <c r="DR25" s="141">
        <v>0</v>
      </c>
      <c r="DS25" s="141">
        <v>0</v>
      </c>
      <c r="DT25" s="141">
        <v>-1670764</v>
      </c>
      <c r="DU25" s="141">
        <v>0</v>
      </c>
      <c r="DV25" s="141">
        <v>-1670764</v>
      </c>
      <c r="DW25" s="856">
        <v>76772461</v>
      </c>
      <c r="DX25" s="856">
        <v>0</v>
      </c>
      <c r="DY25" s="857">
        <v>76772461</v>
      </c>
      <c r="DZ25" t="s">
        <v>1591</v>
      </c>
    </row>
    <row r="26" spans="1:130" ht="12.75" x14ac:dyDescent="0.2">
      <c r="A26" s="764">
        <v>19</v>
      </c>
      <c r="B26" s="765" t="s">
        <v>716</v>
      </c>
      <c r="C26" s="766" t="s">
        <v>1224</v>
      </c>
      <c r="D26" s="767" t="s">
        <v>1227</v>
      </c>
      <c r="E26" s="768" t="s">
        <v>715</v>
      </c>
      <c r="F26" s="867">
        <v>43453</v>
      </c>
      <c r="G26" s="141">
        <v>1095369508</v>
      </c>
      <c r="H26" s="141">
        <v>30403315</v>
      </c>
      <c r="I26" s="141">
        <v>1125772823</v>
      </c>
      <c r="J26" s="141">
        <v>49.1</v>
      </c>
      <c r="K26" s="141">
        <v>537826428</v>
      </c>
      <c r="L26" s="141">
        <v>14928028</v>
      </c>
      <c r="M26" s="141">
        <v>15237575</v>
      </c>
      <c r="N26" s="141">
        <v>6379407</v>
      </c>
      <c r="O26" s="141">
        <v>553064003</v>
      </c>
      <c r="P26" s="141">
        <v>21307435</v>
      </c>
      <c r="Q26" s="141">
        <v>574371438</v>
      </c>
      <c r="R26" s="141">
        <v>-5094000</v>
      </c>
      <c r="S26" s="141">
        <v>0</v>
      </c>
      <c r="T26" s="141">
        <v>-5094000</v>
      </c>
      <c r="U26" s="141">
        <v>7230500</v>
      </c>
      <c r="V26" s="141">
        <v>0</v>
      </c>
      <c r="W26" s="141">
        <v>7230500</v>
      </c>
      <c r="X26" s="141">
        <v>2136500</v>
      </c>
      <c r="Y26" s="141">
        <v>0</v>
      </c>
      <c r="Z26" s="141">
        <v>0</v>
      </c>
      <c r="AA26" s="141">
        <v>0</v>
      </c>
      <c r="AB26" s="141">
        <v>2136500</v>
      </c>
      <c r="AC26" s="141">
        <v>0</v>
      </c>
      <c r="AD26" s="141">
        <v>2136500</v>
      </c>
      <c r="AE26" s="141">
        <v>-2136500</v>
      </c>
      <c r="AF26" s="141">
        <v>0</v>
      </c>
      <c r="AG26" s="141">
        <v>-2136500</v>
      </c>
      <c r="AH26" s="141">
        <v>-37633135</v>
      </c>
      <c r="AI26" s="141">
        <v>-787717</v>
      </c>
      <c r="AJ26" s="141">
        <v>-38420852</v>
      </c>
      <c r="AK26" s="141">
        <v>0</v>
      </c>
      <c r="AL26" s="141">
        <v>0</v>
      </c>
      <c r="AM26" s="141">
        <v>0</v>
      </c>
      <c r="AN26" s="141">
        <v>11313886</v>
      </c>
      <c r="AO26" s="141">
        <v>269933</v>
      </c>
      <c r="AP26" s="141">
        <v>11583819</v>
      </c>
      <c r="AQ26" s="141">
        <v>-26319249</v>
      </c>
      <c r="AR26" s="141">
        <v>-517784</v>
      </c>
      <c r="AS26" s="141">
        <v>-26837033</v>
      </c>
      <c r="AT26" s="141">
        <v>-39111332</v>
      </c>
      <c r="AU26" s="141">
        <v>-2821723</v>
      </c>
      <c r="AV26" s="141">
        <v>-41933055</v>
      </c>
      <c r="AW26" s="141">
        <v>-130000</v>
      </c>
      <c r="AX26" s="141">
        <v>0</v>
      </c>
      <c r="AY26" s="141">
        <v>-130000</v>
      </c>
      <c r="AZ26" s="141">
        <v>0</v>
      </c>
      <c r="BA26" s="141">
        <v>0</v>
      </c>
      <c r="BB26" s="141">
        <v>0</v>
      </c>
      <c r="BC26" s="141">
        <v>-65560581</v>
      </c>
      <c r="BD26" s="141">
        <v>-3339507</v>
      </c>
      <c r="BE26" s="141">
        <v>0</v>
      </c>
      <c r="BF26" s="141">
        <v>0</v>
      </c>
      <c r="BG26" s="141">
        <v>-65560581</v>
      </c>
      <c r="BH26" s="141">
        <v>-3339507</v>
      </c>
      <c r="BI26" s="141">
        <v>-68900088</v>
      </c>
      <c r="BJ26" s="141">
        <v>-517948</v>
      </c>
      <c r="BK26" s="141">
        <v>0</v>
      </c>
      <c r="BL26" s="141">
        <v>-517948</v>
      </c>
      <c r="BM26" s="141">
        <v>-22159328</v>
      </c>
      <c r="BN26" s="141">
        <v>-848736</v>
      </c>
      <c r="BO26" s="141">
        <v>-23008064</v>
      </c>
      <c r="BP26" s="141">
        <v>-22677276</v>
      </c>
      <c r="BQ26" s="141">
        <v>-848736</v>
      </c>
      <c r="BR26" s="141">
        <v>0</v>
      </c>
      <c r="BS26" s="141">
        <v>0</v>
      </c>
      <c r="BT26" s="141">
        <v>-22677276</v>
      </c>
      <c r="BU26" s="141">
        <v>-848736</v>
      </c>
      <c r="BV26" s="141">
        <v>-23526012</v>
      </c>
      <c r="BW26" s="141">
        <v>-50000</v>
      </c>
      <c r="BX26" s="141">
        <v>0</v>
      </c>
      <c r="BY26" s="141">
        <v>-50000</v>
      </c>
      <c r="BZ26" s="141">
        <v>-850000</v>
      </c>
      <c r="CA26" s="141">
        <v>-17090</v>
      </c>
      <c r="CB26" s="141">
        <v>-867090</v>
      </c>
      <c r="CC26" s="141">
        <v>0</v>
      </c>
      <c r="CD26" s="141">
        <v>0</v>
      </c>
      <c r="CE26" s="141">
        <v>0</v>
      </c>
      <c r="CF26" s="141">
        <v>0</v>
      </c>
      <c r="CG26" s="141">
        <v>0</v>
      </c>
      <c r="CH26" s="141">
        <v>0</v>
      </c>
      <c r="CI26" s="141">
        <v>0</v>
      </c>
      <c r="CJ26" s="141">
        <v>0</v>
      </c>
      <c r="CK26" s="141">
        <v>0</v>
      </c>
      <c r="CL26" s="141">
        <v>0</v>
      </c>
      <c r="CM26" s="141">
        <v>-858385</v>
      </c>
      <c r="CN26" s="141">
        <v>-858385</v>
      </c>
      <c r="CO26" s="141">
        <v>-858385</v>
      </c>
      <c r="CP26" s="141">
        <v>0</v>
      </c>
      <c r="CQ26" s="141">
        <v>-900000</v>
      </c>
      <c r="CR26" s="141">
        <v>-875475</v>
      </c>
      <c r="CS26" s="141">
        <v>0</v>
      </c>
      <c r="CT26" s="141">
        <v>0</v>
      </c>
      <c r="CU26" s="141">
        <v>-900000</v>
      </c>
      <c r="CV26" s="141">
        <v>-875475</v>
      </c>
      <c r="CW26" s="141">
        <v>-1775475</v>
      </c>
      <c r="CX26" s="141">
        <v>0</v>
      </c>
      <c r="CY26" s="141">
        <v>0</v>
      </c>
      <c r="CZ26" s="141">
        <v>0</v>
      </c>
      <c r="DA26" s="141">
        <v>0</v>
      </c>
      <c r="DB26" s="141">
        <v>0</v>
      </c>
      <c r="DC26" s="141">
        <v>0</v>
      </c>
      <c r="DD26" s="141">
        <v>-518474</v>
      </c>
      <c r="DE26" s="141">
        <v>-2645</v>
      </c>
      <c r="DF26" s="141">
        <v>-521119</v>
      </c>
      <c r="DG26" s="141">
        <v>-525000</v>
      </c>
      <c r="DH26" s="141">
        <v>0</v>
      </c>
      <c r="DI26" s="141">
        <v>-525000</v>
      </c>
      <c r="DJ26" s="141">
        <v>0</v>
      </c>
      <c r="DK26" s="141">
        <v>0</v>
      </c>
      <c r="DL26" s="141">
        <v>0</v>
      </c>
      <c r="DM26" s="141">
        <v>-3729970</v>
      </c>
      <c r="DN26" s="141">
        <v>-78317</v>
      </c>
      <c r="DO26" s="141">
        <v>-3808287</v>
      </c>
      <c r="DP26" s="141">
        <v>-4773444</v>
      </c>
      <c r="DQ26" s="141">
        <v>-80962</v>
      </c>
      <c r="DR26" s="141">
        <v>0</v>
      </c>
      <c r="DS26" s="141">
        <v>0</v>
      </c>
      <c r="DT26" s="141">
        <v>-4773444</v>
      </c>
      <c r="DU26" s="141">
        <v>-80962</v>
      </c>
      <c r="DV26" s="141">
        <v>-4854406</v>
      </c>
      <c r="DW26" s="856">
        <v>461289202</v>
      </c>
      <c r="DX26" s="856">
        <v>16162755</v>
      </c>
      <c r="DY26" s="857">
        <v>477451957</v>
      </c>
      <c r="DZ26" t="s">
        <v>1592</v>
      </c>
    </row>
    <row r="27" spans="1:130" ht="12.75" x14ac:dyDescent="0.2">
      <c r="A27" s="764">
        <v>20</v>
      </c>
      <c r="B27" s="765" t="s">
        <v>718</v>
      </c>
      <c r="C27" s="766" t="s">
        <v>1217</v>
      </c>
      <c r="D27" s="767" t="s">
        <v>1220</v>
      </c>
      <c r="E27" s="768" t="s">
        <v>717</v>
      </c>
      <c r="F27" s="867">
        <v>43453</v>
      </c>
      <c r="G27" s="141">
        <v>107003213</v>
      </c>
      <c r="H27" s="141">
        <v>0</v>
      </c>
      <c r="I27" s="141">
        <v>107003213</v>
      </c>
      <c r="J27" s="141">
        <v>49.1</v>
      </c>
      <c r="K27" s="141">
        <v>52538578</v>
      </c>
      <c r="L27" s="141">
        <v>0</v>
      </c>
      <c r="M27" s="141">
        <v>311872</v>
      </c>
      <c r="N27" s="141">
        <v>0</v>
      </c>
      <c r="O27" s="141">
        <v>52850450</v>
      </c>
      <c r="P27" s="141">
        <v>0</v>
      </c>
      <c r="Q27" s="141">
        <v>52850450</v>
      </c>
      <c r="R27" s="141">
        <v>-430047</v>
      </c>
      <c r="S27" s="141">
        <v>0</v>
      </c>
      <c r="T27" s="141">
        <v>-430047</v>
      </c>
      <c r="U27" s="141">
        <v>285329</v>
      </c>
      <c r="V27" s="141">
        <v>0</v>
      </c>
      <c r="W27" s="141">
        <v>285329</v>
      </c>
      <c r="X27" s="141">
        <v>-144718</v>
      </c>
      <c r="Y27" s="141">
        <v>0</v>
      </c>
      <c r="Z27" s="141">
        <v>0</v>
      </c>
      <c r="AA27" s="141">
        <v>0</v>
      </c>
      <c r="AB27" s="141">
        <v>-144718</v>
      </c>
      <c r="AC27" s="141">
        <v>0</v>
      </c>
      <c r="AD27" s="141">
        <v>-144718</v>
      </c>
      <c r="AE27" s="141">
        <v>144718</v>
      </c>
      <c r="AF27" s="141">
        <v>0</v>
      </c>
      <c r="AG27" s="141">
        <v>144718</v>
      </c>
      <c r="AH27" s="141">
        <v>-2246927</v>
      </c>
      <c r="AI27" s="141">
        <v>0</v>
      </c>
      <c r="AJ27" s="141">
        <v>-2246927</v>
      </c>
      <c r="AK27" s="141">
        <v>-7707</v>
      </c>
      <c r="AL27" s="141">
        <v>0</v>
      </c>
      <c r="AM27" s="141">
        <v>-7707</v>
      </c>
      <c r="AN27" s="141">
        <v>1145067</v>
      </c>
      <c r="AO27" s="141">
        <v>0</v>
      </c>
      <c r="AP27" s="141">
        <v>1145067</v>
      </c>
      <c r="AQ27" s="141">
        <v>-1101860</v>
      </c>
      <c r="AR27" s="141">
        <v>0</v>
      </c>
      <c r="AS27" s="141">
        <v>-1101860</v>
      </c>
      <c r="AT27" s="141">
        <v>-1116688</v>
      </c>
      <c r="AU27" s="141">
        <v>0</v>
      </c>
      <c r="AV27" s="141">
        <v>-1116688</v>
      </c>
      <c r="AW27" s="141">
        <v>-47124</v>
      </c>
      <c r="AX27" s="141">
        <v>0</v>
      </c>
      <c r="AY27" s="141">
        <v>-47124</v>
      </c>
      <c r="AZ27" s="141">
        <v>0</v>
      </c>
      <c r="BA27" s="141">
        <v>0</v>
      </c>
      <c r="BB27" s="141">
        <v>0</v>
      </c>
      <c r="BC27" s="141">
        <v>-2265672</v>
      </c>
      <c r="BD27" s="141">
        <v>0</v>
      </c>
      <c r="BE27" s="141">
        <v>0</v>
      </c>
      <c r="BF27" s="141">
        <v>0</v>
      </c>
      <c r="BG27" s="141">
        <v>-2265672</v>
      </c>
      <c r="BH27" s="141">
        <v>0</v>
      </c>
      <c r="BI27" s="141">
        <v>-2265672</v>
      </c>
      <c r="BJ27" s="141">
        <v>0</v>
      </c>
      <c r="BK27" s="141">
        <v>0</v>
      </c>
      <c r="BL27" s="141">
        <v>0</v>
      </c>
      <c r="BM27" s="141">
        <v>-750000</v>
      </c>
      <c r="BN27" s="141">
        <v>0</v>
      </c>
      <c r="BO27" s="141">
        <v>-750000</v>
      </c>
      <c r="BP27" s="141">
        <v>-750000</v>
      </c>
      <c r="BQ27" s="141">
        <v>0</v>
      </c>
      <c r="BR27" s="141">
        <v>0</v>
      </c>
      <c r="BS27" s="141">
        <v>0</v>
      </c>
      <c r="BT27" s="141">
        <v>-750000</v>
      </c>
      <c r="BU27" s="141">
        <v>0</v>
      </c>
      <c r="BV27" s="141">
        <v>-750000</v>
      </c>
      <c r="BW27" s="141">
        <v>-57604</v>
      </c>
      <c r="BX27" s="141">
        <v>0</v>
      </c>
      <c r="BY27" s="141">
        <v>-57604</v>
      </c>
      <c r="BZ27" s="141">
        <v>-4222</v>
      </c>
      <c r="CA27" s="141">
        <v>0</v>
      </c>
      <c r="CB27" s="141">
        <v>-4222</v>
      </c>
      <c r="CC27" s="141">
        <v>-5002</v>
      </c>
      <c r="CD27" s="141">
        <v>0</v>
      </c>
      <c r="CE27" s="141">
        <v>-5002</v>
      </c>
      <c r="CF27" s="141">
        <v>0</v>
      </c>
      <c r="CG27" s="141">
        <v>0</v>
      </c>
      <c r="CH27" s="141">
        <v>0</v>
      </c>
      <c r="CI27" s="141">
        <v>0</v>
      </c>
      <c r="CJ27" s="141">
        <v>0</v>
      </c>
      <c r="CK27" s="141">
        <v>0</v>
      </c>
      <c r="CL27" s="141">
        <v>0</v>
      </c>
      <c r="CM27" s="141">
        <v>0</v>
      </c>
      <c r="CN27" s="141">
        <v>0</v>
      </c>
      <c r="CO27" s="141">
        <v>0</v>
      </c>
      <c r="CP27" s="141">
        <v>0</v>
      </c>
      <c r="CQ27" s="141">
        <v>-66828</v>
      </c>
      <c r="CR27" s="141">
        <v>0</v>
      </c>
      <c r="CS27" s="141">
        <v>0</v>
      </c>
      <c r="CT27" s="141">
        <v>0</v>
      </c>
      <c r="CU27" s="141">
        <v>-66828</v>
      </c>
      <c r="CV27" s="141">
        <v>0</v>
      </c>
      <c r="CW27" s="141">
        <v>-66828</v>
      </c>
      <c r="CX27" s="141">
        <v>0</v>
      </c>
      <c r="CY27" s="141">
        <v>0</v>
      </c>
      <c r="CZ27" s="141">
        <v>0</v>
      </c>
      <c r="DA27" s="141">
        <v>0</v>
      </c>
      <c r="DB27" s="141">
        <v>0</v>
      </c>
      <c r="DC27" s="141">
        <v>0</v>
      </c>
      <c r="DD27" s="141">
        <v>-15963</v>
      </c>
      <c r="DE27" s="141">
        <v>0</v>
      </c>
      <c r="DF27" s="141">
        <v>-15963</v>
      </c>
      <c r="DG27" s="141">
        <v>-30776</v>
      </c>
      <c r="DH27" s="141">
        <v>0</v>
      </c>
      <c r="DI27" s="141">
        <v>-30776</v>
      </c>
      <c r="DJ27" s="141">
        <v>0</v>
      </c>
      <c r="DK27" s="141">
        <v>0</v>
      </c>
      <c r="DL27" s="141">
        <v>0</v>
      </c>
      <c r="DM27" s="141">
        <v>-178639</v>
      </c>
      <c r="DN27" s="141">
        <v>0</v>
      </c>
      <c r="DO27" s="141">
        <v>-178639</v>
      </c>
      <c r="DP27" s="141">
        <v>-225378</v>
      </c>
      <c r="DQ27" s="141">
        <v>0</v>
      </c>
      <c r="DR27" s="141">
        <v>0</v>
      </c>
      <c r="DS27" s="141">
        <v>0</v>
      </c>
      <c r="DT27" s="141">
        <v>-225378</v>
      </c>
      <c r="DU27" s="141">
        <v>0</v>
      </c>
      <c r="DV27" s="141">
        <v>-225378</v>
      </c>
      <c r="DW27" s="856">
        <v>49397854</v>
      </c>
      <c r="DX27" s="856">
        <v>0</v>
      </c>
      <c r="DY27" s="857">
        <v>49397854</v>
      </c>
      <c r="DZ27" t="s">
        <v>1593</v>
      </c>
    </row>
    <row r="28" spans="1:130" ht="12.75" x14ac:dyDescent="0.2">
      <c r="A28" s="764">
        <v>21</v>
      </c>
      <c r="B28" s="765" t="s">
        <v>720</v>
      </c>
      <c r="C28" s="766" t="s">
        <v>529</v>
      </c>
      <c r="D28" s="767" t="s">
        <v>1219</v>
      </c>
      <c r="E28" s="768" t="s">
        <v>592</v>
      </c>
      <c r="F28" s="867">
        <v>43460</v>
      </c>
      <c r="G28" s="141">
        <v>120449312</v>
      </c>
      <c r="H28" s="141">
        <v>0</v>
      </c>
      <c r="I28" s="141">
        <v>120449312</v>
      </c>
      <c r="J28" s="141">
        <v>49.1</v>
      </c>
      <c r="K28" s="141">
        <v>59140612</v>
      </c>
      <c r="L28" s="141">
        <v>0</v>
      </c>
      <c r="M28" s="141">
        <v>750000</v>
      </c>
      <c r="N28" s="141">
        <v>0</v>
      </c>
      <c r="O28" s="141">
        <v>59890612</v>
      </c>
      <c r="P28" s="141">
        <v>0</v>
      </c>
      <c r="Q28" s="141">
        <v>59890612</v>
      </c>
      <c r="R28" s="141">
        <v>-700000</v>
      </c>
      <c r="S28" s="141">
        <v>0</v>
      </c>
      <c r="T28" s="141">
        <v>-700000</v>
      </c>
      <c r="U28" s="141">
        <v>2700000</v>
      </c>
      <c r="V28" s="141">
        <v>0</v>
      </c>
      <c r="W28" s="141">
        <v>2700000</v>
      </c>
      <c r="X28" s="141">
        <v>2000000</v>
      </c>
      <c r="Y28" s="141">
        <v>0</v>
      </c>
      <c r="Z28" s="141">
        <v>0</v>
      </c>
      <c r="AA28" s="141">
        <v>0</v>
      </c>
      <c r="AB28" s="141">
        <v>2000000</v>
      </c>
      <c r="AC28" s="141">
        <v>0</v>
      </c>
      <c r="AD28" s="141">
        <v>2000000</v>
      </c>
      <c r="AE28" s="141">
        <v>-2000000</v>
      </c>
      <c r="AF28" s="141">
        <v>0</v>
      </c>
      <c r="AG28" s="141">
        <v>-2000000</v>
      </c>
      <c r="AH28" s="141">
        <v>-7500000</v>
      </c>
      <c r="AI28" s="141">
        <v>0</v>
      </c>
      <c r="AJ28" s="141">
        <v>-7500000</v>
      </c>
      <c r="AK28" s="141">
        <v>-35000</v>
      </c>
      <c r="AL28" s="141">
        <v>0</v>
      </c>
      <c r="AM28" s="141">
        <v>-35000</v>
      </c>
      <c r="AN28" s="141">
        <v>1050000</v>
      </c>
      <c r="AO28" s="141">
        <v>0</v>
      </c>
      <c r="AP28" s="141">
        <v>1050000</v>
      </c>
      <c r="AQ28" s="141">
        <v>-6450000</v>
      </c>
      <c r="AR28" s="141">
        <v>0</v>
      </c>
      <c r="AS28" s="141">
        <v>-6450000</v>
      </c>
      <c r="AT28" s="141">
        <v>-4800000</v>
      </c>
      <c r="AU28" s="141">
        <v>0</v>
      </c>
      <c r="AV28" s="141">
        <v>-4800000</v>
      </c>
      <c r="AW28" s="141">
        <v>-78000</v>
      </c>
      <c r="AX28" s="141">
        <v>0</v>
      </c>
      <c r="AY28" s="141">
        <v>-78000</v>
      </c>
      <c r="AZ28" s="141">
        <v>-3000</v>
      </c>
      <c r="BA28" s="141">
        <v>0</v>
      </c>
      <c r="BB28" s="141">
        <v>-3000</v>
      </c>
      <c r="BC28" s="141">
        <v>-11331000</v>
      </c>
      <c r="BD28" s="141">
        <v>0</v>
      </c>
      <c r="BE28" s="141">
        <v>0</v>
      </c>
      <c r="BF28" s="141">
        <v>0</v>
      </c>
      <c r="BG28" s="141">
        <v>-11331000</v>
      </c>
      <c r="BH28" s="141">
        <v>0</v>
      </c>
      <c r="BI28" s="141">
        <v>-11331000</v>
      </c>
      <c r="BJ28" s="141">
        <v>-300000</v>
      </c>
      <c r="BK28" s="141">
        <v>0</v>
      </c>
      <c r="BL28" s="141">
        <v>-300000</v>
      </c>
      <c r="BM28" s="141">
        <v>-2500000</v>
      </c>
      <c r="BN28" s="141">
        <v>0</v>
      </c>
      <c r="BO28" s="141">
        <v>-2500000</v>
      </c>
      <c r="BP28" s="141">
        <v>-2800000</v>
      </c>
      <c r="BQ28" s="141">
        <v>0</v>
      </c>
      <c r="BR28" s="141">
        <v>0</v>
      </c>
      <c r="BS28" s="141">
        <v>0</v>
      </c>
      <c r="BT28" s="141">
        <v>-2800000</v>
      </c>
      <c r="BU28" s="141">
        <v>0</v>
      </c>
      <c r="BV28" s="141">
        <v>-2800000</v>
      </c>
      <c r="BW28" s="141">
        <v>-28000</v>
      </c>
      <c r="BX28" s="141">
        <v>0</v>
      </c>
      <c r="BY28" s="141">
        <v>-28000</v>
      </c>
      <c r="BZ28" s="141">
        <v>0</v>
      </c>
      <c r="CA28" s="141">
        <v>0</v>
      </c>
      <c r="CB28" s="141">
        <v>0</v>
      </c>
      <c r="CC28" s="141">
        <v>-2000</v>
      </c>
      <c r="CD28" s="141">
        <v>0</v>
      </c>
      <c r="CE28" s="141">
        <v>-2000</v>
      </c>
      <c r="CF28" s="141">
        <v>0</v>
      </c>
      <c r="CG28" s="141">
        <v>0</v>
      </c>
      <c r="CH28" s="141">
        <v>0</v>
      </c>
      <c r="CI28" s="141">
        <v>0</v>
      </c>
      <c r="CJ28" s="141">
        <v>0</v>
      </c>
      <c r="CK28" s="141">
        <v>0</v>
      </c>
      <c r="CL28" s="141">
        <v>-60000</v>
      </c>
      <c r="CM28" s="141">
        <v>0</v>
      </c>
      <c r="CN28" s="141">
        <v>-60000</v>
      </c>
      <c r="CO28" s="141">
        <v>0</v>
      </c>
      <c r="CP28" s="141">
        <v>0</v>
      </c>
      <c r="CQ28" s="141">
        <v>-90000</v>
      </c>
      <c r="CR28" s="141">
        <v>0</v>
      </c>
      <c r="CS28" s="141">
        <v>0</v>
      </c>
      <c r="CT28" s="141">
        <v>0</v>
      </c>
      <c r="CU28" s="141">
        <v>-90000</v>
      </c>
      <c r="CV28" s="141">
        <v>0</v>
      </c>
      <c r="CW28" s="141">
        <v>-90000</v>
      </c>
      <c r="CX28" s="141">
        <v>-3000</v>
      </c>
      <c r="CY28" s="141">
        <v>0</v>
      </c>
      <c r="CZ28" s="141">
        <v>-3000</v>
      </c>
      <c r="DA28" s="141">
        <v>0</v>
      </c>
      <c r="DB28" s="141">
        <v>0</v>
      </c>
      <c r="DC28" s="141">
        <v>0</v>
      </c>
      <c r="DD28" s="141">
        <v>-20000</v>
      </c>
      <c r="DE28" s="141">
        <v>0</v>
      </c>
      <c r="DF28" s="141">
        <v>-20000</v>
      </c>
      <c r="DG28" s="141">
        <v>-35000</v>
      </c>
      <c r="DH28" s="141">
        <v>0</v>
      </c>
      <c r="DI28" s="141">
        <v>-35000</v>
      </c>
      <c r="DJ28" s="141">
        <v>0</v>
      </c>
      <c r="DK28" s="141">
        <v>0</v>
      </c>
      <c r="DL28" s="141">
        <v>0</v>
      </c>
      <c r="DM28" s="141">
        <v>-1200000</v>
      </c>
      <c r="DN28" s="141">
        <v>0</v>
      </c>
      <c r="DO28" s="141">
        <v>-1200000</v>
      </c>
      <c r="DP28" s="141">
        <v>-1258000</v>
      </c>
      <c r="DQ28" s="141">
        <v>0</v>
      </c>
      <c r="DR28" s="141">
        <v>0</v>
      </c>
      <c r="DS28" s="141">
        <v>0</v>
      </c>
      <c r="DT28" s="141">
        <v>-1258000</v>
      </c>
      <c r="DU28" s="141">
        <v>0</v>
      </c>
      <c r="DV28" s="141">
        <v>-1258000</v>
      </c>
      <c r="DW28" s="856">
        <v>46411612</v>
      </c>
      <c r="DX28" s="856">
        <v>0</v>
      </c>
      <c r="DY28" s="857">
        <v>46411612</v>
      </c>
      <c r="DZ28" t="s">
        <v>1594</v>
      </c>
    </row>
    <row r="29" spans="1:130" ht="12.75" x14ac:dyDescent="0.2">
      <c r="A29" s="764">
        <v>22</v>
      </c>
      <c r="B29" s="765" t="s">
        <v>722</v>
      </c>
      <c r="C29" s="766" t="s">
        <v>529</v>
      </c>
      <c r="D29" s="767" t="s">
        <v>1219</v>
      </c>
      <c r="E29" s="768" t="s">
        <v>594</v>
      </c>
      <c r="F29" s="867">
        <v>43468</v>
      </c>
      <c r="G29" s="141">
        <v>122139389</v>
      </c>
      <c r="H29" s="141">
        <v>5775945</v>
      </c>
      <c r="I29" s="141">
        <v>127915334</v>
      </c>
      <c r="J29" s="141">
        <v>49.1</v>
      </c>
      <c r="K29" s="141">
        <v>59970440</v>
      </c>
      <c r="L29" s="141">
        <v>2835989</v>
      </c>
      <c r="M29" s="141">
        <v>-2000000</v>
      </c>
      <c r="N29" s="141">
        <v>-17000</v>
      </c>
      <c r="O29" s="141">
        <v>57970440</v>
      </c>
      <c r="P29" s="141">
        <v>2818989</v>
      </c>
      <c r="Q29" s="141">
        <v>60789429</v>
      </c>
      <c r="R29" s="141">
        <v>-425658</v>
      </c>
      <c r="S29" s="141">
        <v>-9074</v>
      </c>
      <c r="T29" s="141">
        <v>-434732</v>
      </c>
      <c r="U29" s="141">
        <v>1304553</v>
      </c>
      <c r="V29" s="141">
        <v>2473</v>
      </c>
      <c r="W29" s="141">
        <v>1307026</v>
      </c>
      <c r="X29" s="141">
        <v>878895</v>
      </c>
      <c r="Y29" s="141">
        <v>-6601</v>
      </c>
      <c r="Z29" s="141">
        <v>-124000</v>
      </c>
      <c r="AA29" s="141">
        <v>1000</v>
      </c>
      <c r="AB29" s="141">
        <v>754895</v>
      </c>
      <c r="AC29" s="141">
        <v>-5601</v>
      </c>
      <c r="AD29" s="141">
        <v>749294</v>
      </c>
      <c r="AE29" s="141">
        <v>-754895</v>
      </c>
      <c r="AF29" s="141">
        <v>5601</v>
      </c>
      <c r="AG29" s="141">
        <v>-749294</v>
      </c>
      <c r="AH29" s="141">
        <v>-9186770</v>
      </c>
      <c r="AI29" s="141">
        <v>-231930</v>
      </c>
      <c r="AJ29" s="141">
        <v>-9418700</v>
      </c>
      <c r="AK29" s="141">
        <v>-4664</v>
      </c>
      <c r="AL29" s="141">
        <v>0</v>
      </c>
      <c r="AM29" s="141">
        <v>-4664</v>
      </c>
      <c r="AN29" s="141">
        <v>1037474</v>
      </c>
      <c r="AO29" s="141">
        <v>50141</v>
      </c>
      <c r="AP29" s="141">
        <v>1087615</v>
      </c>
      <c r="AQ29" s="141">
        <v>-8149296</v>
      </c>
      <c r="AR29" s="141">
        <v>-181789</v>
      </c>
      <c r="AS29" s="141">
        <v>-8331085</v>
      </c>
      <c r="AT29" s="141">
        <v>-2907718</v>
      </c>
      <c r="AU29" s="141">
        <v>-28450</v>
      </c>
      <c r="AV29" s="141">
        <v>-2936168</v>
      </c>
      <c r="AW29" s="141">
        <v>0</v>
      </c>
      <c r="AX29" s="141">
        <v>0</v>
      </c>
      <c r="AY29" s="141">
        <v>0</v>
      </c>
      <c r="AZ29" s="141">
        <v>0</v>
      </c>
      <c r="BA29" s="141">
        <v>0</v>
      </c>
      <c r="BB29" s="141">
        <v>0</v>
      </c>
      <c r="BC29" s="141">
        <v>-11057014</v>
      </c>
      <c r="BD29" s="141">
        <v>-210239</v>
      </c>
      <c r="BE29" s="141">
        <v>-1500000</v>
      </c>
      <c r="BF29" s="141">
        <v>-21000</v>
      </c>
      <c r="BG29" s="141">
        <v>-12557014</v>
      </c>
      <c r="BH29" s="141">
        <v>-231239</v>
      </c>
      <c r="BI29" s="141">
        <v>-12788253</v>
      </c>
      <c r="BJ29" s="141">
        <v>-10000</v>
      </c>
      <c r="BK29" s="141">
        <v>0</v>
      </c>
      <c r="BL29" s="141">
        <v>-10000</v>
      </c>
      <c r="BM29" s="141">
        <v>-1583925</v>
      </c>
      <c r="BN29" s="141">
        <v>-194717</v>
      </c>
      <c r="BO29" s="141">
        <v>-1778642</v>
      </c>
      <c r="BP29" s="141">
        <v>-1593925</v>
      </c>
      <c r="BQ29" s="141">
        <v>-194717</v>
      </c>
      <c r="BR29" s="141">
        <v>-750000</v>
      </c>
      <c r="BS29" s="141">
        <v>-49000</v>
      </c>
      <c r="BT29" s="141">
        <v>-2343925</v>
      </c>
      <c r="BU29" s="141">
        <v>-243717</v>
      </c>
      <c r="BV29" s="141">
        <v>-2587642</v>
      </c>
      <c r="BW29" s="141">
        <v>-4259</v>
      </c>
      <c r="BX29" s="141">
        <v>0</v>
      </c>
      <c r="BY29" s="141">
        <v>-4259</v>
      </c>
      <c r="BZ29" s="141">
        <v>-18339</v>
      </c>
      <c r="CA29" s="141">
        <v>-6285</v>
      </c>
      <c r="CB29" s="141">
        <v>-24624</v>
      </c>
      <c r="CC29" s="141">
        <v>0</v>
      </c>
      <c r="CD29" s="141">
        <v>0</v>
      </c>
      <c r="CE29" s="141">
        <v>0</v>
      </c>
      <c r="CF29" s="141">
        <v>0</v>
      </c>
      <c r="CG29" s="141">
        <v>0</v>
      </c>
      <c r="CH29" s="141">
        <v>0</v>
      </c>
      <c r="CI29" s="141">
        <v>0</v>
      </c>
      <c r="CJ29" s="141">
        <v>0</v>
      </c>
      <c r="CK29" s="141">
        <v>0</v>
      </c>
      <c r="CL29" s="141">
        <v>0</v>
      </c>
      <c r="CM29" s="141">
        <v>-251514</v>
      </c>
      <c r="CN29" s="141">
        <v>-251514</v>
      </c>
      <c r="CO29" s="141">
        <v>-251514</v>
      </c>
      <c r="CP29" s="141">
        <v>0</v>
      </c>
      <c r="CQ29" s="141">
        <v>-22598</v>
      </c>
      <c r="CR29" s="141">
        <v>-257799</v>
      </c>
      <c r="CS29" s="141">
        <v>0</v>
      </c>
      <c r="CT29" s="141">
        <v>-48000</v>
      </c>
      <c r="CU29" s="141">
        <v>-22598</v>
      </c>
      <c r="CV29" s="141">
        <v>-305799</v>
      </c>
      <c r="CW29" s="141">
        <v>-328397</v>
      </c>
      <c r="CX29" s="141">
        <v>0</v>
      </c>
      <c r="CY29" s="141">
        <v>0</v>
      </c>
      <c r="CZ29" s="141">
        <v>0</v>
      </c>
      <c r="DA29" s="141">
        <v>0</v>
      </c>
      <c r="DB29" s="141">
        <v>0</v>
      </c>
      <c r="DC29" s="141">
        <v>0</v>
      </c>
      <c r="DD29" s="141">
        <v>-47341</v>
      </c>
      <c r="DE29" s="141">
        <v>-1048</v>
      </c>
      <c r="DF29" s="141">
        <v>-48389</v>
      </c>
      <c r="DG29" s="141">
        <v>-45792</v>
      </c>
      <c r="DH29" s="141">
        <v>0</v>
      </c>
      <c r="DI29" s="141">
        <v>-45792</v>
      </c>
      <c r="DJ29" s="141">
        <v>0</v>
      </c>
      <c r="DK29" s="141">
        <v>0</v>
      </c>
      <c r="DL29" s="141">
        <v>0</v>
      </c>
      <c r="DM29" s="141">
        <v>-1100000</v>
      </c>
      <c r="DN29" s="141">
        <v>0</v>
      </c>
      <c r="DO29" s="141">
        <v>-1100000</v>
      </c>
      <c r="DP29" s="141">
        <v>-1193133</v>
      </c>
      <c r="DQ29" s="141">
        <v>-1048</v>
      </c>
      <c r="DR29" s="141">
        <v>0</v>
      </c>
      <c r="DS29" s="141">
        <v>0</v>
      </c>
      <c r="DT29" s="141">
        <v>-1193133</v>
      </c>
      <c r="DU29" s="141">
        <v>-1048</v>
      </c>
      <c r="DV29" s="141">
        <v>-1194181</v>
      </c>
      <c r="DW29" s="856">
        <v>42608665</v>
      </c>
      <c r="DX29" s="856">
        <v>2031585</v>
      </c>
      <c r="DY29" s="857">
        <v>44640250</v>
      </c>
      <c r="DZ29" t="s">
        <v>1595</v>
      </c>
    </row>
    <row r="30" spans="1:130" ht="12.75" x14ac:dyDescent="0.2">
      <c r="A30" s="764">
        <v>23</v>
      </c>
      <c r="B30" s="765" t="s">
        <v>724</v>
      </c>
      <c r="C30" s="766" t="s">
        <v>1217</v>
      </c>
      <c r="D30" s="767" t="s">
        <v>1220</v>
      </c>
      <c r="E30" s="768" t="s">
        <v>723</v>
      </c>
      <c r="F30" s="867">
        <v>43453</v>
      </c>
      <c r="G30" s="141">
        <v>63763038</v>
      </c>
      <c r="H30" s="141">
        <v>0</v>
      </c>
      <c r="I30" s="141">
        <v>63763038</v>
      </c>
      <c r="J30" s="141">
        <v>49.1</v>
      </c>
      <c r="K30" s="141">
        <v>31307652</v>
      </c>
      <c r="L30" s="141">
        <v>0</v>
      </c>
      <c r="M30" s="141">
        <v>0</v>
      </c>
      <c r="N30" s="141">
        <v>0</v>
      </c>
      <c r="O30" s="141">
        <v>31307652</v>
      </c>
      <c r="P30" s="141">
        <v>0</v>
      </c>
      <c r="Q30" s="141">
        <v>31307652</v>
      </c>
      <c r="R30" s="141">
        <v>-415700</v>
      </c>
      <c r="S30" s="141">
        <v>0</v>
      </c>
      <c r="T30" s="141">
        <v>-415700</v>
      </c>
      <c r="U30" s="141">
        <v>405019</v>
      </c>
      <c r="V30" s="141">
        <v>0</v>
      </c>
      <c r="W30" s="141">
        <v>405019</v>
      </c>
      <c r="X30" s="141">
        <v>-10681</v>
      </c>
      <c r="Y30" s="141">
        <v>0</v>
      </c>
      <c r="Z30" s="141">
        <v>0</v>
      </c>
      <c r="AA30" s="141">
        <v>0</v>
      </c>
      <c r="AB30" s="141">
        <v>-10681</v>
      </c>
      <c r="AC30" s="141">
        <v>0</v>
      </c>
      <c r="AD30" s="141">
        <v>-10681</v>
      </c>
      <c r="AE30" s="141">
        <v>10681</v>
      </c>
      <c r="AF30" s="141">
        <v>0</v>
      </c>
      <c r="AG30" s="141">
        <v>10681</v>
      </c>
      <c r="AH30" s="141">
        <v>-1969470</v>
      </c>
      <c r="AI30" s="141">
        <v>0</v>
      </c>
      <c r="AJ30" s="141">
        <v>-1969470</v>
      </c>
      <c r="AK30" s="141">
        <v>-19629</v>
      </c>
      <c r="AL30" s="141">
        <v>0</v>
      </c>
      <c r="AM30" s="141">
        <v>-19629</v>
      </c>
      <c r="AN30" s="141">
        <v>638173</v>
      </c>
      <c r="AO30" s="141">
        <v>0</v>
      </c>
      <c r="AP30" s="141">
        <v>638173</v>
      </c>
      <c r="AQ30" s="141">
        <v>-1331297</v>
      </c>
      <c r="AR30" s="141">
        <v>0</v>
      </c>
      <c r="AS30" s="141">
        <v>-1331297</v>
      </c>
      <c r="AT30" s="141">
        <v>-982831</v>
      </c>
      <c r="AU30" s="141">
        <v>0</v>
      </c>
      <c r="AV30" s="141">
        <v>-982831</v>
      </c>
      <c r="AW30" s="141">
        <v>0</v>
      </c>
      <c r="AX30" s="141">
        <v>0</v>
      </c>
      <c r="AY30" s="141">
        <v>0</v>
      </c>
      <c r="AZ30" s="141">
        <v>-9163</v>
      </c>
      <c r="BA30" s="141">
        <v>0</v>
      </c>
      <c r="BB30" s="141">
        <v>-9163</v>
      </c>
      <c r="BC30" s="141">
        <v>-2323291</v>
      </c>
      <c r="BD30" s="141">
        <v>0</v>
      </c>
      <c r="BE30" s="141">
        <v>0</v>
      </c>
      <c r="BF30" s="141">
        <v>0</v>
      </c>
      <c r="BG30" s="141">
        <v>-2323291</v>
      </c>
      <c r="BH30" s="141">
        <v>0</v>
      </c>
      <c r="BI30" s="141">
        <v>-2323291</v>
      </c>
      <c r="BJ30" s="141">
        <v>0</v>
      </c>
      <c r="BK30" s="141">
        <v>0</v>
      </c>
      <c r="BL30" s="141">
        <v>0</v>
      </c>
      <c r="BM30" s="141">
        <v>-374002</v>
      </c>
      <c r="BN30" s="141">
        <v>0</v>
      </c>
      <c r="BO30" s="141">
        <v>-374002</v>
      </c>
      <c r="BP30" s="141">
        <v>-374002</v>
      </c>
      <c r="BQ30" s="141">
        <v>0</v>
      </c>
      <c r="BR30" s="141">
        <v>0</v>
      </c>
      <c r="BS30" s="141">
        <v>0</v>
      </c>
      <c r="BT30" s="141">
        <v>-374002</v>
      </c>
      <c r="BU30" s="141">
        <v>0</v>
      </c>
      <c r="BV30" s="141">
        <v>-374002</v>
      </c>
      <c r="BW30" s="141">
        <v>0</v>
      </c>
      <c r="BX30" s="141">
        <v>0</v>
      </c>
      <c r="BY30" s="141">
        <v>0</v>
      </c>
      <c r="BZ30" s="141">
        <v>-24325</v>
      </c>
      <c r="CA30" s="141">
        <v>0</v>
      </c>
      <c r="CB30" s="141">
        <v>-24325</v>
      </c>
      <c r="CC30" s="141">
        <v>0</v>
      </c>
      <c r="CD30" s="141">
        <v>0</v>
      </c>
      <c r="CE30" s="141">
        <v>0</v>
      </c>
      <c r="CF30" s="141">
        <v>0</v>
      </c>
      <c r="CG30" s="141">
        <v>0</v>
      </c>
      <c r="CH30" s="141">
        <v>0</v>
      </c>
      <c r="CI30" s="141">
        <v>0</v>
      </c>
      <c r="CJ30" s="141">
        <v>0</v>
      </c>
      <c r="CK30" s="141">
        <v>0</v>
      </c>
      <c r="CL30" s="141">
        <v>0</v>
      </c>
      <c r="CM30" s="141">
        <v>0</v>
      </c>
      <c r="CN30" s="141">
        <v>0</v>
      </c>
      <c r="CO30" s="141">
        <v>0</v>
      </c>
      <c r="CP30" s="141">
        <v>0</v>
      </c>
      <c r="CQ30" s="141">
        <v>-24325</v>
      </c>
      <c r="CR30" s="141">
        <v>0</v>
      </c>
      <c r="CS30" s="141">
        <v>0</v>
      </c>
      <c r="CT30" s="141">
        <v>0</v>
      </c>
      <c r="CU30" s="141">
        <v>-24325</v>
      </c>
      <c r="CV30" s="141">
        <v>0</v>
      </c>
      <c r="CW30" s="141">
        <v>-24325</v>
      </c>
      <c r="CX30" s="141">
        <v>-9163</v>
      </c>
      <c r="CY30" s="141">
        <v>0</v>
      </c>
      <c r="CZ30" s="141">
        <v>-9163</v>
      </c>
      <c r="DA30" s="141">
        <v>0</v>
      </c>
      <c r="DB30" s="141">
        <v>0</v>
      </c>
      <c r="DC30" s="141">
        <v>0</v>
      </c>
      <c r="DD30" s="141">
        <v>-8321</v>
      </c>
      <c r="DE30" s="141">
        <v>0</v>
      </c>
      <c r="DF30" s="141">
        <v>-8321</v>
      </c>
      <c r="DG30" s="141">
        <v>-35525</v>
      </c>
      <c r="DH30" s="141">
        <v>0</v>
      </c>
      <c r="DI30" s="141">
        <v>-35525</v>
      </c>
      <c r="DJ30" s="141">
        <v>0</v>
      </c>
      <c r="DK30" s="141">
        <v>0</v>
      </c>
      <c r="DL30" s="141">
        <v>0</v>
      </c>
      <c r="DM30" s="141">
        <v>-351266</v>
      </c>
      <c r="DN30" s="141">
        <v>0</v>
      </c>
      <c r="DO30" s="141">
        <v>-351266</v>
      </c>
      <c r="DP30" s="141">
        <v>-404275</v>
      </c>
      <c r="DQ30" s="141">
        <v>0</v>
      </c>
      <c r="DR30" s="141">
        <v>0</v>
      </c>
      <c r="DS30" s="141">
        <v>0</v>
      </c>
      <c r="DT30" s="141">
        <v>-404275</v>
      </c>
      <c r="DU30" s="141">
        <v>0</v>
      </c>
      <c r="DV30" s="141">
        <v>-404275</v>
      </c>
      <c r="DW30" s="856">
        <v>28171078</v>
      </c>
      <c r="DX30" s="856">
        <v>0</v>
      </c>
      <c r="DY30" s="857">
        <v>28171078</v>
      </c>
      <c r="DZ30" t="s">
        <v>1596</v>
      </c>
    </row>
    <row r="31" spans="1:130" ht="12.75" x14ac:dyDescent="0.2">
      <c r="A31" s="764">
        <v>24</v>
      </c>
      <c r="B31" s="765" t="s">
        <v>726</v>
      </c>
      <c r="C31" s="766" t="s">
        <v>1224</v>
      </c>
      <c r="D31" s="767" t="s">
        <v>1219</v>
      </c>
      <c r="E31" s="768" t="s">
        <v>725</v>
      </c>
      <c r="F31" s="867">
        <v>43465</v>
      </c>
      <c r="G31" s="141">
        <v>230641271</v>
      </c>
      <c r="H31" s="141">
        <v>0</v>
      </c>
      <c r="I31" s="141">
        <v>230641271</v>
      </c>
      <c r="J31" s="141">
        <v>49.1</v>
      </c>
      <c r="K31" s="141">
        <v>113244864</v>
      </c>
      <c r="L31" s="141">
        <v>0</v>
      </c>
      <c r="M31" s="141">
        <v>0</v>
      </c>
      <c r="N31" s="141">
        <v>0</v>
      </c>
      <c r="O31" s="141">
        <v>113244864</v>
      </c>
      <c r="P31" s="141">
        <v>0</v>
      </c>
      <c r="Q31" s="141">
        <v>113244864</v>
      </c>
      <c r="R31" s="141">
        <v>-966054</v>
      </c>
      <c r="S31" s="141">
        <v>0</v>
      </c>
      <c r="T31" s="141">
        <v>-966054</v>
      </c>
      <c r="U31" s="141">
        <v>2853448</v>
      </c>
      <c r="V31" s="141">
        <v>0</v>
      </c>
      <c r="W31" s="141">
        <v>2853448</v>
      </c>
      <c r="X31" s="141">
        <v>1887394</v>
      </c>
      <c r="Y31" s="141">
        <v>0</v>
      </c>
      <c r="Z31" s="141">
        <v>0</v>
      </c>
      <c r="AA31" s="141">
        <v>0</v>
      </c>
      <c r="AB31" s="141">
        <v>1887394</v>
      </c>
      <c r="AC31" s="141">
        <v>0</v>
      </c>
      <c r="AD31" s="141">
        <v>1887394</v>
      </c>
      <c r="AE31" s="141">
        <v>-1887394</v>
      </c>
      <c r="AF31" s="141">
        <v>0</v>
      </c>
      <c r="AG31" s="141">
        <v>-1887394</v>
      </c>
      <c r="AH31" s="141">
        <v>-12000000</v>
      </c>
      <c r="AI31" s="141">
        <v>0</v>
      </c>
      <c r="AJ31" s="141">
        <v>-12000000</v>
      </c>
      <c r="AK31" s="141">
        <v>0</v>
      </c>
      <c r="AL31" s="141">
        <v>0</v>
      </c>
      <c r="AM31" s="141">
        <v>0</v>
      </c>
      <c r="AN31" s="141">
        <v>2000000</v>
      </c>
      <c r="AO31" s="141">
        <v>0</v>
      </c>
      <c r="AP31" s="141">
        <v>2000000</v>
      </c>
      <c r="AQ31" s="141">
        <v>-10000000</v>
      </c>
      <c r="AR31" s="141">
        <v>0</v>
      </c>
      <c r="AS31" s="141">
        <v>-10000000</v>
      </c>
      <c r="AT31" s="141">
        <v>-7500000</v>
      </c>
      <c r="AU31" s="141">
        <v>0</v>
      </c>
      <c r="AV31" s="141">
        <v>-7500000</v>
      </c>
      <c r="AW31" s="141">
        <v>-100000</v>
      </c>
      <c r="AX31" s="141">
        <v>0</v>
      </c>
      <c r="AY31" s="141">
        <v>-100000</v>
      </c>
      <c r="AZ31" s="141">
        <v>0</v>
      </c>
      <c r="BA31" s="141">
        <v>0</v>
      </c>
      <c r="BB31" s="141">
        <v>0</v>
      </c>
      <c r="BC31" s="141">
        <v>-17600000</v>
      </c>
      <c r="BD31" s="141">
        <v>0</v>
      </c>
      <c r="BE31" s="141">
        <v>0</v>
      </c>
      <c r="BF31" s="141">
        <v>0</v>
      </c>
      <c r="BG31" s="141">
        <v>-17600000</v>
      </c>
      <c r="BH31" s="141">
        <v>0</v>
      </c>
      <c r="BI31" s="141">
        <v>-17600000</v>
      </c>
      <c r="BJ31" s="141">
        <v>0</v>
      </c>
      <c r="BK31" s="141">
        <v>0</v>
      </c>
      <c r="BL31" s="141">
        <v>0</v>
      </c>
      <c r="BM31" s="141">
        <v>-4530000</v>
      </c>
      <c r="BN31" s="141">
        <v>0</v>
      </c>
      <c r="BO31" s="141">
        <v>-4530000</v>
      </c>
      <c r="BP31" s="141">
        <v>-4530000</v>
      </c>
      <c r="BQ31" s="141">
        <v>0</v>
      </c>
      <c r="BR31" s="141">
        <v>0</v>
      </c>
      <c r="BS31" s="141">
        <v>0</v>
      </c>
      <c r="BT31" s="141">
        <v>-4530000</v>
      </c>
      <c r="BU31" s="141">
        <v>0</v>
      </c>
      <c r="BV31" s="141">
        <v>-4530000</v>
      </c>
      <c r="BW31" s="141">
        <v>-600000</v>
      </c>
      <c r="BX31" s="141">
        <v>0</v>
      </c>
      <c r="BY31" s="141">
        <v>-600000</v>
      </c>
      <c r="BZ31" s="141">
        <v>-310000</v>
      </c>
      <c r="CA31" s="141">
        <v>0</v>
      </c>
      <c r="CB31" s="141">
        <v>-310000</v>
      </c>
      <c r="CC31" s="141">
        <v>-5000</v>
      </c>
      <c r="CD31" s="141">
        <v>0</v>
      </c>
      <c r="CE31" s="141">
        <v>-5000</v>
      </c>
      <c r="CF31" s="141">
        <v>0</v>
      </c>
      <c r="CG31" s="141">
        <v>0</v>
      </c>
      <c r="CH31" s="141">
        <v>0</v>
      </c>
      <c r="CI31" s="141">
        <v>0</v>
      </c>
      <c r="CJ31" s="141">
        <v>0</v>
      </c>
      <c r="CK31" s="141">
        <v>0</v>
      </c>
      <c r="CL31" s="141">
        <v>0</v>
      </c>
      <c r="CM31" s="141">
        <v>0</v>
      </c>
      <c r="CN31" s="141">
        <v>0</v>
      </c>
      <c r="CO31" s="141">
        <v>0</v>
      </c>
      <c r="CP31" s="141">
        <v>0</v>
      </c>
      <c r="CQ31" s="141">
        <v>-915000</v>
      </c>
      <c r="CR31" s="141">
        <v>0</v>
      </c>
      <c r="CS31" s="141">
        <v>0</v>
      </c>
      <c r="CT31" s="141">
        <v>0</v>
      </c>
      <c r="CU31" s="141">
        <v>-915000</v>
      </c>
      <c r="CV31" s="141">
        <v>0</v>
      </c>
      <c r="CW31" s="141">
        <v>-915000</v>
      </c>
      <c r="CX31" s="141">
        <v>0</v>
      </c>
      <c r="CY31" s="141">
        <v>0</v>
      </c>
      <c r="CZ31" s="141">
        <v>0</v>
      </c>
      <c r="DA31" s="141">
        <v>-1500</v>
      </c>
      <c r="DB31" s="141">
        <v>0</v>
      </c>
      <c r="DC31" s="141">
        <v>-1500</v>
      </c>
      <c r="DD31" s="141">
        <v>-40000</v>
      </c>
      <c r="DE31" s="141">
        <v>0</v>
      </c>
      <c r="DF31" s="141">
        <v>-40000</v>
      </c>
      <c r="DG31" s="141">
        <v>-83865</v>
      </c>
      <c r="DH31" s="141">
        <v>0</v>
      </c>
      <c r="DI31" s="141">
        <v>-83865</v>
      </c>
      <c r="DJ31" s="141">
        <v>0</v>
      </c>
      <c r="DK31" s="141">
        <v>0</v>
      </c>
      <c r="DL31" s="141">
        <v>0</v>
      </c>
      <c r="DM31" s="141">
        <v>-2000000</v>
      </c>
      <c r="DN31" s="141">
        <v>0</v>
      </c>
      <c r="DO31" s="141">
        <v>-2000000</v>
      </c>
      <c r="DP31" s="141">
        <v>-2125365</v>
      </c>
      <c r="DQ31" s="141">
        <v>0</v>
      </c>
      <c r="DR31" s="141">
        <v>0</v>
      </c>
      <c r="DS31" s="141">
        <v>0</v>
      </c>
      <c r="DT31" s="141">
        <v>-2125365</v>
      </c>
      <c r="DU31" s="141">
        <v>0</v>
      </c>
      <c r="DV31" s="141">
        <v>-2125365</v>
      </c>
      <c r="DW31" s="856">
        <v>89961893</v>
      </c>
      <c r="DX31" s="856">
        <v>0</v>
      </c>
      <c r="DY31" s="857">
        <v>89961893</v>
      </c>
      <c r="DZ31" t="s">
        <v>1597</v>
      </c>
    </row>
    <row r="32" spans="1:130" ht="12.75" x14ac:dyDescent="0.2">
      <c r="A32" s="764">
        <v>25</v>
      </c>
      <c r="B32" s="765" t="s">
        <v>728</v>
      </c>
      <c r="C32" s="766" t="s">
        <v>1217</v>
      </c>
      <c r="D32" s="767" t="s">
        <v>1220</v>
      </c>
      <c r="E32" s="768" t="s">
        <v>727</v>
      </c>
      <c r="F32" s="867">
        <v>43474</v>
      </c>
      <c r="G32" s="141">
        <v>53737599</v>
      </c>
      <c r="H32" s="141">
        <v>0</v>
      </c>
      <c r="I32" s="141">
        <v>53737599</v>
      </c>
      <c r="J32" s="141">
        <v>49.1</v>
      </c>
      <c r="K32" s="141">
        <v>26385161</v>
      </c>
      <c r="L32" s="141">
        <v>0</v>
      </c>
      <c r="M32" s="141">
        <v>0</v>
      </c>
      <c r="N32" s="141">
        <v>0</v>
      </c>
      <c r="O32" s="141">
        <v>26385161</v>
      </c>
      <c r="P32" s="141">
        <v>0</v>
      </c>
      <c r="Q32" s="141">
        <v>26385161</v>
      </c>
      <c r="R32" s="141">
        <v>-309175</v>
      </c>
      <c r="S32" s="141">
        <v>0</v>
      </c>
      <c r="T32" s="141">
        <v>-309175</v>
      </c>
      <c r="U32" s="141">
        <v>105639</v>
      </c>
      <c r="V32" s="141">
        <v>0</v>
      </c>
      <c r="W32" s="141">
        <v>105639</v>
      </c>
      <c r="X32" s="141">
        <v>-203536</v>
      </c>
      <c r="Y32" s="141">
        <v>0</v>
      </c>
      <c r="Z32" s="141">
        <v>0</v>
      </c>
      <c r="AA32" s="141">
        <v>0</v>
      </c>
      <c r="AB32" s="141">
        <v>-203536</v>
      </c>
      <c r="AC32" s="141">
        <v>0</v>
      </c>
      <c r="AD32" s="141">
        <v>-203536</v>
      </c>
      <c r="AE32" s="141">
        <v>203536</v>
      </c>
      <c r="AF32" s="141">
        <v>0</v>
      </c>
      <c r="AG32" s="141">
        <v>203536</v>
      </c>
      <c r="AH32" s="141">
        <v>-2568103</v>
      </c>
      <c r="AI32" s="141">
        <v>0</v>
      </c>
      <c r="AJ32" s="141">
        <v>-2568103</v>
      </c>
      <c r="AK32" s="141">
        <v>0</v>
      </c>
      <c r="AL32" s="141">
        <v>0</v>
      </c>
      <c r="AM32" s="141">
        <v>0</v>
      </c>
      <c r="AN32" s="141">
        <v>475544</v>
      </c>
      <c r="AO32" s="141">
        <v>0</v>
      </c>
      <c r="AP32" s="141">
        <v>475544</v>
      </c>
      <c r="AQ32" s="141">
        <v>-2092559</v>
      </c>
      <c r="AR32" s="141">
        <v>0</v>
      </c>
      <c r="AS32" s="141">
        <v>-2092559</v>
      </c>
      <c r="AT32" s="141">
        <v>-1747931</v>
      </c>
      <c r="AU32" s="141">
        <v>0</v>
      </c>
      <c r="AV32" s="141">
        <v>-1747931</v>
      </c>
      <c r="AW32" s="141">
        <v>-83396</v>
      </c>
      <c r="AX32" s="141">
        <v>0</v>
      </c>
      <c r="AY32" s="141">
        <v>-83396</v>
      </c>
      <c r="AZ32" s="141">
        <v>-17837</v>
      </c>
      <c r="BA32" s="141">
        <v>0</v>
      </c>
      <c r="BB32" s="141">
        <v>-17837</v>
      </c>
      <c r="BC32" s="141">
        <v>-3941723</v>
      </c>
      <c r="BD32" s="141">
        <v>0</v>
      </c>
      <c r="BE32" s="141">
        <v>0</v>
      </c>
      <c r="BF32" s="141">
        <v>0</v>
      </c>
      <c r="BG32" s="141">
        <v>-3941723</v>
      </c>
      <c r="BH32" s="141">
        <v>0</v>
      </c>
      <c r="BI32" s="141">
        <v>-3941723</v>
      </c>
      <c r="BJ32" s="141">
        <v>0</v>
      </c>
      <c r="BK32" s="141">
        <v>0</v>
      </c>
      <c r="BL32" s="141">
        <v>0</v>
      </c>
      <c r="BM32" s="141">
        <v>-766089</v>
      </c>
      <c r="BN32" s="141">
        <v>0</v>
      </c>
      <c r="BO32" s="141">
        <v>-766089</v>
      </c>
      <c r="BP32" s="141">
        <v>-766089</v>
      </c>
      <c r="BQ32" s="141">
        <v>0</v>
      </c>
      <c r="BR32" s="141">
        <v>-233911</v>
      </c>
      <c r="BS32" s="141">
        <v>0</v>
      </c>
      <c r="BT32" s="141">
        <v>-1000000</v>
      </c>
      <c r="BU32" s="141">
        <v>0</v>
      </c>
      <c r="BV32" s="141">
        <v>-1000000</v>
      </c>
      <c r="BW32" s="141">
        <v>-49189</v>
      </c>
      <c r="BX32" s="141">
        <v>0</v>
      </c>
      <c r="BY32" s="141">
        <v>-49189</v>
      </c>
      <c r="BZ32" s="141">
        <v>-13947</v>
      </c>
      <c r="CA32" s="141">
        <v>0</v>
      </c>
      <c r="CB32" s="141">
        <v>-13947</v>
      </c>
      <c r="CC32" s="141">
        <v>-15637</v>
      </c>
      <c r="CD32" s="141">
        <v>0</v>
      </c>
      <c r="CE32" s="141">
        <v>-15637</v>
      </c>
      <c r="CF32" s="141">
        <v>0</v>
      </c>
      <c r="CG32" s="141">
        <v>0</v>
      </c>
      <c r="CH32" s="141">
        <v>0</v>
      </c>
      <c r="CI32" s="141">
        <v>0</v>
      </c>
      <c r="CJ32" s="141">
        <v>0</v>
      </c>
      <c r="CK32" s="141">
        <v>0</v>
      </c>
      <c r="CL32" s="141">
        <v>0</v>
      </c>
      <c r="CM32" s="141">
        <v>0</v>
      </c>
      <c r="CN32" s="141">
        <v>0</v>
      </c>
      <c r="CO32" s="141">
        <v>0</v>
      </c>
      <c r="CP32" s="141">
        <v>0</v>
      </c>
      <c r="CQ32" s="141">
        <v>-78773</v>
      </c>
      <c r="CR32" s="141">
        <v>0</v>
      </c>
      <c r="CS32" s="141">
        <v>0</v>
      </c>
      <c r="CT32" s="141">
        <v>0</v>
      </c>
      <c r="CU32" s="141">
        <v>-78773</v>
      </c>
      <c r="CV32" s="141">
        <v>0</v>
      </c>
      <c r="CW32" s="141">
        <v>-78773</v>
      </c>
      <c r="CX32" s="141">
        <v>-15971</v>
      </c>
      <c r="CY32" s="141">
        <v>0</v>
      </c>
      <c r="CZ32" s="141">
        <v>-15971</v>
      </c>
      <c r="DA32" s="141">
        <v>-3000</v>
      </c>
      <c r="DB32" s="141">
        <v>0</v>
      </c>
      <c r="DC32" s="141">
        <v>-3000</v>
      </c>
      <c r="DD32" s="141">
        <v>-7249</v>
      </c>
      <c r="DE32" s="141">
        <v>0</v>
      </c>
      <c r="DF32" s="141">
        <v>-7249</v>
      </c>
      <c r="DG32" s="141">
        <v>-26638</v>
      </c>
      <c r="DH32" s="141">
        <v>0</v>
      </c>
      <c r="DI32" s="141">
        <v>-26638</v>
      </c>
      <c r="DJ32" s="141">
        <v>0</v>
      </c>
      <c r="DK32" s="141">
        <v>0</v>
      </c>
      <c r="DL32" s="141">
        <v>0</v>
      </c>
      <c r="DM32" s="141">
        <v>-602656</v>
      </c>
      <c r="DN32" s="141">
        <v>0</v>
      </c>
      <c r="DO32" s="141">
        <v>-602656</v>
      </c>
      <c r="DP32" s="141">
        <v>-655514</v>
      </c>
      <c r="DQ32" s="141">
        <v>0</v>
      </c>
      <c r="DR32" s="141">
        <v>0</v>
      </c>
      <c r="DS32" s="141">
        <v>0</v>
      </c>
      <c r="DT32" s="141">
        <v>-655514</v>
      </c>
      <c r="DU32" s="141">
        <v>0</v>
      </c>
      <c r="DV32" s="141">
        <v>-655514</v>
      </c>
      <c r="DW32" s="856">
        <v>20505615</v>
      </c>
      <c r="DX32" s="856">
        <v>0</v>
      </c>
      <c r="DY32" s="857">
        <v>20505615</v>
      </c>
      <c r="DZ32" t="s">
        <v>1598</v>
      </c>
    </row>
    <row r="33" spans="1:130" ht="12.75" x14ac:dyDescent="0.2">
      <c r="A33" s="764">
        <v>26</v>
      </c>
      <c r="B33" s="765" t="s">
        <v>1144</v>
      </c>
      <c r="C33" s="766" t="s">
        <v>529</v>
      </c>
      <c r="D33" s="767" t="s">
        <v>1226</v>
      </c>
      <c r="E33" s="768" t="s">
        <v>1167</v>
      </c>
      <c r="F33" s="867">
        <v>43465</v>
      </c>
      <c r="G33" s="141">
        <v>376645469</v>
      </c>
      <c r="H33" s="141">
        <v>0</v>
      </c>
      <c r="I33" s="141">
        <v>376645469</v>
      </c>
      <c r="J33" s="141">
        <v>49.1</v>
      </c>
      <c r="K33" s="141">
        <v>184932925</v>
      </c>
      <c r="L33" s="141">
        <v>0</v>
      </c>
      <c r="M33" s="141">
        <v>-4500000</v>
      </c>
      <c r="N33" s="141">
        <v>0</v>
      </c>
      <c r="O33" s="141">
        <v>180432925</v>
      </c>
      <c r="P33" s="141">
        <v>0</v>
      </c>
      <c r="Q33" s="141">
        <v>180432925</v>
      </c>
      <c r="R33" s="141">
        <v>-2054515</v>
      </c>
      <c r="S33" s="141">
        <v>0</v>
      </c>
      <c r="T33" s="141">
        <v>-2054515</v>
      </c>
      <c r="U33" s="141">
        <v>2944262</v>
      </c>
      <c r="V33" s="141">
        <v>0</v>
      </c>
      <c r="W33" s="141">
        <v>2944262</v>
      </c>
      <c r="X33" s="141">
        <v>889747</v>
      </c>
      <c r="Y33" s="141">
        <v>0</v>
      </c>
      <c r="Z33" s="141">
        <v>0</v>
      </c>
      <c r="AA33" s="141">
        <v>0</v>
      </c>
      <c r="AB33" s="141">
        <v>889747</v>
      </c>
      <c r="AC33" s="141">
        <v>0</v>
      </c>
      <c r="AD33" s="141">
        <v>889747</v>
      </c>
      <c r="AE33" s="141">
        <v>-889747</v>
      </c>
      <c r="AF33" s="141">
        <v>0</v>
      </c>
      <c r="AG33" s="141">
        <v>-889747</v>
      </c>
      <c r="AH33" s="141">
        <v>-15338090</v>
      </c>
      <c r="AI33" s="141">
        <v>0</v>
      </c>
      <c r="AJ33" s="141">
        <v>-15338090</v>
      </c>
      <c r="AK33" s="141">
        <v>-16584</v>
      </c>
      <c r="AL33" s="141">
        <v>0</v>
      </c>
      <c r="AM33" s="141">
        <v>-16584</v>
      </c>
      <c r="AN33" s="141">
        <v>3450890</v>
      </c>
      <c r="AO33" s="141">
        <v>0</v>
      </c>
      <c r="AP33" s="141">
        <v>3450890</v>
      </c>
      <c r="AQ33" s="141">
        <v>-11887200</v>
      </c>
      <c r="AR33" s="141">
        <v>0</v>
      </c>
      <c r="AS33" s="141">
        <v>-11887200</v>
      </c>
      <c r="AT33" s="141">
        <v>-13401503</v>
      </c>
      <c r="AU33" s="141">
        <v>0</v>
      </c>
      <c r="AV33" s="141">
        <v>-13401503</v>
      </c>
      <c r="AW33" s="141">
        <v>-235314</v>
      </c>
      <c r="AX33" s="141">
        <v>0</v>
      </c>
      <c r="AY33" s="141">
        <v>-235314</v>
      </c>
      <c r="AZ33" s="141">
        <v>0</v>
      </c>
      <c r="BA33" s="141">
        <v>0</v>
      </c>
      <c r="BB33" s="141">
        <v>0</v>
      </c>
      <c r="BC33" s="141">
        <v>-25524017</v>
      </c>
      <c r="BD33" s="141">
        <v>0</v>
      </c>
      <c r="BE33" s="141">
        <v>0</v>
      </c>
      <c r="BF33" s="141">
        <v>0</v>
      </c>
      <c r="BG33" s="141">
        <v>-25524017</v>
      </c>
      <c r="BH33" s="141">
        <v>0</v>
      </c>
      <c r="BI33" s="141">
        <v>-25524017</v>
      </c>
      <c r="BJ33" s="141">
        <v>0</v>
      </c>
      <c r="BK33" s="141">
        <v>0</v>
      </c>
      <c r="BL33" s="141">
        <v>0</v>
      </c>
      <c r="BM33" s="141">
        <v>-1900145</v>
      </c>
      <c r="BN33" s="141">
        <v>0</v>
      </c>
      <c r="BO33" s="141">
        <v>-1900145</v>
      </c>
      <c r="BP33" s="141">
        <v>-1900145</v>
      </c>
      <c r="BQ33" s="141">
        <v>0</v>
      </c>
      <c r="BR33" s="141">
        <v>-2300000</v>
      </c>
      <c r="BS33" s="141">
        <v>0</v>
      </c>
      <c r="BT33" s="141">
        <v>-4200145</v>
      </c>
      <c r="BU33" s="141">
        <v>0</v>
      </c>
      <c r="BV33" s="141">
        <v>-4200145</v>
      </c>
      <c r="BW33" s="141">
        <v>-223303</v>
      </c>
      <c r="BX33" s="141">
        <v>0</v>
      </c>
      <c r="BY33" s="141">
        <v>-223303</v>
      </c>
      <c r="BZ33" s="141">
        <v>-58097</v>
      </c>
      <c r="CA33" s="141">
        <v>0</v>
      </c>
      <c r="CB33" s="141">
        <v>-58097</v>
      </c>
      <c r="CC33" s="141">
        <v>-6913</v>
      </c>
      <c r="CD33" s="141">
        <v>0</v>
      </c>
      <c r="CE33" s="141">
        <v>-6913</v>
      </c>
      <c r="CF33" s="141">
        <v>0</v>
      </c>
      <c r="CG33" s="141">
        <v>0</v>
      </c>
      <c r="CH33" s="141">
        <v>0</v>
      </c>
      <c r="CI33" s="141">
        <v>0</v>
      </c>
      <c r="CJ33" s="141">
        <v>0</v>
      </c>
      <c r="CK33" s="141">
        <v>0</v>
      </c>
      <c r="CL33" s="141">
        <v>0</v>
      </c>
      <c r="CM33" s="141">
        <v>0</v>
      </c>
      <c r="CN33" s="141">
        <v>0</v>
      </c>
      <c r="CO33" s="141">
        <v>0</v>
      </c>
      <c r="CP33" s="141">
        <v>0</v>
      </c>
      <c r="CQ33" s="141">
        <v>-288313</v>
      </c>
      <c r="CR33" s="141">
        <v>0</v>
      </c>
      <c r="CS33" s="141">
        <v>0</v>
      </c>
      <c r="CT33" s="141">
        <v>0</v>
      </c>
      <c r="CU33" s="141">
        <v>-288313</v>
      </c>
      <c r="CV33" s="141">
        <v>0</v>
      </c>
      <c r="CW33" s="141">
        <v>-288313</v>
      </c>
      <c r="CX33" s="141">
        <v>0</v>
      </c>
      <c r="CY33" s="141">
        <v>0</v>
      </c>
      <c r="CZ33" s="141">
        <v>0</v>
      </c>
      <c r="DA33" s="141">
        <v>-1500</v>
      </c>
      <c r="DB33" s="141">
        <v>0</v>
      </c>
      <c r="DC33" s="141">
        <v>-1500</v>
      </c>
      <c r="DD33" s="141">
        <v>-73904</v>
      </c>
      <c r="DE33" s="141">
        <v>0</v>
      </c>
      <c r="DF33" s="141">
        <v>-73904</v>
      </c>
      <c r="DG33" s="141">
        <v>-169000</v>
      </c>
      <c r="DH33" s="141">
        <v>0</v>
      </c>
      <c r="DI33" s="141">
        <v>-169000</v>
      </c>
      <c r="DJ33" s="141">
        <v>0</v>
      </c>
      <c r="DK33" s="141">
        <v>0</v>
      </c>
      <c r="DL33" s="141">
        <v>0</v>
      </c>
      <c r="DM33" s="141">
        <v>-4366446</v>
      </c>
      <c r="DN33" s="141">
        <v>0</v>
      </c>
      <c r="DO33" s="141">
        <v>-4366446</v>
      </c>
      <c r="DP33" s="141">
        <v>-4610850</v>
      </c>
      <c r="DQ33" s="141">
        <v>0</v>
      </c>
      <c r="DR33" s="141">
        <v>500000</v>
      </c>
      <c r="DS33" s="141">
        <v>0</v>
      </c>
      <c r="DT33" s="141">
        <v>-4110850</v>
      </c>
      <c r="DU33" s="141">
        <v>0</v>
      </c>
      <c r="DV33" s="141">
        <v>-4110850</v>
      </c>
      <c r="DW33" s="856">
        <v>147199347</v>
      </c>
      <c r="DX33" s="856">
        <v>0</v>
      </c>
      <c r="DY33" s="857">
        <v>147199347</v>
      </c>
      <c r="DZ33" t="s">
        <v>1599</v>
      </c>
    </row>
    <row r="34" spans="1:130" ht="12.75" x14ac:dyDescent="0.2">
      <c r="A34" s="764">
        <v>27</v>
      </c>
      <c r="B34" s="765" t="s">
        <v>730</v>
      </c>
      <c r="C34" s="766" t="s">
        <v>529</v>
      </c>
      <c r="D34" s="767" t="s">
        <v>1218</v>
      </c>
      <c r="E34" s="768" t="s">
        <v>536</v>
      </c>
      <c r="F34" s="867">
        <v>43465</v>
      </c>
      <c r="G34" s="141">
        <v>172469532</v>
      </c>
      <c r="H34" s="141">
        <v>0</v>
      </c>
      <c r="I34" s="141">
        <v>172469532</v>
      </c>
      <c r="J34" s="141">
        <v>49.1</v>
      </c>
      <c r="K34" s="141">
        <v>84682540</v>
      </c>
      <c r="L34" s="141">
        <v>0</v>
      </c>
      <c r="M34" s="141">
        <v>-829790</v>
      </c>
      <c r="N34" s="141">
        <v>0</v>
      </c>
      <c r="O34" s="141">
        <v>83852750</v>
      </c>
      <c r="P34" s="141">
        <v>0</v>
      </c>
      <c r="Q34" s="141">
        <v>83852750</v>
      </c>
      <c r="R34" s="141">
        <v>-1155092</v>
      </c>
      <c r="S34" s="141">
        <v>0</v>
      </c>
      <c r="T34" s="141">
        <v>-1155092</v>
      </c>
      <c r="U34" s="141">
        <v>950471</v>
      </c>
      <c r="V34" s="141">
        <v>0</v>
      </c>
      <c r="W34" s="141">
        <v>950471</v>
      </c>
      <c r="X34" s="141">
        <v>-204621</v>
      </c>
      <c r="Y34" s="141">
        <v>0</v>
      </c>
      <c r="Z34" s="141">
        <v>0</v>
      </c>
      <c r="AA34" s="141">
        <v>0</v>
      </c>
      <c r="AB34" s="141">
        <v>-204621</v>
      </c>
      <c r="AC34" s="141">
        <v>0</v>
      </c>
      <c r="AD34" s="141">
        <v>-204621</v>
      </c>
      <c r="AE34" s="141">
        <v>204621</v>
      </c>
      <c r="AF34" s="141">
        <v>0</v>
      </c>
      <c r="AG34" s="141">
        <v>204621</v>
      </c>
      <c r="AH34" s="141">
        <v>-1442107</v>
      </c>
      <c r="AI34" s="141">
        <v>0</v>
      </c>
      <c r="AJ34" s="141">
        <v>-1442107</v>
      </c>
      <c r="AK34" s="141">
        <v>-754</v>
      </c>
      <c r="AL34" s="141">
        <v>0</v>
      </c>
      <c r="AM34" s="141">
        <v>-754</v>
      </c>
      <c r="AN34" s="141">
        <v>1888681</v>
      </c>
      <c r="AO34" s="141">
        <v>0</v>
      </c>
      <c r="AP34" s="141">
        <v>1888681</v>
      </c>
      <c r="AQ34" s="141">
        <v>446574</v>
      </c>
      <c r="AR34" s="141">
        <v>0</v>
      </c>
      <c r="AS34" s="141">
        <v>446574</v>
      </c>
      <c r="AT34" s="141">
        <v>-3410478</v>
      </c>
      <c r="AU34" s="141">
        <v>0</v>
      </c>
      <c r="AV34" s="141">
        <v>-3410478</v>
      </c>
      <c r="AW34" s="141">
        <v>-3510</v>
      </c>
      <c r="AX34" s="141">
        <v>0</v>
      </c>
      <c r="AY34" s="141">
        <v>-3510</v>
      </c>
      <c r="AZ34" s="141">
        <v>0</v>
      </c>
      <c r="BA34" s="141">
        <v>0</v>
      </c>
      <c r="BB34" s="141">
        <v>0</v>
      </c>
      <c r="BC34" s="141">
        <v>-2967414</v>
      </c>
      <c r="BD34" s="141">
        <v>0</v>
      </c>
      <c r="BE34" s="141">
        <v>0</v>
      </c>
      <c r="BF34" s="141">
        <v>0</v>
      </c>
      <c r="BG34" s="141">
        <v>-2967414</v>
      </c>
      <c r="BH34" s="141">
        <v>0</v>
      </c>
      <c r="BI34" s="141">
        <v>-2967414</v>
      </c>
      <c r="BJ34" s="141">
        <v>-118316</v>
      </c>
      <c r="BK34" s="141">
        <v>0</v>
      </c>
      <c r="BL34" s="141">
        <v>-118316</v>
      </c>
      <c r="BM34" s="141">
        <v>-2007184</v>
      </c>
      <c r="BN34" s="141">
        <v>0</v>
      </c>
      <c r="BO34" s="141">
        <v>-2007184</v>
      </c>
      <c r="BP34" s="141">
        <v>-2125500</v>
      </c>
      <c r="BQ34" s="141">
        <v>0</v>
      </c>
      <c r="BR34" s="141">
        <v>1</v>
      </c>
      <c r="BS34" s="141">
        <v>0</v>
      </c>
      <c r="BT34" s="141">
        <v>-2125499</v>
      </c>
      <c r="BU34" s="141">
        <v>0</v>
      </c>
      <c r="BV34" s="141">
        <v>-2125499</v>
      </c>
      <c r="BW34" s="141">
        <v>-85072</v>
      </c>
      <c r="BX34" s="141">
        <v>0</v>
      </c>
      <c r="BY34" s="141">
        <v>-85072</v>
      </c>
      <c r="BZ34" s="141">
        <v>-44481</v>
      </c>
      <c r="CA34" s="141">
        <v>0</v>
      </c>
      <c r="CB34" s="141">
        <v>-44481</v>
      </c>
      <c r="CC34" s="141">
        <v>-3510</v>
      </c>
      <c r="CD34" s="141">
        <v>0</v>
      </c>
      <c r="CE34" s="141">
        <v>-3510</v>
      </c>
      <c r="CF34" s="141">
        <v>0</v>
      </c>
      <c r="CG34" s="141">
        <v>0</v>
      </c>
      <c r="CH34" s="141">
        <v>0</v>
      </c>
      <c r="CI34" s="141">
        <v>0</v>
      </c>
      <c r="CJ34" s="141">
        <v>0</v>
      </c>
      <c r="CK34" s="141">
        <v>0</v>
      </c>
      <c r="CL34" s="141">
        <v>0</v>
      </c>
      <c r="CM34" s="141">
        <v>0</v>
      </c>
      <c r="CN34" s="141">
        <v>0</v>
      </c>
      <c r="CO34" s="141">
        <v>0</v>
      </c>
      <c r="CP34" s="141">
        <v>0</v>
      </c>
      <c r="CQ34" s="141">
        <v>-133063</v>
      </c>
      <c r="CR34" s="141">
        <v>0</v>
      </c>
      <c r="CS34" s="141">
        <v>0</v>
      </c>
      <c r="CT34" s="141">
        <v>0</v>
      </c>
      <c r="CU34" s="141">
        <v>-133063</v>
      </c>
      <c r="CV34" s="141">
        <v>0</v>
      </c>
      <c r="CW34" s="141">
        <v>-133063</v>
      </c>
      <c r="CX34" s="141">
        <v>0</v>
      </c>
      <c r="CY34" s="141">
        <v>0</v>
      </c>
      <c r="CZ34" s="141">
        <v>0</v>
      </c>
      <c r="DA34" s="141">
        <v>0</v>
      </c>
      <c r="DB34" s="141">
        <v>0</v>
      </c>
      <c r="DC34" s="141">
        <v>0</v>
      </c>
      <c r="DD34" s="141">
        <v>-2803</v>
      </c>
      <c r="DE34" s="141">
        <v>0</v>
      </c>
      <c r="DF34" s="141">
        <v>-2803</v>
      </c>
      <c r="DG34" s="141">
        <v>-144040</v>
      </c>
      <c r="DH34" s="141">
        <v>0</v>
      </c>
      <c r="DI34" s="141">
        <v>-144040</v>
      </c>
      <c r="DJ34" s="141">
        <v>0</v>
      </c>
      <c r="DK34" s="141">
        <v>0</v>
      </c>
      <c r="DL34" s="141">
        <v>0</v>
      </c>
      <c r="DM34" s="141">
        <v>-171077</v>
      </c>
      <c r="DN34" s="141">
        <v>0</v>
      </c>
      <c r="DO34" s="141">
        <v>-171077</v>
      </c>
      <c r="DP34" s="141">
        <v>-317920</v>
      </c>
      <c r="DQ34" s="141">
        <v>0</v>
      </c>
      <c r="DR34" s="141">
        <v>0</v>
      </c>
      <c r="DS34" s="141">
        <v>0</v>
      </c>
      <c r="DT34" s="141">
        <v>-317920</v>
      </c>
      <c r="DU34" s="141">
        <v>0</v>
      </c>
      <c r="DV34" s="141">
        <v>-317920</v>
      </c>
      <c r="DW34" s="856">
        <v>78104233</v>
      </c>
      <c r="DX34" s="856">
        <v>0</v>
      </c>
      <c r="DY34" s="857">
        <v>78104233</v>
      </c>
      <c r="DZ34" t="s">
        <v>1600</v>
      </c>
    </row>
    <row r="35" spans="1:130" ht="12.75" x14ac:dyDescent="0.2">
      <c r="A35" s="764">
        <v>28</v>
      </c>
      <c r="B35" s="765" t="s">
        <v>732</v>
      </c>
      <c r="C35" s="766" t="s">
        <v>1224</v>
      </c>
      <c r="D35" s="767" t="s">
        <v>1225</v>
      </c>
      <c r="E35" s="768" t="s">
        <v>731</v>
      </c>
      <c r="F35" s="867">
        <v>43460</v>
      </c>
      <c r="G35" s="141">
        <v>390942923</v>
      </c>
      <c r="H35" s="141">
        <v>0</v>
      </c>
      <c r="I35" s="141">
        <v>390942923</v>
      </c>
      <c r="J35" s="141">
        <v>49.1</v>
      </c>
      <c r="K35" s="141">
        <v>191952975</v>
      </c>
      <c r="L35" s="141">
        <v>0</v>
      </c>
      <c r="M35" s="141">
        <v>-264600</v>
      </c>
      <c r="N35" s="141">
        <v>0</v>
      </c>
      <c r="O35" s="141">
        <v>191688375</v>
      </c>
      <c r="P35" s="141">
        <v>0</v>
      </c>
      <c r="Q35" s="141">
        <v>191688375</v>
      </c>
      <c r="R35" s="141">
        <v>-2258224</v>
      </c>
      <c r="S35" s="141">
        <v>0</v>
      </c>
      <c r="T35" s="141">
        <v>-2258224</v>
      </c>
      <c r="U35" s="141">
        <v>3174035</v>
      </c>
      <c r="V35" s="141">
        <v>0</v>
      </c>
      <c r="W35" s="141">
        <v>3174035</v>
      </c>
      <c r="X35" s="141">
        <v>915811</v>
      </c>
      <c r="Y35" s="141">
        <v>0</v>
      </c>
      <c r="Z35" s="141">
        <v>0</v>
      </c>
      <c r="AA35" s="141">
        <v>0</v>
      </c>
      <c r="AB35" s="141">
        <v>915811</v>
      </c>
      <c r="AC35" s="141">
        <v>0</v>
      </c>
      <c r="AD35" s="141">
        <v>915811</v>
      </c>
      <c r="AE35" s="141">
        <v>-915811</v>
      </c>
      <c r="AF35" s="141">
        <v>0</v>
      </c>
      <c r="AG35" s="141">
        <v>-915811</v>
      </c>
      <c r="AH35" s="141">
        <v>-26500000</v>
      </c>
      <c r="AI35" s="141">
        <v>0</v>
      </c>
      <c r="AJ35" s="141">
        <v>-26500000</v>
      </c>
      <c r="AK35" s="141">
        <v>-50000</v>
      </c>
      <c r="AL35" s="141">
        <v>0</v>
      </c>
      <c r="AM35" s="141">
        <v>-50000</v>
      </c>
      <c r="AN35" s="141">
        <v>3350969</v>
      </c>
      <c r="AO35" s="141">
        <v>0</v>
      </c>
      <c r="AP35" s="141">
        <v>3350969</v>
      </c>
      <c r="AQ35" s="141">
        <v>-23149031</v>
      </c>
      <c r="AR35" s="141">
        <v>0</v>
      </c>
      <c r="AS35" s="141">
        <v>-23149031</v>
      </c>
      <c r="AT35" s="141">
        <v>-16687492</v>
      </c>
      <c r="AU35" s="141">
        <v>0</v>
      </c>
      <c r="AV35" s="141">
        <v>-16687492</v>
      </c>
      <c r="AW35" s="141">
        <v>-180025</v>
      </c>
      <c r="AX35" s="141">
        <v>0</v>
      </c>
      <c r="AY35" s="141">
        <v>-180025</v>
      </c>
      <c r="AZ35" s="141">
        <v>-4864</v>
      </c>
      <c r="BA35" s="141">
        <v>0</v>
      </c>
      <c r="BB35" s="141">
        <v>-4864</v>
      </c>
      <c r="BC35" s="141">
        <v>-40021412</v>
      </c>
      <c r="BD35" s="141">
        <v>0</v>
      </c>
      <c r="BE35" s="141">
        <v>0</v>
      </c>
      <c r="BF35" s="141">
        <v>0</v>
      </c>
      <c r="BG35" s="141">
        <v>-40021412</v>
      </c>
      <c r="BH35" s="141">
        <v>0</v>
      </c>
      <c r="BI35" s="141">
        <v>-40021412</v>
      </c>
      <c r="BJ35" s="141">
        <v>-300000</v>
      </c>
      <c r="BK35" s="141">
        <v>0</v>
      </c>
      <c r="BL35" s="141">
        <v>-300000</v>
      </c>
      <c r="BM35" s="141">
        <v>-7773635</v>
      </c>
      <c r="BN35" s="141">
        <v>0</v>
      </c>
      <c r="BO35" s="141">
        <v>-7773635</v>
      </c>
      <c r="BP35" s="141">
        <v>-8073635</v>
      </c>
      <c r="BQ35" s="141">
        <v>0</v>
      </c>
      <c r="BR35" s="141">
        <v>0</v>
      </c>
      <c r="BS35" s="141">
        <v>0</v>
      </c>
      <c r="BT35" s="141">
        <v>-8073635</v>
      </c>
      <c r="BU35" s="141">
        <v>0</v>
      </c>
      <c r="BV35" s="141">
        <v>-8073635</v>
      </c>
      <c r="BW35" s="141">
        <v>-3054</v>
      </c>
      <c r="BX35" s="141">
        <v>0</v>
      </c>
      <c r="BY35" s="141">
        <v>-3054</v>
      </c>
      <c r="BZ35" s="141">
        <v>0</v>
      </c>
      <c r="CA35" s="141">
        <v>0</v>
      </c>
      <c r="CB35" s="141">
        <v>0</v>
      </c>
      <c r="CC35" s="141">
        <v>0</v>
      </c>
      <c r="CD35" s="141">
        <v>0</v>
      </c>
      <c r="CE35" s="141">
        <v>0</v>
      </c>
      <c r="CF35" s="141">
        <v>0</v>
      </c>
      <c r="CG35" s="141">
        <v>0</v>
      </c>
      <c r="CH35" s="141">
        <v>0</v>
      </c>
      <c r="CI35" s="141">
        <v>-5401</v>
      </c>
      <c r="CJ35" s="141">
        <v>0</v>
      </c>
      <c r="CK35" s="141">
        <v>-5401</v>
      </c>
      <c r="CL35" s="141">
        <v>-40000</v>
      </c>
      <c r="CM35" s="141">
        <v>0</v>
      </c>
      <c r="CN35" s="141">
        <v>-40000</v>
      </c>
      <c r="CO35" s="141">
        <v>0</v>
      </c>
      <c r="CP35" s="141">
        <v>0</v>
      </c>
      <c r="CQ35" s="141">
        <v>-48455</v>
      </c>
      <c r="CR35" s="141">
        <v>0</v>
      </c>
      <c r="CS35" s="141">
        <v>0</v>
      </c>
      <c r="CT35" s="141">
        <v>0</v>
      </c>
      <c r="CU35" s="141">
        <v>-48455</v>
      </c>
      <c r="CV35" s="141">
        <v>0</v>
      </c>
      <c r="CW35" s="141">
        <v>-48455</v>
      </c>
      <c r="CX35" s="141">
        <v>-4864</v>
      </c>
      <c r="CY35" s="141">
        <v>0</v>
      </c>
      <c r="CZ35" s="141">
        <v>-4864</v>
      </c>
      <c r="DA35" s="141">
        <v>0</v>
      </c>
      <c r="DB35" s="141">
        <v>0</v>
      </c>
      <c r="DC35" s="141">
        <v>0</v>
      </c>
      <c r="DD35" s="141">
        <v>-60682</v>
      </c>
      <c r="DE35" s="141">
        <v>0</v>
      </c>
      <c r="DF35" s="141">
        <v>-60682</v>
      </c>
      <c r="DG35" s="141">
        <v>-199547</v>
      </c>
      <c r="DH35" s="141">
        <v>0</v>
      </c>
      <c r="DI35" s="141">
        <v>-199547</v>
      </c>
      <c r="DJ35" s="141">
        <v>0</v>
      </c>
      <c r="DK35" s="141">
        <v>0</v>
      </c>
      <c r="DL35" s="141">
        <v>0</v>
      </c>
      <c r="DM35" s="141">
        <v>-4092000</v>
      </c>
      <c r="DN35" s="141">
        <v>0</v>
      </c>
      <c r="DO35" s="141">
        <v>-4092000</v>
      </c>
      <c r="DP35" s="141">
        <v>-4357093</v>
      </c>
      <c r="DQ35" s="141">
        <v>0</v>
      </c>
      <c r="DR35" s="141">
        <v>0</v>
      </c>
      <c r="DS35" s="141">
        <v>0</v>
      </c>
      <c r="DT35" s="141">
        <v>-4357093</v>
      </c>
      <c r="DU35" s="141">
        <v>0</v>
      </c>
      <c r="DV35" s="141">
        <v>-4357093</v>
      </c>
      <c r="DW35" s="856">
        <v>140103591</v>
      </c>
      <c r="DX35" s="856">
        <v>0</v>
      </c>
      <c r="DY35" s="857">
        <v>140103591</v>
      </c>
      <c r="DZ35" t="s">
        <v>1601</v>
      </c>
    </row>
    <row r="36" spans="1:130" ht="12.75" x14ac:dyDescent="0.2">
      <c r="A36" s="764">
        <v>29</v>
      </c>
      <c r="B36" s="765" t="s">
        <v>734</v>
      </c>
      <c r="C36" s="766" t="s">
        <v>1217</v>
      </c>
      <c r="D36" s="767" t="s">
        <v>1221</v>
      </c>
      <c r="E36" s="768" t="s">
        <v>733</v>
      </c>
      <c r="F36" s="867">
        <v>43465</v>
      </c>
      <c r="G36" s="141">
        <v>110295316</v>
      </c>
      <c r="H36" s="141">
        <v>0</v>
      </c>
      <c r="I36" s="141">
        <v>110295316</v>
      </c>
      <c r="J36" s="141">
        <v>49.1</v>
      </c>
      <c r="K36" s="141">
        <v>54155000</v>
      </c>
      <c r="L36" s="141">
        <v>0</v>
      </c>
      <c r="M36" s="141">
        <v>0</v>
      </c>
      <c r="N36" s="141">
        <v>0</v>
      </c>
      <c r="O36" s="141">
        <v>54155000</v>
      </c>
      <c r="P36" s="141">
        <v>0</v>
      </c>
      <c r="Q36" s="141">
        <v>54155000</v>
      </c>
      <c r="R36" s="141">
        <v>-323283</v>
      </c>
      <c r="S36" s="141">
        <v>0</v>
      </c>
      <c r="T36" s="141">
        <v>-323283</v>
      </c>
      <c r="U36" s="141">
        <v>108634</v>
      </c>
      <c r="V36" s="141">
        <v>0</v>
      </c>
      <c r="W36" s="141">
        <v>108634</v>
      </c>
      <c r="X36" s="141">
        <v>-214649</v>
      </c>
      <c r="Y36" s="141">
        <v>0</v>
      </c>
      <c r="Z36" s="141">
        <v>0</v>
      </c>
      <c r="AA36" s="141">
        <v>0</v>
      </c>
      <c r="AB36" s="141">
        <v>-214649</v>
      </c>
      <c r="AC36" s="141">
        <v>0</v>
      </c>
      <c r="AD36" s="141">
        <v>-214649</v>
      </c>
      <c r="AE36" s="141">
        <v>214649</v>
      </c>
      <c r="AF36" s="141">
        <v>0</v>
      </c>
      <c r="AG36" s="141">
        <v>214649</v>
      </c>
      <c r="AH36" s="141">
        <v>-5335000</v>
      </c>
      <c r="AI36" s="141">
        <v>0</v>
      </c>
      <c r="AJ36" s="141">
        <v>-5335000</v>
      </c>
      <c r="AK36" s="141">
        <v>0</v>
      </c>
      <c r="AL36" s="141">
        <v>0</v>
      </c>
      <c r="AM36" s="141">
        <v>0</v>
      </c>
      <c r="AN36" s="141">
        <v>915000</v>
      </c>
      <c r="AO36" s="141">
        <v>0</v>
      </c>
      <c r="AP36" s="141">
        <v>915000</v>
      </c>
      <c r="AQ36" s="141">
        <v>-4420000</v>
      </c>
      <c r="AR36" s="141">
        <v>0</v>
      </c>
      <c r="AS36" s="141">
        <v>-4420000</v>
      </c>
      <c r="AT36" s="141">
        <v>-3184274</v>
      </c>
      <c r="AU36" s="141">
        <v>0</v>
      </c>
      <c r="AV36" s="141">
        <v>-3184274</v>
      </c>
      <c r="AW36" s="141">
        <v>-117089</v>
      </c>
      <c r="AX36" s="141">
        <v>0</v>
      </c>
      <c r="AY36" s="141">
        <v>-117089</v>
      </c>
      <c r="AZ36" s="141">
        <v>-16637</v>
      </c>
      <c r="BA36" s="141">
        <v>0</v>
      </c>
      <c r="BB36" s="141">
        <v>-16637</v>
      </c>
      <c r="BC36" s="141">
        <v>-7738000</v>
      </c>
      <c r="BD36" s="141">
        <v>0</v>
      </c>
      <c r="BE36" s="141">
        <v>0</v>
      </c>
      <c r="BF36" s="141">
        <v>0</v>
      </c>
      <c r="BG36" s="141">
        <v>-7738000</v>
      </c>
      <c r="BH36" s="141">
        <v>0</v>
      </c>
      <c r="BI36" s="141">
        <v>-7738000</v>
      </c>
      <c r="BJ36" s="141">
        <v>0</v>
      </c>
      <c r="BK36" s="141">
        <v>0</v>
      </c>
      <c r="BL36" s="141">
        <v>0</v>
      </c>
      <c r="BM36" s="141">
        <v>-1530000</v>
      </c>
      <c r="BN36" s="141">
        <v>0</v>
      </c>
      <c r="BO36" s="141">
        <v>-1530000</v>
      </c>
      <c r="BP36" s="141">
        <v>-1530000</v>
      </c>
      <c r="BQ36" s="141">
        <v>0</v>
      </c>
      <c r="BR36" s="141">
        <v>0</v>
      </c>
      <c r="BS36" s="141">
        <v>0</v>
      </c>
      <c r="BT36" s="141">
        <v>-1530000</v>
      </c>
      <c r="BU36" s="141">
        <v>0</v>
      </c>
      <c r="BV36" s="141">
        <v>-1530000</v>
      </c>
      <c r="BW36" s="141">
        <v>0</v>
      </c>
      <c r="BX36" s="141">
        <v>0</v>
      </c>
      <c r="BY36" s="141">
        <v>0</v>
      </c>
      <c r="BZ36" s="141">
        <v>-251139</v>
      </c>
      <c r="CA36" s="141">
        <v>0</v>
      </c>
      <c r="CB36" s="141">
        <v>-251139</v>
      </c>
      <c r="CC36" s="141">
        <v>0</v>
      </c>
      <c r="CD36" s="141">
        <v>0</v>
      </c>
      <c r="CE36" s="141">
        <v>0</v>
      </c>
      <c r="CF36" s="141">
        <v>-12422</v>
      </c>
      <c r="CG36" s="141">
        <v>0</v>
      </c>
      <c r="CH36" s="141">
        <v>-12422</v>
      </c>
      <c r="CI36" s="141">
        <v>0</v>
      </c>
      <c r="CJ36" s="141">
        <v>0</v>
      </c>
      <c r="CK36" s="141">
        <v>0</v>
      </c>
      <c r="CL36" s="141">
        <v>-4439</v>
      </c>
      <c r="CM36" s="141">
        <v>0</v>
      </c>
      <c r="CN36" s="141">
        <v>-4439</v>
      </c>
      <c r="CO36" s="141">
        <v>0</v>
      </c>
      <c r="CP36" s="141">
        <v>0</v>
      </c>
      <c r="CQ36" s="141">
        <v>-268000</v>
      </c>
      <c r="CR36" s="141">
        <v>0</v>
      </c>
      <c r="CS36" s="141">
        <v>0</v>
      </c>
      <c r="CT36" s="141">
        <v>0</v>
      </c>
      <c r="CU36" s="141">
        <v>-268000</v>
      </c>
      <c r="CV36" s="141">
        <v>0</v>
      </c>
      <c r="CW36" s="141">
        <v>-268000</v>
      </c>
      <c r="CX36" s="141">
        <v>-13500</v>
      </c>
      <c r="CY36" s="141">
        <v>0</v>
      </c>
      <c r="CZ36" s="141">
        <v>-13500</v>
      </c>
      <c r="DA36" s="141">
        <v>-1500</v>
      </c>
      <c r="DB36" s="141">
        <v>0</v>
      </c>
      <c r="DC36" s="141">
        <v>-1500</v>
      </c>
      <c r="DD36" s="141">
        <v>-18000</v>
      </c>
      <c r="DE36" s="141">
        <v>0</v>
      </c>
      <c r="DF36" s="141">
        <v>-18000</v>
      </c>
      <c r="DG36" s="141">
        <v>-57000</v>
      </c>
      <c r="DH36" s="141">
        <v>0</v>
      </c>
      <c r="DI36" s="141">
        <v>-57000</v>
      </c>
      <c r="DJ36" s="141">
        <v>0</v>
      </c>
      <c r="DK36" s="141">
        <v>0</v>
      </c>
      <c r="DL36" s="141">
        <v>0</v>
      </c>
      <c r="DM36" s="141">
        <v>-1165074</v>
      </c>
      <c r="DN36" s="141">
        <v>0</v>
      </c>
      <c r="DO36" s="141">
        <v>-1165074</v>
      </c>
      <c r="DP36" s="141">
        <v>-1255074</v>
      </c>
      <c r="DQ36" s="141">
        <v>0</v>
      </c>
      <c r="DR36" s="141">
        <v>0</v>
      </c>
      <c r="DS36" s="141">
        <v>0</v>
      </c>
      <c r="DT36" s="141">
        <v>-1255074</v>
      </c>
      <c r="DU36" s="141">
        <v>0</v>
      </c>
      <c r="DV36" s="141">
        <v>-1255074</v>
      </c>
      <c r="DW36" s="856">
        <v>43149277</v>
      </c>
      <c r="DX36" s="856">
        <v>0</v>
      </c>
      <c r="DY36" s="857">
        <v>43149277</v>
      </c>
      <c r="DZ36" t="s">
        <v>1602</v>
      </c>
    </row>
    <row r="37" spans="1:130" ht="12.75" x14ac:dyDescent="0.2">
      <c r="A37" s="764">
        <v>30</v>
      </c>
      <c r="B37" s="765" t="s">
        <v>736</v>
      </c>
      <c r="C37" s="766" t="s">
        <v>1217</v>
      </c>
      <c r="D37" s="767" t="s">
        <v>1221</v>
      </c>
      <c r="E37" s="768" t="s">
        <v>735</v>
      </c>
      <c r="F37" s="867">
        <v>43460</v>
      </c>
      <c r="G37" s="141">
        <v>89527345</v>
      </c>
      <c r="H37" s="141">
        <v>0</v>
      </c>
      <c r="I37" s="141">
        <v>89527345</v>
      </c>
      <c r="J37" s="141">
        <v>49.1</v>
      </c>
      <c r="K37" s="141">
        <v>43957926</v>
      </c>
      <c r="L37" s="141">
        <v>0</v>
      </c>
      <c r="M37" s="141">
        <v>0</v>
      </c>
      <c r="N37" s="141">
        <v>0</v>
      </c>
      <c r="O37" s="141">
        <v>43957926</v>
      </c>
      <c r="P37" s="141">
        <v>0</v>
      </c>
      <c r="Q37" s="141">
        <v>43957926</v>
      </c>
      <c r="R37" s="141">
        <v>-435040</v>
      </c>
      <c r="S37" s="141">
        <v>0</v>
      </c>
      <c r="T37" s="141">
        <v>-435040</v>
      </c>
      <c r="U37" s="141">
        <v>142658</v>
      </c>
      <c r="V37" s="141">
        <v>0</v>
      </c>
      <c r="W37" s="141">
        <v>142658</v>
      </c>
      <c r="X37" s="141">
        <v>-292382</v>
      </c>
      <c r="Y37" s="141">
        <v>0</v>
      </c>
      <c r="Z37" s="141">
        <v>0</v>
      </c>
      <c r="AA37" s="141">
        <v>0</v>
      </c>
      <c r="AB37" s="141">
        <v>-292382</v>
      </c>
      <c r="AC37" s="141">
        <v>0</v>
      </c>
      <c r="AD37" s="141">
        <v>-292382</v>
      </c>
      <c r="AE37" s="141">
        <v>292382</v>
      </c>
      <c r="AF37" s="141">
        <v>0</v>
      </c>
      <c r="AG37" s="141">
        <v>292382</v>
      </c>
      <c r="AH37" s="141">
        <v>-4880164</v>
      </c>
      <c r="AI37" s="141">
        <v>0</v>
      </c>
      <c r="AJ37" s="141">
        <v>-4880164</v>
      </c>
      <c r="AK37" s="141">
        <v>0</v>
      </c>
      <c r="AL37" s="141">
        <v>0</v>
      </c>
      <c r="AM37" s="141">
        <v>0</v>
      </c>
      <c r="AN37" s="141">
        <v>715248</v>
      </c>
      <c r="AO37" s="141">
        <v>0</v>
      </c>
      <c r="AP37" s="141">
        <v>715248</v>
      </c>
      <c r="AQ37" s="141">
        <v>-4164916</v>
      </c>
      <c r="AR37" s="141">
        <v>0</v>
      </c>
      <c r="AS37" s="141">
        <v>-4164916</v>
      </c>
      <c r="AT37" s="141">
        <v>-2522553</v>
      </c>
      <c r="AU37" s="141">
        <v>0</v>
      </c>
      <c r="AV37" s="141">
        <v>-2522553</v>
      </c>
      <c r="AW37" s="141">
        <v>-38747</v>
      </c>
      <c r="AX37" s="141">
        <v>0</v>
      </c>
      <c r="AY37" s="141">
        <v>-38747</v>
      </c>
      <c r="AZ37" s="141">
        <v>-60865</v>
      </c>
      <c r="BA37" s="141">
        <v>0</v>
      </c>
      <c r="BB37" s="141">
        <v>-60865</v>
      </c>
      <c r="BC37" s="141">
        <v>-6787081</v>
      </c>
      <c r="BD37" s="141">
        <v>0</v>
      </c>
      <c r="BE37" s="141">
        <v>0</v>
      </c>
      <c r="BF37" s="141">
        <v>0</v>
      </c>
      <c r="BG37" s="141">
        <v>-6787081</v>
      </c>
      <c r="BH37" s="141">
        <v>0</v>
      </c>
      <c r="BI37" s="141">
        <v>-6787081</v>
      </c>
      <c r="BJ37" s="141">
        <v>0</v>
      </c>
      <c r="BK37" s="141">
        <v>0</v>
      </c>
      <c r="BL37" s="141">
        <v>0</v>
      </c>
      <c r="BM37" s="141">
        <v>-799069</v>
      </c>
      <c r="BN37" s="141">
        <v>0</v>
      </c>
      <c r="BO37" s="141">
        <v>-799069</v>
      </c>
      <c r="BP37" s="141">
        <v>-799069</v>
      </c>
      <c r="BQ37" s="141">
        <v>0</v>
      </c>
      <c r="BR37" s="141">
        <v>0</v>
      </c>
      <c r="BS37" s="141">
        <v>0</v>
      </c>
      <c r="BT37" s="141">
        <v>-799069</v>
      </c>
      <c r="BU37" s="141">
        <v>0</v>
      </c>
      <c r="BV37" s="141">
        <v>-799069</v>
      </c>
      <c r="BW37" s="141">
        <v>-41118</v>
      </c>
      <c r="BX37" s="141">
        <v>0</v>
      </c>
      <c r="BY37" s="141">
        <v>-41118</v>
      </c>
      <c r="BZ37" s="141">
        <v>-227469</v>
      </c>
      <c r="CA37" s="141">
        <v>0</v>
      </c>
      <c r="CB37" s="141">
        <v>-227469</v>
      </c>
      <c r="CC37" s="141">
        <v>-2419</v>
      </c>
      <c r="CD37" s="141">
        <v>0</v>
      </c>
      <c r="CE37" s="141">
        <v>-2419</v>
      </c>
      <c r="CF37" s="141">
        <v>0</v>
      </c>
      <c r="CG37" s="141">
        <v>0</v>
      </c>
      <c r="CH37" s="141">
        <v>0</v>
      </c>
      <c r="CI37" s="141">
        <v>0</v>
      </c>
      <c r="CJ37" s="141">
        <v>0</v>
      </c>
      <c r="CK37" s="141">
        <v>0</v>
      </c>
      <c r="CL37" s="141">
        <v>-7366</v>
      </c>
      <c r="CM37" s="141">
        <v>0</v>
      </c>
      <c r="CN37" s="141">
        <v>-7366</v>
      </c>
      <c r="CO37" s="141">
        <v>0</v>
      </c>
      <c r="CP37" s="141">
        <v>0</v>
      </c>
      <c r="CQ37" s="141">
        <v>-278372</v>
      </c>
      <c r="CR37" s="141">
        <v>0</v>
      </c>
      <c r="CS37" s="141">
        <v>0</v>
      </c>
      <c r="CT37" s="141">
        <v>0</v>
      </c>
      <c r="CU37" s="141">
        <v>-278372</v>
      </c>
      <c r="CV37" s="141">
        <v>0</v>
      </c>
      <c r="CW37" s="141">
        <v>-278372</v>
      </c>
      <c r="CX37" s="141">
        <v>-62019</v>
      </c>
      <c r="CY37" s="141">
        <v>0</v>
      </c>
      <c r="CZ37" s="141">
        <v>-62019</v>
      </c>
      <c r="DA37" s="141">
        <v>-1252</v>
      </c>
      <c r="DB37" s="141">
        <v>0</v>
      </c>
      <c r="DC37" s="141">
        <v>-1252</v>
      </c>
      <c r="DD37" s="141">
        <v>-38690</v>
      </c>
      <c r="DE37" s="141">
        <v>0</v>
      </c>
      <c r="DF37" s="141">
        <v>-38690</v>
      </c>
      <c r="DG37" s="141">
        <v>-64378</v>
      </c>
      <c r="DH37" s="141">
        <v>0</v>
      </c>
      <c r="DI37" s="141">
        <v>-64378</v>
      </c>
      <c r="DJ37" s="141">
        <v>0</v>
      </c>
      <c r="DK37" s="141">
        <v>0</v>
      </c>
      <c r="DL37" s="141">
        <v>0</v>
      </c>
      <c r="DM37" s="141">
        <v>-943322</v>
      </c>
      <c r="DN37" s="141">
        <v>0</v>
      </c>
      <c r="DO37" s="141">
        <v>-943322</v>
      </c>
      <c r="DP37" s="141">
        <v>-1109661</v>
      </c>
      <c r="DQ37" s="141">
        <v>0</v>
      </c>
      <c r="DR37" s="141">
        <v>0</v>
      </c>
      <c r="DS37" s="141">
        <v>0</v>
      </c>
      <c r="DT37" s="141">
        <v>-1109661</v>
      </c>
      <c r="DU37" s="141">
        <v>0</v>
      </c>
      <c r="DV37" s="141">
        <v>-1109661</v>
      </c>
      <c r="DW37" s="856">
        <v>34691361</v>
      </c>
      <c r="DX37" s="856">
        <v>0</v>
      </c>
      <c r="DY37" s="857">
        <v>34691361</v>
      </c>
      <c r="DZ37" t="s">
        <v>1603</v>
      </c>
    </row>
    <row r="38" spans="1:130" ht="12.75" x14ac:dyDescent="0.2">
      <c r="A38" s="764">
        <v>31</v>
      </c>
      <c r="B38" s="765" t="s">
        <v>738</v>
      </c>
      <c r="C38" s="766" t="s">
        <v>1222</v>
      </c>
      <c r="D38" s="767" t="s">
        <v>1223</v>
      </c>
      <c r="E38" s="768" t="s">
        <v>737</v>
      </c>
      <c r="F38" s="867">
        <v>43453</v>
      </c>
      <c r="G38" s="141">
        <v>321313678</v>
      </c>
      <c r="H38" s="141">
        <v>0</v>
      </c>
      <c r="I38" s="141">
        <v>321313678</v>
      </c>
      <c r="J38" s="141">
        <v>49.1</v>
      </c>
      <c r="K38" s="141">
        <v>157765016</v>
      </c>
      <c r="L38" s="141">
        <v>0</v>
      </c>
      <c r="M38" s="141">
        <v>0</v>
      </c>
      <c r="N38" s="141">
        <v>0</v>
      </c>
      <c r="O38" s="141">
        <v>157765016</v>
      </c>
      <c r="P38" s="141">
        <v>0</v>
      </c>
      <c r="Q38" s="141">
        <v>157765016</v>
      </c>
      <c r="R38" s="141">
        <v>-1762485</v>
      </c>
      <c r="S38" s="141">
        <v>0</v>
      </c>
      <c r="T38" s="141">
        <v>-1762485</v>
      </c>
      <c r="U38" s="141">
        <v>719944</v>
      </c>
      <c r="V38" s="141">
        <v>0</v>
      </c>
      <c r="W38" s="141">
        <v>719944</v>
      </c>
      <c r="X38" s="141">
        <v>-1042541</v>
      </c>
      <c r="Y38" s="141">
        <v>0</v>
      </c>
      <c r="Z38" s="141">
        <v>0</v>
      </c>
      <c r="AA38" s="141">
        <v>0</v>
      </c>
      <c r="AB38" s="141">
        <v>-1042541</v>
      </c>
      <c r="AC38" s="141">
        <v>0</v>
      </c>
      <c r="AD38" s="141">
        <v>-1042541</v>
      </c>
      <c r="AE38" s="141">
        <v>1042541</v>
      </c>
      <c r="AF38" s="141">
        <v>0</v>
      </c>
      <c r="AG38" s="141">
        <v>1042541</v>
      </c>
      <c r="AH38" s="141">
        <v>-9029804</v>
      </c>
      <c r="AI38" s="141">
        <v>0</v>
      </c>
      <c r="AJ38" s="141">
        <v>-9029804</v>
      </c>
      <c r="AK38" s="141">
        <v>-4124</v>
      </c>
      <c r="AL38" s="141">
        <v>0</v>
      </c>
      <c r="AM38" s="141">
        <v>-4124</v>
      </c>
      <c r="AN38" s="141">
        <v>2942476</v>
      </c>
      <c r="AO38" s="141">
        <v>0</v>
      </c>
      <c r="AP38" s="141">
        <v>2942476</v>
      </c>
      <c r="AQ38" s="141">
        <v>-6087328</v>
      </c>
      <c r="AR38" s="141">
        <v>0</v>
      </c>
      <c r="AS38" s="141">
        <v>-6087328</v>
      </c>
      <c r="AT38" s="141">
        <v>-9136427</v>
      </c>
      <c r="AU38" s="141">
        <v>0</v>
      </c>
      <c r="AV38" s="141">
        <v>-9136427</v>
      </c>
      <c r="AW38" s="141">
        <v>-23789</v>
      </c>
      <c r="AX38" s="141">
        <v>0</v>
      </c>
      <c r="AY38" s="141">
        <v>-23789</v>
      </c>
      <c r="AZ38" s="141">
        <v>0</v>
      </c>
      <c r="BA38" s="141">
        <v>0</v>
      </c>
      <c r="BB38" s="141">
        <v>0</v>
      </c>
      <c r="BC38" s="141">
        <v>-15247544</v>
      </c>
      <c r="BD38" s="141">
        <v>0</v>
      </c>
      <c r="BE38" s="141">
        <v>0</v>
      </c>
      <c r="BF38" s="141">
        <v>0</v>
      </c>
      <c r="BG38" s="141">
        <v>-15247544</v>
      </c>
      <c r="BH38" s="141">
        <v>0</v>
      </c>
      <c r="BI38" s="141">
        <v>-15247544</v>
      </c>
      <c r="BJ38" s="141">
        <v>0</v>
      </c>
      <c r="BK38" s="141">
        <v>0</v>
      </c>
      <c r="BL38" s="141">
        <v>0</v>
      </c>
      <c r="BM38" s="141">
        <v>-3456458</v>
      </c>
      <c r="BN38" s="141">
        <v>0</v>
      </c>
      <c r="BO38" s="141">
        <v>-3456458</v>
      </c>
      <c r="BP38" s="141">
        <v>-3456458</v>
      </c>
      <c r="BQ38" s="141">
        <v>0</v>
      </c>
      <c r="BR38" s="141">
        <v>0</v>
      </c>
      <c r="BS38" s="141">
        <v>0</v>
      </c>
      <c r="BT38" s="141">
        <v>-3456458</v>
      </c>
      <c r="BU38" s="141">
        <v>0</v>
      </c>
      <c r="BV38" s="141">
        <v>-3456458</v>
      </c>
      <c r="BW38" s="141">
        <v>-423595</v>
      </c>
      <c r="BX38" s="141">
        <v>0</v>
      </c>
      <c r="BY38" s="141">
        <v>-423595</v>
      </c>
      <c r="BZ38" s="141">
        <v>-12207</v>
      </c>
      <c r="CA38" s="141">
        <v>0</v>
      </c>
      <c r="CB38" s="141">
        <v>-12207</v>
      </c>
      <c r="CC38" s="141">
        <v>0</v>
      </c>
      <c r="CD38" s="141">
        <v>0</v>
      </c>
      <c r="CE38" s="141">
        <v>0</v>
      </c>
      <c r="CF38" s="141">
        <v>0</v>
      </c>
      <c r="CG38" s="141">
        <v>0</v>
      </c>
      <c r="CH38" s="141">
        <v>0</v>
      </c>
      <c r="CI38" s="141">
        <v>0</v>
      </c>
      <c r="CJ38" s="141">
        <v>0</v>
      </c>
      <c r="CK38" s="141">
        <v>0</v>
      </c>
      <c r="CL38" s="141">
        <v>0</v>
      </c>
      <c r="CM38" s="141">
        <v>0</v>
      </c>
      <c r="CN38" s="141">
        <v>0</v>
      </c>
      <c r="CO38" s="141">
        <v>0</v>
      </c>
      <c r="CP38" s="141">
        <v>0</v>
      </c>
      <c r="CQ38" s="141">
        <v>-435802</v>
      </c>
      <c r="CR38" s="141">
        <v>0</v>
      </c>
      <c r="CS38" s="141">
        <v>0</v>
      </c>
      <c r="CT38" s="141">
        <v>0</v>
      </c>
      <c r="CU38" s="141">
        <v>-435802</v>
      </c>
      <c r="CV38" s="141">
        <v>0</v>
      </c>
      <c r="CW38" s="141">
        <v>-435802</v>
      </c>
      <c r="CX38" s="141">
        <v>0</v>
      </c>
      <c r="CY38" s="141">
        <v>0</v>
      </c>
      <c r="CZ38" s="141">
        <v>0</v>
      </c>
      <c r="DA38" s="141">
        <v>0</v>
      </c>
      <c r="DB38" s="141">
        <v>0</v>
      </c>
      <c r="DC38" s="141">
        <v>0</v>
      </c>
      <c r="DD38" s="141">
        <v>-116076</v>
      </c>
      <c r="DE38" s="141">
        <v>0</v>
      </c>
      <c r="DF38" s="141">
        <v>-116076</v>
      </c>
      <c r="DG38" s="141">
        <v>-219179</v>
      </c>
      <c r="DH38" s="141">
        <v>0</v>
      </c>
      <c r="DI38" s="141">
        <v>-219179</v>
      </c>
      <c r="DJ38" s="141">
        <v>0</v>
      </c>
      <c r="DK38" s="141">
        <v>0</v>
      </c>
      <c r="DL38" s="141">
        <v>0</v>
      </c>
      <c r="DM38" s="141">
        <v>-4911225</v>
      </c>
      <c r="DN38" s="141">
        <v>0</v>
      </c>
      <c r="DO38" s="141">
        <v>-4911225</v>
      </c>
      <c r="DP38" s="141">
        <v>-5246480</v>
      </c>
      <c r="DQ38" s="141">
        <v>0</v>
      </c>
      <c r="DR38" s="141">
        <v>0</v>
      </c>
      <c r="DS38" s="141">
        <v>0</v>
      </c>
      <c r="DT38" s="141">
        <v>-5246480</v>
      </c>
      <c r="DU38" s="141">
        <v>0</v>
      </c>
      <c r="DV38" s="141">
        <v>-5246480</v>
      </c>
      <c r="DW38" s="856">
        <v>132336191</v>
      </c>
      <c r="DX38" s="856">
        <v>0</v>
      </c>
      <c r="DY38" s="857">
        <v>132336191</v>
      </c>
      <c r="DZ38" t="s">
        <v>1604</v>
      </c>
    </row>
    <row r="39" spans="1:130" ht="12.75" x14ac:dyDescent="0.2">
      <c r="A39" s="764">
        <v>32</v>
      </c>
      <c r="B39" s="765" t="s">
        <v>740</v>
      </c>
      <c r="C39" s="766" t="s">
        <v>1217</v>
      </c>
      <c r="D39" s="767" t="s">
        <v>1221</v>
      </c>
      <c r="E39" s="768" t="s">
        <v>739</v>
      </c>
      <c r="F39" s="867">
        <v>43490</v>
      </c>
      <c r="G39" s="141">
        <v>71707035</v>
      </c>
      <c r="H39" s="141">
        <v>0</v>
      </c>
      <c r="I39" s="141">
        <v>71707035</v>
      </c>
      <c r="J39" s="141">
        <v>49.1</v>
      </c>
      <c r="K39" s="141">
        <v>35208154</v>
      </c>
      <c r="L39" s="141">
        <v>0</v>
      </c>
      <c r="M39" s="141">
        <v>-1130184</v>
      </c>
      <c r="N39" s="141">
        <v>0</v>
      </c>
      <c r="O39" s="141">
        <v>34077970</v>
      </c>
      <c r="P39" s="141">
        <v>0</v>
      </c>
      <c r="Q39" s="141">
        <v>34077970</v>
      </c>
      <c r="R39" s="141">
        <v>-195285</v>
      </c>
      <c r="S39" s="141">
        <v>0</v>
      </c>
      <c r="T39" s="141">
        <v>-195285</v>
      </c>
      <c r="U39" s="141">
        <v>215408</v>
      </c>
      <c r="V39" s="141">
        <v>0</v>
      </c>
      <c r="W39" s="141">
        <v>215408</v>
      </c>
      <c r="X39" s="141">
        <v>20123</v>
      </c>
      <c r="Y39" s="141">
        <v>0</v>
      </c>
      <c r="Z39" s="141">
        <v>0</v>
      </c>
      <c r="AA39" s="141">
        <v>0</v>
      </c>
      <c r="AB39" s="141">
        <v>20123</v>
      </c>
      <c r="AC39" s="141">
        <v>0</v>
      </c>
      <c r="AD39" s="141">
        <v>20123</v>
      </c>
      <c r="AE39" s="141">
        <v>-20123</v>
      </c>
      <c r="AF39" s="141">
        <v>0</v>
      </c>
      <c r="AG39" s="141">
        <v>-20123</v>
      </c>
      <c r="AH39" s="141">
        <v>-2485725</v>
      </c>
      <c r="AI39" s="141">
        <v>0</v>
      </c>
      <c r="AJ39" s="141">
        <v>-2485725</v>
      </c>
      <c r="AK39" s="141">
        <v>0</v>
      </c>
      <c r="AL39" s="141">
        <v>0</v>
      </c>
      <c r="AM39" s="141">
        <v>0</v>
      </c>
      <c r="AN39" s="141">
        <v>589811</v>
      </c>
      <c r="AO39" s="141">
        <v>0</v>
      </c>
      <c r="AP39" s="141">
        <v>589811</v>
      </c>
      <c r="AQ39" s="141">
        <v>-1895914</v>
      </c>
      <c r="AR39" s="141">
        <v>0</v>
      </c>
      <c r="AS39" s="141">
        <v>-1895914</v>
      </c>
      <c r="AT39" s="141">
        <v>-2384541</v>
      </c>
      <c r="AU39" s="141">
        <v>0</v>
      </c>
      <c r="AV39" s="141">
        <v>-2384541</v>
      </c>
      <c r="AW39" s="141">
        <v>-41025</v>
      </c>
      <c r="AX39" s="141">
        <v>0</v>
      </c>
      <c r="AY39" s="141">
        <v>-41025</v>
      </c>
      <c r="AZ39" s="141">
        <v>0</v>
      </c>
      <c r="BA39" s="141">
        <v>0</v>
      </c>
      <c r="BB39" s="141">
        <v>0</v>
      </c>
      <c r="BC39" s="141">
        <v>-4321480</v>
      </c>
      <c r="BD39" s="141">
        <v>0</v>
      </c>
      <c r="BE39" s="141">
        <v>0</v>
      </c>
      <c r="BF39" s="141">
        <v>0</v>
      </c>
      <c r="BG39" s="141">
        <v>-4321480</v>
      </c>
      <c r="BH39" s="141">
        <v>0</v>
      </c>
      <c r="BI39" s="141">
        <v>-4321480</v>
      </c>
      <c r="BJ39" s="141">
        <v>0</v>
      </c>
      <c r="BK39" s="141">
        <v>0</v>
      </c>
      <c r="BL39" s="141">
        <v>0</v>
      </c>
      <c r="BM39" s="141">
        <v>-800000</v>
      </c>
      <c r="BN39" s="141">
        <v>0</v>
      </c>
      <c r="BO39" s="141">
        <v>-800000</v>
      </c>
      <c r="BP39" s="141">
        <v>-800000</v>
      </c>
      <c r="BQ39" s="141">
        <v>0</v>
      </c>
      <c r="BR39" s="141">
        <v>0</v>
      </c>
      <c r="BS39" s="141">
        <v>0</v>
      </c>
      <c r="BT39" s="141">
        <v>-800000</v>
      </c>
      <c r="BU39" s="141">
        <v>0</v>
      </c>
      <c r="BV39" s="141">
        <v>-800000</v>
      </c>
      <c r="BW39" s="141">
        <v>-36555</v>
      </c>
      <c r="BX39" s="141">
        <v>0</v>
      </c>
      <c r="BY39" s="141">
        <v>-36555</v>
      </c>
      <c r="BZ39" s="141">
        <v>-8666</v>
      </c>
      <c r="CA39" s="141">
        <v>0</v>
      </c>
      <c r="CB39" s="141">
        <v>-8666</v>
      </c>
      <c r="CC39" s="141">
        <v>0</v>
      </c>
      <c r="CD39" s="141">
        <v>0</v>
      </c>
      <c r="CE39" s="141">
        <v>0</v>
      </c>
      <c r="CF39" s="141">
        <v>0</v>
      </c>
      <c r="CG39" s="141">
        <v>0</v>
      </c>
      <c r="CH39" s="141">
        <v>0</v>
      </c>
      <c r="CI39" s="141">
        <v>0</v>
      </c>
      <c r="CJ39" s="141">
        <v>0</v>
      </c>
      <c r="CK39" s="141">
        <v>0</v>
      </c>
      <c r="CL39" s="141">
        <v>0</v>
      </c>
      <c r="CM39" s="141">
        <v>0</v>
      </c>
      <c r="CN39" s="141">
        <v>0</v>
      </c>
      <c r="CO39" s="141">
        <v>0</v>
      </c>
      <c r="CP39" s="141">
        <v>0</v>
      </c>
      <c r="CQ39" s="141">
        <v>-45221</v>
      </c>
      <c r="CR39" s="141">
        <v>0</v>
      </c>
      <c r="CS39" s="141">
        <v>0</v>
      </c>
      <c r="CT39" s="141">
        <v>0</v>
      </c>
      <c r="CU39" s="141">
        <v>-45221</v>
      </c>
      <c r="CV39" s="141">
        <v>0</v>
      </c>
      <c r="CW39" s="141">
        <v>-45221</v>
      </c>
      <c r="CX39" s="141">
        <v>0</v>
      </c>
      <c r="CY39" s="141">
        <v>0</v>
      </c>
      <c r="CZ39" s="141">
        <v>0</v>
      </c>
      <c r="DA39" s="141">
        <v>0</v>
      </c>
      <c r="DB39" s="141">
        <v>0</v>
      </c>
      <c r="DC39" s="141">
        <v>0</v>
      </c>
      <c r="DD39" s="141">
        <v>-5110</v>
      </c>
      <c r="DE39" s="141">
        <v>0</v>
      </c>
      <c r="DF39" s="141">
        <v>-5110</v>
      </c>
      <c r="DG39" s="141">
        <v>-25000</v>
      </c>
      <c r="DH39" s="141">
        <v>0</v>
      </c>
      <c r="DI39" s="141">
        <v>-25000</v>
      </c>
      <c r="DJ39" s="141">
        <v>0</v>
      </c>
      <c r="DK39" s="141">
        <v>0</v>
      </c>
      <c r="DL39" s="141">
        <v>0</v>
      </c>
      <c r="DM39" s="141">
        <v>-1047308</v>
      </c>
      <c r="DN39" s="141">
        <v>0</v>
      </c>
      <c r="DO39" s="141">
        <v>-1047308</v>
      </c>
      <c r="DP39" s="141">
        <v>-1077418</v>
      </c>
      <c r="DQ39" s="141">
        <v>0</v>
      </c>
      <c r="DR39" s="141">
        <v>0</v>
      </c>
      <c r="DS39" s="141">
        <v>0</v>
      </c>
      <c r="DT39" s="141">
        <v>-1077418</v>
      </c>
      <c r="DU39" s="141">
        <v>0</v>
      </c>
      <c r="DV39" s="141">
        <v>-1077418</v>
      </c>
      <c r="DW39" s="856">
        <v>27853974</v>
      </c>
      <c r="DX39" s="856">
        <v>0</v>
      </c>
      <c r="DY39" s="857">
        <v>27853974</v>
      </c>
      <c r="DZ39" t="s">
        <v>1605</v>
      </c>
    </row>
    <row r="40" spans="1:130" ht="12.75" x14ac:dyDescent="0.2">
      <c r="A40" s="764">
        <v>33</v>
      </c>
      <c r="B40" s="765" t="s">
        <v>742</v>
      </c>
      <c r="C40" s="766" t="s">
        <v>529</v>
      </c>
      <c r="D40" s="767" t="s">
        <v>1218</v>
      </c>
      <c r="E40" s="768" t="s">
        <v>902</v>
      </c>
      <c r="F40" s="867">
        <v>43453</v>
      </c>
      <c r="G40" s="141">
        <v>310718796</v>
      </c>
      <c r="H40" s="141">
        <v>0</v>
      </c>
      <c r="I40" s="141">
        <v>310718796</v>
      </c>
      <c r="J40" s="141">
        <v>49.1</v>
      </c>
      <c r="K40" s="141">
        <v>152562929</v>
      </c>
      <c r="L40" s="141">
        <v>0</v>
      </c>
      <c r="M40" s="141">
        <v>1696061</v>
      </c>
      <c r="N40" s="141">
        <v>0</v>
      </c>
      <c r="O40" s="141">
        <v>154258990</v>
      </c>
      <c r="P40" s="141">
        <v>0</v>
      </c>
      <c r="Q40" s="141">
        <v>154258990</v>
      </c>
      <c r="R40" s="141">
        <v>-2665445</v>
      </c>
      <c r="S40" s="141">
        <v>0</v>
      </c>
      <c r="T40" s="141">
        <v>-2665445</v>
      </c>
      <c r="U40" s="141">
        <v>184537</v>
      </c>
      <c r="V40" s="141">
        <v>0</v>
      </c>
      <c r="W40" s="141">
        <v>184537</v>
      </c>
      <c r="X40" s="141">
        <v>-2480908</v>
      </c>
      <c r="Y40" s="141">
        <v>0</v>
      </c>
      <c r="Z40" s="141">
        <v>0</v>
      </c>
      <c r="AA40" s="141">
        <v>0</v>
      </c>
      <c r="AB40" s="141">
        <v>-2480908</v>
      </c>
      <c r="AC40" s="141">
        <v>0</v>
      </c>
      <c r="AD40" s="141">
        <v>-2480908</v>
      </c>
      <c r="AE40" s="141">
        <v>2480908</v>
      </c>
      <c r="AF40" s="141">
        <v>0</v>
      </c>
      <c r="AG40" s="141">
        <v>2480908</v>
      </c>
      <c r="AH40" s="141">
        <v>-11296549</v>
      </c>
      <c r="AI40" s="141">
        <v>0</v>
      </c>
      <c r="AJ40" s="141">
        <v>-11296549</v>
      </c>
      <c r="AK40" s="141">
        <v>-5637</v>
      </c>
      <c r="AL40" s="141">
        <v>0</v>
      </c>
      <c r="AM40" s="141">
        <v>-5637</v>
      </c>
      <c r="AN40" s="141">
        <v>2816949</v>
      </c>
      <c r="AO40" s="141">
        <v>0</v>
      </c>
      <c r="AP40" s="141">
        <v>2816949</v>
      </c>
      <c r="AQ40" s="141">
        <v>-8479600</v>
      </c>
      <c r="AR40" s="141">
        <v>0</v>
      </c>
      <c r="AS40" s="141">
        <v>-8479600</v>
      </c>
      <c r="AT40" s="141">
        <v>-11902423</v>
      </c>
      <c r="AU40" s="141">
        <v>0</v>
      </c>
      <c r="AV40" s="141">
        <v>-11902423</v>
      </c>
      <c r="AW40" s="141">
        <v>-54775</v>
      </c>
      <c r="AX40" s="141">
        <v>0</v>
      </c>
      <c r="AY40" s="141">
        <v>-54775</v>
      </c>
      <c r="AZ40" s="141">
        <v>0</v>
      </c>
      <c r="BA40" s="141">
        <v>0</v>
      </c>
      <c r="BB40" s="141">
        <v>0</v>
      </c>
      <c r="BC40" s="141">
        <v>-20436798</v>
      </c>
      <c r="BD40" s="141">
        <v>0</v>
      </c>
      <c r="BE40" s="141">
        <v>22049</v>
      </c>
      <c r="BF40" s="141">
        <v>0</v>
      </c>
      <c r="BG40" s="141">
        <v>-20414749</v>
      </c>
      <c r="BH40" s="141">
        <v>0</v>
      </c>
      <c r="BI40" s="141">
        <v>-20414749</v>
      </c>
      <c r="BJ40" s="141">
        <v>0</v>
      </c>
      <c r="BK40" s="141">
        <v>0</v>
      </c>
      <c r="BL40" s="141">
        <v>0</v>
      </c>
      <c r="BM40" s="141">
        <v>-2975665</v>
      </c>
      <c r="BN40" s="141">
        <v>0</v>
      </c>
      <c r="BO40" s="141">
        <v>-2975665</v>
      </c>
      <c r="BP40" s="141">
        <v>-2975665</v>
      </c>
      <c r="BQ40" s="141">
        <v>0</v>
      </c>
      <c r="BR40" s="141">
        <v>0</v>
      </c>
      <c r="BS40" s="141">
        <v>0</v>
      </c>
      <c r="BT40" s="141">
        <v>-2975665</v>
      </c>
      <c r="BU40" s="141">
        <v>0</v>
      </c>
      <c r="BV40" s="141">
        <v>-2975665</v>
      </c>
      <c r="BW40" s="141">
        <v>-35751</v>
      </c>
      <c r="BX40" s="141">
        <v>0</v>
      </c>
      <c r="BY40" s="141">
        <v>-35751</v>
      </c>
      <c r="BZ40" s="141">
        <v>-35597</v>
      </c>
      <c r="CA40" s="141">
        <v>0</v>
      </c>
      <c r="CB40" s="141">
        <v>-35597</v>
      </c>
      <c r="CC40" s="141">
        <v>-2404</v>
      </c>
      <c r="CD40" s="141">
        <v>0</v>
      </c>
      <c r="CE40" s="141">
        <v>-2404</v>
      </c>
      <c r="CF40" s="141">
        <v>0</v>
      </c>
      <c r="CG40" s="141">
        <v>0</v>
      </c>
      <c r="CH40" s="141">
        <v>0</v>
      </c>
      <c r="CI40" s="141">
        <v>0</v>
      </c>
      <c r="CJ40" s="141">
        <v>0</v>
      </c>
      <c r="CK40" s="141">
        <v>0</v>
      </c>
      <c r="CL40" s="141">
        <v>0</v>
      </c>
      <c r="CM40" s="141">
        <v>0</v>
      </c>
      <c r="CN40" s="141">
        <v>0</v>
      </c>
      <c r="CO40" s="141">
        <v>0</v>
      </c>
      <c r="CP40" s="141">
        <v>0</v>
      </c>
      <c r="CQ40" s="141">
        <v>-73752</v>
      </c>
      <c r="CR40" s="141">
        <v>0</v>
      </c>
      <c r="CS40" s="141">
        <v>0</v>
      </c>
      <c r="CT40" s="141">
        <v>0</v>
      </c>
      <c r="CU40" s="141">
        <v>-73752</v>
      </c>
      <c r="CV40" s="141">
        <v>0</v>
      </c>
      <c r="CW40" s="141">
        <v>-73752</v>
      </c>
      <c r="CX40" s="141">
        <v>0</v>
      </c>
      <c r="CY40" s="141">
        <v>0</v>
      </c>
      <c r="CZ40" s="141">
        <v>0</v>
      </c>
      <c r="DA40" s="141">
        <v>0</v>
      </c>
      <c r="DB40" s="141">
        <v>0</v>
      </c>
      <c r="DC40" s="141">
        <v>0</v>
      </c>
      <c r="DD40" s="141">
        <v>-168807</v>
      </c>
      <c r="DE40" s="141">
        <v>0</v>
      </c>
      <c r="DF40" s="141">
        <v>-168807</v>
      </c>
      <c r="DG40" s="141">
        <v>-224678</v>
      </c>
      <c r="DH40" s="141">
        <v>0</v>
      </c>
      <c r="DI40" s="141">
        <v>-224678</v>
      </c>
      <c r="DJ40" s="141">
        <v>0</v>
      </c>
      <c r="DK40" s="141">
        <v>0</v>
      </c>
      <c r="DL40" s="141">
        <v>0</v>
      </c>
      <c r="DM40" s="141">
        <v>-5305400</v>
      </c>
      <c r="DN40" s="141">
        <v>0</v>
      </c>
      <c r="DO40" s="141">
        <v>-5305400</v>
      </c>
      <c r="DP40" s="141">
        <v>-5698885</v>
      </c>
      <c r="DQ40" s="141">
        <v>0</v>
      </c>
      <c r="DR40" s="141">
        <v>0</v>
      </c>
      <c r="DS40" s="141">
        <v>0</v>
      </c>
      <c r="DT40" s="141">
        <v>-5698885</v>
      </c>
      <c r="DU40" s="141">
        <v>0</v>
      </c>
      <c r="DV40" s="141">
        <v>-5698885</v>
      </c>
      <c r="DW40" s="856">
        <v>122615031</v>
      </c>
      <c r="DX40" s="856">
        <v>0</v>
      </c>
      <c r="DY40" s="857">
        <v>122615031</v>
      </c>
      <c r="DZ40" t="s">
        <v>1606</v>
      </c>
    </row>
    <row r="41" spans="1:130" ht="12.75" x14ac:dyDescent="0.2">
      <c r="A41" s="764">
        <v>34</v>
      </c>
      <c r="B41" s="765" t="s">
        <v>744</v>
      </c>
      <c r="C41" s="766" t="s">
        <v>529</v>
      </c>
      <c r="D41" s="767" t="s">
        <v>1226</v>
      </c>
      <c r="E41" s="768" t="s">
        <v>531</v>
      </c>
      <c r="F41" s="867">
        <v>43453</v>
      </c>
      <c r="G41" s="141">
        <v>487155845</v>
      </c>
      <c r="H41" s="141">
        <v>68653825</v>
      </c>
      <c r="I41" s="141">
        <v>555809670</v>
      </c>
      <c r="J41" s="141">
        <v>49.1</v>
      </c>
      <c r="K41" s="141">
        <v>239193520</v>
      </c>
      <c r="L41" s="141">
        <v>33709028</v>
      </c>
      <c r="M41" s="141">
        <v>113400</v>
      </c>
      <c r="N41" s="141">
        <v>2217600</v>
      </c>
      <c r="O41" s="141">
        <v>239306920</v>
      </c>
      <c r="P41" s="141">
        <v>35926628</v>
      </c>
      <c r="Q41" s="141">
        <v>275233548</v>
      </c>
      <c r="R41" s="141">
        <v>-2122057</v>
      </c>
      <c r="S41" s="141">
        <v>-102549</v>
      </c>
      <c r="T41" s="141">
        <v>-2224606</v>
      </c>
      <c r="U41" s="141">
        <v>4778824</v>
      </c>
      <c r="V41" s="141">
        <v>207337</v>
      </c>
      <c r="W41" s="141">
        <v>4986161</v>
      </c>
      <c r="X41" s="141">
        <v>2656767</v>
      </c>
      <c r="Y41" s="141">
        <v>104788</v>
      </c>
      <c r="Z41" s="141">
        <v>0</v>
      </c>
      <c r="AA41" s="141">
        <v>0</v>
      </c>
      <c r="AB41" s="141">
        <v>2656767</v>
      </c>
      <c r="AC41" s="141">
        <v>104788</v>
      </c>
      <c r="AD41" s="141">
        <v>2761555</v>
      </c>
      <c r="AE41" s="141">
        <v>-2656767</v>
      </c>
      <c r="AF41" s="141">
        <v>-104788</v>
      </c>
      <c r="AG41" s="141">
        <v>-2761555</v>
      </c>
      <c r="AH41" s="141">
        <v>-12919669</v>
      </c>
      <c r="AI41" s="141">
        <v>-262452</v>
      </c>
      <c r="AJ41" s="141">
        <v>-13182121</v>
      </c>
      <c r="AK41" s="141">
        <v>-31890</v>
      </c>
      <c r="AL41" s="141">
        <v>0</v>
      </c>
      <c r="AM41" s="141">
        <v>-31890</v>
      </c>
      <c r="AN41" s="141">
        <v>4668458</v>
      </c>
      <c r="AO41" s="141">
        <v>785438</v>
      </c>
      <c r="AP41" s="141">
        <v>5453896</v>
      </c>
      <c r="AQ41" s="141">
        <v>-8251211</v>
      </c>
      <c r="AR41" s="141">
        <v>522986</v>
      </c>
      <c r="AS41" s="141">
        <v>-7728225</v>
      </c>
      <c r="AT41" s="141">
        <v>-19544675</v>
      </c>
      <c r="AU41" s="141">
        <v>-407215</v>
      </c>
      <c r="AV41" s="141">
        <v>-19951890</v>
      </c>
      <c r="AW41" s="141">
        <v>-126083</v>
      </c>
      <c r="AX41" s="141">
        <v>0</v>
      </c>
      <c r="AY41" s="141">
        <v>-126083</v>
      </c>
      <c r="AZ41" s="141">
        <v>0</v>
      </c>
      <c r="BA41" s="141">
        <v>0</v>
      </c>
      <c r="BB41" s="141">
        <v>0</v>
      </c>
      <c r="BC41" s="141">
        <v>-27921969</v>
      </c>
      <c r="BD41" s="141">
        <v>115771</v>
      </c>
      <c r="BE41" s="141">
        <v>-550000</v>
      </c>
      <c r="BF41" s="141">
        <v>0</v>
      </c>
      <c r="BG41" s="141">
        <v>-28471969</v>
      </c>
      <c r="BH41" s="141">
        <v>115771</v>
      </c>
      <c r="BI41" s="141">
        <v>-28356198</v>
      </c>
      <c r="BJ41" s="141">
        <v>-50000</v>
      </c>
      <c r="BK41" s="141">
        <v>-50000</v>
      </c>
      <c r="BL41" s="141">
        <v>-100000</v>
      </c>
      <c r="BM41" s="141">
        <v>-5955285</v>
      </c>
      <c r="BN41" s="141">
        <v>-157574</v>
      </c>
      <c r="BO41" s="141">
        <v>-6112859</v>
      </c>
      <c r="BP41" s="141">
        <v>-6005285</v>
      </c>
      <c r="BQ41" s="141">
        <v>-207574</v>
      </c>
      <c r="BR41" s="141">
        <v>-3110000</v>
      </c>
      <c r="BS41" s="141">
        <v>-140000</v>
      </c>
      <c r="BT41" s="141">
        <v>-9115285</v>
      </c>
      <c r="BU41" s="141">
        <v>-347574</v>
      </c>
      <c r="BV41" s="141">
        <v>-9462859</v>
      </c>
      <c r="BW41" s="141">
        <v>-295924</v>
      </c>
      <c r="BX41" s="141">
        <v>0</v>
      </c>
      <c r="BY41" s="141">
        <v>-295924</v>
      </c>
      <c r="BZ41" s="141">
        <v>-253974</v>
      </c>
      <c r="CA41" s="141">
        <v>0</v>
      </c>
      <c r="CB41" s="141">
        <v>-253974</v>
      </c>
      <c r="CC41" s="141">
        <v>-2157</v>
      </c>
      <c r="CD41" s="141">
        <v>0</v>
      </c>
      <c r="CE41" s="141">
        <v>-2157</v>
      </c>
      <c r="CF41" s="141">
        <v>0</v>
      </c>
      <c r="CG41" s="141">
        <v>0</v>
      </c>
      <c r="CH41" s="141">
        <v>0</v>
      </c>
      <c r="CI41" s="141">
        <v>0</v>
      </c>
      <c r="CJ41" s="141">
        <v>0</v>
      </c>
      <c r="CK41" s="141">
        <v>0</v>
      </c>
      <c r="CL41" s="141">
        <v>0</v>
      </c>
      <c r="CM41" s="141">
        <v>-1479559</v>
      </c>
      <c r="CN41" s="141">
        <v>-1479559</v>
      </c>
      <c r="CO41" s="141">
        <v>-1479559</v>
      </c>
      <c r="CP41" s="141">
        <v>0</v>
      </c>
      <c r="CQ41" s="141">
        <v>-552055</v>
      </c>
      <c r="CR41" s="141">
        <v>-1479559</v>
      </c>
      <c r="CS41" s="141">
        <v>0</v>
      </c>
      <c r="CT41" s="141">
        <v>-300000</v>
      </c>
      <c r="CU41" s="141">
        <v>-552055</v>
      </c>
      <c r="CV41" s="141">
        <v>-1779559</v>
      </c>
      <c r="CW41" s="141">
        <v>-2331614</v>
      </c>
      <c r="CX41" s="141">
        <v>0</v>
      </c>
      <c r="CY41" s="141">
        <v>0</v>
      </c>
      <c r="CZ41" s="141">
        <v>0</v>
      </c>
      <c r="DA41" s="141">
        <v>-1500</v>
      </c>
      <c r="DB41" s="141">
        <v>0</v>
      </c>
      <c r="DC41" s="141">
        <v>-1500</v>
      </c>
      <c r="DD41" s="141">
        <v>-62751</v>
      </c>
      <c r="DE41" s="141">
        <v>-1896</v>
      </c>
      <c r="DF41" s="141">
        <v>-64647</v>
      </c>
      <c r="DG41" s="141">
        <v>-181701</v>
      </c>
      <c r="DH41" s="141">
        <v>-13299</v>
      </c>
      <c r="DI41" s="141">
        <v>-195000</v>
      </c>
      <c r="DJ41" s="141">
        <v>0</v>
      </c>
      <c r="DK41" s="141">
        <v>0</v>
      </c>
      <c r="DL41" s="141">
        <v>0</v>
      </c>
      <c r="DM41" s="141">
        <v>-3295892</v>
      </c>
      <c r="DN41" s="141">
        <v>-82331</v>
      </c>
      <c r="DO41" s="141">
        <v>-3378223</v>
      </c>
      <c r="DP41" s="141">
        <v>-3541844</v>
      </c>
      <c r="DQ41" s="141">
        <v>-97526</v>
      </c>
      <c r="DR41" s="141">
        <v>0</v>
      </c>
      <c r="DS41" s="141">
        <v>0</v>
      </c>
      <c r="DT41" s="141">
        <v>-3541844</v>
      </c>
      <c r="DU41" s="141">
        <v>-97526</v>
      </c>
      <c r="DV41" s="141">
        <v>-3639370</v>
      </c>
      <c r="DW41" s="856">
        <v>200282534</v>
      </c>
      <c r="DX41" s="856">
        <v>33922528</v>
      </c>
      <c r="DY41" s="857">
        <v>234205062</v>
      </c>
      <c r="DZ41" t="s">
        <v>1607</v>
      </c>
    </row>
    <row r="42" spans="1:130" ht="12.75" x14ac:dyDescent="0.2">
      <c r="A42" s="764">
        <v>35</v>
      </c>
      <c r="B42" s="765" t="s">
        <v>746</v>
      </c>
      <c r="C42" s="766" t="s">
        <v>1217</v>
      </c>
      <c r="D42" s="767" t="s">
        <v>1221</v>
      </c>
      <c r="E42" s="768" t="s">
        <v>745</v>
      </c>
      <c r="F42" s="867">
        <v>43454</v>
      </c>
      <c r="G42" s="141">
        <v>77701096</v>
      </c>
      <c r="H42" s="141">
        <v>0</v>
      </c>
      <c r="I42" s="141">
        <v>77701096</v>
      </c>
      <c r="J42" s="141">
        <v>49.1</v>
      </c>
      <c r="K42" s="141">
        <v>38151238</v>
      </c>
      <c r="L42" s="141">
        <v>0</v>
      </c>
      <c r="M42" s="141">
        <v>125865</v>
      </c>
      <c r="N42" s="141">
        <v>0</v>
      </c>
      <c r="O42" s="141">
        <v>38277103</v>
      </c>
      <c r="P42" s="141">
        <v>0</v>
      </c>
      <c r="Q42" s="141">
        <v>38277103</v>
      </c>
      <c r="R42" s="141">
        <v>-441302</v>
      </c>
      <c r="S42" s="141">
        <v>0</v>
      </c>
      <c r="T42" s="141">
        <v>-441302</v>
      </c>
      <c r="U42" s="141">
        <v>954367</v>
      </c>
      <c r="V42" s="141">
        <v>0</v>
      </c>
      <c r="W42" s="141">
        <v>954367</v>
      </c>
      <c r="X42" s="141">
        <v>513065</v>
      </c>
      <c r="Y42" s="141">
        <v>0</v>
      </c>
      <c r="Z42" s="141">
        <v>0</v>
      </c>
      <c r="AA42" s="141">
        <v>0</v>
      </c>
      <c r="AB42" s="141">
        <v>513065</v>
      </c>
      <c r="AC42" s="141">
        <v>0</v>
      </c>
      <c r="AD42" s="141">
        <v>513065</v>
      </c>
      <c r="AE42" s="141">
        <v>-513065</v>
      </c>
      <c r="AF42" s="141">
        <v>0</v>
      </c>
      <c r="AG42" s="141">
        <v>-513065</v>
      </c>
      <c r="AH42" s="141">
        <v>-4197016</v>
      </c>
      <c r="AI42" s="141">
        <v>0</v>
      </c>
      <c r="AJ42" s="141">
        <v>-4197016</v>
      </c>
      <c r="AK42" s="141">
        <v>-11680</v>
      </c>
      <c r="AL42" s="141">
        <v>0</v>
      </c>
      <c r="AM42" s="141">
        <v>-11680</v>
      </c>
      <c r="AN42" s="141">
        <v>655981</v>
      </c>
      <c r="AO42" s="141">
        <v>0</v>
      </c>
      <c r="AP42" s="141">
        <v>655981</v>
      </c>
      <c r="AQ42" s="141">
        <v>-3541035</v>
      </c>
      <c r="AR42" s="141">
        <v>0</v>
      </c>
      <c r="AS42" s="141">
        <v>-3541035</v>
      </c>
      <c r="AT42" s="141">
        <v>-2060963</v>
      </c>
      <c r="AU42" s="141">
        <v>0</v>
      </c>
      <c r="AV42" s="141">
        <v>-2060963</v>
      </c>
      <c r="AW42" s="141">
        <v>-34260</v>
      </c>
      <c r="AX42" s="141">
        <v>0</v>
      </c>
      <c r="AY42" s="141">
        <v>-34260</v>
      </c>
      <c r="AZ42" s="141">
        <v>-45103</v>
      </c>
      <c r="BA42" s="141">
        <v>0</v>
      </c>
      <c r="BB42" s="141">
        <v>-45103</v>
      </c>
      <c r="BC42" s="141">
        <v>-5681361</v>
      </c>
      <c r="BD42" s="141">
        <v>0</v>
      </c>
      <c r="BE42" s="141">
        <v>-426102</v>
      </c>
      <c r="BF42" s="141">
        <v>0</v>
      </c>
      <c r="BG42" s="141">
        <v>-6107463</v>
      </c>
      <c r="BH42" s="141">
        <v>0</v>
      </c>
      <c r="BI42" s="141">
        <v>-6107463</v>
      </c>
      <c r="BJ42" s="141">
        <v>-5000</v>
      </c>
      <c r="BK42" s="141">
        <v>0</v>
      </c>
      <c r="BL42" s="141">
        <v>-5000</v>
      </c>
      <c r="BM42" s="141">
        <v>-537997</v>
      </c>
      <c r="BN42" s="141">
        <v>0</v>
      </c>
      <c r="BO42" s="141">
        <v>-537997</v>
      </c>
      <c r="BP42" s="141">
        <v>-542997</v>
      </c>
      <c r="BQ42" s="141">
        <v>0</v>
      </c>
      <c r="BR42" s="141">
        <v>-54000</v>
      </c>
      <c r="BS42" s="141">
        <v>0</v>
      </c>
      <c r="BT42" s="141">
        <v>-596997</v>
      </c>
      <c r="BU42" s="141">
        <v>0</v>
      </c>
      <c r="BV42" s="141">
        <v>-596997</v>
      </c>
      <c r="BW42" s="141">
        <v>-24123</v>
      </c>
      <c r="BX42" s="141">
        <v>0</v>
      </c>
      <c r="BY42" s="141">
        <v>-24123</v>
      </c>
      <c r="BZ42" s="141">
        <v>-58290</v>
      </c>
      <c r="CA42" s="141">
        <v>0</v>
      </c>
      <c r="CB42" s="141">
        <v>-58290</v>
      </c>
      <c r="CC42" s="141">
        <v>0</v>
      </c>
      <c r="CD42" s="141">
        <v>0</v>
      </c>
      <c r="CE42" s="141">
        <v>0</v>
      </c>
      <c r="CF42" s="141">
        <v>0</v>
      </c>
      <c r="CG42" s="141">
        <v>0</v>
      </c>
      <c r="CH42" s="141">
        <v>0</v>
      </c>
      <c r="CI42" s="141">
        <v>-1064</v>
      </c>
      <c r="CJ42" s="141">
        <v>0</v>
      </c>
      <c r="CK42" s="141">
        <v>-1064</v>
      </c>
      <c r="CL42" s="141">
        <v>-28017</v>
      </c>
      <c r="CM42" s="141">
        <v>0</v>
      </c>
      <c r="CN42" s="141">
        <v>-28017</v>
      </c>
      <c r="CO42" s="141">
        <v>0</v>
      </c>
      <c r="CP42" s="141">
        <v>0</v>
      </c>
      <c r="CQ42" s="141">
        <v>-111494</v>
      </c>
      <c r="CR42" s="141">
        <v>0</v>
      </c>
      <c r="CS42" s="141">
        <v>0</v>
      </c>
      <c r="CT42" s="141">
        <v>0</v>
      </c>
      <c r="CU42" s="141">
        <v>-111494</v>
      </c>
      <c r="CV42" s="141">
        <v>0</v>
      </c>
      <c r="CW42" s="141">
        <v>-111494</v>
      </c>
      <c r="CX42" s="141">
        <v>-45103</v>
      </c>
      <c r="CY42" s="141">
        <v>0</v>
      </c>
      <c r="CZ42" s="141">
        <v>-45103</v>
      </c>
      <c r="DA42" s="141">
        <v>0</v>
      </c>
      <c r="DB42" s="141">
        <v>0</v>
      </c>
      <c r="DC42" s="141">
        <v>0</v>
      </c>
      <c r="DD42" s="141">
        <v>-32809</v>
      </c>
      <c r="DE42" s="141">
        <v>0</v>
      </c>
      <c r="DF42" s="141">
        <v>-32809</v>
      </c>
      <c r="DG42" s="141">
        <v>-58000</v>
      </c>
      <c r="DH42" s="141">
        <v>0</v>
      </c>
      <c r="DI42" s="141">
        <v>-58000</v>
      </c>
      <c r="DJ42" s="141">
        <v>0</v>
      </c>
      <c r="DK42" s="141">
        <v>0</v>
      </c>
      <c r="DL42" s="141">
        <v>0</v>
      </c>
      <c r="DM42" s="141">
        <v>-510962</v>
      </c>
      <c r="DN42" s="141">
        <v>0</v>
      </c>
      <c r="DO42" s="141">
        <v>-510962</v>
      </c>
      <c r="DP42" s="141">
        <v>-646874</v>
      </c>
      <c r="DQ42" s="141">
        <v>0</v>
      </c>
      <c r="DR42" s="141">
        <v>0</v>
      </c>
      <c r="DS42" s="141">
        <v>0</v>
      </c>
      <c r="DT42" s="141">
        <v>-646874</v>
      </c>
      <c r="DU42" s="141">
        <v>0</v>
      </c>
      <c r="DV42" s="141">
        <v>-646874</v>
      </c>
      <c r="DW42" s="856">
        <v>31327340</v>
      </c>
      <c r="DX42" s="856">
        <v>0</v>
      </c>
      <c r="DY42" s="857">
        <v>31327340</v>
      </c>
      <c r="DZ42" t="s">
        <v>1608</v>
      </c>
    </row>
    <row r="43" spans="1:130" ht="12.75" x14ac:dyDescent="0.2">
      <c r="A43" s="764">
        <v>36</v>
      </c>
      <c r="B43" s="765" t="s">
        <v>748</v>
      </c>
      <c r="C43" s="766" t="s">
        <v>1222</v>
      </c>
      <c r="D43" s="767" t="s">
        <v>1223</v>
      </c>
      <c r="E43" s="768" t="s">
        <v>747</v>
      </c>
      <c r="F43" s="867">
        <v>43475</v>
      </c>
      <c r="G43" s="141">
        <v>244621067</v>
      </c>
      <c r="H43" s="141">
        <v>0</v>
      </c>
      <c r="I43" s="141">
        <v>244621067</v>
      </c>
      <c r="J43" s="141">
        <v>49.1</v>
      </c>
      <c r="K43" s="141">
        <v>120108944</v>
      </c>
      <c r="L43" s="141">
        <v>0</v>
      </c>
      <c r="M43" s="141">
        <v>0</v>
      </c>
      <c r="N43" s="141">
        <v>0</v>
      </c>
      <c r="O43" s="141">
        <v>120108944</v>
      </c>
      <c r="P43" s="141">
        <v>0</v>
      </c>
      <c r="Q43" s="141">
        <v>120108944</v>
      </c>
      <c r="R43" s="141">
        <v>-2666942</v>
      </c>
      <c r="S43" s="141">
        <v>0</v>
      </c>
      <c r="T43" s="141">
        <v>-2666942</v>
      </c>
      <c r="U43" s="141">
        <v>622908</v>
      </c>
      <c r="V43" s="141">
        <v>0</v>
      </c>
      <c r="W43" s="141">
        <v>622908</v>
      </c>
      <c r="X43" s="141">
        <v>-2044034</v>
      </c>
      <c r="Y43" s="141">
        <v>0</v>
      </c>
      <c r="Z43" s="141">
        <v>0</v>
      </c>
      <c r="AA43" s="141">
        <v>0</v>
      </c>
      <c r="AB43" s="141">
        <v>-2044034</v>
      </c>
      <c r="AC43" s="141">
        <v>0</v>
      </c>
      <c r="AD43" s="141">
        <v>-2044034</v>
      </c>
      <c r="AE43" s="141">
        <v>2044034</v>
      </c>
      <c r="AF43" s="141">
        <v>0</v>
      </c>
      <c r="AG43" s="141">
        <v>2044034</v>
      </c>
      <c r="AH43" s="141">
        <v>-7178019</v>
      </c>
      <c r="AI43" s="141">
        <v>0</v>
      </c>
      <c r="AJ43" s="141">
        <v>-7178019</v>
      </c>
      <c r="AK43" s="141">
        <v>0</v>
      </c>
      <c r="AL43" s="141">
        <v>0</v>
      </c>
      <c r="AM43" s="141">
        <v>0</v>
      </c>
      <c r="AN43" s="141">
        <v>2275298</v>
      </c>
      <c r="AO43" s="141">
        <v>0</v>
      </c>
      <c r="AP43" s="141">
        <v>2275298</v>
      </c>
      <c r="AQ43" s="141">
        <v>-4902721</v>
      </c>
      <c r="AR43" s="141">
        <v>0</v>
      </c>
      <c r="AS43" s="141">
        <v>-4902721</v>
      </c>
      <c r="AT43" s="141">
        <v>-11088650</v>
      </c>
      <c r="AU43" s="141">
        <v>0</v>
      </c>
      <c r="AV43" s="141">
        <v>-11088650</v>
      </c>
      <c r="AW43" s="141">
        <v>-190514</v>
      </c>
      <c r="AX43" s="141">
        <v>0</v>
      </c>
      <c r="AY43" s="141">
        <v>-190514</v>
      </c>
      <c r="AZ43" s="141">
        <v>0</v>
      </c>
      <c r="BA43" s="141">
        <v>0</v>
      </c>
      <c r="BB43" s="141">
        <v>0</v>
      </c>
      <c r="BC43" s="141">
        <v>-16181885</v>
      </c>
      <c r="BD43" s="141">
        <v>0</v>
      </c>
      <c r="BE43" s="141">
        <v>0</v>
      </c>
      <c r="BF43" s="141">
        <v>0</v>
      </c>
      <c r="BG43" s="141">
        <v>-16181885</v>
      </c>
      <c r="BH43" s="141">
        <v>0</v>
      </c>
      <c r="BI43" s="141">
        <v>-16181885</v>
      </c>
      <c r="BJ43" s="141">
        <v>0</v>
      </c>
      <c r="BK43" s="141">
        <v>0</v>
      </c>
      <c r="BL43" s="141">
        <v>0</v>
      </c>
      <c r="BM43" s="141">
        <v>-2263727</v>
      </c>
      <c r="BN43" s="141">
        <v>0</v>
      </c>
      <c r="BO43" s="141">
        <v>-2263727</v>
      </c>
      <c r="BP43" s="141">
        <v>-2263727</v>
      </c>
      <c r="BQ43" s="141">
        <v>0</v>
      </c>
      <c r="BR43" s="141">
        <v>0</v>
      </c>
      <c r="BS43" s="141">
        <v>0</v>
      </c>
      <c r="BT43" s="141">
        <v>-2263727</v>
      </c>
      <c r="BU43" s="141">
        <v>0</v>
      </c>
      <c r="BV43" s="141">
        <v>-2263727</v>
      </c>
      <c r="BW43" s="141">
        <v>-307044</v>
      </c>
      <c r="BX43" s="141">
        <v>0</v>
      </c>
      <c r="BY43" s="141">
        <v>-307044</v>
      </c>
      <c r="BZ43" s="141">
        <v>-348389</v>
      </c>
      <c r="CA43" s="141">
        <v>0</v>
      </c>
      <c r="CB43" s="141">
        <v>-348389</v>
      </c>
      <c r="CC43" s="141">
        <v>-47629</v>
      </c>
      <c r="CD43" s="141">
        <v>0</v>
      </c>
      <c r="CE43" s="141">
        <v>-47629</v>
      </c>
      <c r="CF43" s="141">
        <v>0</v>
      </c>
      <c r="CG43" s="141">
        <v>0</v>
      </c>
      <c r="CH43" s="141">
        <v>0</v>
      </c>
      <c r="CI43" s="141">
        <v>0</v>
      </c>
      <c r="CJ43" s="141">
        <v>0</v>
      </c>
      <c r="CK43" s="141">
        <v>0</v>
      </c>
      <c r="CL43" s="141">
        <v>0</v>
      </c>
      <c r="CM43" s="141">
        <v>0</v>
      </c>
      <c r="CN43" s="141">
        <v>0</v>
      </c>
      <c r="CO43" s="141">
        <v>0</v>
      </c>
      <c r="CP43" s="141">
        <v>0</v>
      </c>
      <c r="CQ43" s="141">
        <v>-703062</v>
      </c>
      <c r="CR43" s="141">
        <v>0</v>
      </c>
      <c r="CS43" s="141">
        <v>0</v>
      </c>
      <c r="CT43" s="141">
        <v>0</v>
      </c>
      <c r="CU43" s="141">
        <v>-703062</v>
      </c>
      <c r="CV43" s="141">
        <v>0</v>
      </c>
      <c r="CW43" s="141">
        <v>-703062</v>
      </c>
      <c r="CX43" s="141">
        <v>0</v>
      </c>
      <c r="CY43" s="141">
        <v>0</v>
      </c>
      <c r="CZ43" s="141">
        <v>0</v>
      </c>
      <c r="DA43" s="141">
        <v>0</v>
      </c>
      <c r="DB43" s="141">
        <v>0</v>
      </c>
      <c r="DC43" s="141">
        <v>0</v>
      </c>
      <c r="DD43" s="141">
        <v>-2284</v>
      </c>
      <c r="DE43" s="141">
        <v>0</v>
      </c>
      <c r="DF43" s="141">
        <v>-2284</v>
      </c>
      <c r="DG43" s="141">
        <v>-280952</v>
      </c>
      <c r="DH43" s="141">
        <v>0</v>
      </c>
      <c r="DI43" s="141">
        <v>-280952</v>
      </c>
      <c r="DJ43" s="141">
        <v>0</v>
      </c>
      <c r="DK43" s="141">
        <v>0</v>
      </c>
      <c r="DL43" s="141">
        <v>0</v>
      </c>
      <c r="DM43" s="141">
        <v>-3941602</v>
      </c>
      <c r="DN43" s="141">
        <v>0</v>
      </c>
      <c r="DO43" s="141">
        <v>-3941602</v>
      </c>
      <c r="DP43" s="141">
        <v>-4224838</v>
      </c>
      <c r="DQ43" s="141">
        <v>0</v>
      </c>
      <c r="DR43" s="141">
        <v>0</v>
      </c>
      <c r="DS43" s="141">
        <v>0</v>
      </c>
      <c r="DT43" s="141">
        <v>-4224838</v>
      </c>
      <c r="DU43" s="141">
        <v>0</v>
      </c>
      <c r="DV43" s="141">
        <v>-4224838</v>
      </c>
      <c r="DW43" s="856">
        <v>94691398</v>
      </c>
      <c r="DX43" s="856">
        <v>0</v>
      </c>
      <c r="DY43" s="857">
        <v>94691398</v>
      </c>
      <c r="DZ43" t="s">
        <v>1609</v>
      </c>
    </row>
    <row r="44" spans="1:130" ht="12.75" x14ac:dyDescent="0.2">
      <c r="A44" s="764">
        <v>37</v>
      </c>
      <c r="B44" s="765" t="s">
        <v>750</v>
      </c>
      <c r="C44" s="766" t="s">
        <v>1217</v>
      </c>
      <c r="D44" s="767" t="s">
        <v>1227</v>
      </c>
      <c r="E44" s="768" t="s">
        <v>749</v>
      </c>
      <c r="F44" s="867">
        <v>43468</v>
      </c>
      <c r="G44" s="141">
        <v>67344456</v>
      </c>
      <c r="H44" s="141">
        <v>0</v>
      </c>
      <c r="I44" s="141">
        <v>67344456</v>
      </c>
      <c r="J44" s="141">
        <v>49.1</v>
      </c>
      <c r="K44" s="141">
        <v>33066128</v>
      </c>
      <c r="L44" s="141">
        <v>0</v>
      </c>
      <c r="M44" s="141">
        <v>0</v>
      </c>
      <c r="N44" s="141">
        <v>0</v>
      </c>
      <c r="O44" s="141">
        <v>33066128</v>
      </c>
      <c r="P44" s="141">
        <v>0</v>
      </c>
      <c r="Q44" s="141">
        <v>33066128</v>
      </c>
      <c r="R44" s="141">
        <v>-289650</v>
      </c>
      <c r="S44" s="141">
        <v>0</v>
      </c>
      <c r="T44" s="141">
        <v>-289650</v>
      </c>
      <c r="U44" s="141">
        <v>486229</v>
      </c>
      <c r="V44" s="141">
        <v>0</v>
      </c>
      <c r="W44" s="141">
        <v>486229</v>
      </c>
      <c r="X44" s="141">
        <v>196579</v>
      </c>
      <c r="Y44" s="141">
        <v>0</v>
      </c>
      <c r="Z44" s="141">
        <v>0</v>
      </c>
      <c r="AA44" s="141">
        <v>0</v>
      </c>
      <c r="AB44" s="141">
        <v>196579</v>
      </c>
      <c r="AC44" s="141">
        <v>0</v>
      </c>
      <c r="AD44" s="141">
        <v>196579</v>
      </c>
      <c r="AE44" s="141">
        <v>-196579</v>
      </c>
      <c r="AF44" s="141">
        <v>0</v>
      </c>
      <c r="AG44" s="141">
        <v>-196579</v>
      </c>
      <c r="AH44" s="141">
        <v>-3924350</v>
      </c>
      <c r="AI44" s="141">
        <v>0</v>
      </c>
      <c r="AJ44" s="141">
        <v>-3924350</v>
      </c>
      <c r="AK44" s="141">
        <v>0</v>
      </c>
      <c r="AL44" s="141">
        <v>0</v>
      </c>
      <c r="AM44" s="141">
        <v>0</v>
      </c>
      <c r="AN44" s="141">
        <v>536897</v>
      </c>
      <c r="AO44" s="141">
        <v>0</v>
      </c>
      <c r="AP44" s="141">
        <v>536897</v>
      </c>
      <c r="AQ44" s="141">
        <v>-3387453</v>
      </c>
      <c r="AR44" s="141">
        <v>0</v>
      </c>
      <c r="AS44" s="141">
        <v>-3387453</v>
      </c>
      <c r="AT44" s="141">
        <v>-2424397</v>
      </c>
      <c r="AU44" s="141">
        <v>0</v>
      </c>
      <c r="AV44" s="141">
        <v>-2424397</v>
      </c>
      <c r="AW44" s="141">
        <v>0</v>
      </c>
      <c r="AX44" s="141">
        <v>0</v>
      </c>
      <c r="AY44" s="141">
        <v>0</v>
      </c>
      <c r="AZ44" s="141">
        <v>-1331</v>
      </c>
      <c r="BA44" s="141">
        <v>0</v>
      </c>
      <c r="BB44" s="141">
        <v>-1331</v>
      </c>
      <c r="BC44" s="141">
        <v>-5813181</v>
      </c>
      <c r="BD44" s="141">
        <v>0</v>
      </c>
      <c r="BE44" s="141">
        <v>0</v>
      </c>
      <c r="BF44" s="141">
        <v>0</v>
      </c>
      <c r="BG44" s="141">
        <v>-5813181</v>
      </c>
      <c r="BH44" s="141">
        <v>0</v>
      </c>
      <c r="BI44" s="141">
        <v>-5813181</v>
      </c>
      <c r="BJ44" s="141">
        <v>0</v>
      </c>
      <c r="BK44" s="141">
        <v>0</v>
      </c>
      <c r="BL44" s="141">
        <v>0</v>
      </c>
      <c r="BM44" s="141">
        <v>-456684</v>
      </c>
      <c r="BN44" s="141">
        <v>0</v>
      </c>
      <c r="BO44" s="141">
        <v>-456684</v>
      </c>
      <c r="BP44" s="141">
        <v>-456684</v>
      </c>
      <c r="BQ44" s="141">
        <v>0</v>
      </c>
      <c r="BR44" s="141">
        <v>-535300</v>
      </c>
      <c r="BS44" s="141">
        <v>0</v>
      </c>
      <c r="BT44" s="141">
        <v>-991984</v>
      </c>
      <c r="BU44" s="141">
        <v>0</v>
      </c>
      <c r="BV44" s="141">
        <v>-991984</v>
      </c>
      <c r="BW44" s="141">
        <v>-35989</v>
      </c>
      <c r="BX44" s="141">
        <v>0</v>
      </c>
      <c r="BY44" s="141">
        <v>-35989</v>
      </c>
      <c r="BZ44" s="141">
        <v>-12576</v>
      </c>
      <c r="CA44" s="141">
        <v>0</v>
      </c>
      <c r="CB44" s="141">
        <v>-12576</v>
      </c>
      <c r="CC44" s="141">
        <v>0</v>
      </c>
      <c r="CD44" s="141">
        <v>0</v>
      </c>
      <c r="CE44" s="141">
        <v>0</v>
      </c>
      <c r="CF44" s="141">
        <v>0</v>
      </c>
      <c r="CG44" s="141">
        <v>0</v>
      </c>
      <c r="CH44" s="141">
        <v>0</v>
      </c>
      <c r="CI44" s="141">
        <v>0</v>
      </c>
      <c r="CJ44" s="141">
        <v>0</v>
      </c>
      <c r="CK44" s="141">
        <v>0</v>
      </c>
      <c r="CL44" s="141">
        <v>0</v>
      </c>
      <c r="CM44" s="141">
        <v>0</v>
      </c>
      <c r="CN44" s="141">
        <v>0</v>
      </c>
      <c r="CO44" s="141">
        <v>0</v>
      </c>
      <c r="CP44" s="141">
        <v>0</v>
      </c>
      <c r="CQ44" s="141">
        <v>-48565</v>
      </c>
      <c r="CR44" s="141">
        <v>0</v>
      </c>
      <c r="CS44" s="141">
        <v>0</v>
      </c>
      <c r="CT44" s="141">
        <v>0</v>
      </c>
      <c r="CU44" s="141">
        <v>-48565</v>
      </c>
      <c r="CV44" s="141">
        <v>0</v>
      </c>
      <c r="CW44" s="141">
        <v>-48565</v>
      </c>
      <c r="CX44" s="141">
        <v>-1331</v>
      </c>
      <c r="CY44" s="141">
        <v>0</v>
      </c>
      <c r="CZ44" s="141">
        <v>-1331</v>
      </c>
      <c r="DA44" s="141">
        <v>0</v>
      </c>
      <c r="DB44" s="141">
        <v>0</v>
      </c>
      <c r="DC44" s="141">
        <v>0</v>
      </c>
      <c r="DD44" s="141">
        <v>-19674</v>
      </c>
      <c r="DE44" s="141">
        <v>0</v>
      </c>
      <c r="DF44" s="141">
        <v>-19674</v>
      </c>
      <c r="DG44" s="141">
        <v>0</v>
      </c>
      <c r="DH44" s="141">
        <v>0</v>
      </c>
      <c r="DI44" s="141">
        <v>0</v>
      </c>
      <c r="DJ44" s="141">
        <v>0</v>
      </c>
      <c r="DK44" s="141">
        <v>0</v>
      </c>
      <c r="DL44" s="141">
        <v>0</v>
      </c>
      <c r="DM44" s="141">
        <v>-673787</v>
      </c>
      <c r="DN44" s="141">
        <v>0</v>
      </c>
      <c r="DO44" s="141">
        <v>-673787</v>
      </c>
      <c r="DP44" s="141">
        <v>-694792</v>
      </c>
      <c r="DQ44" s="141">
        <v>0</v>
      </c>
      <c r="DR44" s="141">
        <v>0</v>
      </c>
      <c r="DS44" s="141">
        <v>0</v>
      </c>
      <c r="DT44" s="141">
        <v>-694792</v>
      </c>
      <c r="DU44" s="141">
        <v>0</v>
      </c>
      <c r="DV44" s="141">
        <v>-694792</v>
      </c>
      <c r="DW44" s="856">
        <v>25714185</v>
      </c>
      <c r="DX44" s="856">
        <v>0</v>
      </c>
      <c r="DY44" s="857">
        <v>25714185</v>
      </c>
      <c r="DZ44" t="s">
        <v>1610</v>
      </c>
    </row>
    <row r="45" spans="1:130" ht="12.75" x14ac:dyDescent="0.2">
      <c r="A45" s="764">
        <v>38</v>
      </c>
      <c r="B45" s="765" t="s">
        <v>752</v>
      </c>
      <c r="C45" s="766" t="s">
        <v>1217</v>
      </c>
      <c r="D45" s="767" t="s">
        <v>1221</v>
      </c>
      <c r="E45" s="768" t="s">
        <v>751</v>
      </c>
      <c r="F45" s="867">
        <v>43465</v>
      </c>
      <c r="G45" s="141">
        <v>95673662</v>
      </c>
      <c r="H45" s="141">
        <v>0</v>
      </c>
      <c r="I45" s="141">
        <v>95673662</v>
      </c>
      <c r="J45" s="141">
        <v>49.1</v>
      </c>
      <c r="K45" s="141">
        <v>46975768</v>
      </c>
      <c r="L45" s="141">
        <v>0</v>
      </c>
      <c r="M45" s="141">
        <v>0</v>
      </c>
      <c r="N45" s="141">
        <v>0</v>
      </c>
      <c r="O45" s="141">
        <v>46975768</v>
      </c>
      <c r="P45" s="141">
        <v>0</v>
      </c>
      <c r="Q45" s="141">
        <v>46975768</v>
      </c>
      <c r="R45" s="141">
        <v>-293730</v>
      </c>
      <c r="S45" s="141">
        <v>0</v>
      </c>
      <c r="T45" s="141">
        <v>-293730</v>
      </c>
      <c r="U45" s="141">
        <v>1099529</v>
      </c>
      <c r="V45" s="141">
        <v>0</v>
      </c>
      <c r="W45" s="141">
        <v>1099529</v>
      </c>
      <c r="X45" s="141">
        <v>805799</v>
      </c>
      <c r="Y45" s="141">
        <v>0</v>
      </c>
      <c r="Z45" s="141">
        <v>0</v>
      </c>
      <c r="AA45" s="141">
        <v>0</v>
      </c>
      <c r="AB45" s="141">
        <v>805799</v>
      </c>
      <c r="AC45" s="141">
        <v>0</v>
      </c>
      <c r="AD45" s="141">
        <v>805799</v>
      </c>
      <c r="AE45" s="141">
        <v>-805799</v>
      </c>
      <c r="AF45" s="141">
        <v>0</v>
      </c>
      <c r="AG45" s="141">
        <v>-805799</v>
      </c>
      <c r="AH45" s="141">
        <v>-2856875</v>
      </c>
      <c r="AI45" s="141">
        <v>0</v>
      </c>
      <c r="AJ45" s="141">
        <v>-2856875</v>
      </c>
      <c r="AK45" s="141">
        <v>0</v>
      </c>
      <c r="AL45" s="141">
        <v>0</v>
      </c>
      <c r="AM45" s="141">
        <v>0</v>
      </c>
      <c r="AN45" s="141">
        <v>935044</v>
      </c>
      <c r="AO45" s="141">
        <v>0</v>
      </c>
      <c r="AP45" s="141">
        <v>935044</v>
      </c>
      <c r="AQ45" s="141">
        <v>-1921831</v>
      </c>
      <c r="AR45" s="141">
        <v>0</v>
      </c>
      <c r="AS45" s="141">
        <v>-1921831</v>
      </c>
      <c r="AT45" s="141">
        <v>-2396356</v>
      </c>
      <c r="AU45" s="141">
        <v>0</v>
      </c>
      <c r="AV45" s="141">
        <v>-2396356</v>
      </c>
      <c r="AW45" s="141">
        <v>-46166</v>
      </c>
      <c r="AX45" s="141">
        <v>0</v>
      </c>
      <c r="AY45" s="141">
        <v>-46166</v>
      </c>
      <c r="AZ45" s="141">
        <v>0</v>
      </c>
      <c r="BA45" s="141">
        <v>0</v>
      </c>
      <c r="BB45" s="141">
        <v>0</v>
      </c>
      <c r="BC45" s="141">
        <v>-4364353</v>
      </c>
      <c r="BD45" s="141">
        <v>0</v>
      </c>
      <c r="BE45" s="141">
        <v>0</v>
      </c>
      <c r="BF45" s="141">
        <v>0</v>
      </c>
      <c r="BG45" s="141">
        <v>-4364353</v>
      </c>
      <c r="BH45" s="141">
        <v>0</v>
      </c>
      <c r="BI45" s="141">
        <v>-4364353</v>
      </c>
      <c r="BJ45" s="141">
        <v>0</v>
      </c>
      <c r="BK45" s="141">
        <v>0</v>
      </c>
      <c r="BL45" s="141">
        <v>0</v>
      </c>
      <c r="BM45" s="141">
        <v>-758388</v>
      </c>
      <c r="BN45" s="141">
        <v>0</v>
      </c>
      <c r="BO45" s="141">
        <v>-758388</v>
      </c>
      <c r="BP45" s="141">
        <v>-758388</v>
      </c>
      <c r="BQ45" s="141">
        <v>0</v>
      </c>
      <c r="BR45" s="141">
        <v>0</v>
      </c>
      <c r="BS45" s="141">
        <v>0</v>
      </c>
      <c r="BT45" s="141">
        <v>-758388</v>
      </c>
      <c r="BU45" s="141">
        <v>0</v>
      </c>
      <c r="BV45" s="141">
        <v>-758388</v>
      </c>
      <c r="BW45" s="141">
        <v>-50376</v>
      </c>
      <c r="BX45" s="141">
        <v>0</v>
      </c>
      <c r="BY45" s="141">
        <v>-50376</v>
      </c>
      <c r="BZ45" s="141">
        <v>-6154</v>
      </c>
      <c r="CA45" s="141">
        <v>0</v>
      </c>
      <c r="CB45" s="141">
        <v>-6154</v>
      </c>
      <c r="CC45" s="141">
        <v>-10584</v>
      </c>
      <c r="CD45" s="141">
        <v>0</v>
      </c>
      <c r="CE45" s="141">
        <v>-10584</v>
      </c>
      <c r="CF45" s="141">
        <v>0</v>
      </c>
      <c r="CG45" s="141">
        <v>0</v>
      </c>
      <c r="CH45" s="141">
        <v>0</v>
      </c>
      <c r="CI45" s="141">
        <v>0</v>
      </c>
      <c r="CJ45" s="141">
        <v>0</v>
      </c>
      <c r="CK45" s="141">
        <v>0</v>
      </c>
      <c r="CL45" s="141">
        <v>0</v>
      </c>
      <c r="CM45" s="141">
        <v>0</v>
      </c>
      <c r="CN45" s="141">
        <v>0</v>
      </c>
      <c r="CO45" s="141">
        <v>0</v>
      </c>
      <c r="CP45" s="141">
        <v>0</v>
      </c>
      <c r="CQ45" s="141">
        <v>-67114</v>
      </c>
      <c r="CR45" s="141">
        <v>0</v>
      </c>
      <c r="CS45" s="141">
        <v>0</v>
      </c>
      <c r="CT45" s="141">
        <v>0</v>
      </c>
      <c r="CU45" s="141">
        <v>-67114</v>
      </c>
      <c r="CV45" s="141">
        <v>0</v>
      </c>
      <c r="CW45" s="141">
        <v>-67114</v>
      </c>
      <c r="CX45" s="141">
        <v>0</v>
      </c>
      <c r="CY45" s="141">
        <v>0</v>
      </c>
      <c r="CZ45" s="141">
        <v>0</v>
      </c>
      <c r="DA45" s="141">
        <v>0</v>
      </c>
      <c r="DB45" s="141">
        <v>0</v>
      </c>
      <c r="DC45" s="141">
        <v>0</v>
      </c>
      <c r="DD45" s="141">
        <v>-18477</v>
      </c>
      <c r="DE45" s="141">
        <v>0</v>
      </c>
      <c r="DF45" s="141">
        <v>-18477</v>
      </c>
      <c r="DG45" s="141">
        <v>-11914</v>
      </c>
      <c r="DH45" s="141">
        <v>0</v>
      </c>
      <c r="DI45" s="141">
        <v>-11914</v>
      </c>
      <c r="DJ45" s="141">
        <v>0</v>
      </c>
      <c r="DK45" s="141">
        <v>0</v>
      </c>
      <c r="DL45" s="141">
        <v>0</v>
      </c>
      <c r="DM45" s="141">
        <v>-918876</v>
      </c>
      <c r="DN45" s="141">
        <v>0</v>
      </c>
      <c r="DO45" s="141">
        <v>-918876</v>
      </c>
      <c r="DP45" s="141">
        <v>-949267</v>
      </c>
      <c r="DQ45" s="141">
        <v>0</v>
      </c>
      <c r="DR45" s="141">
        <v>0</v>
      </c>
      <c r="DS45" s="141">
        <v>0</v>
      </c>
      <c r="DT45" s="141">
        <v>-949267</v>
      </c>
      <c r="DU45" s="141">
        <v>0</v>
      </c>
      <c r="DV45" s="141">
        <v>-949267</v>
      </c>
      <c r="DW45" s="856">
        <v>41642445</v>
      </c>
      <c r="DX45" s="856">
        <v>0</v>
      </c>
      <c r="DY45" s="857">
        <v>41642445</v>
      </c>
      <c r="DZ45" t="s">
        <v>1611</v>
      </c>
    </row>
    <row r="46" spans="1:130" ht="12.75" x14ac:dyDescent="0.2">
      <c r="A46" s="764">
        <v>39</v>
      </c>
      <c r="B46" s="765" t="s">
        <v>754</v>
      </c>
      <c r="C46" s="766" t="s">
        <v>1217</v>
      </c>
      <c r="D46" s="767" t="s">
        <v>1220</v>
      </c>
      <c r="E46" s="768" t="s">
        <v>753</v>
      </c>
      <c r="F46" s="867">
        <v>43487</v>
      </c>
      <c r="G46" s="141">
        <v>65764738</v>
      </c>
      <c r="H46" s="141">
        <v>791750</v>
      </c>
      <c r="I46" s="141">
        <v>66556488</v>
      </c>
      <c r="J46" s="141">
        <v>49.1</v>
      </c>
      <c r="K46" s="141">
        <v>32290486</v>
      </c>
      <c r="L46" s="141">
        <v>388749</v>
      </c>
      <c r="M46" s="141">
        <v>250000</v>
      </c>
      <c r="N46" s="141">
        <v>0</v>
      </c>
      <c r="O46" s="141">
        <v>32540486</v>
      </c>
      <c r="P46" s="141">
        <v>388749</v>
      </c>
      <c r="Q46" s="141">
        <v>32929235</v>
      </c>
      <c r="R46" s="141">
        <v>-419895</v>
      </c>
      <c r="S46" s="141">
        <v>-1908</v>
      </c>
      <c r="T46" s="141">
        <v>-421803</v>
      </c>
      <c r="U46" s="141">
        <v>19081</v>
      </c>
      <c r="V46" s="141">
        <v>0</v>
      </c>
      <c r="W46" s="141">
        <v>19081</v>
      </c>
      <c r="X46" s="141">
        <v>-400814</v>
      </c>
      <c r="Y46" s="141">
        <v>-1908</v>
      </c>
      <c r="Z46" s="141">
        <v>0</v>
      </c>
      <c r="AA46" s="141">
        <v>0</v>
      </c>
      <c r="AB46" s="141">
        <v>-400814</v>
      </c>
      <c r="AC46" s="141">
        <v>-1908</v>
      </c>
      <c r="AD46" s="141">
        <v>-402722</v>
      </c>
      <c r="AE46" s="141">
        <v>400814</v>
      </c>
      <c r="AF46" s="141">
        <v>1908</v>
      </c>
      <c r="AG46" s="141">
        <v>402722</v>
      </c>
      <c r="AH46" s="141">
        <v>-2787821</v>
      </c>
      <c r="AI46" s="141">
        <v>0</v>
      </c>
      <c r="AJ46" s="141">
        <v>-2787821</v>
      </c>
      <c r="AK46" s="141">
        <v>0</v>
      </c>
      <c r="AL46" s="141">
        <v>0</v>
      </c>
      <c r="AM46" s="141">
        <v>0</v>
      </c>
      <c r="AN46" s="141">
        <v>596859</v>
      </c>
      <c r="AO46" s="141">
        <v>10082</v>
      </c>
      <c r="AP46" s="141">
        <v>606941</v>
      </c>
      <c r="AQ46" s="141">
        <v>-2190962</v>
      </c>
      <c r="AR46" s="141">
        <v>10082</v>
      </c>
      <c r="AS46" s="141">
        <v>-2180880</v>
      </c>
      <c r="AT46" s="141">
        <v>-1572564</v>
      </c>
      <c r="AU46" s="141">
        <v>0</v>
      </c>
      <c r="AV46" s="141">
        <v>-1572564</v>
      </c>
      <c r="AW46" s="141">
        <v>0</v>
      </c>
      <c r="AX46" s="141">
        <v>0</v>
      </c>
      <c r="AY46" s="141">
        <v>0</v>
      </c>
      <c r="AZ46" s="141">
        <v>-2644</v>
      </c>
      <c r="BA46" s="141">
        <v>0</v>
      </c>
      <c r="BB46" s="141">
        <v>-2644</v>
      </c>
      <c r="BC46" s="141">
        <v>-3766170</v>
      </c>
      <c r="BD46" s="141">
        <v>10082</v>
      </c>
      <c r="BE46" s="141">
        <v>0</v>
      </c>
      <c r="BF46" s="141">
        <v>0</v>
      </c>
      <c r="BG46" s="141">
        <v>-3766170</v>
      </c>
      <c r="BH46" s="141">
        <v>10082</v>
      </c>
      <c r="BI46" s="141">
        <v>-3756088</v>
      </c>
      <c r="BJ46" s="141">
        <v>0</v>
      </c>
      <c r="BK46" s="141">
        <v>0</v>
      </c>
      <c r="BL46" s="141">
        <v>0</v>
      </c>
      <c r="BM46" s="141">
        <v>-729556</v>
      </c>
      <c r="BN46" s="141">
        <v>0</v>
      </c>
      <c r="BO46" s="141">
        <v>-729556</v>
      </c>
      <c r="BP46" s="141">
        <v>-729556</v>
      </c>
      <c r="BQ46" s="141">
        <v>0</v>
      </c>
      <c r="BR46" s="141">
        <v>0</v>
      </c>
      <c r="BS46" s="141">
        <v>0</v>
      </c>
      <c r="BT46" s="141">
        <v>-729556</v>
      </c>
      <c r="BU46" s="141">
        <v>0</v>
      </c>
      <c r="BV46" s="141">
        <v>-729556</v>
      </c>
      <c r="BW46" s="141">
        <v>-76210</v>
      </c>
      <c r="BX46" s="141">
        <v>0</v>
      </c>
      <c r="BY46" s="141">
        <v>-76210</v>
      </c>
      <c r="BZ46" s="141">
        <v>-14288</v>
      </c>
      <c r="CA46" s="141">
        <v>0</v>
      </c>
      <c r="CB46" s="141">
        <v>-14288</v>
      </c>
      <c r="CC46" s="141">
        <v>0</v>
      </c>
      <c r="CD46" s="141">
        <v>0</v>
      </c>
      <c r="CE46" s="141">
        <v>0</v>
      </c>
      <c r="CF46" s="141">
        <v>-2644</v>
      </c>
      <c r="CG46" s="141">
        <v>0</v>
      </c>
      <c r="CH46" s="141">
        <v>-2644</v>
      </c>
      <c r="CI46" s="141">
        <v>0</v>
      </c>
      <c r="CJ46" s="141">
        <v>0</v>
      </c>
      <c r="CK46" s="141">
        <v>0</v>
      </c>
      <c r="CL46" s="141">
        <v>0</v>
      </c>
      <c r="CM46" s="141">
        <v>-110000</v>
      </c>
      <c r="CN46" s="141">
        <v>-110000</v>
      </c>
      <c r="CO46" s="141">
        <v>-110000</v>
      </c>
      <c r="CP46" s="141">
        <v>0</v>
      </c>
      <c r="CQ46" s="141">
        <v>-93142</v>
      </c>
      <c r="CR46" s="141">
        <v>-110000</v>
      </c>
      <c r="CS46" s="141">
        <v>0</v>
      </c>
      <c r="CT46" s="141">
        <v>0</v>
      </c>
      <c r="CU46" s="141">
        <v>-93142</v>
      </c>
      <c r="CV46" s="141">
        <v>-110000</v>
      </c>
      <c r="CW46" s="141">
        <v>-203142</v>
      </c>
      <c r="CX46" s="141">
        <v>-2637</v>
      </c>
      <c r="CY46" s="141">
        <v>0</v>
      </c>
      <c r="CZ46" s="141">
        <v>-2637</v>
      </c>
      <c r="DA46" s="141">
        <v>0</v>
      </c>
      <c r="DB46" s="141">
        <v>0</v>
      </c>
      <c r="DC46" s="141">
        <v>0</v>
      </c>
      <c r="DD46" s="141">
        <v>-9766</v>
      </c>
      <c r="DE46" s="141">
        <v>0</v>
      </c>
      <c r="DF46" s="141">
        <v>-9766</v>
      </c>
      <c r="DG46" s="141">
        <v>-19140</v>
      </c>
      <c r="DH46" s="141">
        <v>0</v>
      </c>
      <c r="DI46" s="141">
        <v>-19140</v>
      </c>
      <c r="DJ46" s="141">
        <v>0</v>
      </c>
      <c r="DK46" s="141">
        <v>0</v>
      </c>
      <c r="DL46" s="141">
        <v>0</v>
      </c>
      <c r="DM46" s="141">
        <v>-501049</v>
      </c>
      <c r="DN46" s="141">
        <v>0</v>
      </c>
      <c r="DO46" s="141">
        <v>-501049</v>
      </c>
      <c r="DP46" s="141">
        <v>-532592</v>
      </c>
      <c r="DQ46" s="141">
        <v>0</v>
      </c>
      <c r="DR46" s="141">
        <v>0</v>
      </c>
      <c r="DS46" s="141">
        <v>0</v>
      </c>
      <c r="DT46" s="141">
        <v>-532592</v>
      </c>
      <c r="DU46" s="141">
        <v>0</v>
      </c>
      <c r="DV46" s="141">
        <v>-532592</v>
      </c>
      <c r="DW46" s="856">
        <v>27018212</v>
      </c>
      <c r="DX46" s="856">
        <v>286923</v>
      </c>
      <c r="DY46" s="857">
        <v>27305135</v>
      </c>
      <c r="DZ46" t="s">
        <v>1612</v>
      </c>
    </row>
    <row r="47" spans="1:130" ht="12.75" x14ac:dyDescent="0.2">
      <c r="A47" s="764">
        <v>40</v>
      </c>
      <c r="B47" s="765" t="s">
        <v>756</v>
      </c>
      <c r="C47" s="766" t="s">
        <v>1217</v>
      </c>
      <c r="D47" s="767" t="s">
        <v>1219</v>
      </c>
      <c r="E47" s="768" t="s">
        <v>755</v>
      </c>
      <c r="F47" s="867">
        <v>43488</v>
      </c>
      <c r="G47" s="141">
        <v>75109975</v>
      </c>
      <c r="H47" s="141">
        <v>0</v>
      </c>
      <c r="I47" s="141">
        <v>75109975</v>
      </c>
      <c r="J47" s="141">
        <v>49.1</v>
      </c>
      <c r="K47" s="141">
        <v>36878998</v>
      </c>
      <c r="L47" s="141">
        <v>0</v>
      </c>
      <c r="M47" s="141">
        <v>317887</v>
      </c>
      <c r="N47" s="141">
        <v>0</v>
      </c>
      <c r="O47" s="141">
        <v>37196885</v>
      </c>
      <c r="P47" s="141">
        <v>0</v>
      </c>
      <c r="Q47" s="141">
        <v>37196885</v>
      </c>
      <c r="R47" s="141">
        <v>-323009</v>
      </c>
      <c r="S47" s="141">
        <v>0</v>
      </c>
      <c r="T47" s="141">
        <v>-323009</v>
      </c>
      <c r="U47" s="141">
        <v>617115</v>
      </c>
      <c r="V47" s="141">
        <v>0</v>
      </c>
      <c r="W47" s="141">
        <v>617115</v>
      </c>
      <c r="X47" s="141">
        <v>294106</v>
      </c>
      <c r="Y47" s="141">
        <v>0</v>
      </c>
      <c r="Z47" s="141">
        <v>0</v>
      </c>
      <c r="AA47" s="141">
        <v>0</v>
      </c>
      <c r="AB47" s="141">
        <v>294106</v>
      </c>
      <c r="AC47" s="141">
        <v>0</v>
      </c>
      <c r="AD47" s="141">
        <v>294106</v>
      </c>
      <c r="AE47" s="141">
        <v>-294106</v>
      </c>
      <c r="AF47" s="141">
        <v>0</v>
      </c>
      <c r="AG47" s="141">
        <v>-294106</v>
      </c>
      <c r="AH47" s="141">
        <v>-3909093</v>
      </c>
      <c r="AI47" s="141">
        <v>0</v>
      </c>
      <c r="AJ47" s="141">
        <v>-3909093</v>
      </c>
      <c r="AK47" s="141">
        <v>-12054</v>
      </c>
      <c r="AL47" s="141">
        <v>0</v>
      </c>
      <c r="AM47" s="141">
        <v>-12054</v>
      </c>
      <c r="AN47" s="141">
        <v>672551</v>
      </c>
      <c r="AO47" s="141">
        <v>0</v>
      </c>
      <c r="AP47" s="141">
        <v>672551</v>
      </c>
      <c r="AQ47" s="141">
        <v>-3236542</v>
      </c>
      <c r="AR47" s="141">
        <v>0</v>
      </c>
      <c r="AS47" s="141">
        <v>-3236542</v>
      </c>
      <c r="AT47" s="141">
        <v>-2307378</v>
      </c>
      <c r="AU47" s="141">
        <v>0</v>
      </c>
      <c r="AV47" s="141">
        <v>-2307378</v>
      </c>
      <c r="AW47" s="141">
        <v>-23990</v>
      </c>
      <c r="AX47" s="141">
        <v>0</v>
      </c>
      <c r="AY47" s="141">
        <v>-23990</v>
      </c>
      <c r="AZ47" s="141">
        <v>-918</v>
      </c>
      <c r="BA47" s="141">
        <v>0</v>
      </c>
      <c r="BB47" s="141">
        <v>-918</v>
      </c>
      <c r="BC47" s="141">
        <v>-5568828</v>
      </c>
      <c r="BD47" s="141">
        <v>0</v>
      </c>
      <c r="BE47" s="141">
        <v>0</v>
      </c>
      <c r="BF47" s="141">
        <v>0</v>
      </c>
      <c r="BG47" s="141">
        <v>-5568828</v>
      </c>
      <c r="BH47" s="141">
        <v>0</v>
      </c>
      <c r="BI47" s="141">
        <v>-5568828</v>
      </c>
      <c r="BJ47" s="141">
        <v>-50000</v>
      </c>
      <c r="BK47" s="141">
        <v>0</v>
      </c>
      <c r="BL47" s="141">
        <v>-50000</v>
      </c>
      <c r="BM47" s="141">
        <v>-1048537</v>
      </c>
      <c r="BN47" s="141">
        <v>0</v>
      </c>
      <c r="BO47" s="141">
        <v>-1048537</v>
      </c>
      <c r="BP47" s="141">
        <v>-1098537</v>
      </c>
      <c r="BQ47" s="141">
        <v>0</v>
      </c>
      <c r="BR47" s="141">
        <v>0</v>
      </c>
      <c r="BS47" s="141">
        <v>0</v>
      </c>
      <c r="BT47" s="141">
        <v>-1098537</v>
      </c>
      <c r="BU47" s="141">
        <v>0</v>
      </c>
      <c r="BV47" s="141">
        <v>-1098537</v>
      </c>
      <c r="BW47" s="141">
        <v>-97625</v>
      </c>
      <c r="BX47" s="141">
        <v>0</v>
      </c>
      <c r="BY47" s="141">
        <v>-97625</v>
      </c>
      <c r="BZ47" s="141">
        <v>-114426</v>
      </c>
      <c r="CA47" s="141">
        <v>0</v>
      </c>
      <c r="CB47" s="141">
        <v>-114426</v>
      </c>
      <c r="CC47" s="141">
        <v>0</v>
      </c>
      <c r="CD47" s="141">
        <v>0</v>
      </c>
      <c r="CE47" s="141">
        <v>0</v>
      </c>
      <c r="CF47" s="141">
        <v>0</v>
      </c>
      <c r="CG47" s="141">
        <v>0</v>
      </c>
      <c r="CH47" s="141">
        <v>0</v>
      </c>
      <c r="CI47" s="141">
        <v>0</v>
      </c>
      <c r="CJ47" s="141">
        <v>0</v>
      </c>
      <c r="CK47" s="141">
        <v>0</v>
      </c>
      <c r="CL47" s="141">
        <v>-300000</v>
      </c>
      <c r="CM47" s="141">
        <v>0</v>
      </c>
      <c r="CN47" s="141">
        <v>-300000</v>
      </c>
      <c r="CO47" s="141">
        <v>0</v>
      </c>
      <c r="CP47" s="141">
        <v>0</v>
      </c>
      <c r="CQ47" s="141">
        <v>-512051</v>
      </c>
      <c r="CR47" s="141">
        <v>0</v>
      </c>
      <c r="CS47" s="141">
        <v>0</v>
      </c>
      <c r="CT47" s="141">
        <v>0</v>
      </c>
      <c r="CU47" s="141">
        <v>-512051</v>
      </c>
      <c r="CV47" s="141">
        <v>0</v>
      </c>
      <c r="CW47" s="141">
        <v>-512051</v>
      </c>
      <c r="CX47" s="141">
        <v>0</v>
      </c>
      <c r="CY47" s="141">
        <v>0</v>
      </c>
      <c r="CZ47" s="141">
        <v>0</v>
      </c>
      <c r="DA47" s="141">
        <v>0</v>
      </c>
      <c r="DB47" s="141">
        <v>0</v>
      </c>
      <c r="DC47" s="141">
        <v>0</v>
      </c>
      <c r="DD47" s="141">
        <v>-12000</v>
      </c>
      <c r="DE47" s="141">
        <v>0</v>
      </c>
      <c r="DF47" s="141">
        <v>-12000</v>
      </c>
      <c r="DG47" s="141">
        <v>-18000</v>
      </c>
      <c r="DH47" s="141">
        <v>0</v>
      </c>
      <c r="DI47" s="141">
        <v>-18000</v>
      </c>
      <c r="DJ47" s="141">
        <v>0</v>
      </c>
      <c r="DK47" s="141">
        <v>0</v>
      </c>
      <c r="DL47" s="141">
        <v>0</v>
      </c>
      <c r="DM47" s="141">
        <v>-540000</v>
      </c>
      <c r="DN47" s="141">
        <v>0</v>
      </c>
      <c r="DO47" s="141">
        <v>-540000</v>
      </c>
      <c r="DP47" s="141">
        <v>-570000</v>
      </c>
      <c r="DQ47" s="141">
        <v>0</v>
      </c>
      <c r="DR47" s="141">
        <v>0</v>
      </c>
      <c r="DS47" s="141">
        <v>0</v>
      </c>
      <c r="DT47" s="141">
        <v>-570000</v>
      </c>
      <c r="DU47" s="141">
        <v>0</v>
      </c>
      <c r="DV47" s="141">
        <v>-570000</v>
      </c>
      <c r="DW47" s="856">
        <v>29741575</v>
      </c>
      <c r="DX47" s="856">
        <v>0</v>
      </c>
      <c r="DY47" s="857">
        <v>29741575</v>
      </c>
      <c r="DZ47" t="s">
        <v>1613</v>
      </c>
    </row>
    <row r="48" spans="1:130" ht="12.75" x14ac:dyDescent="0.2">
      <c r="A48" s="764">
        <v>41</v>
      </c>
      <c r="B48" s="765" t="s">
        <v>758</v>
      </c>
      <c r="C48" s="766" t="s">
        <v>1224</v>
      </c>
      <c r="D48" s="767" t="s">
        <v>1219</v>
      </c>
      <c r="E48" s="768" t="s">
        <v>757</v>
      </c>
      <c r="F48" s="867">
        <v>43493</v>
      </c>
      <c r="G48" s="141">
        <v>130793497</v>
      </c>
      <c r="H48" s="141">
        <v>0</v>
      </c>
      <c r="I48" s="141">
        <v>130793497</v>
      </c>
      <c r="J48" s="141">
        <v>49.1</v>
      </c>
      <c r="K48" s="141">
        <v>64219607</v>
      </c>
      <c r="L48" s="141">
        <v>0</v>
      </c>
      <c r="M48" s="141">
        <v>0</v>
      </c>
      <c r="N48" s="141">
        <v>0</v>
      </c>
      <c r="O48" s="141">
        <v>64219607</v>
      </c>
      <c r="P48" s="141">
        <v>0</v>
      </c>
      <c r="Q48" s="141">
        <v>64219607</v>
      </c>
      <c r="R48" s="141">
        <v>-620267</v>
      </c>
      <c r="S48" s="141">
        <v>0</v>
      </c>
      <c r="T48" s="141">
        <v>-620267</v>
      </c>
      <c r="U48" s="141">
        <v>829961</v>
      </c>
      <c r="V48" s="141">
        <v>0</v>
      </c>
      <c r="W48" s="141">
        <v>829961</v>
      </c>
      <c r="X48" s="141">
        <v>209694</v>
      </c>
      <c r="Y48" s="141">
        <v>0</v>
      </c>
      <c r="Z48" s="141">
        <v>0</v>
      </c>
      <c r="AA48" s="141">
        <v>0</v>
      </c>
      <c r="AB48" s="141">
        <v>209694</v>
      </c>
      <c r="AC48" s="141">
        <v>0</v>
      </c>
      <c r="AD48" s="141">
        <v>209694</v>
      </c>
      <c r="AE48" s="141">
        <v>-209694</v>
      </c>
      <c r="AF48" s="141">
        <v>0</v>
      </c>
      <c r="AG48" s="141">
        <v>-209694</v>
      </c>
      <c r="AH48" s="141">
        <v>-7830313</v>
      </c>
      <c r="AI48" s="141">
        <v>0</v>
      </c>
      <c r="AJ48" s="141">
        <v>-7830313</v>
      </c>
      <c r="AK48" s="141">
        <v>0</v>
      </c>
      <c r="AL48" s="141">
        <v>0</v>
      </c>
      <c r="AM48" s="141">
        <v>0</v>
      </c>
      <c r="AN48" s="141">
        <v>1078800</v>
      </c>
      <c r="AO48" s="141">
        <v>0</v>
      </c>
      <c r="AP48" s="141">
        <v>1078800</v>
      </c>
      <c r="AQ48" s="141">
        <v>-6751513</v>
      </c>
      <c r="AR48" s="141">
        <v>0</v>
      </c>
      <c r="AS48" s="141">
        <v>-6751513</v>
      </c>
      <c r="AT48" s="141">
        <v>-2894477</v>
      </c>
      <c r="AU48" s="141">
        <v>0</v>
      </c>
      <c r="AV48" s="141">
        <v>-2894477</v>
      </c>
      <c r="AW48" s="141">
        <v>-116118</v>
      </c>
      <c r="AX48" s="141">
        <v>0</v>
      </c>
      <c r="AY48" s="141">
        <v>-116118</v>
      </c>
      <c r="AZ48" s="141">
        <v>-1588</v>
      </c>
      <c r="BA48" s="141">
        <v>0</v>
      </c>
      <c r="BB48" s="141">
        <v>-1588</v>
      </c>
      <c r="BC48" s="141">
        <v>-9763696</v>
      </c>
      <c r="BD48" s="141">
        <v>0</v>
      </c>
      <c r="BE48" s="141">
        <v>0</v>
      </c>
      <c r="BF48" s="141">
        <v>0</v>
      </c>
      <c r="BG48" s="141">
        <v>-9763696</v>
      </c>
      <c r="BH48" s="141">
        <v>0</v>
      </c>
      <c r="BI48" s="141">
        <v>-9763696</v>
      </c>
      <c r="BJ48" s="141">
        <v>0</v>
      </c>
      <c r="BK48" s="141">
        <v>0</v>
      </c>
      <c r="BL48" s="141">
        <v>0</v>
      </c>
      <c r="BM48" s="141">
        <v>-856306</v>
      </c>
      <c r="BN48" s="141">
        <v>0</v>
      </c>
      <c r="BO48" s="141">
        <v>-856306</v>
      </c>
      <c r="BP48" s="141">
        <v>-856306</v>
      </c>
      <c r="BQ48" s="141">
        <v>0</v>
      </c>
      <c r="BR48" s="141">
        <v>0</v>
      </c>
      <c r="BS48" s="141">
        <v>0</v>
      </c>
      <c r="BT48" s="141">
        <v>-856306</v>
      </c>
      <c r="BU48" s="141">
        <v>0</v>
      </c>
      <c r="BV48" s="141">
        <v>-856306</v>
      </c>
      <c r="BW48" s="141">
        <v>-373056</v>
      </c>
      <c r="BX48" s="141">
        <v>0</v>
      </c>
      <c r="BY48" s="141">
        <v>-373056</v>
      </c>
      <c r="BZ48" s="141">
        <v>-76734</v>
      </c>
      <c r="CA48" s="141">
        <v>0</v>
      </c>
      <c r="CB48" s="141">
        <v>-76734</v>
      </c>
      <c r="CC48" s="141">
        <v>-29029</v>
      </c>
      <c r="CD48" s="141">
        <v>0</v>
      </c>
      <c r="CE48" s="141">
        <v>-29029</v>
      </c>
      <c r="CF48" s="141">
        <v>0</v>
      </c>
      <c r="CG48" s="141">
        <v>0</v>
      </c>
      <c r="CH48" s="141">
        <v>0</v>
      </c>
      <c r="CI48" s="141">
        <v>0</v>
      </c>
      <c r="CJ48" s="141">
        <v>0</v>
      </c>
      <c r="CK48" s="141">
        <v>0</v>
      </c>
      <c r="CL48" s="141">
        <v>0</v>
      </c>
      <c r="CM48" s="141">
        <v>0</v>
      </c>
      <c r="CN48" s="141">
        <v>0</v>
      </c>
      <c r="CO48" s="141">
        <v>0</v>
      </c>
      <c r="CP48" s="141">
        <v>0</v>
      </c>
      <c r="CQ48" s="141">
        <v>-478819</v>
      </c>
      <c r="CR48" s="141">
        <v>0</v>
      </c>
      <c r="CS48" s="141">
        <v>0</v>
      </c>
      <c r="CT48" s="141">
        <v>0</v>
      </c>
      <c r="CU48" s="141">
        <v>-478819</v>
      </c>
      <c r="CV48" s="141">
        <v>0</v>
      </c>
      <c r="CW48" s="141">
        <v>-478819</v>
      </c>
      <c r="CX48" s="141">
        <v>-1588</v>
      </c>
      <c r="CY48" s="141">
        <v>0</v>
      </c>
      <c r="CZ48" s="141">
        <v>-1588</v>
      </c>
      <c r="DA48" s="141">
        <v>0</v>
      </c>
      <c r="DB48" s="141">
        <v>0</v>
      </c>
      <c r="DC48" s="141">
        <v>0</v>
      </c>
      <c r="DD48" s="141">
        <v>-41566</v>
      </c>
      <c r="DE48" s="141">
        <v>0</v>
      </c>
      <c r="DF48" s="141">
        <v>-41566</v>
      </c>
      <c r="DG48" s="141">
        <v>-75939</v>
      </c>
      <c r="DH48" s="141">
        <v>0</v>
      </c>
      <c r="DI48" s="141">
        <v>-75939</v>
      </c>
      <c r="DJ48" s="141">
        <v>0</v>
      </c>
      <c r="DK48" s="141">
        <v>0</v>
      </c>
      <c r="DL48" s="141">
        <v>0</v>
      </c>
      <c r="DM48" s="141">
        <v>-1360785</v>
      </c>
      <c r="DN48" s="141">
        <v>0</v>
      </c>
      <c r="DO48" s="141">
        <v>-1360785</v>
      </c>
      <c r="DP48" s="141">
        <v>-1479878</v>
      </c>
      <c r="DQ48" s="141">
        <v>0</v>
      </c>
      <c r="DR48" s="141">
        <v>0</v>
      </c>
      <c r="DS48" s="141">
        <v>0</v>
      </c>
      <c r="DT48" s="141">
        <v>-1479878</v>
      </c>
      <c r="DU48" s="141">
        <v>0</v>
      </c>
      <c r="DV48" s="141">
        <v>-1479878</v>
      </c>
      <c r="DW48" s="856">
        <v>51850602</v>
      </c>
      <c r="DX48" s="856">
        <v>0</v>
      </c>
      <c r="DY48" s="857">
        <v>51850602</v>
      </c>
      <c r="DZ48" t="s">
        <v>1614</v>
      </c>
    </row>
    <row r="49" spans="1:130" ht="12.75" x14ac:dyDescent="0.2">
      <c r="A49" s="764">
        <v>42</v>
      </c>
      <c r="B49" s="765" t="s">
        <v>760</v>
      </c>
      <c r="C49" s="766" t="s">
        <v>1224</v>
      </c>
      <c r="D49" s="767" t="s">
        <v>1225</v>
      </c>
      <c r="E49" s="768" t="s">
        <v>759</v>
      </c>
      <c r="F49" s="867">
        <v>43453</v>
      </c>
      <c r="G49" s="141">
        <v>161371442</v>
      </c>
      <c r="H49" s="141">
        <v>0</v>
      </c>
      <c r="I49" s="141">
        <v>161371442</v>
      </c>
      <c r="J49" s="141">
        <v>49.1</v>
      </c>
      <c r="K49" s="141">
        <v>79233378</v>
      </c>
      <c r="L49" s="141">
        <v>0</v>
      </c>
      <c r="M49" s="141">
        <v>318424</v>
      </c>
      <c r="N49" s="141">
        <v>0</v>
      </c>
      <c r="O49" s="141">
        <v>79551802</v>
      </c>
      <c r="P49" s="141">
        <v>0</v>
      </c>
      <c r="Q49" s="141">
        <v>79551802</v>
      </c>
      <c r="R49" s="141">
        <v>-884148</v>
      </c>
      <c r="S49" s="141">
        <v>0</v>
      </c>
      <c r="T49" s="141">
        <v>-884148</v>
      </c>
      <c r="U49" s="141">
        <v>808985</v>
      </c>
      <c r="V49" s="141">
        <v>0</v>
      </c>
      <c r="W49" s="141">
        <v>808985</v>
      </c>
      <c r="X49" s="141">
        <v>-75163</v>
      </c>
      <c r="Y49" s="141">
        <v>0</v>
      </c>
      <c r="Z49" s="141">
        <v>-7516</v>
      </c>
      <c r="AA49" s="141">
        <v>0</v>
      </c>
      <c r="AB49" s="141">
        <v>-82679</v>
      </c>
      <c r="AC49" s="141">
        <v>0</v>
      </c>
      <c r="AD49" s="141">
        <v>-82679</v>
      </c>
      <c r="AE49" s="141">
        <v>82679</v>
      </c>
      <c r="AF49" s="141">
        <v>0</v>
      </c>
      <c r="AG49" s="141">
        <v>82679</v>
      </c>
      <c r="AH49" s="141">
        <v>-11057866</v>
      </c>
      <c r="AI49" s="141">
        <v>0</v>
      </c>
      <c r="AJ49" s="141">
        <v>-11057866</v>
      </c>
      <c r="AK49" s="141">
        <v>0</v>
      </c>
      <c r="AL49" s="141">
        <v>0</v>
      </c>
      <c r="AM49" s="141">
        <v>0</v>
      </c>
      <c r="AN49" s="141">
        <v>1206327</v>
      </c>
      <c r="AO49" s="141">
        <v>0</v>
      </c>
      <c r="AP49" s="141">
        <v>1206327</v>
      </c>
      <c r="AQ49" s="141">
        <v>-9851539</v>
      </c>
      <c r="AR49" s="141">
        <v>0</v>
      </c>
      <c r="AS49" s="141">
        <v>-9851539</v>
      </c>
      <c r="AT49" s="141">
        <v>-4739866</v>
      </c>
      <c r="AU49" s="141">
        <v>0</v>
      </c>
      <c r="AV49" s="141">
        <v>-4739866</v>
      </c>
      <c r="AW49" s="141">
        <v>-183950</v>
      </c>
      <c r="AX49" s="141">
        <v>0</v>
      </c>
      <c r="AY49" s="141">
        <v>-183950</v>
      </c>
      <c r="AZ49" s="141">
        <v>-6824</v>
      </c>
      <c r="BA49" s="141">
        <v>0</v>
      </c>
      <c r="BB49" s="141">
        <v>-6824</v>
      </c>
      <c r="BC49" s="141">
        <v>-14782179</v>
      </c>
      <c r="BD49" s="141">
        <v>0</v>
      </c>
      <c r="BE49" s="141">
        <v>-493064</v>
      </c>
      <c r="BF49" s="141">
        <v>0</v>
      </c>
      <c r="BG49" s="141">
        <v>-15275243</v>
      </c>
      <c r="BH49" s="141">
        <v>0</v>
      </c>
      <c r="BI49" s="141">
        <v>-15275243</v>
      </c>
      <c r="BJ49" s="141">
        <v>0</v>
      </c>
      <c r="BK49" s="141">
        <v>0</v>
      </c>
      <c r="BL49" s="141">
        <v>0</v>
      </c>
      <c r="BM49" s="141">
        <v>-2902306</v>
      </c>
      <c r="BN49" s="141">
        <v>0</v>
      </c>
      <c r="BO49" s="141">
        <v>-2902306</v>
      </c>
      <c r="BP49" s="141">
        <v>-2902306</v>
      </c>
      <c r="BQ49" s="141">
        <v>0</v>
      </c>
      <c r="BR49" s="141">
        <v>-290231</v>
      </c>
      <c r="BS49" s="141">
        <v>0</v>
      </c>
      <c r="BT49" s="141">
        <v>-3192537</v>
      </c>
      <c r="BU49" s="141">
        <v>0</v>
      </c>
      <c r="BV49" s="141">
        <v>-3192537</v>
      </c>
      <c r="BW49" s="141">
        <v>-301334</v>
      </c>
      <c r="BX49" s="141">
        <v>0</v>
      </c>
      <c r="BY49" s="141">
        <v>-301334</v>
      </c>
      <c r="BZ49" s="141">
        <v>-166317</v>
      </c>
      <c r="CA49" s="141">
        <v>0</v>
      </c>
      <c r="CB49" s="141">
        <v>-166317</v>
      </c>
      <c r="CC49" s="141">
        <v>0</v>
      </c>
      <c r="CD49" s="141">
        <v>0</v>
      </c>
      <c r="CE49" s="141">
        <v>0</v>
      </c>
      <c r="CF49" s="141">
        <v>0</v>
      </c>
      <c r="CG49" s="141">
        <v>0</v>
      </c>
      <c r="CH49" s="141">
        <v>0</v>
      </c>
      <c r="CI49" s="141">
        <v>0</v>
      </c>
      <c r="CJ49" s="141">
        <v>0</v>
      </c>
      <c r="CK49" s="141">
        <v>0</v>
      </c>
      <c r="CL49" s="141">
        <v>0</v>
      </c>
      <c r="CM49" s="141">
        <v>0</v>
      </c>
      <c r="CN49" s="141">
        <v>0</v>
      </c>
      <c r="CO49" s="141">
        <v>0</v>
      </c>
      <c r="CP49" s="141">
        <v>0</v>
      </c>
      <c r="CQ49" s="141">
        <v>-467651</v>
      </c>
      <c r="CR49" s="141">
        <v>0</v>
      </c>
      <c r="CS49" s="141">
        <v>-46765</v>
      </c>
      <c r="CT49" s="141">
        <v>0</v>
      </c>
      <c r="CU49" s="141">
        <v>-514416</v>
      </c>
      <c r="CV49" s="141">
        <v>0</v>
      </c>
      <c r="CW49" s="141">
        <v>-514416</v>
      </c>
      <c r="CX49" s="141">
        <v>-6824</v>
      </c>
      <c r="CY49" s="141">
        <v>0</v>
      </c>
      <c r="CZ49" s="141">
        <v>-6824</v>
      </c>
      <c r="DA49" s="141">
        <v>-1500</v>
      </c>
      <c r="DB49" s="141">
        <v>0</v>
      </c>
      <c r="DC49" s="141">
        <v>-1500</v>
      </c>
      <c r="DD49" s="141">
        <v>-43541</v>
      </c>
      <c r="DE49" s="141">
        <v>0</v>
      </c>
      <c r="DF49" s="141">
        <v>-43541</v>
      </c>
      <c r="DG49" s="141">
        <v>-63407</v>
      </c>
      <c r="DH49" s="141">
        <v>0</v>
      </c>
      <c r="DI49" s="141">
        <v>-63407</v>
      </c>
      <c r="DJ49" s="141">
        <v>0</v>
      </c>
      <c r="DK49" s="141">
        <v>0</v>
      </c>
      <c r="DL49" s="141">
        <v>0</v>
      </c>
      <c r="DM49" s="141">
        <v>-1840392</v>
      </c>
      <c r="DN49" s="141">
        <v>0</v>
      </c>
      <c r="DO49" s="141">
        <v>-1840392</v>
      </c>
      <c r="DP49" s="141">
        <v>-1955664</v>
      </c>
      <c r="DQ49" s="141">
        <v>0</v>
      </c>
      <c r="DR49" s="141">
        <v>-195566</v>
      </c>
      <c r="DS49" s="141">
        <v>0</v>
      </c>
      <c r="DT49" s="141">
        <v>-2151230</v>
      </c>
      <c r="DU49" s="141">
        <v>0</v>
      </c>
      <c r="DV49" s="141">
        <v>-2151230</v>
      </c>
      <c r="DW49" s="856">
        <v>58335697</v>
      </c>
      <c r="DX49" s="856">
        <v>0</v>
      </c>
      <c r="DY49" s="857">
        <v>58335697</v>
      </c>
      <c r="DZ49" t="s">
        <v>1615</v>
      </c>
    </row>
    <row r="50" spans="1:130" ht="12.75" x14ac:dyDescent="0.2">
      <c r="A50" s="764">
        <v>43</v>
      </c>
      <c r="B50" s="765" t="s">
        <v>762</v>
      </c>
      <c r="C50" s="766" t="s">
        <v>1217</v>
      </c>
      <c r="D50" s="767" t="s">
        <v>1221</v>
      </c>
      <c r="E50" s="768" t="s">
        <v>761</v>
      </c>
      <c r="F50" s="867">
        <v>43465</v>
      </c>
      <c r="G50" s="141">
        <v>296912587</v>
      </c>
      <c r="H50" s="141">
        <v>0</v>
      </c>
      <c r="I50" s="141">
        <v>296912587</v>
      </c>
      <c r="J50" s="141">
        <v>49.1</v>
      </c>
      <c r="K50" s="141">
        <v>145784080</v>
      </c>
      <c r="L50" s="141">
        <v>0</v>
      </c>
      <c r="M50" s="141">
        <v>3660000</v>
      </c>
      <c r="N50" s="141">
        <v>0</v>
      </c>
      <c r="O50" s="141">
        <v>149444080</v>
      </c>
      <c r="P50" s="141">
        <v>0</v>
      </c>
      <c r="Q50" s="141">
        <v>149444080</v>
      </c>
      <c r="R50" s="141">
        <v>-654806</v>
      </c>
      <c r="S50" s="141">
        <v>0</v>
      </c>
      <c r="T50" s="141">
        <v>-654806</v>
      </c>
      <c r="U50" s="141">
        <v>686573</v>
      </c>
      <c r="V50" s="141">
        <v>0</v>
      </c>
      <c r="W50" s="141">
        <v>686573</v>
      </c>
      <c r="X50" s="141">
        <v>31767</v>
      </c>
      <c r="Y50" s="141">
        <v>0</v>
      </c>
      <c r="Z50" s="141">
        <v>0</v>
      </c>
      <c r="AA50" s="141">
        <v>0</v>
      </c>
      <c r="AB50" s="141">
        <v>31767</v>
      </c>
      <c r="AC50" s="141">
        <v>0</v>
      </c>
      <c r="AD50" s="141">
        <v>31767</v>
      </c>
      <c r="AE50" s="141">
        <v>-31767</v>
      </c>
      <c r="AF50" s="141">
        <v>0</v>
      </c>
      <c r="AG50" s="141">
        <v>-31767</v>
      </c>
      <c r="AH50" s="141">
        <v>-2913601</v>
      </c>
      <c r="AI50" s="141">
        <v>0</v>
      </c>
      <c r="AJ50" s="141">
        <v>-2913601</v>
      </c>
      <c r="AK50" s="141">
        <v>-15000</v>
      </c>
      <c r="AL50" s="141">
        <v>0</v>
      </c>
      <c r="AM50" s="141">
        <v>-15000</v>
      </c>
      <c r="AN50" s="141">
        <v>3348403</v>
      </c>
      <c r="AO50" s="141">
        <v>0</v>
      </c>
      <c r="AP50" s="141">
        <v>3348403</v>
      </c>
      <c r="AQ50" s="141">
        <v>434802</v>
      </c>
      <c r="AR50" s="141">
        <v>0</v>
      </c>
      <c r="AS50" s="141">
        <v>434802</v>
      </c>
      <c r="AT50" s="141">
        <v>-27501797</v>
      </c>
      <c r="AU50" s="141">
        <v>0</v>
      </c>
      <c r="AV50" s="141">
        <v>-27501797</v>
      </c>
      <c r="AW50" s="141">
        <v>-16602</v>
      </c>
      <c r="AX50" s="141">
        <v>0</v>
      </c>
      <c r="AY50" s="141">
        <v>-16602</v>
      </c>
      <c r="AZ50" s="141">
        <v>0</v>
      </c>
      <c r="BA50" s="141">
        <v>0</v>
      </c>
      <c r="BB50" s="141">
        <v>0</v>
      </c>
      <c r="BC50" s="141">
        <v>-27083597</v>
      </c>
      <c r="BD50" s="141">
        <v>0</v>
      </c>
      <c r="BE50" s="141">
        <v>0</v>
      </c>
      <c r="BF50" s="141">
        <v>0</v>
      </c>
      <c r="BG50" s="141">
        <v>-27083597</v>
      </c>
      <c r="BH50" s="141">
        <v>0</v>
      </c>
      <c r="BI50" s="141">
        <v>-27083597</v>
      </c>
      <c r="BJ50" s="141">
        <v>-40000</v>
      </c>
      <c r="BK50" s="141">
        <v>0</v>
      </c>
      <c r="BL50" s="141">
        <v>-40000</v>
      </c>
      <c r="BM50" s="141">
        <v>-3410726</v>
      </c>
      <c r="BN50" s="141">
        <v>0</v>
      </c>
      <c r="BO50" s="141">
        <v>-3410726</v>
      </c>
      <c r="BP50" s="141">
        <v>-3450726</v>
      </c>
      <c r="BQ50" s="141">
        <v>0</v>
      </c>
      <c r="BR50" s="141">
        <v>0</v>
      </c>
      <c r="BS50" s="141">
        <v>0</v>
      </c>
      <c r="BT50" s="141">
        <v>-3450726</v>
      </c>
      <c r="BU50" s="141">
        <v>0</v>
      </c>
      <c r="BV50" s="141">
        <v>-3450726</v>
      </c>
      <c r="BW50" s="141">
        <v>-141561</v>
      </c>
      <c r="BX50" s="141">
        <v>0</v>
      </c>
      <c r="BY50" s="141">
        <v>-141561</v>
      </c>
      <c r="BZ50" s="141">
        <v>0</v>
      </c>
      <c r="CA50" s="141">
        <v>0</v>
      </c>
      <c r="CB50" s="141">
        <v>0</v>
      </c>
      <c r="CC50" s="141">
        <v>0</v>
      </c>
      <c r="CD50" s="141">
        <v>0</v>
      </c>
      <c r="CE50" s="141">
        <v>0</v>
      </c>
      <c r="CF50" s="141">
        <v>0</v>
      </c>
      <c r="CG50" s="141">
        <v>0</v>
      </c>
      <c r="CH50" s="141">
        <v>0</v>
      </c>
      <c r="CI50" s="141">
        <v>0</v>
      </c>
      <c r="CJ50" s="141">
        <v>0</v>
      </c>
      <c r="CK50" s="141">
        <v>0</v>
      </c>
      <c r="CL50" s="141">
        <v>0</v>
      </c>
      <c r="CM50" s="141">
        <v>0</v>
      </c>
      <c r="CN50" s="141">
        <v>0</v>
      </c>
      <c r="CO50" s="141">
        <v>0</v>
      </c>
      <c r="CP50" s="141">
        <v>0</v>
      </c>
      <c r="CQ50" s="141">
        <v>-141561</v>
      </c>
      <c r="CR50" s="141">
        <v>0</v>
      </c>
      <c r="CS50" s="141">
        <v>0</v>
      </c>
      <c r="CT50" s="141">
        <v>0</v>
      </c>
      <c r="CU50" s="141">
        <v>-141561</v>
      </c>
      <c r="CV50" s="141">
        <v>0</v>
      </c>
      <c r="CW50" s="141">
        <v>-141561</v>
      </c>
      <c r="CX50" s="141">
        <v>0</v>
      </c>
      <c r="CY50" s="141">
        <v>0</v>
      </c>
      <c r="CZ50" s="141">
        <v>0</v>
      </c>
      <c r="DA50" s="141">
        <v>0</v>
      </c>
      <c r="DB50" s="141">
        <v>0</v>
      </c>
      <c r="DC50" s="141">
        <v>0</v>
      </c>
      <c r="DD50" s="141">
        <v>-10000</v>
      </c>
      <c r="DE50" s="141">
        <v>0</v>
      </c>
      <c r="DF50" s="141">
        <v>-10000</v>
      </c>
      <c r="DG50" s="141">
        <v>-88000</v>
      </c>
      <c r="DH50" s="141">
        <v>0</v>
      </c>
      <c r="DI50" s="141">
        <v>-88000</v>
      </c>
      <c r="DJ50" s="141">
        <v>0</v>
      </c>
      <c r="DK50" s="141">
        <v>0</v>
      </c>
      <c r="DL50" s="141">
        <v>0</v>
      </c>
      <c r="DM50" s="141">
        <v>-1942205</v>
      </c>
      <c r="DN50" s="141">
        <v>0</v>
      </c>
      <c r="DO50" s="141">
        <v>-1942205</v>
      </c>
      <c r="DP50" s="141">
        <v>-2040205</v>
      </c>
      <c r="DQ50" s="141">
        <v>0</v>
      </c>
      <c r="DR50" s="141">
        <v>0</v>
      </c>
      <c r="DS50" s="141">
        <v>0</v>
      </c>
      <c r="DT50" s="141">
        <v>-2040205</v>
      </c>
      <c r="DU50" s="141">
        <v>0</v>
      </c>
      <c r="DV50" s="141">
        <v>-2040205</v>
      </c>
      <c r="DW50" s="856">
        <v>116759758</v>
      </c>
      <c r="DX50" s="856">
        <v>0</v>
      </c>
      <c r="DY50" s="857">
        <v>116759758</v>
      </c>
      <c r="DZ50" t="s">
        <v>1616</v>
      </c>
    </row>
    <row r="51" spans="1:130" ht="12.75" x14ac:dyDescent="0.2">
      <c r="A51" s="764">
        <v>44</v>
      </c>
      <c r="B51" s="765" t="s">
        <v>764</v>
      </c>
      <c r="C51" s="766" t="s">
        <v>1228</v>
      </c>
      <c r="D51" s="767" t="s">
        <v>1223</v>
      </c>
      <c r="E51" s="768" t="s">
        <v>763</v>
      </c>
      <c r="F51" s="867">
        <v>43466</v>
      </c>
      <c r="G51" s="141">
        <v>1618347062</v>
      </c>
      <c r="H51" s="141">
        <v>0</v>
      </c>
      <c r="I51" s="141">
        <v>1618347062</v>
      </c>
      <c r="J51" s="141">
        <v>49.1</v>
      </c>
      <c r="K51" s="141">
        <v>794608407</v>
      </c>
      <c r="L51" s="141">
        <v>0</v>
      </c>
      <c r="M51" s="141">
        <v>14436784</v>
      </c>
      <c r="N51" s="141">
        <v>0</v>
      </c>
      <c r="O51" s="141">
        <v>809045191</v>
      </c>
      <c r="P51" s="141">
        <v>0</v>
      </c>
      <c r="Q51" s="141">
        <v>809045191</v>
      </c>
      <c r="R51" s="141">
        <v>-7569638</v>
      </c>
      <c r="S51" s="141">
        <v>0</v>
      </c>
      <c r="T51" s="141">
        <v>-7569638</v>
      </c>
      <c r="U51" s="141">
        <v>648560</v>
      </c>
      <c r="V51" s="141">
        <v>0</v>
      </c>
      <c r="W51" s="141">
        <v>648560</v>
      </c>
      <c r="X51" s="141">
        <v>-6921078</v>
      </c>
      <c r="Y51" s="141">
        <v>0</v>
      </c>
      <c r="Z51" s="141">
        <v>0</v>
      </c>
      <c r="AA51" s="141">
        <v>0</v>
      </c>
      <c r="AB51" s="141">
        <v>-6921078</v>
      </c>
      <c r="AC51" s="141">
        <v>0</v>
      </c>
      <c r="AD51" s="141">
        <v>-6921078</v>
      </c>
      <c r="AE51" s="141">
        <v>6921078</v>
      </c>
      <c r="AF51" s="141">
        <v>0</v>
      </c>
      <c r="AG51" s="141">
        <v>6921078</v>
      </c>
      <c r="AH51" s="141">
        <v>-5967060</v>
      </c>
      <c r="AI51" s="141">
        <v>0</v>
      </c>
      <c r="AJ51" s="141">
        <v>-5967060</v>
      </c>
      <c r="AK51" s="141">
        <v>0</v>
      </c>
      <c r="AL51" s="141">
        <v>0</v>
      </c>
      <c r="AM51" s="141">
        <v>0</v>
      </c>
      <c r="AN51" s="141">
        <v>18809469.41</v>
      </c>
      <c r="AO51" s="141">
        <v>0</v>
      </c>
      <c r="AP51" s="141">
        <v>18809469.41</v>
      </c>
      <c r="AQ51" s="141">
        <v>12842409.41</v>
      </c>
      <c r="AR51" s="141">
        <v>0</v>
      </c>
      <c r="AS51" s="141">
        <v>12842409.41</v>
      </c>
      <c r="AT51" s="141">
        <v>-87591379</v>
      </c>
      <c r="AU51" s="141">
        <v>0</v>
      </c>
      <c r="AV51" s="141">
        <v>-87591379</v>
      </c>
      <c r="AW51" s="141">
        <v>0</v>
      </c>
      <c r="AX51" s="141">
        <v>0</v>
      </c>
      <c r="AY51" s="141">
        <v>0</v>
      </c>
      <c r="AZ51" s="141">
        <v>0</v>
      </c>
      <c r="BA51" s="141">
        <v>0</v>
      </c>
      <c r="BB51" s="141">
        <v>0</v>
      </c>
      <c r="BC51" s="141">
        <v>-74748969.590000004</v>
      </c>
      <c r="BD51" s="141">
        <v>0</v>
      </c>
      <c r="BE51" s="141">
        <v>0</v>
      </c>
      <c r="BF51" s="141">
        <v>0</v>
      </c>
      <c r="BG51" s="141">
        <v>-74748969.590000004</v>
      </c>
      <c r="BH51" s="141">
        <v>0</v>
      </c>
      <c r="BI51" s="141">
        <v>-74748969.590000004</v>
      </c>
      <c r="BJ51" s="141">
        <v>-855867.99</v>
      </c>
      <c r="BK51" s="141">
        <v>0</v>
      </c>
      <c r="BL51" s="141">
        <v>-855867.99</v>
      </c>
      <c r="BM51" s="141">
        <v>-28379469</v>
      </c>
      <c r="BN51" s="141">
        <v>0</v>
      </c>
      <c r="BO51" s="141">
        <v>-28379469</v>
      </c>
      <c r="BP51" s="141">
        <v>-29235336.989999998</v>
      </c>
      <c r="BQ51" s="141">
        <v>0</v>
      </c>
      <c r="BR51" s="141">
        <v>0</v>
      </c>
      <c r="BS51" s="141">
        <v>0</v>
      </c>
      <c r="BT51" s="141">
        <v>-29235336.989999998</v>
      </c>
      <c r="BU51" s="141">
        <v>0</v>
      </c>
      <c r="BV51" s="141">
        <v>-29235336.989999998</v>
      </c>
      <c r="BW51" s="141">
        <v>-320905</v>
      </c>
      <c r="BX51" s="141">
        <v>0</v>
      </c>
      <c r="BY51" s="141">
        <v>-320905</v>
      </c>
      <c r="BZ51" s="141">
        <v>-2000</v>
      </c>
      <c r="CA51" s="141">
        <v>0</v>
      </c>
      <c r="CB51" s="141">
        <v>-2000</v>
      </c>
      <c r="CC51" s="141">
        <v>0</v>
      </c>
      <c r="CD51" s="141">
        <v>0</v>
      </c>
      <c r="CE51" s="141">
        <v>0</v>
      </c>
      <c r="CF51" s="141">
        <v>0</v>
      </c>
      <c r="CG51" s="141">
        <v>0</v>
      </c>
      <c r="CH51" s="141">
        <v>0</v>
      </c>
      <c r="CI51" s="141">
        <v>0</v>
      </c>
      <c r="CJ51" s="141">
        <v>0</v>
      </c>
      <c r="CK51" s="141">
        <v>0</v>
      </c>
      <c r="CL51" s="141">
        <v>0</v>
      </c>
      <c r="CM51" s="141">
        <v>0</v>
      </c>
      <c r="CN51" s="141">
        <v>0</v>
      </c>
      <c r="CO51" s="141">
        <v>0</v>
      </c>
      <c r="CP51" s="141">
        <v>0</v>
      </c>
      <c r="CQ51" s="141">
        <v>-322905</v>
      </c>
      <c r="CR51" s="141">
        <v>0</v>
      </c>
      <c r="CS51" s="141">
        <v>0</v>
      </c>
      <c r="CT51" s="141">
        <v>0</v>
      </c>
      <c r="CU51" s="141">
        <v>-322905</v>
      </c>
      <c r="CV51" s="141">
        <v>0</v>
      </c>
      <c r="CW51" s="141">
        <v>-322905</v>
      </c>
      <c r="CX51" s="141">
        <v>0</v>
      </c>
      <c r="CY51" s="141">
        <v>0</v>
      </c>
      <c r="CZ51" s="141">
        <v>0</v>
      </c>
      <c r="DA51" s="141">
        <v>-1500</v>
      </c>
      <c r="DB51" s="141">
        <v>0</v>
      </c>
      <c r="DC51" s="141">
        <v>-1500</v>
      </c>
      <c r="DD51" s="141">
        <v>-174321</v>
      </c>
      <c r="DE51" s="141">
        <v>0</v>
      </c>
      <c r="DF51" s="141">
        <v>-174321</v>
      </c>
      <c r="DG51" s="141">
        <v>-1126000</v>
      </c>
      <c r="DH51" s="141">
        <v>0</v>
      </c>
      <c r="DI51" s="141">
        <v>-1126000</v>
      </c>
      <c r="DJ51" s="141">
        <v>0</v>
      </c>
      <c r="DK51" s="141">
        <v>0</v>
      </c>
      <c r="DL51" s="141">
        <v>0</v>
      </c>
      <c r="DM51" s="141">
        <v>-8000000</v>
      </c>
      <c r="DN51" s="141">
        <v>0</v>
      </c>
      <c r="DO51" s="141">
        <v>-8000000</v>
      </c>
      <c r="DP51" s="141">
        <v>-9301821</v>
      </c>
      <c r="DQ51" s="141">
        <v>0</v>
      </c>
      <c r="DR51" s="141">
        <v>0</v>
      </c>
      <c r="DS51" s="141">
        <v>0</v>
      </c>
      <c r="DT51" s="141">
        <v>-9301821</v>
      </c>
      <c r="DU51" s="141">
        <v>0</v>
      </c>
      <c r="DV51" s="141">
        <v>-9301821</v>
      </c>
      <c r="DW51" s="856">
        <v>688515080.41999996</v>
      </c>
      <c r="DX51" s="856">
        <v>0</v>
      </c>
      <c r="DY51" s="857">
        <v>688515080.41999996</v>
      </c>
      <c r="DZ51" t="s">
        <v>1617</v>
      </c>
    </row>
    <row r="52" spans="1:130" ht="12.75" x14ac:dyDescent="0.2">
      <c r="A52" s="764">
        <v>45</v>
      </c>
      <c r="B52" s="765" t="s">
        <v>766</v>
      </c>
      <c r="C52" s="766" t="s">
        <v>1217</v>
      </c>
      <c r="D52" s="767" t="s">
        <v>1227</v>
      </c>
      <c r="E52" s="768" t="s">
        <v>765</v>
      </c>
      <c r="F52" s="867">
        <v>43488</v>
      </c>
      <c r="G52" s="141">
        <v>83930554</v>
      </c>
      <c r="H52" s="141">
        <v>0</v>
      </c>
      <c r="I52" s="141">
        <v>83930554</v>
      </c>
      <c r="J52" s="141">
        <v>49.1</v>
      </c>
      <c r="K52" s="141">
        <v>41209902</v>
      </c>
      <c r="L52" s="141">
        <v>0</v>
      </c>
      <c r="M52" s="141">
        <v>618037</v>
      </c>
      <c r="N52" s="141">
        <v>0</v>
      </c>
      <c r="O52" s="141">
        <v>41827939</v>
      </c>
      <c r="P52" s="141">
        <v>0</v>
      </c>
      <c r="Q52" s="141">
        <v>41827939</v>
      </c>
      <c r="R52" s="141">
        <v>-210382</v>
      </c>
      <c r="S52" s="141">
        <v>0</v>
      </c>
      <c r="T52" s="141">
        <v>-210382</v>
      </c>
      <c r="U52" s="141">
        <v>403747</v>
      </c>
      <c r="V52" s="141">
        <v>0</v>
      </c>
      <c r="W52" s="141">
        <v>403747</v>
      </c>
      <c r="X52" s="141">
        <v>193365</v>
      </c>
      <c r="Y52" s="141">
        <v>0</v>
      </c>
      <c r="Z52" s="141">
        <v>0</v>
      </c>
      <c r="AA52" s="141">
        <v>0</v>
      </c>
      <c r="AB52" s="141">
        <v>193365</v>
      </c>
      <c r="AC52" s="141">
        <v>0</v>
      </c>
      <c r="AD52" s="141">
        <v>193365</v>
      </c>
      <c r="AE52" s="141">
        <v>-193365</v>
      </c>
      <c r="AF52" s="141">
        <v>0</v>
      </c>
      <c r="AG52" s="141">
        <v>-193365</v>
      </c>
      <c r="AH52" s="141">
        <v>-4540572</v>
      </c>
      <c r="AI52" s="141">
        <v>0</v>
      </c>
      <c r="AJ52" s="141">
        <v>-4540572</v>
      </c>
      <c r="AK52" s="141">
        <v>0</v>
      </c>
      <c r="AL52" s="141">
        <v>0</v>
      </c>
      <c r="AM52" s="141">
        <v>0</v>
      </c>
      <c r="AN52" s="141">
        <v>720365</v>
      </c>
      <c r="AO52" s="141">
        <v>0</v>
      </c>
      <c r="AP52" s="141">
        <v>720365</v>
      </c>
      <c r="AQ52" s="141">
        <v>-3820207</v>
      </c>
      <c r="AR52" s="141">
        <v>0</v>
      </c>
      <c r="AS52" s="141">
        <v>-3820207</v>
      </c>
      <c r="AT52" s="141">
        <v>-1820547</v>
      </c>
      <c r="AU52" s="141">
        <v>0</v>
      </c>
      <c r="AV52" s="141">
        <v>-1820547</v>
      </c>
      <c r="AW52" s="141">
        <v>-585</v>
      </c>
      <c r="AX52" s="141">
        <v>0</v>
      </c>
      <c r="AY52" s="141">
        <v>-585</v>
      </c>
      <c r="AZ52" s="141">
        <v>0</v>
      </c>
      <c r="BA52" s="141">
        <v>0</v>
      </c>
      <c r="BB52" s="141">
        <v>0</v>
      </c>
      <c r="BC52" s="141">
        <v>-5641339</v>
      </c>
      <c r="BD52" s="141">
        <v>0</v>
      </c>
      <c r="BE52" s="141">
        <v>0</v>
      </c>
      <c r="BF52" s="141">
        <v>0</v>
      </c>
      <c r="BG52" s="141">
        <v>-5641339</v>
      </c>
      <c r="BH52" s="141">
        <v>0</v>
      </c>
      <c r="BI52" s="141">
        <v>-5641339</v>
      </c>
      <c r="BJ52" s="141">
        <v>0</v>
      </c>
      <c r="BK52" s="141">
        <v>0</v>
      </c>
      <c r="BL52" s="141">
        <v>0</v>
      </c>
      <c r="BM52" s="141">
        <v>-1627061</v>
      </c>
      <c r="BN52" s="141">
        <v>0</v>
      </c>
      <c r="BO52" s="141">
        <v>-1627061</v>
      </c>
      <c r="BP52" s="141">
        <v>-1627061</v>
      </c>
      <c r="BQ52" s="141">
        <v>0</v>
      </c>
      <c r="BR52" s="141">
        <v>0</v>
      </c>
      <c r="BS52" s="141">
        <v>0</v>
      </c>
      <c r="BT52" s="141">
        <v>-1627061</v>
      </c>
      <c r="BU52" s="141">
        <v>0</v>
      </c>
      <c r="BV52" s="141">
        <v>-1627061</v>
      </c>
      <c r="BW52" s="141">
        <v>-94359</v>
      </c>
      <c r="BX52" s="141">
        <v>0</v>
      </c>
      <c r="BY52" s="141">
        <v>-94359</v>
      </c>
      <c r="BZ52" s="141">
        <v>-17597</v>
      </c>
      <c r="CA52" s="141">
        <v>0</v>
      </c>
      <c r="CB52" s="141">
        <v>-17597</v>
      </c>
      <c r="CC52" s="141">
        <v>-37</v>
      </c>
      <c r="CD52" s="141">
        <v>0</v>
      </c>
      <c r="CE52" s="141">
        <v>-37</v>
      </c>
      <c r="CF52" s="141">
        <v>0</v>
      </c>
      <c r="CG52" s="141">
        <v>0</v>
      </c>
      <c r="CH52" s="141">
        <v>0</v>
      </c>
      <c r="CI52" s="141">
        <v>0</v>
      </c>
      <c r="CJ52" s="141">
        <v>0</v>
      </c>
      <c r="CK52" s="141">
        <v>0</v>
      </c>
      <c r="CL52" s="141">
        <v>0</v>
      </c>
      <c r="CM52" s="141">
        <v>0</v>
      </c>
      <c r="CN52" s="141">
        <v>0</v>
      </c>
      <c r="CO52" s="141">
        <v>0</v>
      </c>
      <c r="CP52" s="141">
        <v>0</v>
      </c>
      <c r="CQ52" s="141">
        <v>-111993</v>
      </c>
      <c r="CR52" s="141">
        <v>0</v>
      </c>
      <c r="CS52" s="141">
        <v>0</v>
      </c>
      <c r="CT52" s="141">
        <v>0</v>
      </c>
      <c r="CU52" s="141">
        <v>-111993</v>
      </c>
      <c r="CV52" s="141">
        <v>0</v>
      </c>
      <c r="CW52" s="141">
        <v>-111993</v>
      </c>
      <c r="CX52" s="141">
        <v>0</v>
      </c>
      <c r="CY52" s="141">
        <v>0</v>
      </c>
      <c r="CZ52" s="141">
        <v>0</v>
      </c>
      <c r="DA52" s="141">
        <v>-1500</v>
      </c>
      <c r="DB52" s="141">
        <v>0</v>
      </c>
      <c r="DC52" s="141">
        <v>-1500</v>
      </c>
      <c r="DD52" s="141">
        <v>-5585</v>
      </c>
      <c r="DE52" s="141">
        <v>0</v>
      </c>
      <c r="DF52" s="141">
        <v>-5585</v>
      </c>
      <c r="DG52" s="141">
        <v>-26511</v>
      </c>
      <c r="DH52" s="141">
        <v>0</v>
      </c>
      <c r="DI52" s="141">
        <v>-26511</v>
      </c>
      <c r="DJ52" s="141">
        <v>0</v>
      </c>
      <c r="DK52" s="141">
        <v>0</v>
      </c>
      <c r="DL52" s="141">
        <v>0</v>
      </c>
      <c r="DM52" s="141">
        <v>-785054</v>
      </c>
      <c r="DN52" s="141">
        <v>0</v>
      </c>
      <c r="DO52" s="141">
        <v>-785054</v>
      </c>
      <c r="DP52" s="141">
        <v>-818650</v>
      </c>
      <c r="DQ52" s="141">
        <v>0</v>
      </c>
      <c r="DR52" s="141">
        <v>0</v>
      </c>
      <c r="DS52" s="141">
        <v>0</v>
      </c>
      <c r="DT52" s="141">
        <v>-818650</v>
      </c>
      <c r="DU52" s="141">
        <v>0</v>
      </c>
      <c r="DV52" s="141">
        <v>-818650</v>
      </c>
      <c r="DW52" s="856">
        <v>33822261</v>
      </c>
      <c r="DX52" s="856">
        <v>0</v>
      </c>
      <c r="DY52" s="857">
        <v>33822261</v>
      </c>
      <c r="DZ52" t="s">
        <v>1618</v>
      </c>
    </row>
    <row r="53" spans="1:130" ht="12.75" x14ac:dyDescent="0.2">
      <c r="A53" s="764">
        <v>46</v>
      </c>
      <c r="B53" s="765" t="s">
        <v>768</v>
      </c>
      <c r="C53" s="766" t="s">
        <v>1217</v>
      </c>
      <c r="D53" s="767" t="s">
        <v>1218</v>
      </c>
      <c r="E53" s="768" t="s">
        <v>767</v>
      </c>
      <c r="F53" s="867">
        <v>43465</v>
      </c>
      <c r="G53" s="141">
        <v>143062605</v>
      </c>
      <c r="H53" s="141">
        <v>0</v>
      </c>
      <c r="I53" s="141">
        <v>143062605</v>
      </c>
      <c r="J53" s="141">
        <v>49.1</v>
      </c>
      <c r="K53" s="141">
        <v>70243739</v>
      </c>
      <c r="L53" s="141">
        <v>0</v>
      </c>
      <c r="M53" s="141">
        <v>0</v>
      </c>
      <c r="N53" s="141">
        <v>0</v>
      </c>
      <c r="O53" s="141">
        <v>70243739</v>
      </c>
      <c r="P53" s="141">
        <v>0</v>
      </c>
      <c r="Q53" s="141">
        <v>70243739</v>
      </c>
      <c r="R53" s="141">
        <v>-832535</v>
      </c>
      <c r="S53" s="141">
        <v>0</v>
      </c>
      <c r="T53" s="141">
        <v>-832535</v>
      </c>
      <c r="U53" s="141">
        <v>2157490.16</v>
      </c>
      <c r="V53" s="141">
        <v>0</v>
      </c>
      <c r="W53" s="141">
        <v>2157490.16</v>
      </c>
      <c r="X53" s="141">
        <v>1324955.1600000001</v>
      </c>
      <c r="Y53" s="141">
        <v>0</v>
      </c>
      <c r="Z53" s="141">
        <v>0</v>
      </c>
      <c r="AA53" s="141">
        <v>0</v>
      </c>
      <c r="AB53" s="141">
        <v>1324955.1600000001</v>
      </c>
      <c r="AC53" s="141">
        <v>0</v>
      </c>
      <c r="AD53" s="141">
        <v>1324955.1600000001</v>
      </c>
      <c r="AE53" s="141">
        <v>-1324955.1600000001</v>
      </c>
      <c r="AF53" s="141">
        <v>0</v>
      </c>
      <c r="AG53" s="141">
        <v>-1324955.1600000001</v>
      </c>
      <c r="AH53" s="141">
        <v>-5661306</v>
      </c>
      <c r="AI53" s="141">
        <v>0</v>
      </c>
      <c r="AJ53" s="141">
        <v>-5661306</v>
      </c>
      <c r="AK53" s="141">
        <v>-3254</v>
      </c>
      <c r="AL53" s="141">
        <v>0</v>
      </c>
      <c r="AM53" s="141">
        <v>-3254</v>
      </c>
      <c r="AN53" s="141">
        <v>1325097.3799999999</v>
      </c>
      <c r="AO53" s="141">
        <v>0</v>
      </c>
      <c r="AP53" s="141">
        <v>1325097.3799999999</v>
      </c>
      <c r="AQ53" s="141">
        <v>-4336208.62</v>
      </c>
      <c r="AR53" s="141">
        <v>0</v>
      </c>
      <c r="AS53" s="141">
        <v>-4336208.62</v>
      </c>
      <c r="AT53" s="141">
        <v>-9485208.1600000001</v>
      </c>
      <c r="AU53" s="141">
        <v>0</v>
      </c>
      <c r="AV53" s="141">
        <v>-9485208.1600000001</v>
      </c>
      <c r="AW53" s="141">
        <v>-63109.58</v>
      </c>
      <c r="AX53" s="141">
        <v>0</v>
      </c>
      <c r="AY53" s="141">
        <v>-63109.58</v>
      </c>
      <c r="AZ53" s="141">
        <v>-14155.84</v>
      </c>
      <c r="BA53" s="141">
        <v>0</v>
      </c>
      <c r="BB53" s="141">
        <v>-14155.84</v>
      </c>
      <c r="BC53" s="141">
        <v>-13898682.200000001</v>
      </c>
      <c r="BD53" s="141">
        <v>0</v>
      </c>
      <c r="BE53" s="141">
        <v>0</v>
      </c>
      <c r="BF53" s="141">
        <v>0</v>
      </c>
      <c r="BG53" s="141">
        <v>-13898682.200000001</v>
      </c>
      <c r="BH53" s="141">
        <v>0</v>
      </c>
      <c r="BI53" s="141">
        <v>-13898682.200000001</v>
      </c>
      <c r="BJ53" s="141">
        <v>0</v>
      </c>
      <c r="BK53" s="141">
        <v>0</v>
      </c>
      <c r="BL53" s="141">
        <v>0</v>
      </c>
      <c r="BM53" s="141">
        <v>-1405245</v>
      </c>
      <c r="BN53" s="141">
        <v>0</v>
      </c>
      <c r="BO53" s="141">
        <v>-1405245</v>
      </c>
      <c r="BP53" s="141">
        <v>-1405245</v>
      </c>
      <c r="BQ53" s="141">
        <v>0</v>
      </c>
      <c r="BR53" s="141">
        <v>0</v>
      </c>
      <c r="BS53" s="141">
        <v>0</v>
      </c>
      <c r="BT53" s="141">
        <v>-1405245</v>
      </c>
      <c r="BU53" s="141">
        <v>0</v>
      </c>
      <c r="BV53" s="141">
        <v>-1405245</v>
      </c>
      <c r="BW53" s="141">
        <v>-250085</v>
      </c>
      <c r="BX53" s="141">
        <v>0</v>
      </c>
      <c r="BY53" s="141">
        <v>-250085</v>
      </c>
      <c r="BZ53" s="141">
        <v>-227496</v>
      </c>
      <c r="CA53" s="141">
        <v>0</v>
      </c>
      <c r="CB53" s="141">
        <v>-227496</v>
      </c>
      <c r="CC53" s="141">
        <v>-4924.08</v>
      </c>
      <c r="CD53" s="141">
        <v>0</v>
      </c>
      <c r="CE53" s="141">
        <v>-4924.08</v>
      </c>
      <c r="CF53" s="141">
        <v>-1023</v>
      </c>
      <c r="CG53" s="141">
        <v>0</v>
      </c>
      <c r="CH53" s="141">
        <v>-1023</v>
      </c>
      <c r="CI53" s="141">
        <v>0</v>
      </c>
      <c r="CJ53" s="141">
        <v>0</v>
      </c>
      <c r="CK53" s="141">
        <v>0</v>
      </c>
      <c r="CL53" s="141">
        <v>0</v>
      </c>
      <c r="CM53" s="141">
        <v>0</v>
      </c>
      <c r="CN53" s="141">
        <v>0</v>
      </c>
      <c r="CO53" s="141">
        <v>0</v>
      </c>
      <c r="CP53" s="141">
        <v>0</v>
      </c>
      <c r="CQ53" s="141">
        <v>-483528.08</v>
      </c>
      <c r="CR53" s="141">
        <v>0</v>
      </c>
      <c r="CS53" s="141">
        <v>0</v>
      </c>
      <c r="CT53" s="141">
        <v>0</v>
      </c>
      <c r="CU53" s="141">
        <v>-483528.08</v>
      </c>
      <c r="CV53" s="141">
        <v>0</v>
      </c>
      <c r="CW53" s="141">
        <v>-483528.08</v>
      </c>
      <c r="CX53" s="141">
        <v>-14156</v>
      </c>
      <c r="CY53" s="141">
        <v>0</v>
      </c>
      <c r="CZ53" s="141">
        <v>-14156</v>
      </c>
      <c r="DA53" s="141">
        <v>0</v>
      </c>
      <c r="DB53" s="141">
        <v>0</v>
      </c>
      <c r="DC53" s="141">
        <v>0</v>
      </c>
      <c r="DD53" s="141">
        <v>-84159.08</v>
      </c>
      <c r="DE53" s="141">
        <v>0</v>
      </c>
      <c r="DF53" s="141">
        <v>-84159.08</v>
      </c>
      <c r="DG53" s="141">
        <v>-84951</v>
      </c>
      <c r="DH53" s="141">
        <v>0</v>
      </c>
      <c r="DI53" s="141">
        <v>-84951</v>
      </c>
      <c r="DJ53" s="141">
        <v>0</v>
      </c>
      <c r="DK53" s="141">
        <v>0</v>
      </c>
      <c r="DL53" s="141">
        <v>0</v>
      </c>
      <c r="DM53" s="141">
        <v>-1642490</v>
      </c>
      <c r="DN53" s="141">
        <v>0</v>
      </c>
      <c r="DO53" s="141">
        <v>-1642490</v>
      </c>
      <c r="DP53" s="141">
        <v>-1825756.08</v>
      </c>
      <c r="DQ53" s="141">
        <v>0</v>
      </c>
      <c r="DR53" s="141">
        <v>0</v>
      </c>
      <c r="DS53" s="141">
        <v>0</v>
      </c>
      <c r="DT53" s="141">
        <v>-1825756.08</v>
      </c>
      <c r="DU53" s="141">
        <v>0</v>
      </c>
      <c r="DV53" s="141">
        <v>-1825756.08</v>
      </c>
      <c r="DW53" s="856">
        <v>53955482.799999997</v>
      </c>
      <c r="DX53" s="856">
        <v>0</v>
      </c>
      <c r="DY53" s="857">
        <v>53955482.799999997</v>
      </c>
      <c r="DZ53" t="s">
        <v>1619</v>
      </c>
    </row>
    <row r="54" spans="1:130" ht="12.75" x14ac:dyDescent="0.2">
      <c r="A54" s="764">
        <v>47</v>
      </c>
      <c r="B54" s="765" t="s">
        <v>770</v>
      </c>
      <c r="C54" s="766" t="s">
        <v>1217</v>
      </c>
      <c r="D54" s="767" t="s">
        <v>1219</v>
      </c>
      <c r="E54" s="768" t="s">
        <v>769</v>
      </c>
      <c r="F54" s="867">
        <v>43468</v>
      </c>
      <c r="G54" s="141">
        <v>104727330</v>
      </c>
      <c r="H54" s="141">
        <v>3839265</v>
      </c>
      <c r="I54" s="141">
        <v>108566595</v>
      </c>
      <c r="J54" s="141">
        <v>49.1</v>
      </c>
      <c r="K54" s="141">
        <v>51421119</v>
      </c>
      <c r="L54" s="141">
        <v>1885079</v>
      </c>
      <c r="M54" s="141">
        <v>33574</v>
      </c>
      <c r="N54" s="141">
        <v>116235</v>
      </c>
      <c r="O54" s="141">
        <v>51454693</v>
      </c>
      <c r="P54" s="141">
        <v>2001314</v>
      </c>
      <c r="Q54" s="141">
        <v>53456007</v>
      </c>
      <c r="R54" s="141">
        <v>-309742</v>
      </c>
      <c r="S54" s="141">
        <v>-588</v>
      </c>
      <c r="T54" s="141">
        <v>-310330</v>
      </c>
      <c r="U54" s="141">
        <v>1275046</v>
      </c>
      <c r="V54" s="141">
        <v>1092</v>
      </c>
      <c r="W54" s="141">
        <v>1276138</v>
      </c>
      <c r="X54" s="141">
        <v>965304</v>
      </c>
      <c r="Y54" s="141">
        <v>504</v>
      </c>
      <c r="Z54" s="141">
        <v>0</v>
      </c>
      <c r="AA54" s="141">
        <v>0</v>
      </c>
      <c r="AB54" s="141">
        <v>965304</v>
      </c>
      <c r="AC54" s="141">
        <v>504</v>
      </c>
      <c r="AD54" s="141">
        <v>965808</v>
      </c>
      <c r="AE54" s="141">
        <v>-965304</v>
      </c>
      <c r="AF54" s="141">
        <v>-504</v>
      </c>
      <c r="AG54" s="141">
        <v>-965808</v>
      </c>
      <c r="AH54" s="141">
        <v>-4325139</v>
      </c>
      <c r="AI54" s="141">
        <v>-87865</v>
      </c>
      <c r="AJ54" s="141">
        <v>-4413004</v>
      </c>
      <c r="AK54" s="141">
        <v>-25434</v>
      </c>
      <c r="AL54" s="141">
        <v>0</v>
      </c>
      <c r="AM54" s="141">
        <v>-25434</v>
      </c>
      <c r="AN54" s="141">
        <v>930433</v>
      </c>
      <c r="AO54" s="141">
        <v>39677</v>
      </c>
      <c r="AP54" s="141">
        <v>970110</v>
      </c>
      <c r="AQ54" s="141">
        <v>-3394706</v>
      </c>
      <c r="AR54" s="141">
        <v>-48188</v>
      </c>
      <c r="AS54" s="141">
        <v>-3442894</v>
      </c>
      <c r="AT54" s="141">
        <v>-3390159</v>
      </c>
      <c r="AU54" s="141">
        <v>-3226</v>
      </c>
      <c r="AV54" s="141">
        <v>-3393385</v>
      </c>
      <c r="AW54" s="141">
        <v>-81134</v>
      </c>
      <c r="AX54" s="141">
        <v>0</v>
      </c>
      <c r="AY54" s="141">
        <v>-81134</v>
      </c>
      <c r="AZ54" s="141">
        <v>-24765</v>
      </c>
      <c r="BA54" s="141">
        <v>0</v>
      </c>
      <c r="BB54" s="141">
        <v>-24765</v>
      </c>
      <c r="BC54" s="141">
        <v>-6890764</v>
      </c>
      <c r="BD54" s="141">
        <v>-51414</v>
      </c>
      <c r="BE54" s="141">
        <v>0</v>
      </c>
      <c r="BF54" s="141">
        <v>0</v>
      </c>
      <c r="BG54" s="141">
        <v>-6890764</v>
      </c>
      <c r="BH54" s="141">
        <v>-51414</v>
      </c>
      <c r="BI54" s="141">
        <v>-6942178</v>
      </c>
      <c r="BJ54" s="141">
        <v>0</v>
      </c>
      <c r="BK54" s="141">
        <v>0</v>
      </c>
      <c r="BL54" s="141">
        <v>0</v>
      </c>
      <c r="BM54" s="141">
        <v>-1000050</v>
      </c>
      <c r="BN54" s="141">
        <v>-39851</v>
      </c>
      <c r="BO54" s="141">
        <v>-1039901</v>
      </c>
      <c r="BP54" s="141">
        <v>-1000050</v>
      </c>
      <c r="BQ54" s="141">
        <v>-39851</v>
      </c>
      <c r="BR54" s="141">
        <v>-616550</v>
      </c>
      <c r="BS54" s="141">
        <v>-120000</v>
      </c>
      <c r="BT54" s="141">
        <v>-1616600</v>
      </c>
      <c r="BU54" s="141">
        <v>-159851</v>
      </c>
      <c r="BV54" s="141">
        <v>-1776451</v>
      </c>
      <c r="BW54" s="141">
        <v>-53664</v>
      </c>
      <c r="BX54" s="141">
        <v>0</v>
      </c>
      <c r="BY54" s="141">
        <v>-53664</v>
      </c>
      <c r="BZ54" s="141">
        <v>-31468</v>
      </c>
      <c r="CA54" s="141">
        <v>0</v>
      </c>
      <c r="CB54" s="141">
        <v>-31468</v>
      </c>
      <c r="CC54" s="141">
        <v>-2921</v>
      </c>
      <c r="CD54" s="141">
        <v>0</v>
      </c>
      <c r="CE54" s="141">
        <v>-2921</v>
      </c>
      <c r="CF54" s="141">
        <v>0</v>
      </c>
      <c r="CG54" s="141">
        <v>0</v>
      </c>
      <c r="CH54" s="141">
        <v>0</v>
      </c>
      <c r="CI54" s="141">
        <v>-835</v>
      </c>
      <c r="CJ54" s="141">
        <v>0</v>
      </c>
      <c r="CK54" s="141">
        <v>-835</v>
      </c>
      <c r="CL54" s="141">
        <v>0</v>
      </c>
      <c r="CM54" s="141">
        <v>-163714</v>
      </c>
      <c r="CN54" s="141">
        <v>-163714</v>
      </c>
      <c r="CO54" s="141">
        <v>-163714</v>
      </c>
      <c r="CP54" s="141">
        <v>0</v>
      </c>
      <c r="CQ54" s="141">
        <v>-88888</v>
      </c>
      <c r="CR54" s="141">
        <v>-163714</v>
      </c>
      <c r="CS54" s="141">
        <v>0</v>
      </c>
      <c r="CT54" s="141">
        <v>0</v>
      </c>
      <c r="CU54" s="141">
        <v>-88888</v>
      </c>
      <c r="CV54" s="141">
        <v>-163714</v>
      </c>
      <c r="CW54" s="141">
        <v>-252602</v>
      </c>
      <c r="CX54" s="141">
        <v>-24765</v>
      </c>
      <c r="CY54" s="141">
        <v>0</v>
      </c>
      <c r="CZ54" s="141">
        <v>-24765</v>
      </c>
      <c r="DA54" s="141">
        <v>-1500</v>
      </c>
      <c r="DB54" s="141">
        <v>0</v>
      </c>
      <c r="DC54" s="141">
        <v>-1500</v>
      </c>
      <c r="DD54" s="141">
        <v>-13594</v>
      </c>
      <c r="DE54" s="141">
        <v>0</v>
      </c>
      <c r="DF54" s="141">
        <v>-13594</v>
      </c>
      <c r="DG54" s="141">
        <v>-39696</v>
      </c>
      <c r="DH54" s="141">
        <v>0</v>
      </c>
      <c r="DI54" s="141">
        <v>-39696</v>
      </c>
      <c r="DJ54" s="141">
        <v>0</v>
      </c>
      <c r="DK54" s="141">
        <v>0</v>
      </c>
      <c r="DL54" s="141">
        <v>0</v>
      </c>
      <c r="DM54" s="141">
        <v>-1275858</v>
      </c>
      <c r="DN54" s="141">
        <v>0</v>
      </c>
      <c r="DO54" s="141">
        <v>-1275858</v>
      </c>
      <c r="DP54" s="141">
        <v>-1355413</v>
      </c>
      <c r="DQ54" s="141">
        <v>0</v>
      </c>
      <c r="DR54" s="141">
        <v>0</v>
      </c>
      <c r="DS54" s="141">
        <v>0</v>
      </c>
      <c r="DT54" s="141">
        <v>-1355413</v>
      </c>
      <c r="DU54" s="141">
        <v>0</v>
      </c>
      <c r="DV54" s="141">
        <v>-1355413</v>
      </c>
      <c r="DW54" s="856">
        <v>42468332</v>
      </c>
      <c r="DX54" s="856">
        <v>1626839</v>
      </c>
      <c r="DY54" s="857">
        <v>44095171</v>
      </c>
      <c r="DZ54" t="s">
        <v>1620</v>
      </c>
    </row>
    <row r="55" spans="1:130" ht="12.75" x14ac:dyDescent="0.2">
      <c r="A55" s="764">
        <v>48</v>
      </c>
      <c r="B55" s="765" t="s">
        <v>772</v>
      </c>
      <c r="C55" s="766" t="s">
        <v>1217</v>
      </c>
      <c r="D55" s="767" t="s">
        <v>1221</v>
      </c>
      <c r="E55" s="768" t="s">
        <v>771</v>
      </c>
      <c r="F55" s="867">
        <v>43465</v>
      </c>
      <c r="G55" s="141">
        <v>40885680</v>
      </c>
      <c r="H55" s="141">
        <v>0</v>
      </c>
      <c r="I55" s="141">
        <v>40885680</v>
      </c>
      <c r="J55" s="141">
        <v>49.1</v>
      </c>
      <c r="K55" s="141">
        <v>20074869</v>
      </c>
      <c r="L55" s="141">
        <v>0</v>
      </c>
      <c r="M55" s="141">
        <v>0</v>
      </c>
      <c r="N55" s="141">
        <v>0</v>
      </c>
      <c r="O55" s="141">
        <v>20074869</v>
      </c>
      <c r="P55" s="141">
        <v>0</v>
      </c>
      <c r="Q55" s="141">
        <v>20074869</v>
      </c>
      <c r="R55" s="141">
        <v>-176082</v>
      </c>
      <c r="S55" s="141">
        <v>0</v>
      </c>
      <c r="T55" s="141">
        <v>-176082</v>
      </c>
      <c r="U55" s="141">
        <v>131434</v>
      </c>
      <c r="V55" s="141">
        <v>0</v>
      </c>
      <c r="W55" s="141">
        <v>131434</v>
      </c>
      <c r="X55" s="141">
        <v>-44648</v>
      </c>
      <c r="Y55" s="141">
        <v>0</v>
      </c>
      <c r="Z55" s="141">
        <v>0</v>
      </c>
      <c r="AA55" s="141">
        <v>0</v>
      </c>
      <c r="AB55" s="141">
        <v>-44648</v>
      </c>
      <c r="AC55" s="141">
        <v>0</v>
      </c>
      <c r="AD55" s="141">
        <v>-44648</v>
      </c>
      <c r="AE55" s="141">
        <v>44648</v>
      </c>
      <c r="AF55" s="141">
        <v>0</v>
      </c>
      <c r="AG55" s="141">
        <v>44648</v>
      </c>
      <c r="AH55" s="141">
        <v>-3194297</v>
      </c>
      <c r="AI55" s="141">
        <v>0</v>
      </c>
      <c r="AJ55" s="141">
        <v>-3194297</v>
      </c>
      <c r="AK55" s="141">
        <v>-3241</v>
      </c>
      <c r="AL55" s="141">
        <v>0</v>
      </c>
      <c r="AM55" s="141">
        <v>-3241</v>
      </c>
      <c r="AN55" s="141">
        <v>310705</v>
      </c>
      <c r="AO55" s="141">
        <v>0</v>
      </c>
      <c r="AP55" s="141">
        <v>310705</v>
      </c>
      <c r="AQ55" s="141">
        <v>-2883592</v>
      </c>
      <c r="AR55" s="141">
        <v>0</v>
      </c>
      <c r="AS55" s="141">
        <v>-2883592</v>
      </c>
      <c r="AT55" s="141">
        <v>-1780244</v>
      </c>
      <c r="AU55" s="141">
        <v>0</v>
      </c>
      <c r="AV55" s="141">
        <v>-1780244</v>
      </c>
      <c r="AW55" s="141">
        <v>-10523</v>
      </c>
      <c r="AX55" s="141">
        <v>0</v>
      </c>
      <c r="AY55" s="141">
        <v>-10523</v>
      </c>
      <c r="AZ55" s="141">
        <v>0</v>
      </c>
      <c r="BA55" s="141">
        <v>0</v>
      </c>
      <c r="BB55" s="141">
        <v>0</v>
      </c>
      <c r="BC55" s="141">
        <v>-4674359</v>
      </c>
      <c r="BD55" s="141">
        <v>0</v>
      </c>
      <c r="BE55" s="141">
        <v>0</v>
      </c>
      <c r="BF55" s="141">
        <v>0</v>
      </c>
      <c r="BG55" s="141">
        <v>-4674359</v>
      </c>
      <c r="BH55" s="141">
        <v>0</v>
      </c>
      <c r="BI55" s="141">
        <v>-4674359</v>
      </c>
      <c r="BJ55" s="141">
        <v>-1000</v>
      </c>
      <c r="BK55" s="141">
        <v>0</v>
      </c>
      <c r="BL55" s="141">
        <v>-1000</v>
      </c>
      <c r="BM55" s="141">
        <v>-206968</v>
      </c>
      <c r="BN55" s="141">
        <v>0</v>
      </c>
      <c r="BO55" s="141">
        <v>-206968</v>
      </c>
      <c r="BP55" s="141">
        <v>-207968</v>
      </c>
      <c r="BQ55" s="141">
        <v>0</v>
      </c>
      <c r="BR55" s="141">
        <v>0</v>
      </c>
      <c r="BS55" s="141">
        <v>0</v>
      </c>
      <c r="BT55" s="141">
        <v>-207968</v>
      </c>
      <c r="BU55" s="141">
        <v>0</v>
      </c>
      <c r="BV55" s="141">
        <v>-207968</v>
      </c>
      <c r="BW55" s="141">
        <v>-62943</v>
      </c>
      <c r="BX55" s="141">
        <v>0</v>
      </c>
      <c r="BY55" s="141">
        <v>-62943</v>
      </c>
      <c r="BZ55" s="141">
        <v>-49250</v>
      </c>
      <c r="CA55" s="141">
        <v>0</v>
      </c>
      <c r="CB55" s="141">
        <v>-49250</v>
      </c>
      <c r="CC55" s="141">
        <v>-2631</v>
      </c>
      <c r="CD55" s="141">
        <v>0</v>
      </c>
      <c r="CE55" s="141">
        <v>-2631</v>
      </c>
      <c r="CF55" s="141">
        <v>0</v>
      </c>
      <c r="CG55" s="141">
        <v>0</v>
      </c>
      <c r="CH55" s="141">
        <v>0</v>
      </c>
      <c r="CI55" s="141">
        <v>0</v>
      </c>
      <c r="CJ55" s="141">
        <v>0</v>
      </c>
      <c r="CK55" s="141">
        <v>0</v>
      </c>
      <c r="CL55" s="141">
        <v>0</v>
      </c>
      <c r="CM55" s="141">
        <v>0</v>
      </c>
      <c r="CN55" s="141">
        <v>0</v>
      </c>
      <c r="CO55" s="141">
        <v>0</v>
      </c>
      <c r="CP55" s="141">
        <v>0</v>
      </c>
      <c r="CQ55" s="141">
        <v>-114824</v>
      </c>
      <c r="CR55" s="141">
        <v>0</v>
      </c>
      <c r="CS55" s="141">
        <v>-2500</v>
      </c>
      <c r="CT55" s="141">
        <v>0</v>
      </c>
      <c r="CU55" s="141">
        <v>-117324</v>
      </c>
      <c r="CV55" s="141">
        <v>0</v>
      </c>
      <c r="CW55" s="141">
        <v>-117324</v>
      </c>
      <c r="CX55" s="141">
        <v>0</v>
      </c>
      <c r="CY55" s="141">
        <v>0</v>
      </c>
      <c r="CZ55" s="141">
        <v>0</v>
      </c>
      <c r="DA55" s="141">
        <v>0</v>
      </c>
      <c r="DB55" s="141">
        <v>0</v>
      </c>
      <c r="DC55" s="141">
        <v>0</v>
      </c>
      <c r="DD55" s="141">
        <v>-9980</v>
      </c>
      <c r="DE55" s="141">
        <v>0</v>
      </c>
      <c r="DF55" s="141">
        <v>-9980</v>
      </c>
      <c r="DG55" s="141">
        <v>-8593</v>
      </c>
      <c r="DH55" s="141">
        <v>0</v>
      </c>
      <c r="DI55" s="141">
        <v>-8593</v>
      </c>
      <c r="DJ55" s="141">
        <v>0</v>
      </c>
      <c r="DK55" s="141">
        <v>0</v>
      </c>
      <c r="DL55" s="141">
        <v>0</v>
      </c>
      <c r="DM55" s="141">
        <v>-282266</v>
      </c>
      <c r="DN55" s="141">
        <v>0</v>
      </c>
      <c r="DO55" s="141">
        <v>-282266</v>
      </c>
      <c r="DP55" s="141">
        <v>-300839</v>
      </c>
      <c r="DQ55" s="141">
        <v>0</v>
      </c>
      <c r="DR55" s="141">
        <v>0</v>
      </c>
      <c r="DS55" s="141">
        <v>0</v>
      </c>
      <c r="DT55" s="141">
        <v>-300839</v>
      </c>
      <c r="DU55" s="141">
        <v>0</v>
      </c>
      <c r="DV55" s="141">
        <v>-300839</v>
      </c>
      <c r="DW55" s="856">
        <v>14729731</v>
      </c>
      <c r="DX55" s="856">
        <v>0</v>
      </c>
      <c r="DY55" s="857">
        <v>14729731</v>
      </c>
      <c r="DZ55" t="s">
        <v>1621</v>
      </c>
    </row>
    <row r="56" spans="1:130" ht="12.75" x14ac:dyDescent="0.2">
      <c r="A56" s="764">
        <v>49</v>
      </c>
      <c r="B56" s="765" t="s">
        <v>774</v>
      </c>
      <c r="C56" s="766" t="s">
        <v>529</v>
      </c>
      <c r="D56" s="767" t="s">
        <v>1221</v>
      </c>
      <c r="E56" s="768" t="s">
        <v>773</v>
      </c>
      <c r="F56" s="867">
        <v>43493</v>
      </c>
      <c r="G56" s="141">
        <v>219212489</v>
      </c>
      <c r="H56" s="141">
        <v>0</v>
      </c>
      <c r="I56" s="141">
        <v>219212489</v>
      </c>
      <c r="J56" s="141">
        <v>49.1</v>
      </c>
      <c r="K56" s="141">
        <v>107633332</v>
      </c>
      <c r="L56" s="141">
        <v>0</v>
      </c>
      <c r="M56" s="141">
        <v>5247611</v>
      </c>
      <c r="N56" s="141">
        <v>0</v>
      </c>
      <c r="O56" s="141">
        <v>112880943</v>
      </c>
      <c r="P56" s="141">
        <v>0</v>
      </c>
      <c r="Q56" s="141">
        <v>112880943</v>
      </c>
      <c r="R56" s="141">
        <v>-556337</v>
      </c>
      <c r="S56" s="141">
        <v>0</v>
      </c>
      <c r="T56" s="141">
        <v>-556337</v>
      </c>
      <c r="U56" s="141">
        <v>779027</v>
      </c>
      <c r="V56" s="141">
        <v>0</v>
      </c>
      <c r="W56" s="141">
        <v>779027</v>
      </c>
      <c r="X56" s="141">
        <v>222690</v>
      </c>
      <c r="Y56" s="141">
        <v>0</v>
      </c>
      <c r="Z56" s="141">
        <v>-101</v>
      </c>
      <c r="AA56" s="141">
        <v>0</v>
      </c>
      <c r="AB56" s="141">
        <v>222589</v>
      </c>
      <c r="AC56" s="141">
        <v>0</v>
      </c>
      <c r="AD56" s="141">
        <v>222589</v>
      </c>
      <c r="AE56" s="141">
        <v>-222589</v>
      </c>
      <c r="AF56" s="141">
        <v>0</v>
      </c>
      <c r="AG56" s="141">
        <v>-222589</v>
      </c>
      <c r="AH56" s="141">
        <v>-8555229</v>
      </c>
      <c r="AI56" s="141">
        <v>0</v>
      </c>
      <c r="AJ56" s="141">
        <v>-8555229</v>
      </c>
      <c r="AK56" s="141">
        <v>0</v>
      </c>
      <c r="AL56" s="141">
        <v>0</v>
      </c>
      <c r="AM56" s="141">
        <v>0</v>
      </c>
      <c r="AN56" s="141">
        <v>2037745</v>
      </c>
      <c r="AO56" s="141">
        <v>0</v>
      </c>
      <c r="AP56" s="141">
        <v>2037745</v>
      </c>
      <c r="AQ56" s="141">
        <v>-6517484</v>
      </c>
      <c r="AR56" s="141">
        <v>0</v>
      </c>
      <c r="AS56" s="141">
        <v>-6517484</v>
      </c>
      <c r="AT56" s="141">
        <v>-7937796</v>
      </c>
      <c r="AU56" s="141">
        <v>0</v>
      </c>
      <c r="AV56" s="141">
        <v>-7937796</v>
      </c>
      <c r="AW56" s="141">
        <v>-63000</v>
      </c>
      <c r="AX56" s="141">
        <v>0</v>
      </c>
      <c r="AY56" s="141">
        <v>-63000</v>
      </c>
      <c r="AZ56" s="141">
        <v>-26556</v>
      </c>
      <c r="BA56" s="141">
        <v>0</v>
      </c>
      <c r="BB56" s="141">
        <v>-26556</v>
      </c>
      <c r="BC56" s="141">
        <v>-14544836</v>
      </c>
      <c r="BD56" s="141">
        <v>0</v>
      </c>
      <c r="BE56" s="141">
        <v>-127150</v>
      </c>
      <c r="BF56" s="141">
        <v>0</v>
      </c>
      <c r="BG56" s="141">
        <v>-14671986</v>
      </c>
      <c r="BH56" s="141">
        <v>0</v>
      </c>
      <c r="BI56" s="141">
        <v>-14671986</v>
      </c>
      <c r="BJ56" s="141">
        <v>0</v>
      </c>
      <c r="BK56" s="141">
        <v>0</v>
      </c>
      <c r="BL56" s="141">
        <v>0</v>
      </c>
      <c r="BM56" s="141">
        <v>-1328924</v>
      </c>
      <c r="BN56" s="141">
        <v>0</v>
      </c>
      <c r="BO56" s="141">
        <v>-1328924</v>
      </c>
      <c r="BP56" s="141">
        <v>-1328924</v>
      </c>
      <c r="BQ56" s="141">
        <v>0</v>
      </c>
      <c r="BR56" s="141">
        <v>601</v>
      </c>
      <c r="BS56" s="141">
        <v>0</v>
      </c>
      <c r="BT56" s="141">
        <v>-1328323</v>
      </c>
      <c r="BU56" s="141">
        <v>0</v>
      </c>
      <c r="BV56" s="141">
        <v>-1328323</v>
      </c>
      <c r="BW56" s="141">
        <v>-282527</v>
      </c>
      <c r="BX56" s="141">
        <v>0</v>
      </c>
      <c r="BY56" s="141">
        <v>-282527</v>
      </c>
      <c r="BZ56" s="141">
        <v>-203914</v>
      </c>
      <c r="CA56" s="141">
        <v>0</v>
      </c>
      <c r="CB56" s="141">
        <v>-203914</v>
      </c>
      <c r="CC56" s="141">
        <v>-3315</v>
      </c>
      <c r="CD56" s="141">
        <v>0</v>
      </c>
      <c r="CE56" s="141">
        <v>-3315</v>
      </c>
      <c r="CF56" s="141">
        <v>0</v>
      </c>
      <c r="CG56" s="141">
        <v>0</v>
      </c>
      <c r="CH56" s="141">
        <v>0</v>
      </c>
      <c r="CI56" s="141">
        <v>-2915</v>
      </c>
      <c r="CJ56" s="141">
        <v>0</v>
      </c>
      <c r="CK56" s="141">
        <v>-2915</v>
      </c>
      <c r="CL56" s="141">
        <v>0</v>
      </c>
      <c r="CM56" s="141">
        <v>0</v>
      </c>
      <c r="CN56" s="141">
        <v>0</v>
      </c>
      <c r="CO56" s="141">
        <v>0</v>
      </c>
      <c r="CP56" s="141">
        <v>0</v>
      </c>
      <c r="CQ56" s="141">
        <v>-492671</v>
      </c>
      <c r="CR56" s="141">
        <v>0</v>
      </c>
      <c r="CS56" s="141">
        <v>234</v>
      </c>
      <c r="CT56" s="141">
        <v>0</v>
      </c>
      <c r="CU56" s="141">
        <v>-492437</v>
      </c>
      <c r="CV56" s="141">
        <v>0</v>
      </c>
      <c r="CW56" s="141">
        <v>-492437</v>
      </c>
      <c r="CX56" s="141">
        <v>-25466</v>
      </c>
      <c r="CY56" s="141">
        <v>0</v>
      </c>
      <c r="CZ56" s="141">
        <v>-25466</v>
      </c>
      <c r="DA56" s="141">
        <v>0</v>
      </c>
      <c r="DB56" s="141">
        <v>0</v>
      </c>
      <c r="DC56" s="141">
        <v>0</v>
      </c>
      <c r="DD56" s="141">
        <v>-14669</v>
      </c>
      <c r="DE56" s="141">
        <v>0</v>
      </c>
      <c r="DF56" s="141">
        <v>-14669</v>
      </c>
      <c r="DG56" s="141">
        <v>-73000</v>
      </c>
      <c r="DH56" s="141">
        <v>0</v>
      </c>
      <c r="DI56" s="141">
        <v>-73000</v>
      </c>
      <c r="DJ56" s="141">
        <v>0</v>
      </c>
      <c r="DK56" s="141">
        <v>0</v>
      </c>
      <c r="DL56" s="141">
        <v>0</v>
      </c>
      <c r="DM56" s="141">
        <v>-1358334</v>
      </c>
      <c r="DN56" s="141">
        <v>0</v>
      </c>
      <c r="DO56" s="141">
        <v>-1358334</v>
      </c>
      <c r="DP56" s="141">
        <v>-1471469</v>
      </c>
      <c r="DQ56" s="141">
        <v>0</v>
      </c>
      <c r="DR56" s="141">
        <v>654</v>
      </c>
      <c r="DS56" s="141">
        <v>0</v>
      </c>
      <c r="DT56" s="141">
        <v>-1470815</v>
      </c>
      <c r="DU56" s="141">
        <v>0</v>
      </c>
      <c r="DV56" s="141">
        <v>-1470815</v>
      </c>
      <c r="DW56" s="856">
        <v>95139971</v>
      </c>
      <c r="DX56" s="856">
        <v>0</v>
      </c>
      <c r="DY56" s="857">
        <v>95139971</v>
      </c>
      <c r="DZ56" t="s">
        <v>1622</v>
      </c>
    </row>
    <row r="57" spans="1:130" ht="12.75" x14ac:dyDescent="0.2">
      <c r="A57" s="764">
        <v>50</v>
      </c>
      <c r="B57" s="765" t="s">
        <v>776</v>
      </c>
      <c r="C57" s="766" t="s">
        <v>1217</v>
      </c>
      <c r="D57" s="767" t="s">
        <v>1220</v>
      </c>
      <c r="E57" s="768" t="s">
        <v>775</v>
      </c>
      <c r="F57" s="867">
        <v>43455</v>
      </c>
      <c r="G57" s="141">
        <v>129581324</v>
      </c>
      <c r="H57" s="141">
        <v>645000</v>
      </c>
      <c r="I57" s="141">
        <v>130226324</v>
      </c>
      <c r="J57" s="141">
        <v>49.1</v>
      </c>
      <c r="K57" s="141">
        <v>63624430</v>
      </c>
      <c r="L57" s="141">
        <v>316695</v>
      </c>
      <c r="M57" s="141">
        <v>0</v>
      </c>
      <c r="N57" s="141">
        <v>438393</v>
      </c>
      <c r="O57" s="141">
        <v>63624430</v>
      </c>
      <c r="P57" s="141">
        <v>755088</v>
      </c>
      <c r="Q57" s="141">
        <v>64379518</v>
      </c>
      <c r="R57" s="141">
        <v>-943140</v>
      </c>
      <c r="S57" s="141">
        <v>0</v>
      </c>
      <c r="T57" s="141">
        <v>-943140</v>
      </c>
      <c r="U57" s="141">
        <v>172871</v>
      </c>
      <c r="V57" s="141">
        <v>0</v>
      </c>
      <c r="W57" s="141">
        <v>172871</v>
      </c>
      <c r="X57" s="141">
        <v>-770269</v>
      </c>
      <c r="Y57" s="141">
        <v>0</v>
      </c>
      <c r="Z57" s="141">
        <v>0</v>
      </c>
      <c r="AA57" s="141">
        <v>0</v>
      </c>
      <c r="AB57" s="141">
        <v>-770269</v>
      </c>
      <c r="AC57" s="141">
        <v>0</v>
      </c>
      <c r="AD57" s="141">
        <v>-770269</v>
      </c>
      <c r="AE57" s="141">
        <v>770269</v>
      </c>
      <c r="AF57" s="141">
        <v>0</v>
      </c>
      <c r="AG57" s="141">
        <v>770269</v>
      </c>
      <c r="AH57" s="141">
        <v>-5656941</v>
      </c>
      <c r="AI57" s="141">
        <v>0</v>
      </c>
      <c r="AJ57" s="141">
        <v>-5656941</v>
      </c>
      <c r="AK57" s="141">
        <v>-12086</v>
      </c>
      <c r="AL57" s="141">
        <v>0</v>
      </c>
      <c r="AM57" s="141">
        <v>-12086</v>
      </c>
      <c r="AN57" s="141">
        <v>1142717</v>
      </c>
      <c r="AO57" s="141">
        <v>8385</v>
      </c>
      <c r="AP57" s="141">
        <v>1151102</v>
      </c>
      <c r="AQ57" s="141">
        <v>-4514224</v>
      </c>
      <c r="AR57" s="141">
        <v>8385</v>
      </c>
      <c r="AS57" s="141">
        <v>-4505839</v>
      </c>
      <c r="AT57" s="141">
        <v>-7705083</v>
      </c>
      <c r="AU57" s="141">
        <v>0</v>
      </c>
      <c r="AV57" s="141">
        <v>-7705083</v>
      </c>
      <c r="AW57" s="141">
        <v>-19531</v>
      </c>
      <c r="AX57" s="141">
        <v>0</v>
      </c>
      <c r="AY57" s="141">
        <v>-19531</v>
      </c>
      <c r="AZ57" s="141">
        <v>-1991</v>
      </c>
      <c r="BA57" s="141">
        <v>0</v>
      </c>
      <c r="BB57" s="141">
        <v>-1991</v>
      </c>
      <c r="BC57" s="141">
        <v>-12240829</v>
      </c>
      <c r="BD57" s="141">
        <v>8385</v>
      </c>
      <c r="BE57" s="141">
        <v>0</v>
      </c>
      <c r="BF57" s="141">
        <v>11607</v>
      </c>
      <c r="BG57" s="141">
        <v>-12240829</v>
      </c>
      <c r="BH57" s="141">
        <v>19992</v>
      </c>
      <c r="BI57" s="141">
        <v>-12220837</v>
      </c>
      <c r="BJ57" s="141">
        <v>-171695</v>
      </c>
      <c r="BK57" s="141">
        <v>0</v>
      </c>
      <c r="BL57" s="141">
        <v>-171695</v>
      </c>
      <c r="BM57" s="141">
        <v>-1148621</v>
      </c>
      <c r="BN57" s="141">
        <v>0</v>
      </c>
      <c r="BO57" s="141">
        <v>-1148621</v>
      </c>
      <c r="BP57" s="141">
        <v>-1320316</v>
      </c>
      <c r="BQ57" s="141">
        <v>0</v>
      </c>
      <c r="BR57" s="141">
        <v>0</v>
      </c>
      <c r="BS57" s="141">
        <v>0</v>
      </c>
      <c r="BT57" s="141">
        <v>-1320316</v>
      </c>
      <c r="BU57" s="141">
        <v>0</v>
      </c>
      <c r="BV57" s="141">
        <v>-1320316</v>
      </c>
      <c r="BW57" s="141">
        <v>-79730</v>
      </c>
      <c r="BX57" s="141">
        <v>0</v>
      </c>
      <c r="BY57" s="141">
        <v>-79730</v>
      </c>
      <c r="BZ57" s="141">
        <v>-228557</v>
      </c>
      <c r="CA57" s="141">
        <v>0</v>
      </c>
      <c r="CB57" s="141">
        <v>-228557</v>
      </c>
      <c r="CC57" s="141">
        <v>-431</v>
      </c>
      <c r="CD57" s="141">
        <v>0</v>
      </c>
      <c r="CE57" s="141">
        <v>-431</v>
      </c>
      <c r="CF57" s="141">
        <v>0</v>
      </c>
      <c r="CG57" s="141">
        <v>0</v>
      </c>
      <c r="CH57" s="141">
        <v>0</v>
      </c>
      <c r="CI57" s="141">
        <v>0</v>
      </c>
      <c r="CJ57" s="141">
        <v>0</v>
      </c>
      <c r="CK57" s="141">
        <v>0</v>
      </c>
      <c r="CL57" s="141">
        <v>-39069</v>
      </c>
      <c r="CM57" s="141">
        <v>0</v>
      </c>
      <c r="CN57" s="141">
        <v>-39069</v>
      </c>
      <c r="CO57" s="141">
        <v>0</v>
      </c>
      <c r="CP57" s="141">
        <v>0</v>
      </c>
      <c r="CQ57" s="141">
        <v>-347787</v>
      </c>
      <c r="CR57" s="141">
        <v>0</v>
      </c>
      <c r="CS57" s="141">
        <v>0</v>
      </c>
      <c r="CT57" s="141">
        <v>0</v>
      </c>
      <c r="CU57" s="141">
        <v>-347787</v>
      </c>
      <c r="CV57" s="141">
        <v>0</v>
      </c>
      <c r="CW57" s="141">
        <v>-347787</v>
      </c>
      <c r="CX57" s="141">
        <v>-1991</v>
      </c>
      <c r="CY57" s="141">
        <v>0</v>
      </c>
      <c r="CZ57" s="141">
        <v>-1991</v>
      </c>
      <c r="DA57" s="141">
        <v>-1500</v>
      </c>
      <c r="DB57" s="141">
        <v>0</v>
      </c>
      <c r="DC57" s="141">
        <v>-1500</v>
      </c>
      <c r="DD57" s="141">
        <v>-49232</v>
      </c>
      <c r="DE57" s="141">
        <v>0</v>
      </c>
      <c r="DF57" s="141">
        <v>-49232</v>
      </c>
      <c r="DG57" s="141">
        <v>-94125</v>
      </c>
      <c r="DH57" s="141">
        <v>0</v>
      </c>
      <c r="DI57" s="141">
        <v>-94125</v>
      </c>
      <c r="DJ57" s="141">
        <v>0</v>
      </c>
      <c r="DK57" s="141">
        <v>0</v>
      </c>
      <c r="DL57" s="141">
        <v>0</v>
      </c>
      <c r="DM57" s="141">
        <v>-987473</v>
      </c>
      <c r="DN57" s="141">
        <v>0</v>
      </c>
      <c r="DO57" s="141">
        <v>-987473</v>
      </c>
      <c r="DP57" s="141">
        <v>-1134321</v>
      </c>
      <c r="DQ57" s="141">
        <v>0</v>
      </c>
      <c r="DR57" s="141">
        <v>0</v>
      </c>
      <c r="DS57" s="141">
        <v>0</v>
      </c>
      <c r="DT57" s="141">
        <v>-1134321</v>
      </c>
      <c r="DU57" s="141">
        <v>0</v>
      </c>
      <c r="DV57" s="141">
        <v>-1134321</v>
      </c>
      <c r="DW57" s="856">
        <v>47810908</v>
      </c>
      <c r="DX57" s="856">
        <v>775080</v>
      </c>
      <c r="DY57" s="857">
        <v>48585988</v>
      </c>
      <c r="DZ57" t="s">
        <v>1623</v>
      </c>
    </row>
    <row r="58" spans="1:130" ht="12.75" x14ac:dyDescent="0.2">
      <c r="A58" s="764">
        <v>51</v>
      </c>
      <c r="B58" s="765" t="s">
        <v>778</v>
      </c>
      <c r="C58" s="766" t="s">
        <v>1217</v>
      </c>
      <c r="D58" s="767" t="s">
        <v>1221</v>
      </c>
      <c r="E58" s="768" t="s">
        <v>777</v>
      </c>
      <c r="F58" s="867">
        <v>43457</v>
      </c>
      <c r="G58" s="141">
        <v>191573633</v>
      </c>
      <c r="H58" s="141">
        <v>0</v>
      </c>
      <c r="I58" s="141">
        <v>191573633</v>
      </c>
      <c r="J58" s="141">
        <v>49.1</v>
      </c>
      <c r="K58" s="141">
        <v>94062654</v>
      </c>
      <c r="L58" s="141">
        <v>0</v>
      </c>
      <c r="M58" s="141">
        <v>1210167</v>
      </c>
      <c r="N58" s="141">
        <v>0</v>
      </c>
      <c r="O58" s="141">
        <v>95272821</v>
      </c>
      <c r="P58" s="141">
        <v>0</v>
      </c>
      <c r="Q58" s="141">
        <v>95272821</v>
      </c>
      <c r="R58" s="141">
        <v>-429238</v>
      </c>
      <c r="S58" s="141">
        <v>0</v>
      </c>
      <c r="T58" s="141">
        <v>-429238</v>
      </c>
      <c r="U58" s="141">
        <v>1296902</v>
      </c>
      <c r="V58" s="141">
        <v>0</v>
      </c>
      <c r="W58" s="141">
        <v>1296902</v>
      </c>
      <c r="X58" s="141">
        <v>867664</v>
      </c>
      <c r="Y58" s="141">
        <v>0</v>
      </c>
      <c r="Z58" s="141">
        <v>0</v>
      </c>
      <c r="AA58" s="141">
        <v>0</v>
      </c>
      <c r="AB58" s="141">
        <v>867664</v>
      </c>
      <c r="AC58" s="141">
        <v>0</v>
      </c>
      <c r="AD58" s="141">
        <v>867664</v>
      </c>
      <c r="AE58" s="141">
        <v>-867664</v>
      </c>
      <c r="AF58" s="141">
        <v>0</v>
      </c>
      <c r="AG58" s="141">
        <v>-867664</v>
      </c>
      <c r="AH58" s="141">
        <v>-5406806</v>
      </c>
      <c r="AI58" s="141">
        <v>0</v>
      </c>
      <c r="AJ58" s="141">
        <v>-5406806</v>
      </c>
      <c r="AK58" s="141">
        <v>0</v>
      </c>
      <c r="AL58" s="141">
        <v>0</v>
      </c>
      <c r="AM58" s="141">
        <v>0</v>
      </c>
      <c r="AN58" s="141">
        <v>1899203</v>
      </c>
      <c r="AO58" s="141">
        <v>0</v>
      </c>
      <c r="AP58" s="141">
        <v>1899203</v>
      </c>
      <c r="AQ58" s="141">
        <v>-3507603</v>
      </c>
      <c r="AR58" s="141">
        <v>0</v>
      </c>
      <c r="AS58" s="141">
        <v>-3507603</v>
      </c>
      <c r="AT58" s="141">
        <v>-5167970</v>
      </c>
      <c r="AU58" s="141">
        <v>0</v>
      </c>
      <c r="AV58" s="141">
        <v>-5167970</v>
      </c>
      <c r="AW58" s="141">
        <v>-36207</v>
      </c>
      <c r="AX58" s="141">
        <v>0</v>
      </c>
      <c r="AY58" s="141">
        <v>-36207</v>
      </c>
      <c r="AZ58" s="141">
        <v>-5053</v>
      </c>
      <c r="BA58" s="141">
        <v>0</v>
      </c>
      <c r="BB58" s="141">
        <v>-5053</v>
      </c>
      <c r="BC58" s="141">
        <v>-8716833</v>
      </c>
      <c r="BD58" s="141">
        <v>0</v>
      </c>
      <c r="BE58" s="141">
        <v>0</v>
      </c>
      <c r="BF58" s="141">
        <v>0</v>
      </c>
      <c r="BG58" s="141">
        <v>-8716833</v>
      </c>
      <c r="BH58" s="141">
        <v>0</v>
      </c>
      <c r="BI58" s="141">
        <v>-8716833</v>
      </c>
      <c r="BJ58" s="141">
        <v>0</v>
      </c>
      <c r="BK58" s="141">
        <v>0</v>
      </c>
      <c r="BL58" s="141">
        <v>0</v>
      </c>
      <c r="BM58" s="141">
        <v>-1914524</v>
      </c>
      <c r="BN58" s="141">
        <v>0</v>
      </c>
      <c r="BO58" s="141">
        <v>-1914524</v>
      </c>
      <c r="BP58" s="141">
        <v>-1914524</v>
      </c>
      <c r="BQ58" s="141">
        <v>0</v>
      </c>
      <c r="BR58" s="141">
        <v>-500000</v>
      </c>
      <c r="BS58" s="141">
        <v>0</v>
      </c>
      <c r="BT58" s="141">
        <v>-2414524</v>
      </c>
      <c r="BU58" s="141">
        <v>0</v>
      </c>
      <c r="BV58" s="141">
        <v>-2414524</v>
      </c>
      <c r="BW58" s="141">
        <v>-9010</v>
      </c>
      <c r="BX58" s="141">
        <v>0</v>
      </c>
      <c r="BY58" s="141">
        <v>-9010</v>
      </c>
      <c r="BZ58" s="141">
        <v>-100917</v>
      </c>
      <c r="CA58" s="141">
        <v>0</v>
      </c>
      <c r="CB58" s="141">
        <v>-100917</v>
      </c>
      <c r="CC58" s="141">
        <v>0</v>
      </c>
      <c r="CD58" s="141">
        <v>0</v>
      </c>
      <c r="CE58" s="141">
        <v>0</v>
      </c>
      <c r="CF58" s="141">
        <v>0</v>
      </c>
      <c r="CG58" s="141">
        <v>0</v>
      </c>
      <c r="CH58" s="141">
        <v>0</v>
      </c>
      <c r="CI58" s="141">
        <v>-3666</v>
      </c>
      <c r="CJ58" s="141">
        <v>0</v>
      </c>
      <c r="CK58" s="141">
        <v>-3666</v>
      </c>
      <c r="CL58" s="141">
        <v>0</v>
      </c>
      <c r="CM58" s="141">
        <v>0</v>
      </c>
      <c r="CN58" s="141">
        <v>0</v>
      </c>
      <c r="CO58" s="141">
        <v>0</v>
      </c>
      <c r="CP58" s="141">
        <v>0</v>
      </c>
      <c r="CQ58" s="141">
        <v>-113593</v>
      </c>
      <c r="CR58" s="141">
        <v>0</v>
      </c>
      <c r="CS58" s="141">
        <v>0</v>
      </c>
      <c r="CT58" s="141">
        <v>0</v>
      </c>
      <c r="CU58" s="141">
        <v>-113593</v>
      </c>
      <c r="CV58" s="141">
        <v>0</v>
      </c>
      <c r="CW58" s="141">
        <v>-113593</v>
      </c>
      <c r="CX58" s="141">
        <v>-5053</v>
      </c>
      <c r="CY58" s="141">
        <v>0</v>
      </c>
      <c r="CZ58" s="141">
        <v>-5053</v>
      </c>
      <c r="DA58" s="141">
        <v>-1500</v>
      </c>
      <c r="DB58" s="141">
        <v>0</v>
      </c>
      <c r="DC58" s="141">
        <v>-1500</v>
      </c>
      <c r="DD58" s="141">
        <v>-30205</v>
      </c>
      <c r="DE58" s="141">
        <v>0</v>
      </c>
      <c r="DF58" s="141">
        <v>-30205</v>
      </c>
      <c r="DG58" s="141">
        <v>-54343</v>
      </c>
      <c r="DH58" s="141">
        <v>0</v>
      </c>
      <c r="DI58" s="141">
        <v>-54343</v>
      </c>
      <c r="DJ58" s="141">
        <v>0</v>
      </c>
      <c r="DK58" s="141">
        <v>0</v>
      </c>
      <c r="DL58" s="141">
        <v>0</v>
      </c>
      <c r="DM58" s="141">
        <v>-1600900</v>
      </c>
      <c r="DN58" s="141">
        <v>0</v>
      </c>
      <c r="DO58" s="141">
        <v>-1600900</v>
      </c>
      <c r="DP58" s="141">
        <v>-1692001</v>
      </c>
      <c r="DQ58" s="141">
        <v>0</v>
      </c>
      <c r="DR58" s="141">
        <v>0</v>
      </c>
      <c r="DS58" s="141">
        <v>0</v>
      </c>
      <c r="DT58" s="141">
        <v>-1692001</v>
      </c>
      <c r="DU58" s="141">
        <v>0</v>
      </c>
      <c r="DV58" s="141">
        <v>-1692001</v>
      </c>
      <c r="DW58" s="856">
        <v>83203534</v>
      </c>
      <c r="DX58" s="856">
        <v>0</v>
      </c>
      <c r="DY58" s="857">
        <v>83203534</v>
      </c>
      <c r="DZ58" t="s">
        <v>1624</v>
      </c>
    </row>
    <row r="59" spans="1:130" ht="12.75" x14ac:dyDescent="0.2">
      <c r="A59" s="764">
        <v>52</v>
      </c>
      <c r="B59" s="765" t="s">
        <v>780</v>
      </c>
      <c r="C59" s="766" t="s">
        <v>1217</v>
      </c>
      <c r="D59" s="767" t="s">
        <v>1226</v>
      </c>
      <c r="E59" s="768" t="s">
        <v>779</v>
      </c>
      <c r="F59" s="867">
        <v>45</v>
      </c>
      <c r="G59" s="141">
        <v>133430009</v>
      </c>
      <c r="H59" s="141">
        <v>0</v>
      </c>
      <c r="I59" s="141">
        <v>133430009</v>
      </c>
      <c r="J59" s="141">
        <v>49.1</v>
      </c>
      <c r="K59" s="141">
        <v>65514134</v>
      </c>
      <c r="L59" s="141">
        <v>0</v>
      </c>
      <c r="M59" s="141">
        <v>800000</v>
      </c>
      <c r="N59" s="141">
        <v>0</v>
      </c>
      <c r="O59" s="141">
        <v>66314134</v>
      </c>
      <c r="P59" s="141">
        <v>0</v>
      </c>
      <c r="Q59" s="141">
        <v>66314134</v>
      </c>
      <c r="R59" s="141">
        <v>-287995</v>
      </c>
      <c r="S59" s="141">
        <v>0</v>
      </c>
      <c r="T59" s="141">
        <v>-287995</v>
      </c>
      <c r="U59" s="141">
        <v>858371</v>
      </c>
      <c r="V59" s="141">
        <v>0</v>
      </c>
      <c r="W59" s="141">
        <v>858371</v>
      </c>
      <c r="X59" s="141">
        <v>570376</v>
      </c>
      <c r="Y59" s="141">
        <v>0</v>
      </c>
      <c r="Z59" s="141">
        <v>-40000</v>
      </c>
      <c r="AA59" s="141">
        <v>0</v>
      </c>
      <c r="AB59" s="141">
        <v>530376</v>
      </c>
      <c r="AC59" s="141">
        <v>0</v>
      </c>
      <c r="AD59" s="141">
        <v>530376</v>
      </c>
      <c r="AE59" s="141">
        <v>-530376</v>
      </c>
      <c r="AF59" s="141">
        <v>0</v>
      </c>
      <c r="AG59" s="141">
        <v>-530376</v>
      </c>
      <c r="AH59" s="141">
        <v>-3842353</v>
      </c>
      <c r="AI59" s="141">
        <v>0</v>
      </c>
      <c r="AJ59" s="141">
        <v>-3842353</v>
      </c>
      <c r="AK59" s="141">
        <v>-500</v>
      </c>
      <c r="AL59" s="141">
        <v>0</v>
      </c>
      <c r="AM59" s="141">
        <v>-500</v>
      </c>
      <c r="AN59" s="141">
        <v>1295917</v>
      </c>
      <c r="AO59" s="141">
        <v>0</v>
      </c>
      <c r="AP59" s="141">
        <v>1295917</v>
      </c>
      <c r="AQ59" s="141">
        <v>-2546436</v>
      </c>
      <c r="AR59" s="141">
        <v>0</v>
      </c>
      <c r="AS59" s="141">
        <v>-2546436</v>
      </c>
      <c r="AT59" s="141">
        <v>-4658519</v>
      </c>
      <c r="AU59" s="141">
        <v>0</v>
      </c>
      <c r="AV59" s="141">
        <v>-4658519</v>
      </c>
      <c r="AW59" s="141">
        <v>-51801</v>
      </c>
      <c r="AX59" s="141">
        <v>0</v>
      </c>
      <c r="AY59" s="141">
        <v>-51801</v>
      </c>
      <c r="AZ59" s="141">
        <v>0</v>
      </c>
      <c r="BA59" s="141">
        <v>0</v>
      </c>
      <c r="BB59" s="141">
        <v>0</v>
      </c>
      <c r="BC59" s="141">
        <v>-7256756</v>
      </c>
      <c r="BD59" s="141">
        <v>0</v>
      </c>
      <c r="BE59" s="141">
        <v>-68000</v>
      </c>
      <c r="BF59" s="141">
        <v>0</v>
      </c>
      <c r="BG59" s="141">
        <v>-7324756</v>
      </c>
      <c r="BH59" s="141">
        <v>0</v>
      </c>
      <c r="BI59" s="141">
        <v>-7324756</v>
      </c>
      <c r="BJ59" s="141">
        <v>-10000</v>
      </c>
      <c r="BK59" s="141">
        <v>0</v>
      </c>
      <c r="BL59" s="141">
        <v>-10000</v>
      </c>
      <c r="BM59" s="141">
        <v>-1199350</v>
      </c>
      <c r="BN59" s="141">
        <v>0</v>
      </c>
      <c r="BO59" s="141">
        <v>-1199350</v>
      </c>
      <c r="BP59" s="141">
        <v>-1209350</v>
      </c>
      <c r="BQ59" s="141">
        <v>0</v>
      </c>
      <c r="BR59" s="141">
        <v>-75000</v>
      </c>
      <c r="BS59" s="141">
        <v>0</v>
      </c>
      <c r="BT59" s="141">
        <v>-1284350</v>
      </c>
      <c r="BU59" s="141">
        <v>0</v>
      </c>
      <c r="BV59" s="141">
        <v>-1284350</v>
      </c>
      <c r="BW59" s="141">
        <v>-21238</v>
      </c>
      <c r="BX59" s="141">
        <v>0</v>
      </c>
      <c r="BY59" s="141">
        <v>-21238</v>
      </c>
      <c r="BZ59" s="141">
        <v>-23389</v>
      </c>
      <c r="CA59" s="141">
        <v>0</v>
      </c>
      <c r="CB59" s="141">
        <v>-23389</v>
      </c>
      <c r="CC59" s="141">
        <v>0</v>
      </c>
      <c r="CD59" s="141">
        <v>0</v>
      </c>
      <c r="CE59" s="141">
        <v>0</v>
      </c>
      <c r="CF59" s="141">
        <v>0</v>
      </c>
      <c r="CG59" s="141">
        <v>0</v>
      </c>
      <c r="CH59" s="141">
        <v>0</v>
      </c>
      <c r="CI59" s="141">
        <v>0</v>
      </c>
      <c r="CJ59" s="141">
        <v>0</v>
      </c>
      <c r="CK59" s="141">
        <v>0</v>
      </c>
      <c r="CL59" s="141">
        <v>0</v>
      </c>
      <c r="CM59" s="141">
        <v>0</v>
      </c>
      <c r="CN59" s="141">
        <v>0</v>
      </c>
      <c r="CO59" s="141">
        <v>0</v>
      </c>
      <c r="CP59" s="141">
        <v>0</v>
      </c>
      <c r="CQ59" s="141">
        <v>-44627</v>
      </c>
      <c r="CR59" s="141">
        <v>0</v>
      </c>
      <c r="CS59" s="141">
        <v>0</v>
      </c>
      <c r="CT59" s="141">
        <v>0</v>
      </c>
      <c r="CU59" s="141">
        <v>-44627</v>
      </c>
      <c r="CV59" s="141">
        <v>0</v>
      </c>
      <c r="CW59" s="141">
        <v>-44627</v>
      </c>
      <c r="CX59" s="141">
        <v>0</v>
      </c>
      <c r="CY59" s="141">
        <v>0</v>
      </c>
      <c r="CZ59" s="141">
        <v>0</v>
      </c>
      <c r="DA59" s="141">
        <v>0</v>
      </c>
      <c r="DB59" s="141">
        <v>0</v>
      </c>
      <c r="DC59" s="141">
        <v>0</v>
      </c>
      <c r="DD59" s="141">
        <v>-14661</v>
      </c>
      <c r="DE59" s="141">
        <v>0</v>
      </c>
      <c r="DF59" s="141">
        <v>-14661</v>
      </c>
      <c r="DG59" s="141">
        <v>-54000</v>
      </c>
      <c r="DH59" s="141">
        <v>0</v>
      </c>
      <c r="DI59" s="141">
        <v>-54000</v>
      </c>
      <c r="DJ59" s="141">
        <v>0</v>
      </c>
      <c r="DK59" s="141">
        <v>0</v>
      </c>
      <c r="DL59" s="141">
        <v>0</v>
      </c>
      <c r="DM59" s="141">
        <v>-790000</v>
      </c>
      <c r="DN59" s="141">
        <v>0</v>
      </c>
      <c r="DO59" s="141">
        <v>-790000</v>
      </c>
      <c r="DP59" s="141">
        <v>-858661</v>
      </c>
      <c r="DQ59" s="141">
        <v>0</v>
      </c>
      <c r="DR59" s="141">
        <v>-50000</v>
      </c>
      <c r="DS59" s="141">
        <v>0</v>
      </c>
      <c r="DT59" s="141">
        <v>-908661</v>
      </c>
      <c r="DU59" s="141">
        <v>0</v>
      </c>
      <c r="DV59" s="141">
        <v>-908661</v>
      </c>
      <c r="DW59" s="856">
        <v>57282116</v>
      </c>
      <c r="DX59" s="856">
        <v>0</v>
      </c>
      <c r="DY59" s="857">
        <v>57282116</v>
      </c>
      <c r="DZ59" t="s">
        <v>1625</v>
      </c>
    </row>
    <row r="60" spans="1:130" ht="12.75" x14ac:dyDescent="0.2">
      <c r="A60" s="764">
        <v>53</v>
      </c>
      <c r="B60" s="765" t="s">
        <v>782</v>
      </c>
      <c r="C60" s="766" t="s">
        <v>1217</v>
      </c>
      <c r="D60" s="767" t="s">
        <v>1218</v>
      </c>
      <c r="E60" s="768" t="s">
        <v>781</v>
      </c>
      <c r="F60" s="867">
        <v>43460</v>
      </c>
      <c r="G60" s="141">
        <v>226083105</v>
      </c>
      <c r="H60" s="141">
        <v>0</v>
      </c>
      <c r="I60" s="141">
        <v>226083105</v>
      </c>
      <c r="J60" s="141">
        <v>49.1</v>
      </c>
      <c r="K60" s="141">
        <v>111006805</v>
      </c>
      <c r="L60" s="141">
        <v>0</v>
      </c>
      <c r="M60" s="141">
        <v>-515500</v>
      </c>
      <c r="N60" s="141">
        <v>0</v>
      </c>
      <c r="O60" s="141">
        <v>110491305</v>
      </c>
      <c r="P60" s="141">
        <v>0</v>
      </c>
      <c r="Q60" s="141">
        <v>110491305</v>
      </c>
      <c r="R60" s="141">
        <v>-1313543</v>
      </c>
      <c r="S60" s="141">
        <v>0</v>
      </c>
      <c r="T60" s="141">
        <v>-1313543</v>
      </c>
      <c r="U60" s="141">
        <v>574640</v>
      </c>
      <c r="V60" s="141">
        <v>0</v>
      </c>
      <c r="W60" s="141">
        <v>574640</v>
      </c>
      <c r="X60" s="141">
        <v>-738903</v>
      </c>
      <c r="Y60" s="141">
        <v>0</v>
      </c>
      <c r="Z60" s="141">
        <v>0</v>
      </c>
      <c r="AA60" s="141">
        <v>0</v>
      </c>
      <c r="AB60" s="141">
        <v>-738903</v>
      </c>
      <c r="AC60" s="141">
        <v>0</v>
      </c>
      <c r="AD60" s="141">
        <v>-738903</v>
      </c>
      <c r="AE60" s="141">
        <v>738903</v>
      </c>
      <c r="AF60" s="141">
        <v>0</v>
      </c>
      <c r="AG60" s="141">
        <v>738903</v>
      </c>
      <c r="AH60" s="141">
        <v>-4116507</v>
      </c>
      <c r="AI60" s="141">
        <v>0</v>
      </c>
      <c r="AJ60" s="141">
        <v>-4116507</v>
      </c>
      <c r="AK60" s="141">
        <v>0</v>
      </c>
      <c r="AL60" s="141">
        <v>0</v>
      </c>
      <c r="AM60" s="141">
        <v>0</v>
      </c>
      <c r="AN60" s="141">
        <v>2348551</v>
      </c>
      <c r="AO60" s="141">
        <v>0</v>
      </c>
      <c r="AP60" s="141">
        <v>2348551</v>
      </c>
      <c r="AQ60" s="141">
        <v>-1767956</v>
      </c>
      <c r="AR60" s="141">
        <v>0</v>
      </c>
      <c r="AS60" s="141">
        <v>-1767956</v>
      </c>
      <c r="AT60" s="141">
        <v>-4167124</v>
      </c>
      <c r="AU60" s="141">
        <v>0</v>
      </c>
      <c r="AV60" s="141">
        <v>-4167124</v>
      </c>
      <c r="AW60" s="141">
        <v>-56592</v>
      </c>
      <c r="AX60" s="141">
        <v>0</v>
      </c>
      <c r="AY60" s="141">
        <v>-56592</v>
      </c>
      <c r="AZ60" s="141">
        <v>0</v>
      </c>
      <c r="BA60" s="141">
        <v>0</v>
      </c>
      <c r="BB60" s="141">
        <v>0</v>
      </c>
      <c r="BC60" s="141">
        <v>-5991672</v>
      </c>
      <c r="BD60" s="141">
        <v>0</v>
      </c>
      <c r="BE60" s="141">
        <v>0</v>
      </c>
      <c r="BF60" s="141">
        <v>0</v>
      </c>
      <c r="BG60" s="141">
        <v>-5991672</v>
      </c>
      <c r="BH60" s="141">
        <v>0</v>
      </c>
      <c r="BI60" s="141">
        <v>-5991672</v>
      </c>
      <c r="BJ60" s="141">
        <v>0</v>
      </c>
      <c r="BK60" s="141">
        <v>0</v>
      </c>
      <c r="BL60" s="141">
        <v>0</v>
      </c>
      <c r="BM60" s="141">
        <v>-1264173</v>
      </c>
      <c r="BN60" s="141">
        <v>0</v>
      </c>
      <c r="BO60" s="141">
        <v>-1264173</v>
      </c>
      <c r="BP60" s="141">
        <v>-1264173</v>
      </c>
      <c r="BQ60" s="141">
        <v>0</v>
      </c>
      <c r="BR60" s="141">
        <v>-999975</v>
      </c>
      <c r="BS60" s="141">
        <v>0</v>
      </c>
      <c r="BT60" s="141">
        <v>-2264148</v>
      </c>
      <c r="BU60" s="141">
        <v>0</v>
      </c>
      <c r="BV60" s="141">
        <v>-2264148</v>
      </c>
      <c r="BW60" s="141">
        <v>-75373</v>
      </c>
      <c r="BX60" s="141">
        <v>0</v>
      </c>
      <c r="BY60" s="141">
        <v>-75373</v>
      </c>
      <c r="BZ60" s="141">
        <v>-34187</v>
      </c>
      <c r="CA60" s="141">
        <v>0</v>
      </c>
      <c r="CB60" s="141">
        <v>-34187</v>
      </c>
      <c r="CC60" s="141">
        <v>-2696</v>
      </c>
      <c r="CD60" s="141">
        <v>0</v>
      </c>
      <c r="CE60" s="141">
        <v>-2696</v>
      </c>
      <c r="CF60" s="141">
        <v>0</v>
      </c>
      <c r="CG60" s="141">
        <v>0</v>
      </c>
      <c r="CH60" s="141">
        <v>0</v>
      </c>
      <c r="CI60" s="141">
        <v>0</v>
      </c>
      <c r="CJ60" s="141">
        <v>0</v>
      </c>
      <c r="CK60" s="141">
        <v>0</v>
      </c>
      <c r="CL60" s="141">
        <v>0</v>
      </c>
      <c r="CM60" s="141">
        <v>0</v>
      </c>
      <c r="CN60" s="141">
        <v>0</v>
      </c>
      <c r="CO60" s="141">
        <v>0</v>
      </c>
      <c r="CP60" s="141">
        <v>0</v>
      </c>
      <c r="CQ60" s="141">
        <v>-112256</v>
      </c>
      <c r="CR60" s="141">
        <v>0</v>
      </c>
      <c r="CS60" s="141">
        <v>0</v>
      </c>
      <c r="CT60" s="141">
        <v>0</v>
      </c>
      <c r="CU60" s="141">
        <v>-112256</v>
      </c>
      <c r="CV60" s="141">
        <v>0</v>
      </c>
      <c r="CW60" s="141">
        <v>-112256</v>
      </c>
      <c r="CX60" s="141">
        <v>-58951</v>
      </c>
      <c r="CY60" s="141">
        <v>0</v>
      </c>
      <c r="CZ60" s="141">
        <v>-58951</v>
      </c>
      <c r="DA60" s="141">
        <v>-852</v>
      </c>
      <c r="DB60" s="141">
        <v>0</v>
      </c>
      <c r="DC60" s="141">
        <v>-852</v>
      </c>
      <c r="DD60" s="141">
        <v>-46647</v>
      </c>
      <c r="DE60" s="141">
        <v>0</v>
      </c>
      <c r="DF60" s="141">
        <v>-46647</v>
      </c>
      <c r="DG60" s="141">
        <v>-147292</v>
      </c>
      <c r="DH60" s="141">
        <v>0</v>
      </c>
      <c r="DI60" s="141">
        <v>-147292</v>
      </c>
      <c r="DJ60" s="141">
        <v>0</v>
      </c>
      <c r="DK60" s="141">
        <v>0</v>
      </c>
      <c r="DL60" s="141">
        <v>0</v>
      </c>
      <c r="DM60" s="141">
        <v>-1522785</v>
      </c>
      <c r="DN60" s="141">
        <v>0</v>
      </c>
      <c r="DO60" s="141">
        <v>-1522785</v>
      </c>
      <c r="DP60" s="141">
        <v>-1776527</v>
      </c>
      <c r="DQ60" s="141">
        <v>0</v>
      </c>
      <c r="DR60" s="141">
        <v>0</v>
      </c>
      <c r="DS60" s="141">
        <v>0</v>
      </c>
      <c r="DT60" s="141">
        <v>-1776527</v>
      </c>
      <c r="DU60" s="141">
        <v>0</v>
      </c>
      <c r="DV60" s="141">
        <v>-1776527</v>
      </c>
      <c r="DW60" s="856">
        <v>99607799</v>
      </c>
      <c r="DX60" s="856">
        <v>0</v>
      </c>
      <c r="DY60" s="857">
        <v>99607799</v>
      </c>
      <c r="DZ60" t="s">
        <v>1626</v>
      </c>
    </row>
    <row r="61" spans="1:130" ht="12.75" x14ac:dyDescent="0.2">
      <c r="A61" s="764">
        <v>54</v>
      </c>
      <c r="B61" s="765" t="s">
        <v>784</v>
      </c>
      <c r="C61" s="766" t="s">
        <v>529</v>
      </c>
      <c r="D61" s="767" t="s">
        <v>1219</v>
      </c>
      <c r="E61" s="768" t="s">
        <v>783</v>
      </c>
      <c r="F61" s="867">
        <v>43460</v>
      </c>
      <c r="G61" s="141">
        <v>346591339</v>
      </c>
      <c r="H61" s="141">
        <v>7668772</v>
      </c>
      <c r="I61" s="141">
        <v>354260111</v>
      </c>
      <c r="J61" s="141">
        <v>49.1</v>
      </c>
      <c r="K61" s="141">
        <v>170176347</v>
      </c>
      <c r="L61" s="141">
        <v>3765367</v>
      </c>
      <c r="M61" s="141">
        <v>2250000</v>
      </c>
      <c r="N61" s="141">
        <v>0</v>
      </c>
      <c r="O61" s="141">
        <v>172426347</v>
      </c>
      <c r="P61" s="141">
        <v>3765367</v>
      </c>
      <c r="Q61" s="141">
        <v>176191714</v>
      </c>
      <c r="R61" s="141">
        <v>-1499575</v>
      </c>
      <c r="S61" s="141">
        <v>-65733</v>
      </c>
      <c r="T61" s="141">
        <v>-1565308</v>
      </c>
      <c r="U61" s="141">
        <v>2004306</v>
      </c>
      <c r="V61" s="141">
        <v>5136</v>
      </c>
      <c r="W61" s="141">
        <v>2009442</v>
      </c>
      <c r="X61" s="141">
        <v>504731</v>
      </c>
      <c r="Y61" s="141">
        <v>-60597</v>
      </c>
      <c r="Z61" s="141">
        <v>0</v>
      </c>
      <c r="AA61" s="141">
        <v>0</v>
      </c>
      <c r="AB61" s="141">
        <v>504731</v>
      </c>
      <c r="AC61" s="141">
        <v>-60597</v>
      </c>
      <c r="AD61" s="141">
        <v>444134</v>
      </c>
      <c r="AE61" s="141">
        <v>-504731</v>
      </c>
      <c r="AF61" s="141">
        <v>60597</v>
      </c>
      <c r="AG61" s="141">
        <v>-444134</v>
      </c>
      <c r="AH61" s="141">
        <v>-14957022</v>
      </c>
      <c r="AI61" s="141">
        <v>-24314</v>
      </c>
      <c r="AJ61" s="141">
        <v>-14981336</v>
      </c>
      <c r="AK61" s="141">
        <v>-85176</v>
      </c>
      <c r="AL61" s="141">
        <v>0</v>
      </c>
      <c r="AM61" s="141">
        <v>-85176</v>
      </c>
      <c r="AN61" s="141">
        <v>2987316</v>
      </c>
      <c r="AO61" s="141">
        <v>83467</v>
      </c>
      <c r="AP61" s="141">
        <v>3070783</v>
      </c>
      <c r="AQ61" s="141">
        <v>-11969706</v>
      </c>
      <c r="AR61" s="141">
        <v>59153</v>
      </c>
      <c r="AS61" s="141">
        <v>-11910553</v>
      </c>
      <c r="AT61" s="141">
        <v>-8921001</v>
      </c>
      <c r="AU61" s="141">
        <v>-421</v>
      </c>
      <c r="AV61" s="141">
        <v>-8921422</v>
      </c>
      <c r="AW61" s="141">
        <v>-123809</v>
      </c>
      <c r="AX61" s="141">
        <v>0</v>
      </c>
      <c r="AY61" s="141">
        <v>-123809</v>
      </c>
      <c r="AZ61" s="141">
        <v>-13385</v>
      </c>
      <c r="BA61" s="141">
        <v>0</v>
      </c>
      <c r="BB61" s="141">
        <v>-13385</v>
      </c>
      <c r="BC61" s="141">
        <v>-21027901</v>
      </c>
      <c r="BD61" s="141">
        <v>58732</v>
      </c>
      <c r="BE61" s="141">
        <v>-755404</v>
      </c>
      <c r="BF61" s="141">
        <v>-166527</v>
      </c>
      <c r="BG61" s="141">
        <v>-21783305</v>
      </c>
      <c r="BH61" s="141">
        <v>-107795</v>
      </c>
      <c r="BI61" s="141">
        <v>-21891100</v>
      </c>
      <c r="BJ61" s="141">
        <v>-36153</v>
      </c>
      <c r="BK61" s="141">
        <v>0</v>
      </c>
      <c r="BL61" s="141">
        <v>-36153</v>
      </c>
      <c r="BM61" s="141">
        <v>-3360347</v>
      </c>
      <c r="BN61" s="141">
        <v>-94745</v>
      </c>
      <c r="BO61" s="141">
        <v>-3455092</v>
      </c>
      <c r="BP61" s="141">
        <v>-3396500</v>
      </c>
      <c r="BQ61" s="141">
        <v>-94745</v>
      </c>
      <c r="BR61" s="141">
        <v>-1258475</v>
      </c>
      <c r="BS61" s="141">
        <v>-166527</v>
      </c>
      <c r="BT61" s="141">
        <v>-4654975</v>
      </c>
      <c r="BU61" s="141">
        <v>-261272</v>
      </c>
      <c r="BV61" s="141">
        <v>-4916247</v>
      </c>
      <c r="BW61" s="141">
        <v>-233001</v>
      </c>
      <c r="BX61" s="141">
        <v>-105</v>
      </c>
      <c r="BY61" s="141">
        <v>-233106</v>
      </c>
      <c r="BZ61" s="141">
        <v>-56862</v>
      </c>
      <c r="CA61" s="141">
        <v>0</v>
      </c>
      <c r="CB61" s="141">
        <v>-56862</v>
      </c>
      <c r="CC61" s="141">
        <v>-5681</v>
      </c>
      <c r="CD61" s="141">
        <v>0</v>
      </c>
      <c r="CE61" s="141">
        <v>-5681</v>
      </c>
      <c r="CF61" s="141">
        <v>0</v>
      </c>
      <c r="CG61" s="141">
        <v>0</v>
      </c>
      <c r="CH61" s="141">
        <v>0</v>
      </c>
      <c r="CI61" s="141">
        <v>-8405</v>
      </c>
      <c r="CJ61" s="141">
        <v>0</v>
      </c>
      <c r="CK61" s="141">
        <v>-8405</v>
      </c>
      <c r="CL61" s="141">
        <v>0</v>
      </c>
      <c r="CM61" s="141">
        <v>-437400</v>
      </c>
      <c r="CN61" s="141">
        <v>-437400</v>
      </c>
      <c r="CO61" s="141">
        <v>-437400</v>
      </c>
      <c r="CP61" s="141">
        <v>0</v>
      </c>
      <c r="CQ61" s="141">
        <v>-303949</v>
      </c>
      <c r="CR61" s="141">
        <v>-437505</v>
      </c>
      <c r="CS61" s="141">
        <v>-7969</v>
      </c>
      <c r="CT61" s="141">
        <v>-112468</v>
      </c>
      <c r="CU61" s="141">
        <v>-311918</v>
      </c>
      <c r="CV61" s="141">
        <v>-549973</v>
      </c>
      <c r="CW61" s="141">
        <v>-861891</v>
      </c>
      <c r="CX61" s="141">
        <v>-13385</v>
      </c>
      <c r="CY61" s="141">
        <v>0</v>
      </c>
      <c r="CZ61" s="141">
        <v>-13385</v>
      </c>
      <c r="DA61" s="141">
        <v>-1500</v>
      </c>
      <c r="DB61" s="141">
        <v>0</v>
      </c>
      <c r="DC61" s="141">
        <v>-1500</v>
      </c>
      <c r="DD61" s="141">
        <v>-59318</v>
      </c>
      <c r="DE61" s="141">
        <v>0</v>
      </c>
      <c r="DF61" s="141">
        <v>-59318</v>
      </c>
      <c r="DG61" s="141">
        <v>-151308</v>
      </c>
      <c r="DH61" s="141">
        <v>0</v>
      </c>
      <c r="DI61" s="141">
        <v>-151308</v>
      </c>
      <c r="DJ61" s="141">
        <v>0</v>
      </c>
      <c r="DK61" s="141">
        <v>0</v>
      </c>
      <c r="DL61" s="141">
        <v>0</v>
      </c>
      <c r="DM61" s="141">
        <v>-2590836</v>
      </c>
      <c r="DN61" s="141">
        <v>0</v>
      </c>
      <c r="DO61" s="141">
        <v>-2590836</v>
      </c>
      <c r="DP61" s="141">
        <v>-2816347</v>
      </c>
      <c r="DQ61" s="141">
        <v>0</v>
      </c>
      <c r="DR61" s="141">
        <v>0</v>
      </c>
      <c r="DS61" s="141">
        <v>0</v>
      </c>
      <c r="DT61" s="141">
        <v>-2816347</v>
      </c>
      <c r="DU61" s="141">
        <v>0</v>
      </c>
      <c r="DV61" s="141">
        <v>-2816347</v>
      </c>
      <c r="DW61" s="856">
        <v>143364533</v>
      </c>
      <c r="DX61" s="856">
        <v>2785730</v>
      </c>
      <c r="DY61" s="857">
        <v>146150263</v>
      </c>
      <c r="DZ61" t="s">
        <v>1627</v>
      </c>
    </row>
    <row r="62" spans="1:130" ht="12.75" x14ac:dyDescent="0.2">
      <c r="A62" s="764">
        <v>55</v>
      </c>
      <c r="B62" s="765" t="s">
        <v>785</v>
      </c>
      <c r="C62" s="766" t="s">
        <v>529</v>
      </c>
      <c r="D62" s="767" t="s">
        <v>1219</v>
      </c>
      <c r="E62" s="768" t="s">
        <v>551</v>
      </c>
      <c r="F62" s="867">
        <v>43480</v>
      </c>
      <c r="G62" s="141">
        <v>386178084</v>
      </c>
      <c r="H62" s="141">
        <v>899750</v>
      </c>
      <c r="I62" s="141">
        <v>387077834</v>
      </c>
      <c r="J62" s="141">
        <v>49.1</v>
      </c>
      <c r="K62" s="141">
        <v>189613439</v>
      </c>
      <c r="L62" s="141">
        <v>441777</v>
      </c>
      <c r="M62" s="141">
        <v>-1295000</v>
      </c>
      <c r="N62" s="141">
        <v>0</v>
      </c>
      <c r="O62" s="141">
        <v>188318439</v>
      </c>
      <c r="P62" s="141">
        <v>441777</v>
      </c>
      <c r="Q62" s="141">
        <v>188760216</v>
      </c>
      <c r="R62" s="141">
        <v>-1300000</v>
      </c>
      <c r="S62" s="141">
        <v>0</v>
      </c>
      <c r="T62" s="141">
        <v>-1300000</v>
      </c>
      <c r="U62" s="141">
        <v>7000000</v>
      </c>
      <c r="V62" s="141">
        <v>0</v>
      </c>
      <c r="W62" s="141">
        <v>7000000</v>
      </c>
      <c r="X62" s="141">
        <v>5700000</v>
      </c>
      <c r="Y62" s="141">
        <v>0</v>
      </c>
      <c r="Z62" s="141">
        <v>0</v>
      </c>
      <c r="AA62" s="141">
        <v>0</v>
      </c>
      <c r="AB62" s="141">
        <v>5700000</v>
      </c>
      <c r="AC62" s="141">
        <v>0</v>
      </c>
      <c r="AD62" s="141">
        <v>5700000</v>
      </c>
      <c r="AE62" s="141">
        <v>-5700000</v>
      </c>
      <c r="AF62" s="141">
        <v>0</v>
      </c>
      <c r="AG62" s="141">
        <v>-5700000</v>
      </c>
      <c r="AH62" s="141">
        <v>-11200000</v>
      </c>
      <c r="AI62" s="141">
        <v>0</v>
      </c>
      <c r="AJ62" s="141">
        <v>-11200000</v>
      </c>
      <c r="AK62" s="141">
        <v>-34000</v>
      </c>
      <c r="AL62" s="141">
        <v>0</v>
      </c>
      <c r="AM62" s="141">
        <v>-34000</v>
      </c>
      <c r="AN62" s="141">
        <v>3950000</v>
      </c>
      <c r="AO62" s="141">
        <v>10930</v>
      </c>
      <c r="AP62" s="141">
        <v>3960930</v>
      </c>
      <c r="AQ62" s="141">
        <v>-7250000</v>
      </c>
      <c r="AR62" s="141">
        <v>10930</v>
      </c>
      <c r="AS62" s="141">
        <v>-7239070</v>
      </c>
      <c r="AT62" s="141">
        <v>-10200000</v>
      </c>
      <c r="AU62" s="141">
        <v>0</v>
      </c>
      <c r="AV62" s="141">
        <v>-10200000</v>
      </c>
      <c r="AW62" s="141">
        <v>-65000</v>
      </c>
      <c r="AX62" s="141">
        <v>0</v>
      </c>
      <c r="AY62" s="141">
        <v>-65000</v>
      </c>
      <c r="AZ62" s="141">
        <v>-7000</v>
      </c>
      <c r="BA62" s="141">
        <v>0</v>
      </c>
      <c r="BB62" s="141">
        <v>-7000</v>
      </c>
      <c r="BC62" s="141">
        <v>-17522000</v>
      </c>
      <c r="BD62" s="141">
        <v>10930</v>
      </c>
      <c r="BE62" s="141">
        <v>0</v>
      </c>
      <c r="BF62" s="141">
        <v>0</v>
      </c>
      <c r="BG62" s="141">
        <v>-17522000</v>
      </c>
      <c r="BH62" s="141">
        <v>10930</v>
      </c>
      <c r="BI62" s="141">
        <v>-17511070</v>
      </c>
      <c r="BJ62" s="141">
        <v>-150000</v>
      </c>
      <c r="BK62" s="141">
        <v>0</v>
      </c>
      <c r="BL62" s="141">
        <v>-150000</v>
      </c>
      <c r="BM62" s="141">
        <v>-7000000</v>
      </c>
      <c r="BN62" s="141">
        <v>0</v>
      </c>
      <c r="BO62" s="141">
        <v>-7000000</v>
      </c>
      <c r="BP62" s="141">
        <v>-7150000</v>
      </c>
      <c r="BQ62" s="141">
        <v>0</v>
      </c>
      <c r="BR62" s="141">
        <v>0</v>
      </c>
      <c r="BS62" s="141">
        <v>0</v>
      </c>
      <c r="BT62" s="141">
        <v>-7150000</v>
      </c>
      <c r="BU62" s="141">
        <v>0</v>
      </c>
      <c r="BV62" s="141">
        <v>-7150000</v>
      </c>
      <c r="BW62" s="141">
        <v>-1000000</v>
      </c>
      <c r="BX62" s="141">
        <v>0</v>
      </c>
      <c r="BY62" s="141">
        <v>-1000000</v>
      </c>
      <c r="BZ62" s="141">
        <v>-1300000</v>
      </c>
      <c r="CA62" s="141">
        <v>0</v>
      </c>
      <c r="CB62" s="141">
        <v>-1300000</v>
      </c>
      <c r="CC62" s="141">
        <v>-15000</v>
      </c>
      <c r="CD62" s="141">
        <v>0</v>
      </c>
      <c r="CE62" s="141">
        <v>-15000</v>
      </c>
      <c r="CF62" s="141">
        <v>-5000</v>
      </c>
      <c r="CG62" s="141">
        <v>0</v>
      </c>
      <c r="CH62" s="141">
        <v>-5000</v>
      </c>
      <c r="CI62" s="141">
        <v>-11000</v>
      </c>
      <c r="CJ62" s="141">
        <v>0</v>
      </c>
      <c r="CK62" s="141">
        <v>-11000</v>
      </c>
      <c r="CL62" s="141">
        <v>-250000</v>
      </c>
      <c r="CM62" s="141">
        <v>-219826</v>
      </c>
      <c r="CN62" s="141">
        <v>-469826</v>
      </c>
      <c r="CO62" s="141">
        <v>-219826</v>
      </c>
      <c r="CP62" s="141">
        <v>0</v>
      </c>
      <c r="CQ62" s="141">
        <v>-2581000</v>
      </c>
      <c r="CR62" s="141">
        <v>-219826</v>
      </c>
      <c r="CS62" s="141">
        <v>0</v>
      </c>
      <c r="CT62" s="141">
        <v>0</v>
      </c>
      <c r="CU62" s="141">
        <v>-2581000</v>
      </c>
      <c r="CV62" s="141">
        <v>-219826</v>
      </c>
      <c r="CW62" s="141">
        <v>-2800826</v>
      </c>
      <c r="CX62" s="141">
        <v>0</v>
      </c>
      <c r="CY62" s="141">
        <v>0</v>
      </c>
      <c r="CZ62" s="141">
        <v>0</v>
      </c>
      <c r="DA62" s="141">
        <v>-2000</v>
      </c>
      <c r="DB62" s="141">
        <v>0</v>
      </c>
      <c r="DC62" s="141">
        <v>-2000</v>
      </c>
      <c r="DD62" s="141">
        <v>-50000</v>
      </c>
      <c r="DE62" s="141">
        <v>0</v>
      </c>
      <c r="DF62" s="141">
        <v>-50000</v>
      </c>
      <c r="DG62" s="141">
        <v>-180000</v>
      </c>
      <c r="DH62" s="141">
        <v>0</v>
      </c>
      <c r="DI62" s="141">
        <v>-180000</v>
      </c>
      <c r="DJ62" s="141">
        <v>0</v>
      </c>
      <c r="DK62" s="141">
        <v>0</v>
      </c>
      <c r="DL62" s="141">
        <v>0</v>
      </c>
      <c r="DM62" s="141">
        <v>-2600000</v>
      </c>
      <c r="DN62" s="141">
        <v>0</v>
      </c>
      <c r="DO62" s="141">
        <v>-2600000</v>
      </c>
      <c r="DP62" s="141">
        <v>-2832000</v>
      </c>
      <c r="DQ62" s="141">
        <v>0</v>
      </c>
      <c r="DR62" s="141">
        <v>0</v>
      </c>
      <c r="DS62" s="141">
        <v>0</v>
      </c>
      <c r="DT62" s="141">
        <v>-2832000</v>
      </c>
      <c r="DU62" s="141">
        <v>0</v>
      </c>
      <c r="DV62" s="141">
        <v>-2832000</v>
      </c>
      <c r="DW62" s="856">
        <v>163933439</v>
      </c>
      <c r="DX62" s="856">
        <v>232881</v>
      </c>
      <c r="DY62" s="857">
        <v>164166320</v>
      </c>
      <c r="DZ62" t="s">
        <v>1628</v>
      </c>
    </row>
    <row r="63" spans="1:130" ht="12.75" x14ac:dyDescent="0.2">
      <c r="A63" s="764">
        <v>56</v>
      </c>
      <c r="B63" s="765" t="s">
        <v>787</v>
      </c>
      <c r="C63" s="766" t="s">
        <v>1217</v>
      </c>
      <c r="D63" s="767" t="s">
        <v>1220</v>
      </c>
      <c r="E63" s="768" t="s">
        <v>786</v>
      </c>
      <c r="F63" s="867">
        <v>43465</v>
      </c>
      <c r="G63" s="141">
        <v>97086746</v>
      </c>
      <c r="H63" s="141">
        <v>2442500</v>
      </c>
      <c r="I63" s="141">
        <v>99529246</v>
      </c>
      <c r="J63" s="141">
        <v>49.1</v>
      </c>
      <c r="K63" s="141">
        <v>47669592</v>
      </c>
      <c r="L63" s="141">
        <v>1199268</v>
      </c>
      <c r="M63" s="141">
        <v>1023028</v>
      </c>
      <c r="N63" s="141">
        <v>642228</v>
      </c>
      <c r="O63" s="141">
        <v>48692620</v>
      </c>
      <c r="P63" s="141">
        <v>1841496</v>
      </c>
      <c r="Q63" s="141">
        <v>50534116</v>
      </c>
      <c r="R63" s="141">
        <v>-359473</v>
      </c>
      <c r="S63" s="141">
        <v>0</v>
      </c>
      <c r="T63" s="141">
        <v>-359473</v>
      </c>
      <c r="U63" s="141">
        <v>484428</v>
      </c>
      <c r="V63" s="141">
        <v>0</v>
      </c>
      <c r="W63" s="141">
        <v>484428</v>
      </c>
      <c r="X63" s="141">
        <v>124955</v>
      </c>
      <c r="Y63" s="141">
        <v>0</v>
      </c>
      <c r="Z63" s="141">
        <v>0</v>
      </c>
      <c r="AA63" s="141">
        <v>0</v>
      </c>
      <c r="AB63" s="141">
        <v>124955</v>
      </c>
      <c r="AC63" s="141">
        <v>0</v>
      </c>
      <c r="AD63" s="141">
        <v>124955</v>
      </c>
      <c r="AE63" s="141">
        <v>-124955</v>
      </c>
      <c r="AF63" s="141">
        <v>0</v>
      </c>
      <c r="AG63" s="141">
        <v>-124955</v>
      </c>
      <c r="AH63" s="141">
        <v>-4698979</v>
      </c>
      <c r="AI63" s="141">
        <v>0</v>
      </c>
      <c r="AJ63" s="141">
        <v>-4698979</v>
      </c>
      <c r="AK63" s="141">
        <v>-5352</v>
      </c>
      <c r="AL63" s="141">
        <v>0</v>
      </c>
      <c r="AM63" s="141">
        <v>-5352</v>
      </c>
      <c r="AN63" s="141">
        <v>807655</v>
      </c>
      <c r="AO63" s="141">
        <v>31753</v>
      </c>
      <c r="AP63" s="141">
        <v>839408</v>
      </c>
      <c r="AQ63" s="141">
        <v>-3891324</v>
      </c>
      <c r="AR63" s="141">
        <v>31753</v>
      </c>
      <c r="AS63" s="141">
        <v>-3859571</v>
      </c>
      <c r="AT63" s="141">
        <v>-2186565</v>
      </c>
      <c r="AU63" s="141">
        <v>0</v>
      </c>
      <c r="AV63" s="141">
        <v>-2186565</v>
      </c>
      <c r="AW63" s="141">
        <v>-42810</v>
      </c>
      <c r="AX63" s="141">
        <v>0</v>
      </c>
      <c r="AY63" s="141">
        <v>-42810</v>
      </c>
      <c r="AZ63" s="141">
        <v>-3974</v>
      </c>
      <c r="BA63" s="141">
        <v>0</v>
      </c>
      <c r="BB63" s="141">
        <v>-3974</v>
      </c>
      <c r="BC63" s="141">
        <v>-6124673</v>
      </c>
      <c r="BD63" s="141">
        <v>31753</v>
      </c>
      <c r="BE63" s="141">
        <v>-2911</v>
      </c>
      <c r="BF63" s="141">
        <v>17004</v>
      </c>
      <c r="BG63" s="141">
        <v>-6127584</v>
      </c>
      <c r="BH63" s="141">
        <v>48757</v>
      </c>
      <c r="BI63" s="141">
        <v>-6078827</v>
      </c>
      <c r="BJ63" s="141">
        <v>0</v>
      </c>
      <c r="BK63" s="141">
        <v>0</v>
      </c>
      <c r="BL63" s="141">
        <v>0</v>
      </c>
      <c r="BM63" s="141">
        <v>-1601013</v>
      </c>
      <c r="BN63" s="141">
        <v>0</v>
      </c>
      <c r="BO63" s="141">
        <v>-1601013</v>
      </c>
      <c r="BP63" s="141">
        <v>-1601013</v>
      </c>
      <c r="BQ63" s="141">
        <v>0</v>
      </c>
      <c r="BR63" s="141">
        <v>-19410</v>
      </c>
      <c r="BS63" s="141">
        <v>0</v>
      </c>
      <c r="BT63" s="141">
        <v>-1620423</v>
      </c>
      <c r="BU63" s="141">
        <v>0</v>
      </c>
      <c r="BV63" s="141">
        <v>-1620423</v>
      </c>
      <c r="BW63" s="141">
        <v>-54896</v>
      </c>
      <c r="BX63" s="141">
        <v>0</v>
      </c>
      <c r="BY63" s="141">
        <v>-54896</v>
      </c>
      <c r="BZ63" s="141">
        <v>-97767</v>
      </c>
      <c r="CA63" s="141">
        <v>0</v>
      </c>
      <c r="CB63" s="141">
        <v>-97767</v>
      </c>
      <c r="CC63" s="141">
        <v>-93</v>
      </c>
      <c r="CD63" s="141">
        <v>0</v>
      </c>
      <c r="CE63" s="141">
        <v>-93</v>
      </c>
      <c r="CF63" s="141">
        <v>0</v>
      </c>
      <c r="CG63" s="141">
        <v>0</v>
      </c>
      <c r="CH63" s="141">
        <v>0</v>
      </c>
      <c r="CI63" s="141">
        <v>0</v>
      </c>
      <c r="CJ63" s="141">
        <v>0</v>
      </c>
      <c r="CK63" s="141">
        <v>0</v>
      </c>
      <c r="CL63" s="141">
        <v>-26025</v>
      </c>
      <c r="CM63" s="141">
        <v>0</v>
      </c>
      <c r="CN63" s="141">
        <v>-26025</v>
      </c>
      <c r="CO63" s="141">
        <v>0</v>
      </c>
      <c r="CP63" s="141">
        <v>0</v>
      </c>
      <c r="CQ63" s="141">
        <v>-178781</v>
      </c>
      <c r="CR63" s="141">
        <v>0</v>
      </c>
      <c r="CS63" s="141">
        <v>0</v>
      </c>
      <c r="CT63" s="141">
        <v>0</v>
      </c>
      <c r="CU63" s="141">
        <v>-178781</v>
      </c>
      <c r="CV63" s="141">
        <v>0</v>
      </c>
      <c r="CW63" s="141">
        <v>-178781</v>
      </c>
      <c r="CX63" s="141">
        <v>-3974</v>
      </c>
      <c r="CY63" s="141">
        <v>0</v>
      </c>
      <c r="CZ63" s="141">
        <v>-3974</v>
      </c>
      <c r="DA63" s="141">
        <v>-1500</v>
      </c>
      <c r="DB63" s="141">
        <v>0</v>
      </c>
      <c r="DC63" s="141">
        <v>-1500</v>
      </c>
      <c r="DD63" s="141">
        <v>-23129</v>
      </c>
      <c r="DE63" s="141">
        <v>0</v>
      </c>
      <c r="DF63" s="141">
        <v>-23129</v>
      </c>
      <c r="DG63" s="141">
        <v>-62592</v>
      </c>
      <c r="DH63" s="141">
        <v>0</v>
      </c>
      <c r="DI63" s="141">
        <v>-62592</v>
      </c>
      <c r="DJ63" s="141">
        <v>0</v>
      </c>
      <c r="DK63" s="141">
        <v>0</v>
      </c>
      <c r="DL63" s="141">
        <v>0</v>
      </c>
      <c r="DM63" s="141">
        <v>-1678957</v>
      </c>
      <c r="DN63" s="141">
        <v>0</v>
      </c>
      <c r="DO63" s="141">
        <v>-1678957</v>
      </c>
      <c r="DP63" s="141">
        <v>-1770152</v>
      </c>
      <c r="DQ63" s="141">
        <v>0</v>
      </c>
      <c r="DR63" s="141">
        <v>0</v>
      </c>
      <c r="DS63" s="141">
        <v>0</v>
      </c>
      <c r="DT63" s="141">
        <v>-1770152</v>
      </c>
      <c r="DU63" s="141">
        <v>0</v>
      </c>
      <c r="DV63" s="141">
        <v>-1770152</v>
      </c>
      <c r="DW63" s="856">
        <v>39120635</v>
      </c>
      <c r="DX63" s="856">
        <v>1890253</v>
      </c>
      <c r="DY63" s="857">
        <v>41010888</v>
      </c>
      <c r="DZ63" t="s">
        <v>1629</v>
      </c>
    </row>
    <row r="64" spans="1:130" ht="12.75" x14ac:dyDescent="0.2">
      <c r="A64" s="764">
        <v>57</v>
      </c>
      <c r="B64" s="765" t="s">
        <v>789</v>
      </c>
      <c r="C64" s="766" t="s">
        <v>1217</v>
      </c>
      <c r="D64" s="767" t="s">
        <v>1218</v>
      </c>
      <c r="E64" s="768" t="s">
        <v>788</v>
      </c>
      <c r="F64" s="867">
        <v>43453</v>
      </c>
      <c r="G64" s="141">
        <v>128009211</v>
      </c>
      <c r="H64" s="141">
        <v>0</v>
      </c>
      <c r="I64" s="141">
        <v>128009211</v>
      </c>
      <c r="J64" s="141">
        <v>49.1</v>
      </c>
      <c r="K64" s="141">
        <v>62852523</v>
      </c>
      <c r="L64" s="141">
        <v>0</v>
      </c>
      <c r="M64" s="141">
        <v>775000</v>
      </c>
      <c r="N64" s="141">
        <v>0</v>
      </c>
      <c r="O64" s="141">
        <v>63627523</v>
      </c>
      <c r="P64" s="141">
        <v>0</v>
      </c>
      <c r="Q64" s="141">
        <v>63627523</v>
      </c>
      <c r="R64" s="141">
        <v>-809501</v>
      </c>
      <c r="S64" s="141">
        <v>0</v>
      </c>
      <c r="T64" s="141">
        <v>-809501</v>
      </c>
      <c r="U64" s="141">
        <v>136522</v>
      </c>
      <c r="V64" s="141">
        <v>0</v>
      </c>
      <c r="W64" s="141">
        <v>136522</v>
      </c>
      <c r="X64" s="141">
        <v>-672979</v>
      </c>
      <c r="Y64" s="141">
        <v>0</v>
      </c>
      <c r="Z64" s="141">
        <v>0</v>
      </c>
      <c r="AA64" s="141">
        <v>0</v>
      </c>
      <c r="AB64" s="141">
        <v>-672979</v>
      </c>
      <c r="AC64" s="141">
        <v>0</v>
      </c>
      <c r="AD64" s="141">
        <v>-672979</v>
      </c>
      <c r="AE64" s="141">
        <v>672979</v>
      </c>
      <c r="AF64" s="141">
        <v>0</v>
      </c>
      <c r="AG64" s="141">
        <v>672979</v>
      </c>
      <c r="AH64" s="141">
        <v>-5509414</v>
      </c>
      <c r="AI64" s="141">
        <v>0</v>
      </c>
      <c r="AJ64" s="141">
        <v>-5509414</v>
      </c>
      <c r="AK64" s="141">
        <v>-9500</v>
      </c>
      <c r="AL64" s="141">
        <v>0</v>
      </c>
      <c r="AM64" s="141">
        <v>-9500</v>
      </c>
      <c r="AN64" s="141">
        <v>1136108</v>
      </c>
      <c r="AO64" s="141">
        <v>0</v>
      </c>
      <c r="AP64" s="141">
        <v>1136108</v>
      </c>
      <c r="AQ64" s="141">
        <v>-4373306</v>
      </c>
      <c r="AR64" s="141">
        <v>0</v>
      </c>
      <c r="AS64" s="141">
        <v>-4373306</v>
      </c>
      <c r="AT64" s="141">
        <v>-4737485</v>
      </c>
      <c r="AU64" s="141">
        <v>0</v>
      </c>
      <c r="AV64" s="141">
        <v>-4737485</v>
      </c>
      <c r="AW64" s="141">
        <v>-42125</v>
      </c>
      <c r="AX64" s="141">
        <v>0</v>
      </c>
      <c r="AY64" s="141">
        <v>-42125</v>
      </c>
      <c r="AZ64" s="141">
        <v>-19668</v>
      </c>
      <c r="BA64" s="141">
        <v>0</v>
      </c>
      <c r="BB64" s="141">
        <v>-19668</v>
      </c>
      <c r="BC64" s="141">
        <v>-9172584</v>
      </c>
      <c r="BD64" s="141">
        <v>0</v>
      </c>
      <c r="BE64" s="141">
        <v>-200000</v>
      </c>
      <c r="BF64" s="141">
        <v>0</v>
      </c>
      <c r="BG64" s="141">
        <v>-9372584</v>
      </c>
      <c r="BH64" s="141">
        <v>0</v>
      </c>
      <c r="BI64" s="141">
        <v>-9372584</v>
      </c>
      <c r="BJ64" s="141">
        <v>-35000</v>
      </c>
      <c r="BK64" s="141">
        <v>0</v>
      </c>
      <c r="BL64" s="141">
        <v>-35000</v>
      </c>
      <c r="BM64" s="141">
        <v>-1121558</v>
      </c>
      <c r="BN64" s="141">
        <v>0</v>
      </c>
      <c r="BO64" s="141">
        <v>-1121558</v>
      </c>
      <c r="BP64" s="141">
        <v>-1156558</v>
      </c>
      <c r="BQ64" s="141">
        <v>0</v>
      </c>
      <c r="BR64" s="141">
        <v>-600000</v>
      </c>
      <c r="BS64" s="141">
        <v>0</v>
      </c>
      <c r="BT64" s="141">
        <v>-1756558</v>
      </c>
      <c r="BU64" s="141">
        <v>0</v>
      </c>
      <c r="BV64" s="141">
        <v>-1756558</v>
      </c>
      <c r="BW64" s="141">
        <v>-6000</v>
      </c>
      <c r="BX64" s="141">
        <v>0</v>
      </c>
      <c r="BY64" s="141">
        <v>-6000</v>
      </c>
      <c r="BZ64" s="141">
        <v>-6000</v>
      </c>
      <c r="CA64" s="141">
        <v>0</v>
      </c>
      <c r="CB64" s="141">
        <v>-6000</v>
      </c>
      <c r="CC64" s="141">
        <v>-6000</v>
      </c>
      <c r="CD64" s="141">
        <v>0</v>
      </c>
      <c r="CE64" s="141">
        <v>-6000</v>
      </c>
      <c r="CF64" s="141">
        <v>0</v>
      </c>
      <c r="CG64" s="141">
        <v>0</v>
      </c>
      <c r="CH64" s="141">
        <v>0</v>
      </c>
      <c r="CI64" s="141">
        <v>-6000</v>
      </c>
      <c r="CJ64" s="141">
        <v>0</v>
      </c>
      <c r="CK64" s="141">
        <v>-6000</v>
      </c>
      <c r="CL64" s="141">
        <v>-6000</v>
      </c>
      <c r="CM64" s="141">
        <v>0</v>
      </c>
      <c r="CN64" s="141">
        <v>-6000</v>
      </c>
      <c r="CO64" s="141">
        <v>0</v>
      </c>
      <c r="CP64" s="141">
        <v>0</v>
      </c>
      <c r="CQ64" s="141">
        <v>-30000</v>
      </c>
      <c r="CR64" s="141">
        <v>0</v>
      </c>
      <c r="CS64" s="141">
        <v>0</v>
      </c>
      <c r="CT64" s="141">
        <v>0</v>
      </c>
      <c r="CU64" s="141">
        <v>-30000</v>
      </c>
      <c r="CV64" s="141">
        <v>0</v>
      </c>
      <c r="CW64" s="141">
        <v>-30000</v>
      </c>
      <c r="CX64" s="141">
        <v>-19668</v>
      </c>
      <c r="CY64" s="141">
        <v>0</v>
      </c>
      <c r="CZ64" s="141">
        <v>-19668</v>
      </c>
      <c r="DA64" s="141">
        <v>-3000</v>
      </c>
      <c r="DB64" s="141">
        <v>0</v>
      </c>
      <c r="DC64" s="141">
        <v>-3000</v>
      </c>
      <c r="DD64" s="141">
        <v>-57126</v>
      </c>
      <c r="DE64" s="141">
        <v>0</v>
      </c>
      <c r="DF64" s="141">
        <v>-57126</v>
      </c>
      <c r="DG64" s="141">
        <v>-91500</v>
      </c>
      <c r="DH64" s="141">
        <v>0</v>
      </c>
      <c r="DI64" s="141">
        <v>-91500</v>
      </c>
      <c r="DJ64" s="141">
        <v>0</v>
      </c>
      <c r="DK64" s="141">
        <v>0</v>
      </c>
      <c r="DL64" s="141">
        <v>0</v>
      </c>
      <c r="DM64" s="141">
        <v>-1636000</v>
      </c>
      <c r="DN64" s="141">
        <v>0</v>
      </c>
      <c r="DO64" s="141">
        <v>-1636000</v>
      </c>
      <c r="DP64" s="141">
        <v>-1807294</v>
      </c>
      <c r="DQ64" s="141">
        <v>0</v>
      </c>
      <c r="DR64" s="141">
        <v>0</v>
      </c>
      <c r="DS64" s="141">
        <v>0</v>
      </c>
      <c r="DT64" s="141">
        <v>-1807294</v>
      </c>
      <c r="DU64" s="141">
        <v>0</v>
      </c>
      <c r="DV64" s="141">
        <v>-1807294</v>
      </c>
      <c r="DW64" s="856">
        <v>49988108</v>
      </c>
      <c r="DX64" s="856">
        <v>0</v>
      </c>
      <c r="DY64" s="857">
        <v>49988108</v>
      </c>
      <c r="DZ64" t="s">
        <v>1630</v>
      </c>
    </row>
    <row r="65" spans="1:130" ht="12.75" x14ac:dyDescent="0.2">
      <c r="A65" s="764">
        <v>58</v>
      </c>
      <c r="B65" s="765" t="s">
        <v>791</v>
      </c>
      <c r="C65" s="766" t="s">
        <v>1217</v>
      </c>
      <c r="D65" s="767" t="s">
        <v>1218</v>
      </c>
      <c r="E65" s="768" t="s">
        <v>790</v>
      </c>
      <c r="F65" s="867">
        <v>43493</v>
      </c>
      <c r="G65" s="141">
        <v>59426394</v>
      </c>
      <c r="H65" s="141">
        <v>0</v>
      </c>
      <c r="I65" s="141">
        <v>59426394</v>
      </c>
      <c r="J65" s="141">
        <v>49.1</v>
      </c>
      <c r="K65" s="141">
        <v>29178359</v>
      </c>
      <c r="L65" s="141">
        <v>0</v>
      </c>
      <c r="M65" s="141">
        <v>-127000</v>
      </c>
      <c r="N65" s="141">
        <v>0</v>
      </c>
      <c r="O65" s="141">
        <v>29051359</v>
      </c>
      <c r="P65" s="141">
        <v>0</v>
      </c>
      <c r="Q65" s="141">
        <v>29051359</v>
      </c>
      <c r="R65" s="141">
        <v>-419766.89</v>
      </c>
      <c r="S65" s="141">
        <v>0</v>
      </c>
      <c r="T65" s="141">
        <v>-419766.89</v>
      </c>
      <c r="U65" s="141">
        <v>63381.84</v>
      </c>
      <c r="V65" s="141">
        <v>0</v>
      </c>
      <c r="W65" s="141">
        <v>63381.84</v>
      </c>
      <c r="X65" s="141">
        <v>-356385.05000000005</v>
      </c>
      <c r="Y65" s="141">
        <v>0</v>
      </c>
      <c r="Z65" s="141">
        <v>0</v>
      </c>
      <c r="AA65" s="141">
        <v>0</v>
      </c>
      <c r="AB65" s="141">
        <v>-356385.05000000005</v>
      </c>
      <c r="AC65" s="141">
        <v>0</v>
      </c>
      <c r="AD65" s="141">
        <v>-356385.05000000005</v>
      </c>
      <c r="AE65" s="141">
        <v>356385.05000000005</v>
      </c>
      <c r="AF65" s="141">
        <v>0</v>
      </c>
      <c r="AG65" s="141">
        <v>356385.05000000005</v>
      </c>
      <c r="AH65" s="141">
        <v>-2905054</v>
      </c>
      <c r="AI65" s="141">
        <v>0</v>
      </c>
      <c r="AJ65" s="141">
        <v>-2905054</v>
      </c>
      <c r="AK65" s="141">
        <v>0</v>
      </c>
      <c r="AL65" s="141">
        <v>0</v>
      </c>
      <c r="AM65" s="141">
        <v>0</v>
      </c>
      <c r="AN65" s="141">
        <v>445510.46</v>
      </c>
      <c r="AO65" s="141">
        <v>0</v>
      </c>
      <c r="AP65" s="141">
        <v>445510.46</v>
      </c>
      <c r="AQ65" s="141">
        <v>-2459543.54</v>
      </c>
      <c r="AR65" s="141">
        <v>0</v>
      </c>
      <c r="AS65" s="141">
        <v>-2459543.54</v>
      </c>
      <c r="AT65" s="141">
        <v>-2892500.61</v>
      </c>
      <c r="AU65" s="141">
        <v>0</v>
      </c>
      <c r="AV65" s="141">
        <v>-2892500.61</v>
      </c>
      <c r="AW65" s="141">
        <v>-33183.360000000001</v>
      </c>
      <c r="AX65" s="141">
        <v>0</v>
      </c>
      <c r="AY65" s="141">
        <v>-33183.360000000001</v>
      </c>
      <c r="AZ65" s="141">
        <v>-11888.1</v>
      </c>
      <c r="BA65" s="141">
        <v>0</v>
      </c>
      <c r="BB65" s="141">
        <v>-11888.1</v>
      </c>
      <c r="BC65" s="141">
        <v>-5397115.6100000003</v>
      </c>
      <c r="BD65" s="141">
        <v>0</v>
      </c>
      <c r="BE65" s="141">
        <v>0</v>
      </c>
      <c r="BF65" s="141">
        <v>0</v>
      </c>
      <c r="BG65" s="141">
        <v>-5397115.6100000003</v>
      </c>
      <c r="BH65" s="141">
        <v>0</v>
      </c>
      <c r="BI65" s="141">
        <v>-5397115.6100000003</v>
      </c>
      <c r="BJ65" s="141">
        <v>0</v>
      </c>
      <c r="BK65" s="141">
        <v>0</v>
      </c>
      <c r="BL65" s="141">
        <v>0</v>
      </c>
      <c r="BM65" s="141">
        <v>-408434</v>
      </c>
      <c r="BN65" s="141">
        <v>0</v>
      </c>
      <c r="BO65" s="141">
        <v>-408434</v>
      </c>
      <c r="BP65" s="141">
        <v>-408434</v>
      </c>
      <c r="BQ65" s="141">
        <v>0</v>
      </c>
      <c r="BR65" s="141">
        <v>0</v>
      </c>
      <c r="BS65" s="141">
        <v>0</v>
      </c>
      <c r="BT65" s="141">
        <v>-408434</v>
      </c>
      <c r="BU65" s="141">
        <v>0</v>
      </c>
      <c r="BV65" s="141">
        <v>-408434</v>
      </c>
      <c r="BW65" s="141">
        <v>-139358.32</v>
      </c>
      <c r="BX65" s="141">
        <v>0</v>
      </c>
      <c r="BY65" s="141">
        <v>-139358.32</v>
      </c>
      <c r="BZ65" s="141">
        <v>-24250.959999999999</v>
      </c>
      <c r="CA65" s="141">
        <v>0</v>
      </c>
      <c r="CB65" s="141">
        <v>-24250.959999999999</v>
      </c>
      <c r="CC65" s="141">
        <v>-1340.64</v>
      </c>
      <c r="CD65" s="141">
        <v>0</v>
      </c>
      <c r="CE65" s="141">
        <v>-1340.64</v>
      </c>
      <c r="CF65" s="141">
        <v>-2595.6</v>
      </c>
      <c r="CG65" s="141">
        <v>0</v>
      </c>
      <c r="CH65" s="141">
        <v>-2595.6</v>
      </c>
      <c r="CI65" s="141">
        <v>0</v>
      </c>
      <c r="CJ65" s="141">
        <v>0</v>
      </c>
      <c r="CK65" s="141">
        <v>0</v>
      </c>
      <c r="CL65" s="141">
        <v>0</v>
      </c>
      <c r="CM65" s="141">
        <v>0</v>
      </c>
      <c r="CN65" s="141">
        <v>0</v>
      </c>
      <c r="CO65" s="141">
        <v>0</v>
      </c>
      <c r="CP65" s="141">
        <v>0</v>
      </c>
      <c r="CQ65" s="141">
        <v>-167545.52000000002</v>
      </c>
      <c r="CR65" s="141">
        <v>0</v>
      </c>
      <c r="CS65" s="141">
        <v>0</v>
      </c>
      <c r="CT65" s="141">
        <v>0</v>
      </c>
      <c r="CU65" s="141">
        <v>-167545.52000000002</v>
      </c>
      <c r="CV65" s="141">
        <v>0</v>
      </c>
      <c r="CW65" s="141">
        <v>-167545.52000000002</v>
      </c>
      <c r="CX65" s="141">
        <v>0</v>
      </c>
      <c r="CY65" s="141">
        <v>0</v>
      </c>
      <c r="CZ65" s="141">
        <v>0</v>
      </c>
      <c r="DA65" s="141">
        <v>0</v>
      </c>
      <c r="DB65" s="141">
        <v>0</v>
      </c>
      <c r="DC65" s="141">
        <v>0</v>
      </c>
      <c r="DD65" s="141">
        <v>-19069</v>
      </c>
      <c r="DE65" s="141">
        <v>0</v>
      </c>
      <c r="DF65" s="141">
        <v>-19069</v>
      </c>
      <c r="DG65" s="141">
        <v>-39188</v>
      </c>
      <c r="DH65" s="141">
        <v>0</v>
      </c>
      <c r="DI65" s="141">
        <v>-39188</v>
      </c>
      <c r="DJ65" s="141">
        <v>0</v>
      </c>
      <c r="DK65" s="141">
        <v>0</v>
      </c>
      <c r="DL65" s="141">
        <v>0</v>
      </c>
      <c r="DM65" s="141">
        <v>-845218.99</v>
      </c>
      <c r="DN65" s="141">
        <v>0</v>
      </c>
      <c r="DO65" s="141">
        <v>-845218.99</v>
      </c>
      <c r="DP65" s="141">
        <v>-903475.99</v>
      </c>
      <c r="DQ65" s="141">
        <v>0</v>
      </c>
      <c r="DR65" s="141">
        <v>0</v>
      </c>
      <c r="DS65" s="141">
        <v>0</v>
      </c>
      <c r="DT65" s="141">
        <v>-903475.99</v>
      </c>
      <c r="DU65" s="141">
        <v>0</v>
      </c>
      <c r="DV65" s="141">
        <v>-903475.99</v>
      </c>
      <c r="DW65" s="856">
        <v>21818402.830000002</v>
      </c>
      <c r="DX65" s="856">
        <v>0</v>
      </c>
      <c r="DY65" s="857">
        <v>21818402.830000002</v>
      </c>
      <c r="DZ65" t="s">
        <v>1631</v>
      </c>
    </row>
    <row r="66" spans="1:130" ht="12.75" x14ac:dyDescent="0.2">
      <c r="A66" s="764">
        <v>59</v>
      </c>
      <c r="B66" s="765" t="s">
        <v>793</v>
      </c>
      <c r="C66" s="766" t="s">
        <v>1217</v>
      </c>
      <c r="D66" s="767" t="s">
        <v>1219</v>
      </c>
      <c r="E66" s="768" t="s">
        <v>792</v>
      </c>
      <c r="F66" s="867">
        <v>43465</v>
      </c>
      <c r="G66" s="141">
        <v>67027874</v>
      </c>
      <c r="H66" s="141">
        <v>0</v>
      </c>
      <c r="I66" s="141">
        <v>67027874</v>
      </c>
      <c r="J66" s="141">
        <v>49.1</v>
      </c>
      <c r="K66" s="141">
        <v>32910686</v>
      </c>
      <c r="L66" s="141">
        <v>0</v>
      </c>
      <c r="M66" s="141">
        <v>0</v>
      </c>
      <c r="N66" s="141">
        <v>0</v>
      </c>
      <c r="O66" s="141">
        <v>32910686</v>
      </c>
      <c r="P66" s="141">
        <v>0</v>
      </c>
      <c r="Q66" s="141">
        <v>32910686</v>
      </c>
      <c r="R66" s="141">
        <v>-218880</v>
      </c>
      <c r="S66" s="141">
        <v>0</v>
      </c>
      <c r="T66" s="141">
        <v>-218880</v>
      </c>
      <c r="U66" s="141">
        <v>493173</v>
      </c>
      <c r="V66" s="141">
        <v>0</v>
      </c>
      <c r="W66" s="141">
        <v>493173</v>
      </c>
      <c r="X66" s="141">
        <v>274293</v>
      </c>
      <c r="Y66" s="141">
        <v>0</v>
      </c>
      <c r="Z66" s="141">
        <v>0</v>
      </c>
      <c r="AA66" s="141">
        <v>0</v>
      </c>
      <c r="AB66" s="141">
        <v>274293</v>
      </c>
      <c r="AC66" s="141">
        <v>0</v>
      </c>
      <c r="AD66" s="141">
        <v>274293</v>
      </c>
      <c r="AE66" s="141">
        <v>-274293</v>
      </c>
      <c r="AF66" s="141">
        <v>0</v>
      </c>
      <c r="AG66" s="141">
        <v>-274293</v>
      </c>
      <c r="AH66" s="141">
        <v>-3675685</v>
      </c>
      <c r="AI66" s="141">
        <v>0</v>
      </c>
      <c r="AJ66" s="141">
        <v>-3675685</v>
      </c>
      <c r="AK66" s="141">
        <v>0</v>
      </c>
      <c r="AL66" s="141">
        <v>0</v>
      </c>
      <c r="AM66" s="141">
        <v>0</v>
      </c>
      <c r="AN66" s="141">
        <v>557663</v>
      </c>
      <c r="AO66" s="141">
        <v>0</v>
      </c>
      <c r="AP66" s="141">
        <v>557663</v>
      </c>
      <c r="AQ66" s="141">
        <v>-3118022</v>
      </c>
      <c r="AR66" s="141">
        <v>0</v>
      </c>
      <c r="AS66" s="141">
        <v>-3118022</v>
      </c>
      <c r="AT66" s="141">
        <v>-2327672</v>
      </c>
      <c r="AU66" s="141">
        <v>0</v>
      </c>
      <c r="AV66" s="141">
        <v>-2327672</v>
      </c>
      <c r="AW66" s="141">
        <v>-31752</v>
      </c>
      <c r="AX66" s="141">
        <v>0</v>
      </c>
      <c r="AY66" s="141">
        <v>-31752</v>
      </c>
      <c r="AZ66" s="141">
        <v>-5607</v>
      </c>
      <c r="BA66" s="141">
        <v>0</v>
      </c>
      <c r="BB66" s="141">
        <v>-5607</v>
      </c>
      <c r="BC66" s="141">
        <v>-5483053</v>
      </c>
      <c r="BD66" s="141">
        <v>0</v>
      </c>
      <c r="BE66" s="141">
        <v>0</v>
      </c>
      <c r="BF66" s="141">
        <v>0</v>
      </c>
      <c r="BG66" s="141">
        <v>-5483053</v>
      </c>
      <c r="BH66" s="141">
        <v>0</v>
      </c>
      <c r="BI66" s="141">
        <v>-5483053</v>
      </c>
      <c r="BJ66" s="141">
        <v>0</v>
      </c>
      <c r="BK66" s="141">
        <v>0</v>
      </c>
      <c r="BL66" s="141">
        <v>0</v>
      </c>
      <c r="BM66" s="141">
        <v>-552225</v>
      </c>
      <c r="BN66" s="141">
        <v>0</v>
      </c>
      <c r="BO66" s="141">
        <v>-552225</v>
      </c>
      <c r="BP66" s="141">
        <v>-552225</v>
      </c>
      <c r="BQ66" s="141">
        <v>0</v>
      </c>
      <c r="BR66" s="141">
        <v>0</v>
      </c>
      <c r="BS66" s="141">
        <v>0</v>
      </c>
      <c r="BT66" s="141">
        <v>-552225</v>
      </c>
      <c r="BU66" s="141">
        <v>0</v>
      </c>
      <c r="BV66" s="141">
        <v>-552225</v>
      </c>
      <c r="BW66" s="141">
        <v>-13081</v>
      </c>
      <c r="BX66" s="141">
        <v>0</v>
      </c>
      <c r="BY66" s="141">
        <v>-13081</v>
      </c>
      <c r="BZ66" s="141">
        <v>0</v>
      </c>
      <c r="CA66" s="141">
        <v>0</v>
      </c>
      <c r="CB66" s="141">
        <v>0</v>
      </c>
      <c r="CC66" s="141">
        <v>0</v>
      </c>
      <c r="CD66" s="141">
        <v>0</v>
      </c>
      <c r="CE66" s="141">
        <v>0</v>
      </c>
      <c r="CF66" s="141">
        <v>0</v>
      </c>
      <c r="CG66" s="141">
        <v>0</v>
      </c>
      <c r="CH66" s="141">
        <v>0</v>
      </c>
      <c r="CI66" s="141">
        <v>0</v>
      </c>
      <c r="CJ66" s="141">
        <v>0</v>
      </c>
      <c r="CK66" s="141">
        <v>0</v>
      </c>
      <c r="CL66" s="141">
        <v>0</v>
      </c>
      <c r="CM66" s="141">
        <v>0</v>
      </c>
      <c r="CN66" s="141">
        <v>0</v>
      </c>
      <c r="CO66" s="141">
        <v>0</v>
      </c>
      <c r="CP66" s="141">
        <v>0</v>
      </c>
      <c r="CQ66" s="141">
        <v>-13081</v>
      </c>
      <c r="CR66" s="141">
        <v>0</v>
      </c>
      <c r="CS66" s="141">
        <v>0</v>
      </c>
      <c r="CT66" s="141">
        <v>0</v>
      </c>
      <c r="CU66" s="141">
        <v>-13081</v>
      </c>
      <c r="CV66" s="141">
        <v>0</v>
      </c>
      <c r="CW66" s="141">
        <v>-13081</v>
      </c>
      <c r="CX66" s="141">
        <v>-5607</v>
      </c>
      <c r="CY66" s="141">
        <v>0</v>
      </c>
      <c r="CZ66" s="141">
        <v>-5607</v>
      </c>
      <c r="DA66" s="141">
        <v>0</v>
      </c>
      <c r="DB66" s="141">
        <v>0</v>
      </c>
      <c r="DC66" s="141">
        <v>0</v>
      </c>
      <c r="DD66" s="141">
        <v>-23540</v>
      </c>
      <c r="DE66" s="141">
        <v>0</v>
      </c>
      <c r="DF66" s="141">
        <v>-23540</v>
      </c>
      <c r="DG66" s="141">
        <v>-23679</v>
      </c>
      <c r="DH66" s="141">
        <v>0</v>
      </c>
      <c r="DI66" s="141">
        <v>-23679</v>
      </c>
      <c r="DJ66" s="141">
        <v>0</v>
      </c>
      <c r="DK66" s="141">
        <v>0</v>
      </c>
      <c r="DL66" s="141">
        <v>0</v>
      </c>
      <c r="DM66" s="141">
        <v>-752920</v>
      </c>
      <c r="DN66" s="141">
        <v>0</v>
      </c>
      <c r="DO66" s="141">
        <v>-752920</v>
      </c>
      <c r="DP66" s="141">
        <v>-805746</v>
      </c>
      <c r="DQ66" s="141">
        <v>0</v>
      </c>
      <c r="DR66" s="141">
        <v>0</v>
      </c>
      <c r="DS66" s="141">
        <v>0</v>
      </c>
      <c r="DT66" s="141">
        <v>-805746</v>
      </c>
      <c r="DU66" s="141">
        <v>0</v>
      </c>
      <c r="DV66" s="141">
        <v>-805746</v>
      </c>
      <c r="DW66" s="856">
        <v>26330874</v>
      </c>
      <c r="DX66" s="856">
        <v>0</v>
      </c>
      <c r="DY66" s="857">
        <v>26330874</v>
      </c>
      <c r="DZ66" t="s">
        <v>1632</v>
      </c>
    </row>
    <row r="67" spans="1:130" ht="12.75" x14ac:dyDescent="0.2">
      <c r="A67" s="764">
        <v>60</v>
      </c>
      <c r="B67" s="765" t="s">
        <v>0</v>
      </c>
      <c r="C67" s="766" t="s">
        <v>1228</v>
      </c>
      <c r="D67" s="767" t="s">
        <v>1223</v>
      </c>
      <c r="E67" s="768" t="s">
        <v>794</v>
      </c>
      <c r="F67" s="867">
        <v>43468</v>
      </c>
      <c r="G67" s="141">
        <v>2522532785</v>
      </c>
      <c r="H67" s="141">
        <v>0</v>
      </c>
      <c r="I67" s="141">
        <v>2522532785</v>
      </c>
      <c r="J67" s="141">
        <v>49.1</v>
      </c>
      <c r="K67" s="141">
        <v>1238563597</v>
      </c>
      <c r="L67" s="141">
        <v>0</v>
      </c>
      <c r="M67" s="141">
        <v>48566084</v>
      </c>
      <c r="N67" s="141">
        <v>0</v>
      </c>
      <c r="O67" s="141">
        <v>1287129681</v>
      </c>
      <c r="P67" s="141">
        <v>0</v>
      </c>
      <c r="Q67" s="141">
        <v>1287129681</v>
      </c>
      <c r="R67" s="141">
        <v>-4533350</v>
      </c>
      <c r="S67" s="141">
        <v>0</v>
      </c>
      <c r="T67" s="141">
        <v>-4533350</v>
      </c>
      <c r="U67" s="141">
        <v>207066</v>
      </c>
      <c r="V67" s="141">
        <v>0</v>
      </c>
      <c r="W67" s="141">
        <v>207066</v>
      </c>
      <c r="X67" s="141">
        <v>-4326284</v>
      </c>
      <c r="Y67" s="141">
        <v>0</v>
      </c>
      <c r="Z67" s="141">
        <v>0</v>
      </c>
      <c r="AA67" s="141">
        <v>0</v>
      </c>
      <c r="AB67" s="141">
        <v>-4326284</v>
      </c>
      <c r="AC67" s="141">
        <v>0</v>
      </c>
      <c r="AD67" s="141">
        <v>-4326284</v>
      </c>
      <c r="AE67" s="141">
        <v>4326284</v>
      </c>
      <c r="AF67" s="141">
        <v>0</v>
      </c>
      <c r="AG67" s="141">
        <v>4326284</v>
      </c>
      <c r="AH67" s="141">
        <v>-982613</v>
      </c>
      <c r="AI67" s="141">
        <v>0</v>
      </c>
      <c r="AJ67" s="141">
        <v>-982613</v>
      </c>
      <c r="AK67" s="141">
        <v>0</v>
      </c>
      <c r="AL67" s="141">
        <v>0</v>
      </c>
      <c r="AM67" s="141">
        <v>0</v>
      </c>
      <c r="AN67" s="141">
        <v>31008873</v>
      </c>
      <c r="AO67" s="141">
        <v>0</v>
      </c>
      <c r="AP67" s="141">
        <v>31008873</v>
      </c>
      <c r="AQ67" s="141">
        <v>30026260</v>
      </c>
      <c r="AR67" s="141">
        <v>0</v>
      </c>
      <c r="AS67" s="141">
        <v>30026260</v>
      </c>
      <c r="AT67" s="141">
        <v>-16720344</v>
      </c>
      <c r="AU67" s="141">
        <v>0</v>
      </c>
      <c r="AV67" s="141">
        <v>-16720344</v>
      </c>
      <c r="AW67" s="141">
        <v>0</v>
      </c>
      <c r="AX67" s="141">
        <v>0</v>
      </c>
      <c r="AY67" s="141">
        <v>0</v>
      </c>
      <c r="AZ67" s="141">
        <v>0</v>
      </c>
      <c r="BA67" s="141">
        <v>0</v>
      </c>
      <c r="BB67" s="141">
        <v>0</v>
      </c>
      <c r="BC67" s="141">
        <v>13305916</v>
      </c>
      <c r="BD67" s="141">
        <v>0</v>
      </c>
      <c r="BE67" s="141">
        <v>-5311856</v>
      </c>
      <c r="BF67" s="141">
        <v>0</v>
      </c>
      <c r="BG67" s="141">
        <v>7994060</v>
      </c>
      <c r="BH67" s="141">
        <v>0</v>
      </c>
      <c r="BI67" s="141">
        <v>7994060</v>
      </c>
      <c r="BJ67" s="141">
        <v>-1718798</v>
      </c>
      <c r="BK67" s="141">
        <v>0</v>
      </c>
      <c r="BL67" s="141">
        <v>-1718798</v>
      </c>
      <c r="BM67" s="141">
        <v>-48697347</v>
      </c>
      <c r="BN67" s="141">
        <v>0</v>
      </c>
      <c r="BO67" s="141">
        <v>-48697347</v>
      </c>
      <c r="BP67" s="141">
        <v>-50416145</v>
      </c>
      <c r="BQ67" s="141">
        <v>0</v>
      </c>
      <c r="BR67" s="141">
        <v>-1976313</v>
      </c>
      <c r="BS67" s="141">
        <v>0</v>
      </c>
      <c r="BT67" s="141">
        <v>-52392458</v>
      </c>
      <c r="BU67" s="141">
        <v>0</v>
      </c>
      <c r="BV67" s="141">
        <v>-52392458</v>
      </c>
      <c r="BW67" s="141">
        <v>-183930</v>
      </c>
      <c r="BX67" s="141">
        <v>0</v>
      </c>
      <c r="BY67" s="141">
        <v>-183930</v>
      </c>
      <c r="BZ67" s="141">
        <v>-59020</v>
      </c>
      <c r="CA67" s="141">
        <v>0</v>
      </c>
      <c r="CB67" s="141">
        <v>-59020</v>
      </c>
      <c r="CC67" s="141">
        <v>0</v>
      </c>
      <c r="CD67" s="141">
        <v>0</v>
      </c>
      <c r="CE67" s="141">
        <v>0</v>
      </c>
      <c r="CF67" s="141">
        <v>0</v>
      </c>
      <c r="CG67" s="141">
        <v>0</v>
      </c>
      <c r="CH67" s="141">
        <v>0</v>
      </c>
      <c r="CI67" s="141">
        <v>0</v>
      </c>
      <c r="CJ67" s="141">
        <v>0</v>
      </c>
      <c r="CK67" s="141">
        <v>0</v>
      </c>
      <c r="CL67" s="141">
        <v>0</v>
      </c>
      <c r="CM67" s="141">
        <v>0</v>
      </c>
      <c r="CN67" s="141">
        <v>0</v>
      </c>
      <c r="CO67" s="141">
        <v>0</v>
      </c>
      <c r="CP67" s="141">
        <v>0</v>
      </c>
      <c r="CQ67" s="141">
        <v>-242950</v>
      </c>
      <c r="CR67" s="141">
        <v>0</v>
      </c>
      <c r="CS67" s="141">
        <v>-9524</v>
      </c>
      <c r="CT67" s="141">
        <v>0</v>
      </c>
      <c r="CU67" s="141">
        <v>-252474</v>
      </c>
      <c r="CV67" s="141">
        <v>0</v>
      </c>
      <c r="CW67" s="141">
        <v>-252474</v>
      </c>
      <c r="CX67" s="141">
        <v>0</v>
      </c>
      <c r="CY67" s="141">
        <v>0</v>
      </c>
      <c r="CZ67" s="141">
        <v>0</v>
      </c>
      <c r="DA67" s="141">
        <v>0</v>
      </c>
      <c r="DB67" s="141">
        <v>0</v>
      </c>
      <c r="DC67" s="141">
        <v>0</v>
      </c>
      <c r="DD67" s="141">
        <v>-24524</v>
      </c>
      <c r="DE67" s="141">
        <v>0</v>
      </c>
      <c r="DF67" s="141">
        <v>-24524</v>
      </c>
      <c r="DG67" s="141">
        <v>-1108000</v>
      </c>
      <c r="DH67" s="141">
        <v>0</v>
      </c>
      <c r="DI67" s="141">
        <v>-1108000</v>
      </c>
      <c r="DJ67" s="141">
        <v>0</v>
      </c>
      <c r="DK67" s="141">
        <v>0</v>
      </c>
      <c r="DL67" s="141">
        <v>0</v>
      </c>
      <c r="DM67" s="141">
        <v>-2459799</v>
      </c>
      <c r="DN67" s="141">
        <v>0</v>
      </c>
      <c r="DO67" s="141">
        <v>-2459799</v>
      </c>
      <c r="DP67" s="141">
        <v>-3592323</v>
      </c>
      <c r="DQ67" s="141">
        <v>0</v>
      </c>
      <c r="DR67" s="141">
        <v>0</v>
      </c>
      <c r="DS67" s="141">
        <v>0</v>
      </c>
      <c r="DT67" s="141">
        <v>-3592323</v>
      </c>
      <c r="DU67" s="141">
        <v>0</v>
      </c>
      <c r="DV67" s="141">
        <v>-3592323</v>
      </c>
      <c r="DW67" s="856">
        <v>1234560202</v>
      </c>
      <c r="DX67" s="856">
        <v>0</v>
      </c>
      <c r="DY67" s="857">
        <v>1234560202</v>
      </c>
      <c r="DZ67" t="s">
        <v>1633</v>
      </c>
    </row>
    <row r="68" spans="1:130" ht="12.75" x14ac:dyDescent="0.2">
      <c r="A68" s="764">
        <v>61</v>
      </c>
      <c r="B68" s="765" t="s">
        <v>2</v>
      </c>
      <c r="C68" s="766" t="s">
        <v>1217</v>
      </c>
      <c r="D68" s="767" t="s">
        <v>1221</v>
      </c>
      <c r="E68" s="768" t="s">
        <v>1</v>
      </c>
      <c r="F68" s="867">
        <v>43453</v>
      </c>
      <c r="G68" s="141">
        <v>162815031</v>
      </c>
      <c r="H68" s="141">
        <v>0</v>
      </c>
      <c r="I68" s="141">
        <v>162815031</v>
      </c>
      <c r="J68" s="141">
        <v>49.1</v>
      </c>
      <c r="K68" s="141">
        <v>79942180</v>
      </c>
      <c r="L68" s="141">
        <v>0</v>
      </c>
      <c r="M68" s="141">
        <v>0</v>
      </c>
      <c r="N68" s="141">
        <v>0</v>
      </c>
      <c r="O68" s="141">
        <v>79942180</v>
      </c>
      <c r="P68" s="141">
        <v>0</v>
      </c>
      <c r="Q68" s="141">
        <v>79942180</v>
      </c>
      <c r="R68" s="141">
        <v>-566080</v>
      </c>
      <c r="S68" s="141">
        <v>0</v>
      </c>
      <c r="T68" s="141">
        <v>-566080</v>
      </c>
      <c r="U68" s="141">
        <v>851756</v>
      </c>
      <c r="V68" s="141">
        <v>0</v>
      </c>
      <c r="W68" s="141">
        <v>851756</v>
      </c>
      <c r="X68" s="141">
        <v>285676</v>
      </c>
      <c r="Y68" s="141">
        <v>0</v>
      </c>
      <c r="Z68" s="141">
        <v>0</v>
      </c>
      <c r="AA68" s="141">
        <v>0</v>
      </c>
      <c r="AB68" s="141">
        <v>285676</v>
      </c>
      <c r="AC68" s="141">
        <v>0</v>
      </c>
      <c r="AD68" s="141">
        <v>285676</v>
      </c>
      <c r="AE68" s="141">
        <v>-285676</v>
      </c>
      <c r="AF68" s="141">
        <v>0</v>
      </c>
      <c r="AG68" s="141">
        <v>-285676</v>
      </c>
      <c r="AH68" s="141">
        <v>-5986740</v>
      </c>
      <c r="AI68" s="141">
        <v>0</v>
      </c>
      <c r="AJ68" s="141">
        <v>-5986740</v>
      </c>
      <c r="AK68" s="141">
        <v>0</v>
      </c>
      <c r="AL68" s="141">
        <v>0</v>
      </c>
      <c r="AM68" s="141">
        <v>0</v>
      </c>
      <c r="AN68" s="141">
        <v>1500538</v>
      </c>
      <c r="AO68" s="141">
        <v>0</v>
      </c>
      <c r="AP68" s="141">
        <v>1500538</v>
      </c>
      <c r="AQ68" s="141">
        <v>-4486202</v>
      </c>
      <c r="AR68" s="141">
        <v>0</v>
      </c>
      <c r="AS68" s="141">
        <v>-4486202</v>
      </c>
      <c r="AT68" s="141">
        <v>-6598654</v>
      </c>
      <c r="AU68" s="141">
        <v>0</v>
      </c>
      <c r="AV68" s="141">
        <v>-6598654</v>
      </c>
      <c r="AW68" s="141">
        <v>-58776</v>
      </c>
      <c r="AX68" s="141">
        <v>0</v>
      </c>
      <c r="AY68" s="141">
        <v>-58776</v>
      </c>
      <c r="AZ68" s="141">
        <v>-5715</v>
      </c>
      <c r="BA68" s="141">
        <v>0</v>
      </c>
      <c r="BB68" s="141">
        <v>-5715</v>
      </c>
      <c r="BC68" s="141">
        <v>-11149347</v>
      </c>
      <c r="BD68" s="141">
        <v>0</v>
      </c>
      <c r="BE68" s="141">
        <v>0</v>
      </c>
      <c r="BF68" s="141">
        <v>0</v>
      </c>
      <c r="BG68" s="141">
        <v>-11149347</v>
      </c>
      <c r="BH68" s="141">
        <v>0</v>
      </c>
      <c r="BI68" s="141">
        <v>-11149347</v>
      </c>
      <c r="BJ68" s="141">
        <v>-32000</v>
      </c>
      <c r="BK68" s="141">
        <v>0</v>
      </c>
      <c r="BL68" s="141">
        <v>-32000</v>
      </c>
      <c r="BM68" s="141">
        <v>-1366090</v>
      </c>
      <c r="BN68" s="141">
        <v>0</v>
      </c>
      <c r="BO68" s="141">
        <v>-1366090</v>
      </c>
      <c r="BP68" s="141">
        <v>-1398090</v>
      </c>
      <c r="BQ68" s="141">
        <v>0</v>
      </c>
      <c r="BR68" s="141">
        <v>0</v>
      </c>
      <c r="BS68" s="141">
        <v>0</v>
      </c>
      <c r="BT68" s="141">
        <v>-1398090</v>
      </c>
      <c r="BU68" s="141">
        <v>0</v>
      </c>
      <c r="BV68" s="141">
        <v>-1398090</v>
      </c>
      <c r="BW68" s="141">
        <v>-240234</v>
      </c>
      <c r="BX68" s="141">
        <v>0</v>
      </c>
      <c r="BY68" s="141">
        <v>-240234</v>
      </c>
      <c r="BZ68" s="141">
        <v>0</v>
      </c>
      <c r="CA68" s="141">
        <v>0</v>
      </c>
      <c r="CB68" s="141">
        <v>0</v>
      </c>
      <c r="CC68" s="141">
        <v>-14180</v>
      </c>
      <c r="CD68" s="141">
        <v>0</v>
      </c>
      <c r="CE68" s="141">
        <v>-14180</v>
      </c>
      <c r="CF68" s="141">
        <v>0</v>
      </c>
      <c r="CG68" s="141">
        <v>0</v>
      </c>
      <c r="CH68" s="141">
        <v>0</v>
      </c>
      <c r="CI68" s="141">
        <v>0</v>
      </c>
      <c r="CJ68" s="141">
        <v>0</v>
      </c>
      <c r="CK68" s="141">
        <v>0</v>
      </c>
      <c r="CL68" s="141">
        <v>0</v>
      </c>
      <c r="CM68" s="141">
        <v>0</v>
      </c>
      <c r="CN68" s="141">
        <v>0</v>
      </c>
      <c r="CO68" s="141">
        <v>0</v>
      </c>
      <c r="CP68" s="141">
        <v>0</v>
      </c>
      <c r="CQ68" s="141">
        <v>-254414</v>
      </c>
      <c r="CR68" s="141">
        <v>0</v>
      </c>
      <c r="CS68" s="141">
        <v>0</v>
      </c>
      <c r="CT68" s="141">
        <v>0</v>
      </c>
      <c r="CU68" s="141">
        <v>-254414</v>
      </c>
      <c r="CV68" s="141">
        <v>0</v>
      </c>
      <c r="CW68" s="141">
        <v>-254414</v>
      </c>
      <c r="CX68" s="141">
        <v>-5715</v>
      </c>
      <c r="CY68" s="141">
        <v>0</v>
      </c>
      <c r="CZ68" s="141">
        <v>-5715</v>
      </c>
      <c r="DA68" s="141">
        <v>-1500</v>
      </c>
      <c r="DB68" s="141">
        <v>0</v>
      </c>
      <c r="DC68" s="141">
        <v>-1500</v>
      </c>
      <c r="DD68" s="141">
        <v>-25207</v>
      </c>
      <c r="DE68" s="141">
        <v>0</v>
      </c>
      <c r="DF68" s="141">
        <v>-25207</v>
      </c>
      <c r="DG68" s="141">
        <v>-59529</v>
      </c>
      <c r="DH68" s="141">
        <v>0</v>
      </c>
      <c r="DI68" s="141">
        <v>-59529</v>
      </c>
      <c r="DJ68" s="141">
        <v>0</v>
      </c>
      <c r="DK68" s="141">
        <v>0</v>
      </c>
      <c r="DL68" s="141">
        <v>0</v>
      </c>
      <c r="DM68" s="141">
        <v>-1400000</v>
      </c>
      <c r="DN68" s="141">
        <v>0</v>
      </c>
      <c r="DO68" s="141">
        <v>-1400000</v>
      </c>
      <c r="DP68" s="141">
        <v>-1491951</v>
      </c>
      <c r="DQ68" s="141">
        <v>0</v>
      </c>
      <c r="DR68" s="141">
        <v>0</v>
      </c>
      <c r="DS68" s="141">
        <v>0</v>
      </c>
      <c r="DT68" s="141">
        <v>-1491951</v>
      </c>
      <c r="DU68" s="141">
        <v>0</v>
      </c>
      <c r="DV68" s="141">
        <v>-1491951</v>
      </c>
      <c r="DW68" s="856">
        <v>65934054</v>
      </c>
      <c r="DX68" s="856">
        <v>0</v>
      </c>
      <c r="DY68" s="857">
        <v>65934054</v>
      </c>
      <c r="DZ68" t="s">
        <v>1634</v>
      </c>
    </row>
    <row r="69" spans="1:130" ht="12.75" x14ac:dyDescent="0.2">
      <c r="A69" s="764">
        <v>62</v>
      </c>
      <c r="B69" s="765" t="s">
        <v>4</v>
      </c>
      <c r="C69" s="766" t="s">
        <v>1217</v>
      </c>
      <c r="D69" s="767" t="s">
        <v>1219</v>
      </c>
      <c r="E69" s="768" t="s">
        <v>3</v>
      </c>
      <c r="F69" s="867">
        <v>43481</v>
      </c>
      <c r="G69" s="141">
        <v>83835029</v>
      </c>
      <c r="H69" s="141">
        <v>0</v>
      </c>
      <c r="I69" s="141">
        <v>83835029</v>
      </c>
      <c r="J69" s="141">
        <v>49.1</v>
      </c>
      <c r="K69" s="141">
        <v>41162999</v>
      </c>
      <c r="L69" s="141">
        <v>0</v>
      </c>
      <c r="M69" s="141">
        <v>277200</v>
      </c>
      <c r="N69" s="141">
        <v>0</v>
      </c>
      <c r="O69" s="141">
        <v>41440199</v>
      </c>
      <c r="P69" s="141">
        <v>0</v>
      </c>
      <c r="Q69" s="141">
        <v>41440199</v>
      </c>
      <c r="R69" s="141">
        <v>-499253</v>
      </c>
      <c r="S69" s="141">
        <v>0</v>
      </c>
      <c r="T69" s="141">
        <v>-499253</v>
      </c>
      <c r="U69" s="141">
        <v>4762617</v>
      </c>
      <c r="V69" s="141">
        <v>0</v>
      </c>
      <c r="W69" s="141">
        <v>4762617</v>
      </c>
      <c r="X69" s="141">
        <v>4263364</v>
      </c>
      <c r="Y69" s="141">
        <v>0</v>
      </c>
      <c r="Z69" s="141">
        <v>0</v>
      </c>
      <c r="AA69" s="141">
        <v>0</v>
      </c>
      <c r="AB69" s="141">
        <v>4263364</v>
      </c>
      <c r="AC69" s="141">
        <v>0</v>
      </c>
      <c r="AD69" s="141">
        <v>4263364</v>
      </c>
      <c r="AE69" s="141">
        <v>-4263364</v>
      </c>
      <c r="AF69" s="141">
        <v>0</v>
      </c>
      <c r="AG69" s="141">
        <v>-4263364</v>
      </c>
      <c r="AH69" s="141">
        <v>-2337828</v>
      </c>
      <c r="AI69" s="141">
        <v>0</v>
      </c>
      <c r="AJ69" s="141">
        <v>-2337828</v>
      </c>
      <c r="AK69" s="141">
        <v>0</v>
      </c>
      <c r="AL69" s="141">
        <v>0</v>
      </c>
      <c r="AM69" s="141">
        <v>0</v>
      </c>
      <c r="AN69" s="141">
        <v>875461</v>
      </c>
      <c r="AO69" s="141">
        <v>0</v>
      </c>
      <c r="AP69" s="141">
        <v>875461</v>
      </c>
      <c r="AQ69" s="141">
        <v>-1462367</v>
      </c>
      <c r="AR69" s="141">
        <v>0</v>
      </c>
      <c r="AS69" s="141">
        <v>-1462367</v>
      </c>
      <c r="AT69" s="141">
        <v>-1119619</v>
      </c>
      <c r="AU69" s="141">
        <v>0</v>
      </c>
      <c r="AV69" s="141">
        <v>-1119619</v>
      </c>
      <c r="AW69" s="141">
        <v>-69744</v>
      </c>
      <c r="AX69" s="141">
        <v>0</v>
      </c>
      <c r="AY69" s="141">
        <v>-69744</v>
      </c>
      <c r="AZ69" s="141">
        <v>-18823</v>
      </c>
      <c r="BA69" s="141">
        <v>0</v>
      </c>
      <c r="BB69" s="141">
        <v>-18823</v>
      </c>
      <c r="BC69" s="141">
        <v>-2670553</v>
      </c>
      <c r="BD69" s="141">
        <v>0</v>
      </c>
      <c r="BE69" s="141">
        <v>-221760</v>
      </c>
      <c r="BF69" s="141">
        <v>0</v>
      </c>
      <c r="BG69" s="141">
        <v>-2892313</v>
      </c>
      <c r="BH69" s="141">
        <v>0</v>
      </c>
      <c r="BI69" s="141">
        <v>-2892313</v>
      </c>
      <c r="BJ69" s="141">
        <v>0</v>
      </c>
      <c r="BK69" s="141">
        <v>0</v>
      </c>
      <c r="BL69" s="141">
        <v>0</v>
      </c>
      <c r="BM69" s="141">
        <v>-405514</v>
      </c>
      <c r="BN69" s="141">
        <v>0</v>
      </c>
      <c r="BO69" s="141">
        <v>-405514</v>
      </c>
      <c r="BP69" s="141">
        <v>-405514</v>
      </c>
      <c r="BQ69" s="141">
        <v>0</v>
      </c>
      <c r="BR69" s="141">
        <v>-57916</v>
      </c>
      <c r="BS69" s="141">
        <v>0</v>
      </c>
      <c r="BT69" s="141">
        <v>-463430</v>
      </c>
      <c r="BU69" s="141">
        <v>0</v>
      </c>
      <c r="BV69" s="141">
        <v>-463430</v>
      </c>
      <c r="BW69" s="141">
        <v>-1679</v>
      </c>
      <c r="BX69" s="141">
        <v>0</v>
      </c>
      <c r="BY69" s="141">
        <v>-1679</v>
      </c>
      <c r="BZ69" s="141">
        <v>0</v>
      </c>
      <c r="CA69" s="141">
        <v>0</v>
      </c>
      <c r="CB69" s="141">
        <v>0</v>
      </c>
      <c r="CC69" s="141">
        <v>0</v>
      </c>
      <c r="CD69" s="141">
        <v>0</v>
      </c>
      <c r="CE69" s="141">
        <v>0</v>
      </c>
      <c r="CF69" s="141">
        <v>0</v>
      </c>
      <c r="CG69" s="141">
        <v>0</v>
      </c>
      <c r="CH69" s="141">
        <v>0</v>
      </c>
      <c r="CI69" s="141">
        <v>0</v>
      </c>
      <c r="CJ69" s="141">
        <v>0</v>
      </c>
      <c r="CK69" s="141">
        <v>0</v>
      </c>
      <c r="CL69" s="141">
        <v>0</v>
      </c>
      <c r="CM69" s="141">
        <v>0</v>
      </c>
      <c r="CN69" s="141">
        <v>0</v>
      </c>
      <c r="CO69" s="141">
        <v>0</v>
      </c>
      <c r="CP69" s="141">
        <v>0</v>
      </c>
      <c r="CQ69" s="141">
        <v>-1679</v>
      </c>
      <c r="CR69" s="141">
        <v>0</v>
      </c>
      <c r="CS69" s="141">
        <v>0</v>
      </c>
      <c r="CT69" s="141">
        <v>0</v>
      </c>
      <c r="CU69" s="141">
        <v>-1679</v>
      </c>
      <c r="CV69" s="141">
        <v>0</v>
      </c>
      <c r="CW69" s="141">
        <v>-1679</v>
      </c>
      <c r="CX69" s="141">
        <v>-18823</v>
      </c>
      <c r="CY69" s="141">
        <v>0</v>
      </c>
      <c r="CZ69" s="141">
        <v>-18823</v>
      </c>
      <c r="DA69" s="141">
        <v>0</v>
      </c>
      <c r="DB69" s="141">
        <v>0</v>
      </c>
      <c r="DC69" s="141">
        <v>0</v>
      </c>
      <c r="DD69" s="141">
        <v>-16557</v>
      </c>
      <c r="DE69" s="141">
        <v>0</v>
      </c>
      <c r="DF69" s="141">
        <v>-16557</v>
      </c>
      <c r="DG69" s="141">
        <v>-40007</v>
      </c>
      <c r="DH69" s="141">
        <v>0</v>
      </c>
      <c r="DI69" s="141">
        <v>-40007</v>
      </c>
      <c r="DJ69" s="141">
        <v>0</v>
      </c>
      <c r="DK69" s="141">
        <v>0</v>
      </c>
      <c r="DL69" s="141">
        <v>0</v>
      </c>
      <c r="DM69" s="141">
        <v>-511008</v>
      </c>
      <c r="DN69" s="141">
        <v>0</v>
      </c>
      <c r="DO69" s="141">
        <v>-511008</v>
      </c>
      <c r="DP69" s="141">
        <v>-586395</v>
      </c>
      <c r="DQ69" s="141">
        <v>0</v>
      </c>
      <c r="DR69" s="141">
        <v>0</v>
      </c>
      <c r="DS69" s="141">
        <v>0</v>
      </c>
      <c r="DT69" s="141">
        <v>-586395</v>
      </c>
      <c r="DU69" s="141">
        <v>0</v>
      </c>
      <c r="DV69" s="141">
        <v>-586395</v>
      </c>
      <c r="DW69" s="856">
        <v>41759746</v>
      </c>
      <c r="DX69" s="856">
        <v>0</v>
      </c>
      <c r="DY69" s="857">
        <v>41759746</v>
      </c>
      <c r="DZ69" t="s">
        <v>1635</v>
      </c>
    </row>
    <row r="70" spans="1:130" ht="12.75" x14ac:dyDescent="0.2">
      <c r="A70" s="764">
        <v>63</v>
      </c>
      <c r="B70" s="765" t="s">
        <v>6</v>
      </c>
      <c r="C70" s="766" t="s">
        <v>1217</v>
      </c>
      <c r="D70" s="767" t="s">
        <v>1220</v>
      </c>
      <c r="E70" s="768" t="s">
        <v>5</v>
      </c>
      <c r="F70" s="867">
        <v>43465</v>
      </c>
      <c r="G70" s="141">
        <v>85000000</v>
      </c>
      <c r="H70" s="141">
        <v>0</v>
      </c>
      <c r="I70" s="141">
        <v>85000000</v>
      </c>
      <c r="J70" s="141">
        <v>49.1</v>
      </c>
      <c r="K70" s="141">
        <v>41735000</v>
      </c>
      <c r="L70" s="141">
        <v>0</v>
      </c>
      <c r="M70" s="141">
        <v>0</v>
      </c>
      <c r="N70" s="141">
        <v>0</v>
      </c>
      <c r="O70" s="141">
        <v>41735000</v>
      </c>
      <c r="P70" s="141">
        <v>0</v>
      </c>
      <c r="Q70" s="141">
        <v>41735000</v>
      </c>
      <c r="R70" s="141">
        <v>-248708</v>
      </c>
      <c r="S70" s="141">
        <v>0</v>
      </c>
      <c r="T70" s="141">
        <v>-248708</v>
      </c>
      <c r="U70" s="141">
        <v>894821</v>
      </c>
      <c r="V70" s="141">
        <v>0</v>
      </c>
      <c r="W70" s="141">
        <v>894821</v>
      </c>
      <c r="X70" s="141">
        <v>646113</v>
      </c>
      <c r="Y70" s="141">
        <v>0</v>
      </c>
      <c r="Z70" s="141">
        <v>0</v>
      </c>
      <c r="AA70" s="141">
        <v>0</v>
      </c>
      <c r="AB70" s="141">
        <v>646113</v>
      </c>
      <c r="AC70" s="141">
        <v>0</v>
      </c>
      <c r="AD70" s="141">
        <v>646113</v>
      </c>
      <c r="AE70" s="141">
        <v>-646113</v>
      </c>
      <c r="AF70" s="141">
        <v>0</v>
      </c>
      <c r="AG70" s="141">
        <v>-646113</v>
      </c>
      <c r="AH70" s="141">
        <v>-1885224</v>
      </c>
      <c r="AI70" s="141">
        <v>0</v>
      </c>
      <c r="AJ70" s="141">
        <v>-1885224</v>
      </c>
      <c r="AK70" s="141">
        <v>0</v>
      </c>
      <c r="AL70" s="141">
        <v>0</v>
      </c>
      <c r="AM70" s="141">
        <v>0</v>
      </c>
      <c r="AN70" s="141">
        <v>873910</v>
      </c>
      <c r="AO70" s="141">
        <v>0</v>
      </c>
      <c r="AP70" s="141">
        <v>873910</v>
      </c>
      <c r="AQ70" s="141">
        <v>-1011314</v>
      </c>
      <c r="AR70" s="141">
        <v>0</v>
      </c>
      <c r="AS70" s="141">
        <v>-1011314</v>
      </c>
      <c r="AT70" s="141">
        <v>-2183898</v>
      </c>
      <c r="AU70" s="141">
        <v>0</v>
      </c>
      <c r="AV70" s="141">
        <v>-2183898</v>
      </c>
      <c r="AW70" s="141">
        <v>0</v>
      </c>
      <c r="AX70" s="141">
        <v>0</v>
      </c>
      <c r="AY70" s="141">
        <v>0</v>
      </c>
      <c r="AZ70" s="141">
        <v>0</v>
      </c>
      <c r="BA70" s="141">
        <v>0</v>
      </c>
      <c r="BB70" s="141">
        <v>0</v>
      </c>
      <c r="BC70" s="141">
        <v>-3195212</v>
      </c>
      <c r="BD70" s="141">
        <v>0</v>
      </c>
      <c r="BE70" s="141">
        <v>0</v>
      </c>
      <c r="BF70" s="141">
        <v>0</v>
      </c>
      <c r="BG70" s="141">
        <v>-3195212</v>
      </c>
      <c r="BH70" s="141">
        <v>0</v>
      </c>
      <c r="BI70" s="141">
        <v>-3195212</v>
      </c>
      <c r="BJ70" s="141">
        <v>-500000</v>
      </c>
      <c r="BK70" s="141">
        <v>0</v>
      </c>
      <c r="BL70" s="141">
        <v>-500000</v>
      </c>
      <c r="BM70" s="141">
        <v>-273033</v>
      </c>
      <c r="BN70" s="141">
        <v>0</v>
      </c>
      <c r="BO70" s="141">
        <v>-273033</v>
      </c>
      <c r="BP70" s="141">
        <v>-773033</v>
      </c>
      <c r="BQ70" s="141">
        <v>0</v>
      </c>
      <c r="BR70" s="141">
        <v>0</v>
      </c>
      <c r="BS70" s="141">
        <v>0</v>
      </c>
      <c r="BT70" s="141">
        <v>-773033</v>
      </c>
      <c r="BU70" s="141">
        <v>0</v>
      </c>
      <c r="BV70" s="141">
        <v>-773033</v>
      </c>
      <c r="BW70" s="141">
        <v>-4914</v>
      </c>
      <c r="BX70" s="141">
        <v>0</v>
      </c>
      <c r="BY70" s="141">
        <v>-4914</v>
      </c>
      <c r="BZ70" s="141">
        <v>-7463</v>
      </c>
      <c r="CA70" s="141">
        <v>0</v>
      </c>
      <c r="CB70" s="141">
        <v>-7463</v>
      </c>
      <c r="CC70" s="141">
        <v>0</v>
      </c>
      <c r="CD70" s="141">
        <v>0</v>
      </c>
      <c r="CE70" s="141">
        <v>0</v>
      </c>
      <c r="CF70" s="141">
        <v>0</v>
      </c>
      <c r="CG70" s="141">
        <v>0</v>
      </c>
      <c r="CH70" s="141">
        <v>0</v>
      </c>
      <c r="CI70" s="141">
        <v>0</v>
      </c>
      <c r="CJ70" s="141">
        <v>0</v>
      </c>
      <c r="CK70" s="141">
        <v>0</v>
      </c>
      <c r="CL70" s="141">
        <v>0</v>
      </c>
      <c r="CM70" s="141">
        <v>0</v>
      </c>
      <c r="CN70" s="141">
        <v>0</v>
      </c>
      <c r="CO70" s="141">
        <v>0</v>
      </c>
      <c r="CP70" s="141">
        <v>0</v>
      </c>
      <c r="CQ70" s="141">
        <v>-12377</v>
      </c>
      <c r="CR70" s="141">
        <v>0</v>
      </c>
      <c r="CS70" s="141">
        <v>-175000</v>
      </c>
      <c r="CT70" s="141">
        <v>0</v>
      </c>
      <c r="CU70" s="141">
        <v>-187377</v>
      </c>
      <c r="CV70" s="141">
        <v>0</v>
      </c>
      <c r="CW70" s="141">
        <v>-187377</v>
      </c>
      <c r="CX70" s="141">
        <v>0</v>
      </c>
      <c r="CY70" s="141">
        <v>0</v>
      </c>
      <c r="CZ70" s="141">
        <v>0</v>
      </c>
      <c r="DA70" s="141">
        <v>0</v>
      </c>
      <c r="DB70" s="141">
        <v>0</v>
      </c>
      <c r="DC70" s="141">
        <v>0</v>
      </c>
      <c r="DD70" s="141">
        <v>0</v>
      </c>
      <c r="DE70" s="141">
        <v>0</v>
      </c>
      <c r="DF70" s="141">
        <v>0</v>
      </c>
      <c r="DG70" s="141">
        <v>-10000</v>
      </c>
      <c r="DH70" s="141">
        <v>0</v>
      </c>
      <c r="DI70" s="141">
        <v>-10000</v>
      </c>
      <c r="DJ70" s="141">
        <v>0</v>
      </c>
      <c r="DK70" s="141">
        <v>0</v>
      </c>
      <c r="DL70" s="141">
        <v>0</v>
      </c>
      <c r="DM70" s="141">
        <v>-330000</v>
      </c>
      <c r="DN70" s="141">
        <v>0</v>
      </c>
      <c r="DO70" s="141">
        <v>-330000</v>
      </c>
      <c r="DP70" s="141">
        <v>-340000</v>
      </c>
      <c r="DQ70" s="141">
        <v>0</v>
      </c>
      <c r="DR70" s="141">
        <v>0</v>
      </c>
      <c r="DS70" s="141">
        <v>0</v>
      </c>
      <c r="DT70" s="141">
        <v>-340000</v>
      </c>
      <c r="DU70" s="141">
        <v>0</v>
      </c>
      <c r="DV70" s="141">
        <v>-340000</v>
      </c>
      <c r="DW70" s="856">
        <v>37885491</v>
      </c>
      <c r="DX70" s="856">
        <v>0</v>
      </c>
      <c r="DY70" s="857">
        <v>37885491</v>
      </c>
      <c r="DZ70" t="s">
        <v>1636</v>
      </c>
    </row>
    <row r="71" spans="1:130" ht="12.75" x14ac:dyDescent="0.2">
      <c r="A71" s="764">
        <v>64</v>
      </c>
      <c r="B71" s="765" t="s">
        <v>8</v>
      </c>
      <c r="C71" s="766" t="s">
        <v>529</v>
      </c>
      <c r="D71" s="767" t="s">
        <v>1226</v>
      </c>
      <c r="E71" s="768" t="s">
        <v>7</v>
      </c>
      <c r="F71" s="867">
        <v>43453</v>
      </c>
      <c r="G71" s="141">
        <v>467099621</v>
      </c>
      <c r="H71" s="141">
        <v>2133300</v>
      </c>
      <c r="I71" s="141">
        <v>469232921</v>
      </c>
      <c r="J71" s="141">
        <v>49.1</v>
      </c>
      <c r="K71" s="141">
        <v>229345914</v>
      </c>
      <c r="L71" s="141">
        <v>1047450</v>
      </c>
      <c r="M71" s="141">
        <v>0</v>
      </c>
      <c r="N71" s="141">
        <v>0</v>
      </c>
      <c r="O71" s="141">
        <v>229345914</v>
      </c>
      <c r="P71" s="141">
        <v>1047450</v>
      </c>
      <c r="Q71" s="141">
        <v>230393364</v>
      </c>
      <c r="R71" s="141">
        <v>-3039776</v>
      </c>
      <c r="S71" s="141">
        <v>0</v>
      </c>
      <c r="T71" s="141">
        <v>-3039776</v>
      </c>
      <c r="U71" s="141">
        <v>2795758</v>
      </c>
      <c r="V71" s="141">
        <v>0</v>
      </c>
      <c r="W71" s="141">
        <v>2795758</v>
      </c>
      <c r="X71" s="141">
        <v>-244018</v>
      </c>
      <c r="Y71" s="141">
        <v>0</v>
      </c>
      <c r="Z71" s="141">
        <v>0</v>
      </c>
      <c r="AA71" s="141">
        <v>0</v>
      </c>
      <c r="AB71" s="141">
        <v>-244018</v>
      </c>
      <c r="AC71" s="141">
        <v>0</v>
      </c>
      <c r="AD71" s="141">
        <v>-244018</v>
      </c>
      <c r="AE71" s="141">
        <v>244018</v>
      </c>
      <c r="AF71" s="141">
        <v>0</v>
      </c>
      <c r="AG71" s="141">
        <v>244018</v>
      </c>
      <c r="AH71" s="141">
        <v>-39883943</v>
      </c>
      <c r="AI71" s="141">
        <v>-4419</v>
      </c>
      <c r="AJ71" s="141">
        <v>-39888362</v>
      </c>
      <c r="AK71" s="141">
        <v>-10925</v>
      </c>
      <c r="AL71" s="141">
        <v>0</v>
      </c>
      <c r="AM71" s="141">
        <v>-10925</v>
      </c>
      <c r="AN71" s="141">
        <v>3264369</v>
      </c>
      <c r="AO71" s="141">
        <v>21176</v>
      </c>
      <c r="AP71" s="141">
        <v>3285545</v>
      </c>
      <c r="AQ71" s="141">
        <v>-36619574</v>
      </c>
      <c r="AR71" s="141">
        <v>16757</v>
      </c>
      <c r="AS71" s="141">
        <v>-36602817</v>
      </c>
      <c r="AT71" s="141">
        <v>-18501540</v>
      </c>
      <c r="AU71" s="141">
        <v>-1975</v>
      </c>
      <c r="AV71" s="141">
        <v>-18503515</v>
      </c>
      <c r="AW71" s="141">
        <v>-207000</v>
      </c>
      <c r="AX71" s="141">
        <v>0</v>
      </c>
      <c r="AY71" s="141">
        <v>-207000</v>
      </c>
      <c r="AZ71" s="141">
        <v>-174496</v>
      </c>
      <c r="BA71" s="141">
        <v>0</v>
      </c>
      <c r="BB71" s="141">
        <v>-174496</v>
      </c>
      <c r="BC71" s="141">
        <v>-55502610</v>
      </c>
      <c r="BD71" s="141">
        <v>14782</v>
      </c>
      <c r="BE71" s="141">
        <v>0</v>
      </c>
      <c r="BF71" s="141">
        <v>0</v>
      </c>
      <c r="BG71" s="141">
        <v>-55502610</v>
      </c>
      <c r="BH71" s="141">
        <v>14782</v>
      </c>
      <c r="BI71" s="141">
        <v>-55487828</v>
      </c>
      <c r="BJ71" s="141">
        <v>-69000</v>
      </c>
      <c r="BK71" s="141">
        <v>0</v>
      </c>
      <c r="BL71" s="141">
        <v>-69000</v>
      </c>
      <c r="BM71" s="141">
        <v>-3725000</v>
      </c>
      <c r="BN71" s="141">
        <v>0</v>
      </c>
      <c r="BO71" s="141">
        <v>-3725000</v>
      </c>
      <c r="BP71" s="141">
        <v>-3794000</v>
      </c>
      <c r="BQ71" s="141">
        <v>0</v>
      </c>
      <c r="BR71" s="141">
        <v>0</v>
      </c>
      <c r="BS71" s="141">
        <v>0</v>
      </c>
      <c r="BT71" s="141">
        <v>-3794000</v>
      </c>
      <c r="BU71" s="141">
        <v>0</v>
      </c>
      <c r="BV71" s="141">
        <v>-3794000</v>
      </c>
      <c r="BW71" s="141">
        <v>-695000</v>
      </c>
      <c r="BX71" s="141">
        <v>0</v>
      </c>
      <c r="BY71" s="141">
        <v>-695000</v>
      </c>
      <c r="BZ71" s="141">
        <v>-276742</v>
      </c>
      <c r="CA71" s="141">
        <v>0</v>
      </c>
      <c r="CB71" s="141">
        <v>-276742</v>
      </c>
      <c r="CC71" s="141">
        <v>-8319</v>
      </c>
      <c r="CD71" s="141">
        <v>0</v>
      </c>
      <c r="CE71" s="141">
        <v>-8319</v>
      </c>
      <c r="CF71" s="141">
        <v>0</v>
      </c>
      <c r="CG71" s="141">
        <v>0</v>
      </c>
      <c r="CH71" s="141">
        <v>0</v>
      </c>
      <c r="CI71" s="141">
        <v>-13377</v>
      </c>
      <c r="CJ71" s="141">
        <v>0</v>
      </c>
      <c r="CK71" s="141">
        <v>-13377</v>
      </c>
      <c r="CL71" s="141">
        <v>-290</v>
      </c>
      <c r="CM71" s="141">
        <v>-266978</v>
      </c>
      <c r="CN71" s="141">
        <v>-267268</v>
      </c>
      <c r="CO71" s="141">
        <v>-266978</v>
      </c>
      <c r="CP71" s="141">
        <v>0</v>
      </c>
      <c r="CQ71" s="141">
        <v>-993728</v>
      </c>
      <c r="CR71" s="141">
        <v>-266978</v>
      </c>
      <c r="CS71" s="141">
        <v>0</v>
      </c>
      <c r="CT71" s="141">
        <v>0</v>
      </c>
      <c r="CU71" s="141">
        <v>-993728</v>
      </c>
      <c r="CV71" s="141">
        <v>-266978</v>
      </c>
      <c r="CW71" s="141">
        <v>-1260706</v>
      </c>
      <c r="CX71" s="141">
        <v>-174496</v>
      </c>
      <c r="CY71" s="141">
        <v>0</v>
      </c>
      <c r="CZ71" s="141">
        <v>-174496</v>
      </c>
      <c r="DA71" s="141">
        <v>-9000</v>
      </c>
      <c r="DB71" s="141">
        <v>0</v>
      </c>
      <c r="DC71" s="141">
        <v>-9000</v>
      </c>
      <c r="DD71" s="141">
        <v>-321962</v>
      </c>
      <c r="DE71" s="141">
        <v>0</v>
      </c>
      <c r="DF71" s="141">
        <v>-321962</v>
      </c>
      <c r="DG71" s="141">
        <v>-317377</v>
      </c>
      <c r="DH71" s="141">
        <v>0</v>
      </c>
      <c r="DI71" s="141">
        <v>-317377</v>
      </c>
      <c r="DJ71" s="141">
        <v>0</v>
      </c>
      <c r="DK71" s="141">
        <v>0</v>
      </c>
      <c r="DL71" s="141">
        <v>0</v>
      </c>
      <c r="DM71" s="141">
        <v>-5321116</v>
      </c>
      <c r="DN71" s="141">
        <v>0</v>
      </c>
      <c r="DO71" s="141">
        <v>-5321116</v>
      </c>
      <c r="DP71" s="141">
        <v>-6143951</v>
      </c>
      <c r="DQ71" s="141">
        <v>0</v>
      </c>
      <c r="DR71" s="141">
        <v>0</v>
      </c>
      <c r="DS71" s="141">
        <v>0</v>
      </c>
      <c r="DT71" s="141">
        <v>-6143951</v>
      </c>
      <c r="DU71" s="141">
        <v>0</v>
      </c>
      <c r="DV71" s="141">
        <v>-6143951</v>
      </c>
      <c r="DW71" s="856">
        <v>162667607</v>
      </c>
      <c r="DX71" s="856">
        <v>795254</v>
      </c>
      <c r="DY71" s="857">
        <v>163462861</v>
      </c>
      <c r="DZ71" t="s">
        <v>1637</v>
      </c>
    </row>
    <row r="72" spans="1:130" ht="12.75" x14ac:dyDescent="0.2">
      <c r="A72" s="764">
        <v>65</v>
      </c>
      <c r="B72" s="765" t="s">
        <v>10</v>
      </c>
      <c r="C72" s="766" t="s">
        <v>1217</v>
      </c>
      <c r="D72" s="767" t="s">
        <v>1226</v>
      </c>
      <c r="E72" s="768" t="s">
        <v>9</v>
      </c>
      <c r="F72" s="867">
        <v>43468</v>
      </c>
      <c r="G72" s="141">
        <v>89338263</v>
      </c>
      <c r="H72" s="141">
        <v>0</v>
      </c>
      <c r="I72" s="141">
        <v>89338263</v>
      </c>
      <c r="J72" s="141">
        <v>49.1</v>
      </c>
      <c r="K72" s="141">
        <v>43865087</v>
      </c>
      <c r="L72" s="141">
        <v>0</v>
      </c>
      <c r="M72" s="141">
        <v>21432</v>
      </c>
      <c r="N72" s="141">
        <v>0</v>
      </c>
      <c r="O72" s="141">
        <v>43886519</v>
      </c>
      <c r="P72" s="141">
        <v>0</v>
      </c>
      <c r="Q72" s="141">
        <v>43886519</v>
      </c>
      <c r="R72" s="141">
        <v>-612923</v>
      </c>
      <c r="S72" s="141">
        <v>0</v>
      </c>
      <c r="T72" s="141">
        <v>-612923</v>
      </c>
      <c r="U72" s="141">
        <v>37350</v>
      </c>
      <c r="V72" s="141">
        <v>0</v>
      </c>
      <c r="W72" s="141">
        <v>37350</v>
      </c>
      <c r="X72" s="141">
        <v>-575573</v>
      </c>
      <c r="Y72" s="141">
        <v>0</v>
      </c>
      <c r="Z72" s="141">
        <v>0</v>
      </c>
      <c r="AA72" s="141">
        <v>0</v>
      </c>
      <c r="AB72" s="141">
        <v>-575573</v>
      </c>
      <c r="AC72" s="141">
        <v>0</v>
      </c>
      <c r="AD72" s="141">
        <v>-575573</v>
      </c>
      <c r="AE72" s="141">
        <v>575573</v>
      </c>
      <c r="AF72" s="141">
        <v>0</v>
      </c>
      <c r="AG72" s="141">
        <v>575573</v>
      </c>
      <c r="AH72" s="141">
        <v>-5585771</v>
      </c>
      <c r="AI72" s="141">
        <v>0</v>
      </c>
      <c r="AJ72" s="141">
        <v>-5585771</v>
      </c>
      <c r="AK72" s="141">
        <v>-10000</v>
      </c>
      <c r="AL72" s="141">
        <v>0</v>
      </c>
      <c r="AM72" s="141">
        <v>-10000</v>
      </c>
      <c r="AN72" s="141">
        <v>642452</v>
      </c>
      <c r="AO72" s="141">
        <v>0</v>
      </c>
      <c r="AP72" s="141">
        <v>642452</v>
      </c>
      <c r="AQ72" s="141">
        <v>-4943319</v>
      </c>
      <c r="AR72" s="141">
        <v>0</v>
      </c>
      <c r="AS72" s="141">
        <v>-4943319</v>
      </c>
      <c r="AT72" s="141">
        <v>-2514585</v>
      </c>
      <c r="AU72" s="141">
        <v>0</v>
      </c>
      <c r="AV72" s="141">
        <v>-2514585</v>
      </c>
      <c r="AW72" s="141">
        <v>-52830</v>
      </c>
      <c r="AX72" s="141">
        <v>0</v>
      </c>
      <c r="AY72" s="141">
        <v>-52830</v>
      </c>
      <c r="AZ72" s="141">
        <v>-28382</v>
      </c>
      <c r="BA72" s="141">
        <v>0</v>
      </c>
      <c r="BB72" s="141">
        <v>-28382</v>
      </c>
      <c r="BC72" s="141">
        <v>-7539116</v>
      </c>
      <c r="BD72" s="141">
        <v>0</v>
      </c>
      <c r="BE72" s="141">
        <v>0</v>
      </c>
      <c r="BF72" s="141">
        <v>0</v>
      </c>
      <c r="BG72" s="141">
        <v>-7539116</v>
      </c>
      <c r="BH72" s="141">
        <v>0</v>
      </c>
      <c r="BI72" s="141">
        <v>-7539116</v>
      </c>
      <c r="BJ72" s="141">
        <v>0</v>
      </c>
      <c r="BK72" s="141">
        <v>0</v>
      </c>
      <c r="BL72" s="141">
        <v>0</v>
      </c>
      <c r="BM72" s="141">
        <v>-625066</v>
      </c>
      <c r="BN72" s="141">
        <v>0</v>
      </c>
      <c r="BO72" s="141">
        <v>-625066</v>
      </c>
      <c r="BP72" s="141">
        <v>-625066</v>
      </c>
      <c r="BQ72" s="141">
        <v>0</v>
      </c>
      <c r="BR72" s="141">
        <v>0</v>
      </c>
      <c r="BS72" s="141">
        <v>0</v>
      </c>
      <c r="BT72" s="141">
        <v>-625066</v>
      </c>
      <c r="BU72" s="141">
        <v>0</v>
      </c>
      <c r="BV72" s="141">
        <v>-625066</v>
      </c>
      <c r="BW72" s="141">
        <v>-93960</v>
      </c>
      <c r="BX72" s="141">
        <v>0</v>
      </c>
      <c r="BY72" s="141">
        <v>-93960</v>
      </c>
      <c r="BZ72" s="141">
        <v>-786</v>
      </c>
      <c r="CA72" s="141">
        <v>0</v>
      </c>
      <c r="CB72" s="141">
        <v>-786</v>
      </c>
      <c r="CC72" s="141">
        <v>-521</v>
      </c>
      <c r="CD72" s="141">
        <v>0</v>
      </c>
      <c r="CE72" s="141">
        <v>-521</v>
      </c>
      <c r="CF72" s="141">
        <v>0</v>
      </c>
      <c r="CG72" s="141">
        <v>0</v>
      </c>
      <c r="CH72" s="141">
        <v>0</v>
      </c>
      <c r="CI72" s="141">
        <v>0</v>
      </c>
      <c r="CJ72" s="141">
        <v>0</v>
      </c>
      <c r="CK72" s="141">
        <v>0</v>
      </c>
      <c r="CL72" s="141">
        <v>0</v>
      </c>
      <c r="CM72" s="141">
        <v>0</v>
      </c>
      <c r="CN72" s="141">
        <v>0</v>
      </c>
      <c r="CO72" s="141">
        <v>0</v>
      </c>
      <c r="CP72" s="141">
        <v>0</v>
      </c>
      <c r="CQ72" s="141">
        <v>-95267</v>
      </c>
      <c r="CR72" s="141">
        <v>0</v>
      </c>
      <c r="CS72" s="141">
        <v>0</v>
      </c>
      <c r="CT72" s="141">
        <v>0</v>
      </c>
      <c r="CU72" s="141">
        <v>-95267</v>
      </c>
      <c r="CV72" s="141">
        <v>0</v>
      </c>
      <c r="CW72" s="141">
        <v>-95267</v>
      </c>
      <c r="CX72" s="141">
        <v>-28382</v>
      </c>
      <c r="CY72" s="141">
        <v>0</v>
      </c>
      <c r="CZ72" s="141">
        <v>-28382</v>
      </c>
      <c r="DA72" s="141">
        <v>-1500</v>
      </c>
      <c r="DB72" s="141">
        <v>0</v>
      </c>
      <c r="DC72" s="141">
        <v>-1500</v>
      </c>
      <c r="DD72" s="141">
        <v>-19100</v>
      </c>
      <c r="DE72" s="141">
        <v>0</v>
      </c>
      <c r="DF72" s="141">
        <v>-19100</v>
      </c>
      <c r="DG72" s="141">
        <v>-73882</v>
      </c>
      <c r="DH72" s="141">
        <v>0</v>
      </c>
      <c r="DI72" s="141">
        <v>-73882</v>
      </c>
      <c r="DJ72" s="141">
        <v>0</v>
      </c>
      <c r="DK72" s="141">
        <v>0</v>
      </c>
      <c r="DL72" s="141">
        <v>0</v>
      </c>
      <c r="DM72" s="141">
        <v>-841487</v>
      </c>
      <c r="DN72" s="141">
        <v>0</v>
      </c>
      <c r="DO72" s="141">
        <v>-841487</v>
      </c>
      <c r="DP72" s="141">
        <v>-964351</v>
      </c>
      <c r="DQ72" s="141">
        <v>0</v>
      </c>
      <c r="DR72" s="141">
        <v>0</v>
      </c>
      <c r="DS72" s="141">
        <v>0</v>
      </c>
      <c r="DT72" s="141">
        <v>-964351</v>
      </c>
      <c r="DU72" s="141">
        <v>0</v>
      </c>
      <c r="DV72" s="141">
        <v>-964351</v>
      </c>
      <c r="DW72" s="856">
        <v>34087146</v>
      </c>
      <c r="DX72" s="856">
        <v>0</v>
      </c>
      <c r="DY72" s="857">
        <v>34087146</v>
      </c>
      <c r="DZ72" t="s">
        <v>1638</v>
      </c>
    </row>
    <row r="73" spans="1:130" ht="12.75" x14ac:dyDescent="0.2">
      <c r="A73" s="764">
        <v>66</v>
      </c>
      <c r="B73" s="765" t="s">
        <v>12</v>
      </c>
      <c r="C73" s="766" t="s">
        <v>1224</v>
      </c>
      <c r="D73" s="767" t="s">
        <v>1227</v>
      </c>
      <c r="E73" s="768" t="s">
        <v>11</v>
      </c>
      <c r="F73" s="867">
        <v>43460</v>
      </c>
      <c r="G73" s="141">
        <v>317909592</v>
      </c>
      <c r="H73" s="141">
        <v>0</v>
      </c>
      <c r="I73" s="141">
        <v>317909592</v>
      </c>
      <c r="J73" s="141">
        <v>49.1</v>
      </c>
      <c r="K73" s="141">
        <v>156093610</v>
      </c>
      <c r="L73" s="141">
        <v>0</v>
      </c>
      <c r="M73" s="141">
        <v>0</v>
      </c>
      <c r="N73" s="141">
        <v>0</v>
      </c>
      <c r="O73" s="141">
        <v>156093610</v>
      </c>
      <c r="P73" s="141">
        <v>0</v>
      </c>
      <c r="Q73" s="141">
        <v>156093610</v>
      </c>
      <c r="R73" s="141">
        <v>-891478</v>
      </c>
      <c r="S73" s="141">
        <v>0</v>
      </c>
      <c r="T73" s="141">
        <v>-891478</v>
      </c>
      <c r="U73" s="141">
        <v>2711037</v>
      </c>
      <c r="V73" s="141">
        <v>0</v>
      </c>
      <c r="W73" s="141">
        <v>2711037</v>
      </c>
      <c r="X73" s="141">
        <v>1819559</v>
      </c>
      <c r="Y73" s="141">
        <v>0</v>
      </c>
      <c r="Z73" s="141">
        <v>0</v>
      </c>
      <c r="AA73" s="141">
        <v>0</v>
      </c>
      <c r="AB73" s="141">
        <v>1819559</v>
      </c>
      <c r="AC73" s="141">
        <v>0</v>
      </c>
      <c r="AD73" s="141">
        <v>1819559</v>
      </c>
      <c r="AE73" s="141">
        <v>-1819559</v>
      </c>
      <c r="AF73" s="141">
        <v>0</v>
      </c>
      <c r="AG73" s="141">
        <v>-1819559</v>
      </c>
      <c r="AH73" s="141">
        <v>-8935000</v>
      </c>
      <c r="AI73" s="141">
        <v>0</v>
      </c>
      <c r="AJ73" s="141">
        <v>-8935000</v>
      </c>
      <c r="AK73" s="141">
        <v>0</v>
      </c>
      <c r="AL73" s="141">
        <v>0</v>
      </c>
      <c r="AM73" s="141">
        <v>0</v>
      </c>
      <c r="AN73" s="141">
        <v>3359000</v>
      </c>
      <c r="AO73" s="141">
        <v>0</v>
      </c>
      <c r="AP73" s="141">
        <v>3359000</v>
      </c>
      <c r="AQ73" s="141">
        <v>-5576000</v>
      </c>
      <c r="AR73" s="141">
        <v>0</v>
      </c>
      <c r="AS73" s="141">
        <v>-5576000</v>
      </c>
      <c r="AT73" s="141">
        <v>-16361000</v>
      </c>
      <c r="AU73" s="141">
        <v>0</v>
      </c>
      <c r="AV73" s="141">
        <v>-16361000</v>
      </c>
      <c r="AW73" s="141">
        <v>-64000</v>
      </c>
      <c r="AX73" s="141">
        <v>0</v>
      </c>
      <c r="AY73" s="141">
        <v>-64000</v>
      </c>
      <c r="AZ73" s="141">
        <v>0</v>
      </c>
      <c r="BA73" s="141">
        <v>0</v>
      </c>
      <c r="BB73" s="141">
        <v>0</v>
      </c>
      <c r="BC73" s="141">
        <v>-22001000</v>
      </c>
      <c r="BD73" s="141">
        <v>0</v>
      </c>
      <c r="BE73" s="141">
        <v>0</v>
      </c>
      <c r="BF73" s="141">
        <v>0</v>
      </c>
      <c r="BG73" s="141">
        <v>-22001000</v>
      </c>
      <c r="BH73" s="141">
        <v>0</v>
      </c>
      <c r="BI73" s="141">
        <v>-22001000</v>
      </c>
      <c r="BJ73" s="141">
        <v>0</v>
      </c>
      <c r="BK73" s="141">
        <v>0</v>
      </c>
      <c r="BL73" s="141">
        <v>0</v>
      </c>
      <c r="BM73" s="141">
        <v>-6750558</v>
      </c>
      <c r="BN73" s="141">
        <v>0</v>
      </c>
      <c r="BO73" s="141">
        <v>-6750558</v>
      </c>
      <c r="BP73" s="141">
        <v>-6750558</v>
      </c>
      <c r="BQ73" s="141">
        <v>0</v>
      </c>
      <c r="BR73" s="141">
        <v>0</v>
      </c>
      <c r="BS73" s="141">
        <v>0</v>
      </c>
      <c r="BT73" s="141">
        <v>-6750558</v>
      </c>
      <c r="BU73" s="141">
        <v>0</v>
      </c>
      <c r="BV73" s="141">
        <v>-6750558</v>
      </c>
      <c r="BW73" s="141">
        <v>-420000</v>
      </c>
      <c r="BX73" s="141">
        <v>0</v>
      </c>
      <c r="BY73" s="141">
        <v>-420000</v>
      </c>
      <c r="BZ73" s="141">
        <v>-15000</v>
      </c>
      <c r="CA73" s="141">
        <v>0</v>
      </c>
      <c r="CB73" s="141">
        <v>-15000</v>
      </c>
      <c r="CC73" s="141">
        <v>0</v>
      </c>
      <c r="CD73" s="141">
        <v>0</v>
      </c>
      <c r="CE73" s="141">
        <v>0</v>
      </c>
      <c r="CF73" s="141">
        <v>0</v>
      </c>
      <c r="CG73" s="141">
        <v>0</v>
      </c>
      <c r="CH73" s="141">
        <v>0</v>
      </c>
      <c r="CI73" s="141">
        <v>0</v>
      </c>
      <c r="CJ73" s="141">
        <v>0</v>
      </c>
      <c r="CK73" s="141">
        <v>0</v>
      </c>
      <c r="CL73" s="141">
        <v>0</v>
      </c>
      <c r="CM73" s="141">
        <v>0</v>
      </c>
      <c r="CN73" s="141">
        <v>0</v>
      </c>
      <c r="CO73" s="141">
        <v>0</v>
      </c>
      <c r="CP73" s="141">
        <v>0</v>
      </c>
      <c r="CQ73" s="141">
        <v>-435000</v>
      </c>
      <c r="CR73" s="141">
        <v>0</v>
      </c>
      <c r="CS73" s="141">
        <v>0</v>
      </c>
      <c r="CT73" s="141">
        <v>0</v>
      </c>
      <c r="CU73" s="141">
        <v>-435000</v>
      </c>
      <c r="CV73" s="141">
        <v>0</v>
      </c>
      <c r="CW73" s="141">
        <v>-435000</v>
      </c>
      <c r="CX73" s="141">
        <v>0</v>
      </c>
      <c r="CY73" s="141">
        <v>0</v>
      </c>
      <c r="CZ73" s="141">
        <v>0</v>
      </c>
      <c r="DA73" s="141">
        <v>-1500</v>
      </c>
      <c r="DB73" s="141">
        <v>0</v>
      </c>
      <c r="DC73" s="141">
        <v>-1500</v>
      </c>
      <c r="DD73" s="141">
        <v>-60000</v>
      </c>
      <c r="DE73" s="141">
        <v>0</v>
      </c>
      <c r="DF73" s="141">
        <v>-60000</v>
      </c>
      <c r="DG73" s="141">
        <v>-84000</v>
      </c>
      <c r="DH73" s="141">
        <v>0</v>
      </c>
      <c r="DI73" s="141">
        <v>-84000</v>
      </c>
      <c r="DJ73" s="141">
        <v>0</v>
      </c>
      <c r="DK73" s="141">
        <v>0</v>
      </c>
      <c r="DL73" s="141">
        <v>0</v>
      </c>
      <c r="DM73" s="141">
        <v>-2295000</v>
      </c>
      <c r="DN73" s="141">
        <v>0</v>
      </c>
      <c r="DO73" s="141">
        <v>-2295000</v>
      </c>
      <c r="DP73" s="141">
        <v>-2440500</v>
      </c>
      <c r="DQ73" s="141">
        <v>0</v>
      </c>
      <c r="DR73" s="141">
        <v>0</v>
      </c>
      <c r="DS73" s="141">
        <v>0</v>
      </c>
      <c r="DT73" s="141">
        <v>-2440500</v>
      </c>
      <c r="DU73" s="141">
        <v>0</v>
      </c>
      <c r="DV73" s="141">
        <v>-2440500</v>
      </c>
      <c r="DW73" s="856">
        <v>126286111</v>
      </c>
      <c r="DX73" s="856">
        <v>0</v>
      </c>
      <c r="DY73" s="857">
        <v>126286111</v>
      </c>
      <c r="DZ73" t="s">
        <v>1639</v>
      </c>
    </row>
    <row r="74" spans="1:130" ht="12.75" x14ac:dyDescent="0.2">
      <c r="A74" s="764">
        <v>67</v>
      </c>
      <c r="B74" s="765" t="s">
        <v>14</v>
      </c>
      <c r="C74" s="766" t="s">
        <v>1217</v>
      </c>
      <c r="D74" s="767" t="s">
        <v>1225</v>
      </c>
      <c r="E74" s="768" t="s">
        <v>13</v>
      </c>
      <c r="F74" s="867">
        <v>43465</v>
      </c>
      <c r="G74" s="141">
        <v>50205797</v>
      </c>
      <c r="H74" s="141">
        <v>0</v>
      </c>
      <c r="I74" s="141">
        <v>50205797</v>
      </c>
      <c r="J74" s="141">
        <v>49.1</v>
      </c>
      <c r="K74" s="141">
        <v>24651046</v>
      </c>
      <c r="L74" s="141">
        <v>0</v>
      </c>
      <c r="M74" s="141">
        <v>0</v>
      </c>
      <c r="N74" s="141">
        <v>0</v>
      </c>
      <c r="O74" s="141">
        <v>24651046</v>
      </c>
      <c r="P74" s="141">
        <v>0</v>
      </c>
      <c r="Q74" s="141">
        <v>24651046</v>
      </c>
      <c r="R74" s="141">
        <v>-397081</v>
      </c>
      <c r="S74" s="141">
        <v>0</v>
      </c>
      <c r="T74" s="141">
        <v>-397081</v>
      </c>
      <c r="U74" s="141">
        <v>78591</v>
      </c>
      <c r="V74" s="141">
        <v>0</v>
      </c>
      <c r="W74" s="141">
        <v>78591</v>
      </c>
      <c r="X74" s="141">
        <v>-318490</v>
      </c>
      <c r="Y74" s="141">
        <v>0</v>
      </c>
      <c r="Z74" s="141">
        <v>0</v>
      </c>
      <c r="AA74" s="141">
        <v>0</v>
      </c>
      <c r="AB74" s="141">
        <v>-318490</v>
      </c>
      <c r="AC74" s="141">
        <v>0</v>
      </c>
      <c r="AD74" s="141">
        <v>-318490</v>
      </c>
      <c r="AE74" s="141">
        <v>318490</v>
      </c>
      <c r="AF74" s="141">
        <v>0</v>
      </c>
      <c r="AG74" s="141">
        <v>318490</v>
      </c>
      <c r="AH74" s="141">
        <v>-3811491</v>
      </c>
      <c r="AI74" s="141">
        <v>0</v>
      </c>
      <c r="AJ74" s="141">
        <v>-3811491</v>
      </c>
      <c r="AK74" s="141">
        <v>-14859</v>
      </c>
      <c r="AL74" s="141">
        <v>0</v>
      </c>
      <c r="AM74" s="141">
        <v>-14859</v>
      </c>
      <c r="AN74" s="141">
        <v>329611</v>
      </c>
      <c r="AO74" s="141">
        <v>0</v>
      </c>
      <c r="AP74" s="141">
        <v>329611</v>
      </c>
      <c r="AQ74" s="141">
        <v>-3481880</v>
      </c>
      <c r="AR74" s="141">
        <v>0</v>
      </c>
      <c r="AS74" s="141">
        <v>-3481880</v>
      </c>
      <c r="AT74" s="141">
        <v>-1260125</v>
      </c>
      <c r="AU74" s="141">
        <v>0</v>
      </c>
      <c r="AV74" s="141">
        <v>-1260125</v>
      </c>
      <c r="AW74" s="141">
        <v>-23789</v>
      </c>
      <c r="AX74" s="141">
        <v>0</v>
      </c>
      <c r="AY74" s="141">
        <v>-23789</v>
      </c>
      <c r="AZ74" s="141">
        <v>-18156</v>
      </c>
      <c r="BA74" s="141">
        <v>0</v>
      </c>
      <c r="BB74" s="141">
        <v>-18156</v>
      </c>
      <c r="BC74" s="141">
        <v>-4783950</v>
      </c>
      <c r="BD74" s="141">
        <v>0</v>
      </c>
      <c r="BE74" s="141">
        <v>0</v>
      </c>
      <c r="BF74" s="141">
        <v>0</v>
      </c>
      <c r="BG74" s="141">
        <v>-4783950</v>
      </c>
      <c r="BH74" s="141">
        <v>0</v>
      </c>
      <c r="BI74" s="141">
        <v>-4783950</v>
      </c>
      <c r="BJ74" s="141">
        <v>0</v>
      </c>
      <c r="BK74" s="141">
        <v>0</v>
      </c>
      <c r="BL74" s="141">
        <v>0</v>
      </c>
      <c r="BM74" s="141">
        <v>-556561</v>
      </c>
      <c r="BN74" s="141">
        <v>0</v>
      </c>
      <c r="BO74" s="141">
        <v>-556561</v>
      </c>
      <c r="BP74" s="141">
        <v>-556561</v>
      </c>
      <c r="BQ74" s="141">
        <v>0</v>
      </c>
      <c r="BR74" s="141">
        <v>0</v>
      </c>
      <c r="BS74" s="141">
        <v>0</v>
      </c>
      <c r="BT74" s="141">
        <v>-556561</v>
      </c>
      <c r="BU74" s="141">
        <v>0</v>
      </c>
      <c r="BV74" s="141">
        <v>-556561</v>
      </c>
      <c r="BW74" s="141">
        <v>-28493</v>
      </c>
      <c r="BX74" s="141">
        <v>0</v>
      </c>
      <c r="BY74" s="141">
        <v>-28493</v>
      </c>
      <c r="BZ74" s="141">
        <v>-3436</v>
      </c>
      <c r="CA74" s="141">
        <v>0</v>
      </c>
      <c r="CB74" s="141">
        <v>-3436</v>
      </c>
      <c r="CC74" s="141">
        <v>0</v>
      </c>
      <c r="CD74" s="141">
        <v>0</v>
      </c>
      <c r="CE74" s="141">
        <v>0</v>
      </c>
      <c r="CF74" s="141">
        <v>0</v>
      </c>
      <c r="CG74" s="141">
        <v>0</v>
      </c>
      <c r="CH74" s="141">
        <v>0</v>
      </c>
      <c r="CI74" s="141">
        <v>0</v>
      </c>
      <c r="CJ74" s="141">
        <v>0</v>
      </c>
      <c r="CK74" s="141">
        <v>0</v>
      </c>
      <c r="CL74" s="141">
        <v>0</v>
      </c>
      <c r="CM74" s="141">
        <v>0</v>
      </c>
      <c r="CN74" s="141">
        <v>0</v>
      </c>
      <c r="CO74" s="141">
        <v>0</v>
      </c>
      <c r="CP74" s="141">
        <v>0</v>
      </c>
      <c r="CQ74" s="141">
        <v>-31929</v>
      </c>
      <c r="CR74" s="141">
        <v>0</v>
      </c>
      <c r="CS74" s="141">
        <v>0</v>
      </c>
      <c r="CT74" s="141">
        <v>0</v>
      </c>
      <c r="CU74" s="141">
        <v>-31929</v>
      </c>
      <c r="CV74" s="141">
        <v>0</v>
      </c>
      <c r="CW74" s="141">
        <v>-31929</v>
      </c>
      <c r="CX74" s="141">
        <v>0</v>
      </c>
      <c r="CY74" s="141">
        <v>0</v>
      </c>
      <c r="CZ74" s="141">
        <v>0</v>
      </c>
      <c r="DA74" s="141">
        <v>0</v>
      </c>
      <c r="DB74" s="141">
        <v>0</v>
      </c>
      <c r="DC74" s="141">
        <v>0</v>
      </c>
      <c r="DD74" s="141">
        <v>0</v>
      </c>
      <c r="DE74" s="141">
        <v>0</v>
      </c>
      <c r="DF74" s="141">
        <v>0</v>
      </c>
      <c r="DG74" s="141">
        <v>-33000</v>
      </c>
      <c r="DH74" s="141">
        <v>0</v>
      </c>
      <c r="DI74" s="141">
        <v>-33000</v>
      </c>
      <c r="DJ74" s="141">
        <v>0</v>
      </c>
      <c r="DK74" s="141">
        <v>0</v>
      </c>
      <c r="DL74" s="141">
        <v>0</v>
      </c>
      <c r="DM74" s="141">
        <v>-821300</v>
      </c>
      <c r="DN74" s="141">
        <v>0</v>
      </c>
      <c r="DO74" s="141">
        <v>-821300</v>
      </c>
      <c r="DP74" s="141">
        <v>-854300</v>
      </c>
      <c r="DQ74" s="141">
        <v>0</v>
      </c>
      <c r="DR74" s="141">
        <v>0</v>
      </c>
      <c r="DS74" s="141">
        <v>0</v>
      </c>
      <c r="DT74" s="141">
        <v>-854300</v>
      </c>
      <c r="DU74" s="141">
        <v>0</v>
      </c>
      <c r="DV74" s="141">
        <v>-854300</v>
      </c>
      <c r="DW74" s="856">
        <v>18105816</v>
      </c>
      <c r="DX74" s="856">
        <v>0</v>
      </c>
      <c r="DY74" s="857">
        <v>18105816</v>
      </c>
      <c r="DZ74" t="s">
        <v>1640</v>
      </c>
    </row>
    <row r="75" spans="1:130" ht="12.75" x14ac:dyDescent="0.2">
      <c r="A75" s="764">
        <v>68</v>
      </c>
      <c r="B75" s="765" t="s">
        <v>16</v>
      </c>
      <c r="C75" s="766" t="s">
        <v>1217</v>
      </c>
      <c r="D75" s="767" t="s">
        <v>1218</v>
      </c>
      <c r="E75" s="768" t="s">
        <v>15</v>
      </c>
      <c r="F75" s="867">
        <v>43465</v>
      </c>
      <c r="G75" s="141">
        <v>273993186</v>
      </c>
      <c r="H75" s="141">
        <v>0</v>
      </c>
      <c r="I75" s="141">
        <v>273993186</v>
      </c>
      <c r="J75" s="141">
        <v>49.1</v>
      </c>
      <c r="K75" s="141">
        <v>134530654</v>
      </c>
      <c r="L75" s="141">
        <v>0</v>
      </c>
      <c r="M75" s="141">
        <v>1922874</v>
      </c>
      <c r="N75" s="141">
        <v>0</v>
      </c>
      <c r="O75" s="141">
        <v>136453528</v>
      </c>
      <c r="P75" s="141">
        <v>0</v>
      </c>
      <c r="Q75" s="141">
        <v>136453528</v>
      </c>
      <c r="R75" s="141">
        <v>-567448</v>
      </c>
      <c r="S75" s="141">
        <v>0</v>
      </c>
      <c r="T75" s="141">
        <v>-567448</v>
      </c>
      <c r="U75" s="141">
        <v>1562671</v>
      </c>
      <c r="V75" s="141">
        <v>0</v>
      </c>
      <c r="W75" s="141">
        <v>1562671</v>
      </c>
      <c r="X75" s="141">
        <v>995223</v>
      </c>
      <c r="Y75" s="141">
        <v>0</v>
      </c>
      <c r="Z75" s="141">
        <v>0</v>
      </c>
      <c r="AA75" s="141">
        <v>0</v>
      </c>
      <c r="AB75" s="141">
        <v>995223</v>
      </c>
      <c r="AC75" s="141">
        <v>0</v>
      </c>
      <c r="AD75" s="141">
        <v>995223</v>
      </c>
      <c r="AE75" s="141">
        <v>-995223</v>
      </c>
      <c r="AF75" s="141">
        <v>0</v>
      </c>
      <c r="AG75" s="141">
        <v>-995223</v>
      </c>
      <c r="AH75" s="141">
        <v>-1661518</v>
      </c>
      <c r="AI75" s="141">
        <v>0</v>
      </c>
      <c r="AJ75" s="141">
        <v>-1661518</v>
      </c>
      <c r="AK75" s="141">
        <v>-11000</v>
      </c>
      <c r="AL75" s="141">
        <v>0</v>
      </c>
      <c r="AM75" s="141">
        <v>-11000</v>
      </c>
      <c r="AN75" s="141">
        <v>3168444</v>
      </c>
      <c r="AO75" s="141">
        <v>0</v>
      </c>
      <c r="AP75" s="141">
        <v>3168444</v>
      </c>
      <c r="AQ75" s="141">
        <v>1506926</v>
      </c>
      <c r="AR75" s="141">
        <v>0</v>
      </c>
      <c r="AS75" s="141">
        <v>1506926</v>
      </c>
      <c r="AT75" s="141">
        <v>-3248162</v>
      </c>
      <c r="AU75" s="141">
        <v>0</v>
      </c>
      <c r="AV75" s="141">
        <v>-3248162</v>
      </c>
      <c r="AW75" s="141">
        <v>-32011</v>
      </c>
      <c r="AX75" s="141">
        <v>0</v>
      </c>
      <c r="AY75" s="141">
        <v>-32011</v>
      </c>
      <c r="AZ75" s="141">
        <v>0</v>
      </c>
      <c r="BA75" s="141">
        <v>0</v>
      </c>
      <c r="BB75" s="141">
        <v>0</v>
      </c>
      <c r="BC75" s="141">
        <v>-1773247</v>
      </c>
      <c r="BD75" s="141">
        <v>0</v>
      </c>
      <c r="BE75" s="141">
        <v>0</v>
      </c>
      <c r="BF75" s="141">
        <v>0</v>
      </c>
      <c r="BG75" s="141">
        <v>-1773247</v>
      </c>
      <c r="BH75" s="141">
        <v>0</v>
      </c>
      <c r="BI75" s="141">
        <v>-1773247</v>
      </c>
      <c r="BJ75" s="141">
        <v>-35000</v>
      </c>
      <c r="BK75" s="141">
        <v>0</v>
      </c>
      <c r="BL75" s="141">
        <v>-35000</v>
      </c>
      <c r="BM75" s="141">
        <v>-3423287</v>
      </c>
      <c r="BN75" s="141">
        <v>0</v>
      </c>
      <c r="BO75" s="141">
        <v>-3423287</v>
      </c>
      <c r="BP75" s="141">
        <v>-3458287</v>
      </c>
      <c r="BQ75" s="141">
        <v>0</v>
      </c>
      <c r="BR75" s="141">
        <v>0</v>
      </c>
      <c r="BS75" s="141">
        <v>0</v>
      </c>
      <c r="BT75" s="141">
        <v>-3458287</v>
      </c>
      <c r="BU75" s="141">
        <v>0</v>
      </c>
      <c r="BV75" s="141">
        <v>-3458287</v>
      </c>
      <c r="BW75" s="141">
        <v>-261113</v>
      </c>
      <c r="BX75" s="141">
        <v>0</v>
      </c>
      <c r="BY75" s="141">
        <v>-261113</v>
      </c>
      <c r="BZ75" s="141">
        <v>-141705</v>
      </c>
      <c r="CA75" s="141">
        <v>0</v>
      </c>
      <c r="CB75" s="141">
        <v>-141705</v>
      </c>
      <c r="CC75" s="141">
        <v>-2042</v>
      </c>
      <c r="CD75" s="141">
        <v>0</v>
      </c>
      <c r="CE75" s="141">
        <v>-2042</v>
      </c>
      <c r="CF75" s="141">
        <v>0</v>
      </c>
      <c r="CG75" s="141">
        <v>0</v>
      </c>
      <c r="CH75" s="141">
        <v>0</v>
      </c>
      <c r="CI75" s="141">
        <v>0</v>
      </c>
      <c r="CJ75" s="141">
        <v>0</v>
      </c>
      <c r="CK75" s="141">
        <v>0</v>
      </c>
      <c r="CL75" s="141">
        <v>0</v>
      </c>
      <c r="CM75" s="141">
        <v>0</v>
      </c>
      <c r="CN75" s="141">
        <v>0</v>
      </c>
      <c r="CO75" s="141">
        <v>0</v>
      </c>
      <c r="CP75" s="141">
        <v>0</v>
      </c>
      <c r="CQ75" s="141">
        <v>-404860</v>
      </c>
      <c r="CR75" s="141">
        <v>0</v>
      </c>
      <c r="CS75" s="141">
        <v>0</v>
      </c>
      <c r="CT75" s="141">
        <v>0</v>
      </c>
      <c r="CU75" s="141">
        <v>-404860</v>
      </c>
      <c r="CV75" s="141">
        <v>0</v>
      </c>
      <c r="CW75" s="141">
        <v>-404860</v>
      </c>
      <c r="CX75" s="141">
        <v>0</v>
      </c>
      <c r="CY75" s="141">
        <v>0</v>
      </c>
      <c r="CZ75" s="141">
        <v>0</v>
      </c>
      <c r="DA75" s="141">
        <v>0</v>
      </c>
      <c r="DB75" s="141">
        <v>0</v>
      </c>
      <c r="DC75" s="141">
        <v>0</v>
      </c>
      <c r="DD75" s="141">
        <v>-17693</v>
      </c>
      <c r="DE75" s="141">
        <v>0</v>
      </c>
      <c r="DF75" s="141">
        <v>-17693</v>
      </c>
      <c r="DG75" s="141">
        <v>-35560</v>
      </c>
      <c r="DH75" s="141">
        <v>0</v>
      </c>
      <c r="DI75" s="141">
        <v>-35560</v>
      </c>
      <c r="DJ75" s="141">
        <v>0</v>
      </c>
      <c r="DK75" s="141">
        <v>0</v>
      </c>
      <c r="DL75" s="141">
        <v>0</v>
      </c>
      <c r="DM75" s="141">
        <v>-873585</v>
      </c>
      <c r="DN75" s="141">
        <v>0</v>
      </c>
      <c r="DO75" s="141">
        <v>-873585</v>
      </c>
      <c r="DP75" s="141">
        <v>-926838</v>
      </c>
      <c r="DQ75" s="141">
        <v>0</v>
      </c>
      <c r="DR75" s="141">
        <v>0</v>
      </c>
      <c r="DS75" s="141">
        <v>0</v>
      </c>
      <c r="DT75" s="141">
        <v>-926838</v>
      </c>
      <c r="DU75" s="141">
        <v>0</v>
      </c>
      <c r="DV75" s="141">
        <v>-926838</v>
      </c>
      <c r="DW75" s="856">
        <v>130885519</v>
      </c>
      <c r="DX75" s="856">
        <v>0</v>
      </c>
      <c r="DY75" s="857">
        <v>130885519</v>
      </c>
      <c r="DZ75" t="s">
        <v>1641</v>
      </c>
    </row>
    <row r="76" spans="1:130" ht="12.75" x14ac:dyDescent="0.2">
      <c r="A76" s="764">
        <v>69</v>
      </c>
      <c r="B76" s="765" t="s">
        <v>18</v>
      </c>
      <c r="C76" s="766" t="s">
        <v>1222</v>
      </c>
      <c r="D76" s="767" t="s">
        <v>1223</v>
      </c>
      <c r="E76" s="768" t="s">
        <v>17</v>
      </c>
      <c r="F76" s="867">
        <v>43464</v>
      </c>
      <c r="G76" s="141">
        <v>265962153</v>
      </c>
      <c r="H76" s="141">
        <v>58404928</v>
      </c>
      <c r="I76" s="141">
        <v>324367081</v>
      </c>
      <c r="J76" s="141">
        <v>49.1</v>
      </c>
      <c r="K76" s="141">
        <v>130587417</v>
      </c>
      <c r="L76" s="141">
        <v>28676820</v>
      </c>
      <c r="M76" s="141">
        <v>0</v>
      </c>
      <c r="N76" s="141">
        <v>0</v>
      </c>
      <c r="O76" s="141">
        <v>130587417</v>
      </c>
      <c r="P76" s="141">
        <v>28676820</v>
      </c>
      <c r="Q76" s="141">
        <v>159264237</v>
      </c>
      <c r="R76" s="141">
        <v>-4488058</v>
      </c>
      <c r="S76" s="141">
        <v>-595483</v>
      </c>
      <c r="T76" s="141">
        <v>-5083541</v>
      </c>
      <c r="U76" s="141">
        <v>1110089</v>
      </c>
      <c r="V76" s="141">
        <v>941233</v>
      </c>
      <c r="W76" s="141">
        <v>2051322</v>
      </c>
      <c r="X76" s="141">
        <v>-3377969</v>
      </c>
      <c r="Y76" s="141">
        <v>345750</v>
      </c>
      <c r="Z76" s="141">
        <v>0</v>
      </c>
      <c r="AA76" s="141">
        <v>0</v>
      </c>
      <c r="AB76" s="141">
        <v>-3377969</v>
      </c>
      <c r="AC76" s="141">
        <v>345750</v>
      </c>
      <c r="AD76" s="141">
        <v>-3032219</v>
      </c>
      <c r="AE76" s="141">
        <v>3377969</v>
      </c>
      <c r="AF76" s="141">
        <v>-345750</v>
      </c>
      <c r="AG76" s="141">
        <v>3032219</v>
      </c>
      <c r="AH76" s="141">
        <v>-8502755</v>
      </c>
      <c r="AI76" s="141">
        <v>-284160</v>
      </c>
      <c r="AJ76" s="141">
        <v>-8786915</v>
      </c>
      <c r="AK76" s="141">
        <v>0</v>
      </c>
      <c r="AL76" s="141">
        <v>0</v>
      </c>
      <c r="AM76" s="141">
        <v>0</v>
      </c>
      <c r="AN76" s="141">
        <v>2544719</v>
      </c>
      <c r="AO76" s="141">
        <v>677116</v>
      </c>
      <c r="AP76" s="141">
        <v>3221835</v>
      </c>
      <c r="AQ76" s="141">
        <v>-5958036</v>
      </c>
      <c r="AR76" s="141">
        <v>392956</v>
      </c>
      <c r="AS76" s="141">
        <v>-5565080</v>
      </c>
      <c r="AT76" s="141">
        <v>-11098481</v>
      </c>
      <c r="AU76" s="141">
        <v>-342230</v>
      </c>
      <c r="AV76" s="141">
        <v>-11440711</v>
      </c>
      <c r="AW76" s="141">
        <v>-226054</v>
      </c>
      <c r="AX76" s="141">
        <v>0</v>
      </c>
      <c r="AY76" s="141">
        <v>-226054</v>
      </c>
      <c r="AZ76" s="141">
        <v>0</v>
      </c>
      <c r="BA76" s="141">
        <v>0</v>
      </c>
      <c r="BB76" s="141">
        <v>0</v>
      </c>
      <c r="BC76" s="141">
        <v>-17282571</v>
      </c>
      <c r="BD76" s="141">
        <v>50726</v>
      </c>
      <c r="BE76" s="141">
        <v>0</v>
      </c>
      <c r="BF76" s="141">
        <v>0</v>
      </c>
      <c r="BG76" s="141">
        <v>-17282571</v>
      </c>
      <c r="BH76" s="141">
        <v>50726</v>
      </c>
      <c r="BI76" s="141">
        <v>-17231845</v>
      </c>
      <c r="BJ76" s="141">
        <v>0</v>
      </c>
      <c r="BK76" s="141">
        <v>0</v>
      </c>
      <c r="BL76" s="141">
        <v>0</v>
      </c>
      <c r="BM76" s="141">
        <v>-2537946</v>
      </c>
      <c r="BN76" s="141">
        <v>-4466383</v>
      </c>
      <c r="BO76" s="141">
        <v>-7004329</v>
      </c>
      <c r="BP76" s="141">
        <v>-2537946</v>
      </c>
      <c r="BQ76" s="141">
        <v>-4466383</v>
      </c>
      <c r="BR76" s="141">
        <v>0</v>
      </c>
      <c r="BS76" s="141">
        <v>0</v>
      </c>
      <c r="BT76" s="141">
        <v>-2537946</v>
      </c>
      <c r="BU76" s="141">
        <v>-4466383</v>
      </c>
      <c r="BV76" s="141">
        <v>-7004329</v>
      </c>
      <c r="BW76" s="141">
        <v>0</v>
      </c>
      <c r="BX76" s="141">
        <v>0</v>
      </c>
      <c r="BY76" s="141">
        <v>0</v>
      </c>
      <c r="BZ76" s="141">
        <v>-28244</v>
      </c>
      <c r="CA76" s="141">
        <v>-706427</v>
      </c>
      <c r="CB76" s="141">
        <v>-734671</v>
      </c>
      <c r="CC76" s="141">
        <v>0</v>
      </c>
      <c r="CD76" s="141">
        <v>0</v>
      </c>
      <c r="CE76" s="141">
        <v>0</v>
      </c>
      <c r="CF76" s="141">
        <v>0</v>
      </c>
      <c r="CG76" s="141">
        <v>0</v>
      </c>
      <c r="CH76" s="141">
        <v>0</v>
      </c>
      <c r="CI76" s="141">
        <v>0</v>
      </c>
      <c r="CJ76" s="141">
        <v>0</v>
      </c>
      <c r="CK76" s="141">
        <v>0</v>
      </c>
      <c r="CL76" s="141">
        <v>0</v>
      </c>
      <c r="CM76" s="141">
        <v>0</v>
      </c>
      <c r="CN76" s="141">
        <v>0</v>
      </c>
      <c r="CO76" s="141">
        <v>0</v>
      </c>
      <c r="CP76" s="141">
        <v>0</v>
      </c>
      <c r="CQ76" s="141">
        <v>-28244</v>
      </c>
      <c r="CR76" s="141">
        <v>-706427</v>
      </c>
      <c r="CS76" s="141">
        <v>0</v>
      </c>
      <c r="CT76" s="141">
        <v>0</v>
      </c>
      <c r="CU76" s="141">
        <v>-28244</v>
      </c>
      <c r="CV76" s="141">
        <v>-706427</v>
      </c>
      <c r="CW76" s="141">
        <v>-734671</v>
      </c>
      <c r="CX76" s="141">
        <v>0</v>
      </c>
      <c r="CY76" s="141">
        <v>0</v>
      </c>
      <c r="CZ76" s="141">
        <v>0</v>
      </c>
      <c r="DA76" s="141">
        <v>0</v>
      </c>
      <c r="DB76" s="141">
        <v>0</v>
      </c>
      <c r="DC76" s="141">
        <v>0</v>
      </c>
      <c r="DD76" s="141">
        <v>-287940</v>
      </c>
      <c r="DE76" s="141">
        <v>-1024</v>
      </c>
      <c r="DF76" s="141">
        <v>-288964</v>
      </c>
      <c r="DG76" s="141">
        <v>-297253</v>
      </c>
      <c r="DH76" s="141">
        <v>-60883</v>
      </c>
      <c r="DI76" s="141">
        <v>-358136</v>
      </c>
      <c r="DJ76" s="141">
        <v>0</v>
      </c>
      <c r="DK76" s="141">
        <v>0</v>
      </c>
      <c r="DL76" s="141">
        <v>0</v>
      </c>
      <c r="DM76" s="141">
        <v>-3262015</v>
      </c>
      <c r="DN76" s="141">
        <v>-381845</v>
      </c>
      <c r="DO76" s="141">
        <v>-3643860</v>
      </c>
      <c r="DP76" s="141">
        <v>-3847208</v>
      </c>
      <c r="DQ76" s="141">
        <v>-443752</v>
      </c>
      <c r="DR76" s="141">
        <v>0</v>
      </c>
      <c r="DS76" s="141">
        <v>0</v>
      </c>
      <c r="DT76" s="141">
        <v>-3847208</v>
      </c>
      <c r="DU76" s="141">
        <v>-443752</v>
      </c>
      <c r="DV76" s="141">
        <v>-4290960</v>
      </c>
      <c r="DW76" s="856">
        <v>103513479</v>
      </c>
      <c r="DX76" s="856">
        <v>23456734</v>
      </c>
      <c r="DY76" s="857">
        <v>126970213</v>
      </c>
      <c r="DZ76" t="s">
        <v>1642</v>
      </c>
    </row>
    <row r="77" spans="1:130" ht="12.75" x14ac:dyDescent="0.2">
      <c r="A77" s="764">
        <v>70</v>
      </c>
      <c r="B77" s="765" t="s">
        <v>20</v>
      </c>
      <c r="C77" s="766" t="s">
        <v>1217</v>
      </c>
      <c r="D77" s="767" t="s">
        <v>1221</v>
      </c>
      <c r="E77" s="768" t="s">
        <v>19</v>
      </c>
      <c r="F77" s="867">
        <v>43487</v>
      </c>
      <c r="G77" s="141">
        <v>160802879</v>
      </c>
      <c r="H77" s="141">
        <v>852400</v>
      </c>
      <c r="I77" s="141">
        <v>161655279</v>
      </c>
      <c r="J77" s="141">
        <v>49.1</v>
      </c>
      <c r="K77" s="141">
        <v>78954214</v>
      </c>
      <c r="L77" s="141">
        <v>418528</v>
      </c>
      <c r="M77" s="141">
        <v>0</v>
      </c>
      <c r="N77" s="141">
        <v>351380</v>
      </c>
      <c r="O77" s="141">
        <v>78954214</v>
      </c>
      <c r="P77" s="141">
        <v>769908</v>
      </c>
      <c r="Q77" s="141">
        <v>79724122</v>
      </c>
      <c r="R77" s="141">
        <v>-521750</v>
      </c>
      <c r="S77" s="141">
        <v>0</v>
      </c>
      <c r="T77" s="141">
        <v>-521750</v>
      </c>
      <c r="U77" s="141">
        <v>436508</v>
      </c>
      <c r="V77" s="141">
        <v>0</v>
      </c>
      <c r="W77" s="141">
        <v>436508</v>
      </c>
      <c r="X77" s="141">
        <v>-85242</v>
      </c>
      <c r="Y77" s="141">
        <v>0</v>
      </c>
      <c r="Z77" s="141">
        <v>0</v>
      </c>
      <c r="AA77" s="141">
        <v>0</v>
      </c>
      <c r="AB77" s="141">
        <v>-85242</v>
      </c>
      <c r="AC77" s="141">
        <v>0</v>
      </c>
      <c r="AD77" s="141">
        <v>-85242</v>
      </c>
      <c r="AE77" s="141">
        <v>85242</v>
      </c>
      <c r="AF77" s="141">
        <v>0</v>
      </c>
      <c r="AG77" s="141">
        <v>85242</v>
      </c>
      <c r="AH77" s="141">
        <v>-3968148</v>
      </c>
      <c r="AI77" s="141">
        <v>0</v>
      </c>
      <c r="AJ77" s="141">
        <v>-3968148</v>
      </c>
      <c r="AK77" s="141">
        <v>0</v>
      </c>
      <c r="AL77" s="141">
        <v>0</v>
      </c>
      <c r="AM77" s="141">
        <v>0</v>
      </c>
      <c r="AN77" s="141">
        <v>1556830</v>
      </c>
      <c r="AO77" s="141">
        <v>10992</v>
      </c>
      <c r="AP77" s="141">
        <v>1567822</v>
      </c>
      <c r="AQ77" s="141">
        <v>-2411318</v>
      </c>
      <c r="AR77" s="141">
        <v>10992</v>
      </c>
      <c r="AS77" s="141">
        <v>-2400326</v>
      </c>
      <c r="AT77" s="141">
        <v>-4560918</v>
      </c>
      <c r="AU77" s="141">
        <v>0</v>
      </c>
      <c r="AV77" s="141">
        <v>-4560918</v>
      </c>
      <c r="AW77" s="141">
        <v>-91637</v>
      </c>
      <c r="AX77" s="141">
        <v>0</v>
      </c>
      <c r="AY77" s="141">
        <v>-91637</v>
      </c>
      <c r="AZ77" s="141">
        <v>-4360</v>
      </c>
      <c r="BA77" s="141">
        <v>0</v>
      </c>
      <c r="BB77" s="141">
        <v>-4360</v>
      </c>
      <c r="BC77" s="141">
        <v>-7068233</v>
      </c>
      <c r="BD77" s="141">
        <v>10992</v>
      </c>
      <c r="BE77" s="141">
        <v>0</v>
      </c>
      <c r="BF77" s="141">
        <v>0</v>
      </c>
      <c r="BG77" s="141">
        <v>-7068233</v>
      </c>
      <c r="BH77" s="141">
        <v>10992</v>
      </c>
      <c r="BI77" s="141">
        <v>-7057241</v>
      </c>
      <c r="BJ77" s="141">
        <v>-170000</v>
      </c>
      <c r="BK77" s="141">
        <v>0</v>
      </c>
      <c r="BL77" s="141">
        <v>-170000</v>
      </c>
      <c r="BM77" s="141">
        <v>-1171168</v>
      </c>
      <c r="BN77" s="141">
        <v>0</v>
      </c>
      <c r="BO77" s="141">
        <v>-1171168</v>
      </c>
      <c r="BP77" s="141">
        <v>-1341168</v>
      </c>
      <c r="BQ77" s="141">
        <v>0</v>
      </c>
      <c r="BR77" s="141">
        <v>0</v>
      </c>
      <c r="BS77" s="141">
        <v>0</v>
      </c>
      <c r="BT77" s="141">
        <v>-1341168</v>
      </c>
      <c r="BU77" s="141">
        <v>0</v>
      </c>
      <c r="BV77" s="141">
        <v>-1341168</v>
      </c>
      <c r="BW77" s="141">
        <v>-289045</v>
      </c>
      <c r="BX77" s="141">
        <v>0</v>
      </c>
      <c r="BY77" s="141">
        <v>-289045</v>
      </c>
      <c r="BZ77" s="141">
        <v>-552</v>
      </c>
      <c r="CA77" s="141">
        <v>0</v>
      </c>
      <c r="CB77" s="141">
        <v>-552</v>
      </c>
      <c r="CC77" s="141">
        <v>-217</v>
      </c>
      <c r="CD77" s="141">
        <v>0</v>
      </c>
      <c r="CE77" s="141">
        <v>-217</v>
      </c>
      <c r="CF77" s="141">
        <v>0</v>
      </c>
      <c r="CG77" s="141">
        <v>0</v>
      </c>
      <c r="CH77" s="141">
        <v>0</v>
      </c>
      <c r="CI77" s="141">
        <v>0</v>
      </c>
      <c r="CJ77" s="141">
        <v>0</v>
      </c>
      <c r="CK77" s="141">
        <v>0</v>
      </c>
      <c r="CL77" s="141">
        <v>0</v>
      </c>
      <c r="CM77" s="141">
        <v>0</v>
      </c>
      <c r="CN77" s="141">
        <v>0</v>
      </c>
      <c r="CO77" s="141">
        <v>0</v>
      </c>
      <c r="CP77" s="141">
        <v>0</v>
      </c>
      <c r="CQ77" s="141">
        <v>-289814</v>
      </c>
      <c r="CR77" s="141">
        <v>0</v>
      </c>
      <c r="CS77" s="141">
        <v>0</v>
      </c>
      <c r="CT77" s="141">
        <v>0</v>
      </c>
      <c r="CU77" s="141">
        <v>-289814</v>
      </c>
      <c r="CV77" s="141">
        <v>0</v>
      </c>
      <c r="CW77" s="141">
        <v>-289814</v>
      </c>
      <c r="CX77" s="141">
        <v>-4360</v>
      </c>
      <c r="CY77" s="141">
        <v>0</v>
      </c>
      <c r="CZ77" s="141">
        <v>-4360</v>
      </c>
      <c r="DA77" s="141">
        <v>0</v>
      </c>
      <c r="DB77" s="141">
        <v>0</v>
      </c>
      <c r="DC77" s="141">
        <v>0</v>
      </c>
      <c r="DD77" s="141">
        <v>-18317</v>
      </c>
      <c r="DE77" s="141">
        <v>0</v>
      </c>
      <c r="DF77" s="141">
        <v>-18317</v>
      </c>
      <c r="DG77" s="141">
        <v>-76400</v>
      </c>
      <c r="DH77" s="141">
        <v>0</v>
      </c>
      <c r="DI77" s="141">
        <v>-76400</v>
      </c>
      <c r="DJ77" s="141">
        <v>0</v>
      </c>
      <c r="DK77" s="141">
        <v>0</v>
      </c>
      <c r="DL77" s="141">
        <v>0</v>
      </c>
      <c r="DM77" s="141">
        <v>-1945995</v>
      </c>
      <c r="DN77" s="141">
        <v>0</v>
      </c>
      <c r="DO77" s="141">
        <v>-1945995</v>
      </c>
      <c r="DP77" s="141">
        <v>-2045072</v>
      </c>
      <c r="DQ77" s="141">
        <v>0</v>
      </c>
      <c r="DR77" s="141">
        <v>0</v>
      </c>
      <c r="DS77" s="141">
        <v>0</v>
      </c>
      <c r="DT77" s="141">
        <v>-2045072</v>
      </c>
      <c r="DU77" s="141">
        <v>0</v>
      </c>
      <c r="DV77" s="141">
        <v>-2045072</v>
      </c>
      <c r="DW77" s="856">
        <v>68124685</v>
      </c>
      <c r="DX77" s="856">
        <v>780900</v>
      </c>
      <c r="DY77" s="857">
        <v>68905585</v>
      </c>
      <c r="DZ77" t="s">
        <v>1643</v>
      </c>
    </row>
    <row r="78" spans="1:130" ht="12.75" x14ac:dyDescent="0.2">
      <c r="A78" s="764">
        <v>71</v>
      </c>
      <c r="B78" s="765" t="s">
        <v>22</v>
      </c>
      <c r="C78" s="766" t="s">
        <v>529</v>
      </c>
      <c r="D78" s="767" t="s">
        <v>1229</v>
      </c>
      <c r="E78" s="768" t="s">
        <v>568</v>
      </c>
      <c r="F78" s="867">
        <v>43460</v>
      </c>
      <c r="G78" s="141">
        <v>84605042</v>
      </c>
      <c r="H78" s="141">
        <v>686725</v>
      </c>
      <c r="I78" s="141">
        <v>85291767</v>
      </c>
      <c r="J78" s="141">
        <v>49.1</v>
      </c>
      <c r="K78" s="141">
        <v>41541076</v>
      </c>
      <c r="L78" s="141">
        <v>337182</v>
      </c>
      <c r="M78" s="141">
        <v>0</v>
      </c>
      <c r="N78" s="141">
        <v>0</v>
      </c>
      <c r="O78" s="141">
        <v>41541076</v>
      </c>
      <c r="P78" s="141">
        <v>337182</v>
      </c>
      <c r="Q78" s="141">
        <v>41878258</v>
      </c>
      <c r="R78" s="141">
        <v>-467520</v>
      </c>
      <c r="S78" s="141">
        <v>0</v>
      </c>
      <c r="T78" s="141">
        <v>-467520</v>
      </c>
      <c r="U78" s="141">
        <v>1671500</v>
      </c>
      <c r="V78" s="141">
        <v>0</v>
      </c>
      <c r="W78" s="141">
        <v>1671500</v>
      </c>
      <c r="X78" s="141">
        <v>1203980</v>
      </c>
      <c r="Y78" s="141">
        <v>0</v>
      </c>
      <c r="Z78" s="141">
        <v>0</v>
      </c>
      <c r="AA78" s="141">
        <v>0</v>
      </c>
      <c r="AB78" s="141">
        <v>1203980</v>
      </c>
      <c r="AC78" s="141">
        <v>0</v>
      </c>
      <c r="AD78" s="141">
        <v>1203980</v>
      </c>
      <c r="AE78" s="141">
        <v>-1203980</v>
      </c>
      <c r="AF78" s="141">
        <v>0</v>
      </c>
      <c r="AG78" s="141">
        <v>-1203980</v>
      </c>
      <c r="AH78" s="141">
        <v>-4041125</v>
      </c>
      <c r="AI78" s="141">
        <v>-78879</v>
      </c>
      <c r="AJ78" s="141">
        <v>-4120004</v>
      </c>
      <c r="AK78" s="141">
        <v>-21804</v>
      </c>
      <c r="AL78" s="141">
        <v>0</v>
      </c>
      <c r="AM78" s="141">
        <v>-21804</v>
      </c>
      <c r="AN78" s="141">
        <v>758875</v>
      </c>
      <c r="AO78" s="141">
        <v>4674</v>
      </c>
      <c r="AP78" s="141">
        <v>763549</v>
      </c>
      <c r="AQ78" s="141">
        <v>-3282250</v>
      </c>
      <c r="AR78" s="141">
        <v>-74205</v>
      </c>
      <c r="AS78" s="141">
        <v>-3356455</v>
      </c>
      <c r="AT78" s="141">
        <v>-2845857</v>
      </c>
      <c r="AU78" s="141">
        <v>0</v>
      </c>
      <c r="AV78" s="141">
        <v>-2845857</v>
      </c>
      <c r="AW78" s="141">
        <v>-54025</v>
      </c>
      <c r="AX78" s="141">
        <v>0</v>
      </c>
      <c r="AY78" s="141">
        <v>-54025</v>
      </c>
      <c r="AZ78" s="141">
        <v>0</v>
      </c>
      <c r="BA78" s="141">
        <v>0</v>
      </c>
      <c r="BB78" s="141">
        <v>0</v>
      </c>
      <c r="BC78" s="141">
        <v>-6182132</v>
      </c>
      <c r="BD78" s="141">
        <v>-74205</v>
      </c>
      <c r="BE78" s="141">
        <v>0</v>
      </c>
      <c r="BF78" s="141">
        <v>0</v>
      </c>
      <c r="BG78" s="141">
        <v>-6182132</v>
      </c>
      <c r="BH78" s="141">
        <v>-74205</v>
      </c>
      <c r="BI78" s="141">
        <v>-6256337</v>
      </c>
      <c r="BJ78" s="141">
        <v>0</v>
      </c>
      <c r="BK78" s="141">
        <v>0</v>
      </c>
      <c r="BL78" s="141">
        <v>0</v>
      </c>
      <c r="BM78" s="141">
        <v>-943090</v>
      </c>
      <c r="BN78" s="141">
        <v>0</v>
      </c>
      <c r="BO78" s="141">
        <v>-943090</v>
      </c>
      <c r="BP78" s="141">
        <v>-943090</v>
      </c>
      <c r="BQ78" s="141">
        <v>0</v>
      </c>
      <c r="BR78" s="141">
        <v>0</v>
      </c>
      <c r="BS78" s="141">
        <v>0</v>
      </c>
      <c r="BT78" s="141">
        <v>-943090</v>
      </c>
      <c r="BU78" s="141">
        <v>0</v>
      </c>
      <c r="BV78" s="141">
        <v>-943090</v>
      </c>
      <c r="BW78" s="141">
        <v>0</v>
      </c>
      <c r="BX78" s="141">
        <v>0</v>
      </c>
      <c r="BY78" s="141">
        <v>0</v>
      </c>
      <c r="BZ78" s="141">
        <v>0</v>
      </c>
      <c r="CA78" s="141">
        <v>0</v>
      </c>
      <c r="CB78" s="141">
        <v>0</v>
      </c>
      <c r="CC78" s="141">
        <v>0</v>
      </c>
      <c r="CD78" s="141">
        <v>0</v>
      </c>
      <c r="CE78" s="141">
        <v>0</v>
      </c>
      <c r="CF78" s="141">
        <v>0</v>
      </c>
      <c r="CG78" s="141">
        <v>0</v>
      </c>
      <c r="CH78" s="141">
        <v>0</v>
      </c>
      <c r="CI78" s="141">
        <v>0</v>
      </c>
      <c r="CJ78" s="141">
        <v>0</v>
      </c>
      <c r="CK78" s="141">
        <v>0</v>
      </c>
      <c r="CL78" s="141">
        <v>0</v>
      </c>
      <c r="CM78" s="141">
        <v>-24845</v>
      </c>
      <c r="CN78" s="141">
        <v>-24845</v>
      </c>
      <c r="CO78" s="141">
        <v>-24845</v>
      </c>
      <c r="CP78" s="141">
        <v>0</v>
      </c>
      <c r="CQ78" s="141">
        <v>0</v>
      </c>
      <c r="CR78" s="141">
        <v>-24845</v>
      </c>
      <c r="CS78" s="141">
        <v>0</v>
      </c>
      <c r="CT78" s="141">
        <v>0</v>
      </c>
      <c r="CU78" s="141">
        <v>0</v>
      </c>
      <c r="CV78" s="141">
        <v>-24845</v>
      </c>
      <c r="CW78" s="141">
        <v>-24845</v>
      </c>
      <c r="CX78" s="141">
        <v>0</v>
      </c>
      <c r="CY78" s="141">
        <v>0</v>
      </c>
      <c r="CZ78" s="141">
        <v>0</v>
      </c>
      <c r="DA78" s="141">
        <v>0</v>
      </c>
      <c r="DB78" s="141">
        <v>0</v>
      </c>
      <c r="DC78" s="141">
        <v>0</v>
      </c>
      <c r="DD78" s="141">
        <v>-19885</v>
      </c>
      <c r="DE78" s="141">
        <v>0</v>
      </c>
      <c r="DF78" s="141">
        <v>-19885</v>
      </c>
      <c r="DG78" s="141">
        <v>-26695</v>
      </c>
      <c r="DH78" s="141">
        <v>0</v>
      </c>
      <c r="DI78" s="141">
        <v>-26695</v>
      </c>
      <c r="DJ78" s="141">
        <v>0</v>
      </c>
      <c r="DK78" s="141">
        <v>0</v>
      </c>
      <c r="DL78" s="141">
        <v>0</v>
      </c>
      <c r="DM78" s="141">
        <v>-739949</v>
      </c>
      <c r="DN78" s="141">
        <v>0</v>
      </c>
      <c r="DO78" s="141">
        <v>-739949</v>
      </c>
      <c r="DP78" s="141">
        <v>-786529</v>
      </c>
      <c r="DQ78" s="141">
        <v>0</v>
      </c>
      <c r="DR78" s="141">
        <v>0</v>
      </c>
      <c r="DS78" s="141">
        <v>0</v>
      </c>
      <c r="DT78" s="141">
        <v>-786529</v>
      </c>
      <c r="DU78" s="141">
        <v>0</v>
      </c>
      <c r="DV78" s="141">
        <v>-786529</v>
      </c>
      <c r="DW78" s="856">
        <v>34833305</v>
      </c>
      <c r="DX78" s="856">
        <v>238132</v>
      </c>
      <c r="DY78" s="857">
        <v>35071437</v>
      </c>
      <c r="DZ78" t="s">
        <v>1644</v>
      </c>
    </row>
    <row r="79" spans="1:130" ht="12.75" x14ac:dyDescent="0.2">
      <c r="A79" s="764">
        <v>72</v>
      </c>
      <c r="B79" s="765" t="s">
        <v>24</v>
      </c>
      <c r="C79" s="766" t="s">
        <v>1217</v>
      </c>
      <c r="D79" s="767" t="s">
        <v>1218</v>
      </c>
      <c r="E79" s="768" t="s">
        <v>23</v>
      </c>
      <c r="F79" s="867">
        <v>43465</v>
      </c>
      <c r="G79" s="141">
        <v>199952492</v>
      </c>
      <c r="H79" s="141">
        <v>0</v>
      </c>
      <c r="I79" s="141">
        <v>199952492</v>
      </c>
      <c r="J79" s="141">
        <v>49.1</v>
      </c>
      <c r="K79" s="141">
        <v>98176674</v>
      </c>
      <c r="L79" s="141">
        <v>0</v>
      </c>
      <c r="M79" s="141">
        <v>0</v>
      </c>
      <c r="N79" s="141">
        <v>0</v>
      </c>
      <c r="O79" s="141">
        <v>98176674</v>
      </c>
      <c r="P79" s="141">
        <v>0</v>
      </c>
      <c r="Q79" s="141">
        <v>98176674</v>
      </c>
      <c r="R79" s="141">
        <v>-358191</v>
      </c>
      <c r="S79" s="141">
        <v>0</v>
      </c>
      <c r="T79" s="141">
        <v>-358191</v>
      </c>
      <c r="U79" s="141">
        <v>3104647</v>
      </c>
      <c r="V79" s="141">
        <v>0</v>
      </c>
      <c r="W79" s="141">
        <v>3104647</v>
      </c>
      <c r="X79" s="141">
        <v>2746456</v>
      </c>
      <c r="Y79" s="141">
        <v>0</v>
      </c>
      <c r="Z79" s="141">
        <v>0</v>
      </c>
      <c r="AA79" s="141">
        <v>0</v>
      </c>
      <c r="AB79" s="141">
        <v>2746456</v>
      </c>
      <c r="AC79" s="141">
        <v>0</v>
      </c>
      <c r="AD79" s="141">
        <v>2746456</v>
      </c>
      <c r="AE79" s="141">
        <v>-2746456</v>
      </c>
      <c r="AF79" s="141">
        <v>0</v>
      </c>
      <c r="AG79" s="141">
        <v>-2746456</v>
      </c>
      <c r="AH79" s="141">
        <v>-2279585</v>
      </c>
      <c r="AI79" s="141">
        <v>0</v>
      </c>
      <c r="AJ79" s="141">
        <v>-2279585</v>
      </c>
      <c r="AK79" s="141">
        <v>0</v>
      </c>
      <c r="AL79" s="141">
        <v>0</v>
      </c>
      <c r="AM79" s="141">
        <v>0</v>
      </c>
      <c r="AN79" s="141">
        <v>2268919</v>
      </c>
      <c r="AO79" s="141">
        <v>0</v>
      </c>
      <c r="AP79" s="141">
        <v>2268919</v>
      </c>
      <c r="AQ79" s="141">
        <v>-10666</v>
      </c>
      <c r="AR79" s="141">
        <v>0</v>
      </c>
      <c r="AS79" s="141">
        <v>-10666</v>
      </c>
      <c r="AT79" s="141">
        <v>-3218180</v>
      </c>
      <c r="AU79" s="141">
        <v>0</v>
      </c>
      <c r="AV79" s="141">
        <v>-3218180</v>
      </c>
      <c r="AW79" s="141">
        <v>-59114</v>
      </c>
      <c r="AX79" s="141">
        <v>0</v>
      </c>
      <c r="AY79" s="141">
        <v>-59114</v>
      </c>
      <c r="AZ79" s="141">
        <v>0</v>
      </c>
      <c r="BA79" s="141">
        <v>0</v>
      </c>
      <c r="BB79" s="141">
        <v>0</v>
      </c>
      <c r="BC79" s="141">
        <v>-3287960</v>
      </c>
      <c r="BD79" s="141">
        <v>0</v>
      </c>
      <c r="BE79" s="141">
        <v>0</v>
      </c>
      <c r="BF79" s="141">
        <v>0</v>
      </c>
      <c r="BG79" s="141">
        <v>-3287960</v>
      </c>
      <c r="BH79" s="141">
        <v>0</v>
      </c>
      <c r="BI79" s="141">
        <v>-3287960</v>
      </c>
      <c r="BJ79" s="141">
        <v>0</v>
      </c>
      <c r="BK79" s="141">
        <v>0</v>
      </c>
      <c r="BL79" s="141">
        <v>0</v>
      </c>
      <c r="BM79" s="141">
        <v>-2025866</v>
      </c>
      <c r="BN79" s="141">
        <v>0</v>
      </c>
      <c r="BO79" s="141">
        <v>-2025866</v>
      </c>
      <c r="BP79" s="141">
        <v>-2025866</v>
      </c>
      <c r="BQ79" s="141">
        <v>0</v>
      </c>
      <c r="BR79" s="141">
        <v>-500000</v>
      </c>
      <c r="BS79" s="141">
        <v>0</v>
      </c>
      <c r="BT79" s="141">
        <v>-2525866</v>
      </c>
      <c r="BU79" s="141">
        <v>0</v>
      </c>
      <c r="BV79" s="141">
        <v>-2525866</v>
      </c>
      <c r="BW79" s="141">
        <v>-35776</v>
      </c>
      <c r="BX79" s="141">
        <v>0</v>
      </c>
      <c r="BY79" s="141">
        <v>-35776</v>
      </c>
      <c r="BZ79" s="141">
        <v>-142365</v>
      </c>
      <c r="CA79" s="141">
        <v>0</v>
      </c>
      <c r="CB79" s="141">
        <v>-142365</v>
      </c>
      <c r="CC79" s="141">
        <v>-8165</v>
      </c>
      <c r="CD79" s="141">
        <v>0</v>
      </c>
      <c r="CE79" s="141">
        <v>-8165</v>
      </c>
      <c r="CF79" s="141">
        <v>0</v>
      </c>
      <c r="CG79" s="141">
        <v>0</v>
      </c>
      <c r="CH79" s="141">
        <v>0</v>
      </c>
      <c r="CI79" s="141">
        <v>-4583</v>
      </c>
      <c r="CJ79" s="141">
        <v>0</v>
      </c>
      <c r="CK79" s="141">
        <v>-4583</v>
      </c>
      <c r="CL79" s="141">
        <v>0</v>
      </c>
      <c r="CM79" s="141">
        <v>0</v>
      </c>
      <c r="CN79" s="141">
        <v>0</v>
      </c>
      <c r="CO79" s="141">
        <v>0</v>
      </c>
      <c r="CP79" s="141">
        <v>0</v>
      </c>
      <c r="CQ79" s="141">
        <v>-190889</v>
      </c>
      <c r="CR79" s="141">
        <v>0</v>
      </c>
      <c r="CS79" s="141">
        <v>0</v>
      </c>
      <c r="CT79" s="141">
        <v>0</v>
      </c>
      <c r="CU79" s="141">
        <v>-190889</v>
      </c>
      <c r="CV79" s="141">
        <v>0</v>
      </c>
      <c r="CW79" s="141">
        <v>-190889</v>
      </c>
      <c r="CX79" s="141">
        <v>0</v>
      </c>
      <c r="CY79" s="141">
        <v>0</v>
      </c>
      <c r="CZ79" s="141">
        <v>0</v>
      </c>
      <c r="DA79" s="141">
        <v>0</v>
      </c>
      <c r="DB79" s="141">
        <v>0</v>
      </c>
      <c r="DC79" s="141">
        <v>0</v>
      </c>
      <c r="DD79" s="141">
        <v>-3138</v>
      </c>
      <c r="DE79" s="141">
        <v>0</v>
      </c>
      <c r="DF79" s="141">
        <v>-3138</v>
      </c>
      <c r="DG79" s="141">
        <v>-36128</v>
      </c>
      <c r="DH79" s="141">
        <v>0</v>
      </c>
      <c r="DI79" s="141">
        <v>-36128</v>
      </c>
      <c r="DJ79" s="141">
        <v>0</v>
      </c>
      <c r="DK79" s="141">
        <v>0</v>
      </c>
      <c r="DL79" s="141">
        <v>0</v>
      </c>
      <c r="DM79" s="141">
        <v>-649987</v>
      </c>
      <c r="DN79" s="141">
        <v>0</v>
      </c>
      <c r="DO79" s="141">
        <v>-649987</v>
      </c>
      <c r="DP79" s="141">
        <v>-689253</v>
      </c>
      <c r="DQ79" s="141">
        <v>0</v>
      </c>
      <c r="DR79" s="141">
        <v>0</v>
      </c>
      <c r="DS79" s="141">
        <v>0</v>
      </c>
      <c r="DT79" s="141">
        <v>-689253</v>
      </c>
      <c r="DU79" s="141">
        <v>0</v>
      </c>
      <c r="DV79" s="141">
        <v>-689253</v>
      </c>
      <c r="DW79" s="856">
        <v>94229162</v>
      </c>
      <c r="DX79" s="856">
        <v>0</v>
      </c>
      <c r="DY79" s="857">
        <v>94229162</v>
      </c>
      <c r="DZ79" t="s">
        <v>1645</v>
      </c>
    </row>
    <row r="80" spans="1:130" ht="12.75" x14ac:dyDescent="0.2">
      <c r="A80" s="764">
        <v>73</v>
      </c>
      <c r="B80" s="765" t="s">
        <v>26</v>
      </c>
      <c r="C80" s="766" t="s">
        <v>1217</v>
      </c>
      <c r="D80" s="767" t="s">
        <v>1220</v>
      </c>
      <c r="E80" s="768" t="s">
        <v>25</v>
      </c>
      <c r="F80" s="867">
        <v>43453</v>
      </c>
      <c r="G80" s="141">
        <v>111087101</v>
      </c>
      <c r="H80" s="141">
        <v>0</v>
      </c>
      <c r="I80" s="141">
        <v>111087101</v>
      </c>
      <c r="J80" s="141">
        <v>49.1</v>
      </c>
      <c r="K80" s="141">
        <v>54543767</v>
      </c>
      <c r="L80" s="141">
        <v>0</v>
      </c>
      <c r="M80" s="141">
        <v>-37611</v>
      </c>
      <c r="N80" s="141">
        <v>0</v>
      </c>
      <c r="O80" s="141">
        <v>54506156</v>
      </c>
      <c r="P80" s="141">
        <v>0</v>
      </c>
      <c r="Q80" s="141">
        <v>54506156</v>
      </c>
      <c r="R80" s="141">
        <v>-218243</v>
      </c>
      <c r="S80" s="141">
        <v>0</v>
      </c>
      <c r="T80" s="141">
        <v>-218243</v>
      </c>
      <c r="U80" s="141">
        <v>354912</v>
      </c>
      <c r="V80" s="141">
        <v>0</v>
      </c>
      <c r="W80" s="141">
        <v>354912</v>
      </c>
      <c r="X80" s="141">
        <v>136669</v>
      </c>
      <c r="Y80" s="141">
        <v>0</v>
      </c>
      <c r="Z80" s="141">
        <v>0</v>
      </c>
      <c r="AA80" s="141">
        <v>0</v>
      </c>
      <c r="AB80" s="141">
        <v>136669</v>
      </c>
      <c r="AC80" s="141">
        <v>0</v>
      </c>
      <c r="AD80" s="141">
        <v>136669</v>
      </c>
      <c r="AE80" s="141">
        <v>-136669</v>
      </c>
      <c r="AF80" s="141">
        <v>0</v>
      </c>
      <c r="AG80" s="141">
        <v>-136669</v>
      </c>
      <c r="AH80" s="141">
        <v>-2653807</v>
      </c>
      <c r="AI80" s="141">
        <v>0</v>
      </c>
      <c r="AJ80" s="141">
        <v>-2653807</v>
      </c>
      <c r="AK80" s="141">
        <v>0</v>
      </c>
      <c r="AL80" s="141">
        <v>0</v>
      </c>
      <c r="AM80" s="141">
        <v>0</v>
      </c>
      <c r="AN80" s="141">
        <v>1155326</v>
      </c>
      <c r="AO80" s="141">
        <v>0</v>
      </c>
      <c r="AP80" s="141">
        <v>1155326</v>
      </c>
      <c r="AQ80" s="141">
        <v>-1498481</v>
      </c>
      <c r="AR80" s="141">
        <v>0</v>
      </c>
      <c r="AS80" s="141">
        <v>-1498481</v>
      </c>
      <c r="AT80" s="141">
        <v>-2710620</v>
      </c>
      <c r="AU80" s="141">
        <v>0</v>
      </c>
      <c r="AV80" s="141">
        <v>-2710620</v>
      </c>
      <c r="AW80" s="141">
        <v>-39907</v>
      </c>
      <c r="AX80" s="141">
        <v>0</v>
      </c>
      <c r="AY80" s="141">
        <v>-39907</v>
      </c>
      <c r="AZ80" s="141">
        <v>-44236</v>
      </c>
      <c r="BA80" s="141">
        <v>0</v>
      </c>
      <c r="BB80" s="141">
        <v>-44236</v>
      </c>
      <c r="BC80" s="141">
        <v>-4293244</v>
      </c>
      <c r="BD80" s="141">
        <v>0</v>
      </c>
      <c r="BE80" s="141">
        <v>0</v>
      </c>
      <c r="BF80" s="141">
        <v>0</v>
      </c>
      <c r="BG80" s="141">
        <v>-4293244</v>
      </c>
      <c r="BH80" s="141">
        <v>0</v>
      </c>
      <c r="BI80" s="141">
        <v>-4293244</v>
      </c>
      <c r="BJ80" s="141">
        <v>0</v>
      </c>
      <c r="BK80" s="141">
        <v>0</v>
      </c>
      <c r="BL80" s="141">
        <v>0</v>
      </c>
      <c r="BM80" s="141">
        <v>-526217</v>
      </c>
      <c r="BN80" s="141">
        <v>0</v>
      </c>
      <c r="BO80" s="141">
        <v>-526217</v>
      </c>
      <c r="BP80" s="141">
        <v>-526217</v>
      </c>
      <c r="BQ80" s="141">
        <v>0</v>
      </c>
      <c r="BR80" s="141">
        <v>0</v>
      </c>
      <c r="BS80" s="141">
        <v>0</v>
      </c>
      <c r="BT80" s="141">
        <v>-526217</v>
      </c>
      <c r="BU80" s="141">
        <v>0</v>
      </c>
      <c r="BV80" s="141">
        <v>-526217</v>
      </c>
      <c r="BW80" s="141">
        <v>-44895</v>
      </c>
      <c r="BX80" s="141">
        <v>0</v>
      </c>
      <c r="BY80" s="141">
        <v>-44895</v>
      </c>
      <c r="BZ80" s="141">
        <v>-13197</v>
      </c>
      <c r="CA80" s="141">
        <v>0</v>
      </c>
      <c r="CB80" s="141">
        <v>-13197</v>
      </c>
      <c r="CC80" s="141">
        <v>-738</v>
      </c>
      <c r="CD80" s="141">
        <v>0</v>
      </c>
      <c r="CE80" s="141">
        <v>-738</v>
      </c>
      <c r="CF80" s="141">
        <v>0</v>
      </c>
      <c r="CG80" s="141">
        <v>0</v>
      </c>
      <c r="CH80" s="141">
        <v>0</v>
      </c>
      <c r="CI80" s="141">
        <v>0</v>
      </c>
      <c r="CJ80" s="141">
        <v>0</v>
      </c>
      <c r="CK80" s="141">
        <v>0</v>
      </c>
      <c r="CL80" s="141">
        <v>0</v>
      </c>
      <c r="CM80" s="141">
        <v>0</v>
      </c>
      <c r="CN80" s="141">
        <v>0</v>
      </c>
      <c r="CO80" s="141">
        <v>0</v>
      </c>
      <c r="CP80" s="141">
        <v>0</v>
      </c>
      <c r="CQ80" s="141">
        <v>-58830</v>
      </c>
      <c r="CR80" s="141">
        <v>0</v>
      </c>
      <c r="CS80" s="141">
        <v>0</v>
      </c>
      <c r="CT80" s="141">
        <v>0</v>
      </c>
      <c r="CU80" s="141">
        <v>-58830</v>
      </c>
      <c r="CV80" s="141">
        <v>0</v>
      </c>
      <c r="CW80" s="141">
        <v>-58830</v>
      </c>
      <c r="CX80" s="141">
        <v>-44236</v>
      </c>
      <c r="CY80" s="141">
        <v>0</v>
      </c>
      <c r="CZ80" s="141">
        <v>-44236</v>
      </c>
      <c r="DA80" s="141">
        <v>0</v>
      </c>
      <c r="DB80" s="141">
        <v>0</v>
      </c>
      <c r="DC80" s="141">
        <v>0</v>
      </c>
      <c r="DD80" s="141">
        <v>-22547</v>
      </c>
      <c r="DE80" s="141">
        <v>0</v>
      </c>
      <c r="DF80" s="141">
        <v>-22547</v>
      </c>
      <c r="DG80" s="141">
        <v>-17353</v>
      </c>
      <c r="DH80" s="141">
        <v>0</v>
      </c>
      <c r="DI80" s="141">
        <v>-17353</v>
      </c>
      <c r="DJ80" s="141">
        <v>0</v>
      </c>
      <c r="DK80" s="141">
        <v>0</v>
      </c>
      <c r="DL80" s="141">
        <v>0</v>
      </c>
      <c r="DM80" s="141">
        <v>-375694</v>
      </c>
      <c r="DN80" s="141">
        <v>0</v>
      </c>
      <c r="DO80" s="141">
        <v>-375694</v>
      </c>
      <c r="DP80" s="141">
        <v>-459830</v>
      </c>
      <c r="DQ80" s="141">
        <v>0</v>
      </c>
      <c r="DR80" s="141">
        <v>0</v>
      </c>
      <c r="DS80" s="141">
        <v>0</v>
      </c>
      <c r="DT80" s="141">
        <v>-459830</v>
      </c>
      <c r="DU80" s="141">
        <v>0</v>
      </c>
      <c r="DV80" s="141">
        <v>-459830</v>
      </c>
      <c r="DW80" s="856">
        <v>49304704</v>
      </c>
      <c r="DX80" s="856">
        <v>0</v>
      </c>
      <c r="DY80" s="857">
        <v>49304704</v>
      </c>
      <c r="DZ80" t="s">
        <v>1646</v>
      </c>
    </row>
    <row r="81" spans="1:130" ht="12.75" x14ac:dyDescent="0.2">
      <c r="A81" s="764">
        <v>74</v>
      </c>
      <c r="B81" s="765" t="s">
        <v>28</v>
      </c>
      <c r="C81" s="766" t="s">
        <v>529</v>
      </c>
      <c r="D81" s="767" t="s">
        <v>1220</v>
      </c>
      <c r="E81" s="768" t="s">
        <v>558</v>
      </c>
      <c r="F81" s="867">
        <v>43465</v>
      </c>
      <c r="G81" s="141">
        <v>228473690</v>
      </c>
      <c r="H81" s="141">
        <v>349325</v>
      </c>
      <c r="I81" s="141">
        <v>228823015</v>
      </c>
      <c r="J81" s="141">
        <v>49.1</v>
      </c>
      <c r="K81" s="141">
        <v>112180582</v>
      </c>
      <c r="L81" s="141">
        <v>171519</v>
      </c>
      <c r="M81" s="141">
        <v>0</v>
      </c>
      <c r="N81" s="141">
        <v>0</v>
      </c>
      <c r="O81" s="141">
        <v>112180582</v>
      </c>
      <c r="P81" s="141">
        <v>171519</v>
      </c>
      <c r="Q81" s="141">
        <v>112352101</v>
      </c>
      <c r="R81" s="141">
        <v>-1533224</v>
      </c>
      <c r="S81" s="141">
        <v>0</v>
      </c>
      <c r="T81" s="141">
        <v>-1533224</v>
      </c>
      <c r="U81" s="141">
        <v>270174</v>
      </c>
      <c r="V81" s="141">
        <v>0</v>
      </c>
      <c r="W81" s="141">
        <v>270174</v>
      </c>
      <c r="X81" s="141">
        <v>-1263050</v>
      </c>
      <c r="Y81" s="141">
        <v>0</v>
      </c>
      <c r="Z81" s="141">
        <v>0</v>
      </c>
      <c r="AA81" s="141">
        <v>0</v>
      </c>
      <c r="AB81" s="141">
        <v>-1263050</v>
      </c>
      <c r="AC81" s="141">
        <v>0</v>
      </c>
      <c r="AD81" s="141">
        <v>-1263050</v>
      </c>
      <c r="AE81" s="141">
        <v>1263050</v>
      </c>
      <c r="AF81" s="141">
        <v>0</v>
      </c>
      <c r="AG81" s="141">
        <v>1263050</v>
      </c>
      <c r="AH81" s="141">
        <v>-6561807</v>
      </c>
      <c r="AI81" s="141">
        <v>-10974</v>
      </c>
      <c r="AJ81" s="141">
        <v>-6572781</v>
      </c>
      <c r="AK81" s="141">
        <v>0</v>
      </c>
      <c r="AL81" s="141">
        <v>0</v>
      </c>
      <c r="AM81" s="141">
        <v>0</v>
      </c>
      <c r="AN81" s="141">
        <v>2159243</v>
      </c>
      <c r="AO81" s="141">
        <v>1918</v>
      </c>
      <c r="AP81" s="141">
        <v>2161161</v>
      </c>
      <c r="AQ81" s="141">
        <v>-4402564</v>
      </c>
      <c r="AR81" s="141">
        <v>-9056</v>
      </c>
      <c r="AS81" s="141">
        <v>-4411620</v>
      </c>
      <c r="AT81" s="141">
        <v>-6895504</v>
      </c>
      <c r="AU81" s="141">
        <v>0</v>
      </c>
      <c r="AV81" s="141">
        <v>-6895504</v>
      </c>
      <c r="AW81" s="141">
        <v>-6975</v>
      </c>
      <c r="AX81" s="141">
        <v>0</v>
      </c>
      <c r="AY81" s="141">
        <v>-6975</v>
      </c>
      <c r="AZ81" s="141">
        <v>0</v>
      </c>
      <c r="BA81" s="141">
        <v>0</v>
      </c>
      <c r="BB81" s="141">
        <v>0</v>
      </c>
      <c r="BC81" s="141">
        <v>-11305043</v>
      </c>
      <c r="BD81" s="141">
        <v>-9056</v>
      </c>
      <c r="BE81" s="141">
        <v>0</v>
      </c>
      <c r="BF81" s="141">
        <v>0</v>
      </c>
      <c r="BG81" s="141">
        <v>-11305043</v>
      </c>
      <c r="BH81" s="141">
        <v>-9056</v>
      </c>
      <c r="BI81" s="141">
        <v>-11314099</v>
      </c>
      <c r="BJ81" s="141">
        <v>0</v>
      </c>
      <c r="BK81" s="141">
        <v>0</v>
      </c>
      <c r="BL81" s="141">
        <v>0</v>
      </c>
      <c r="BM81" s="141">
        <v>-2880838</v>
      </c>
      <c r="BN81" s="141">
        <v>-1247</v>
      </c>
      <c r="BO81" s="141">
        <v>-2882085</v>
      </c>
      <c r="BP81" s="141">
        <v>-2880838</v>
      </c>
      <c r="BQ81" s="141">
        <v>-1247</v>
      </c>
      <c r="BR81" s="141">
        <v>-250000</v>
      </c>
      <c r="BS81" s="141">
        <v>0</v>
      </c>
      <c r="BT81" s="141">
        <v>-3130838</v>
      </c>
      <c r="BU81" s="141">
        <v>-1247</v>
      </c>
      <c r="BV81" s="141">
        <v>-3132085</v>
      </c>
      <c r="BW81" s="141">
        <v>-128592</v>
      </c>
      <c r="BX81" s="141">
        <v>0</v>
      </c>
      <c r="BY81" s="141">
        <v>-128592</v>
      </c>
      <c r="BZ81" s="141">
        <v>-139575</v>
      </c>
      <c r="CA81" s="141">
        <v>0</v>
      </c>
      <c r="CB81" s="141">
        <v>-139575</v>
      </c>
      <c r="CC81" s="141">
        <v>-1159</v>
      </c>
      <c r="CD81" s="141">
        <v>0</v>
      </c>
      <c r="CE81" s="141">
        <v>-1159</v>
      </c>
      <c r="CF81" s="141">
        <v>0</v>
      </c>
      <c r="CG81" s="141">
        <v>0</v>
      </c>
      <c r="CH81" s="141">
        <v>0</v>
      </c>
      <c r="CI81" s="141">
        <v>0</v>
      </c>
      <c r="CJ81" s="141">
        <v>0</v>
      </c>
      <c r="CK81" s="141">
        <v>0</v>
      </c>
      <c r="CL81" s="141">
        <v>0</v>
      </c>
      <c r="CM81" s="141">
        <v>-36432</v>
      </c>
      <c r="CN81" s="141">
        <v>-36432</v>
      </c>
      <c r="CO81" s="141">
        <v>-36432</v>
      </c>
      <c r="CP81" s="141">
        <v>0</v>
      </c>
      <c r="CQ81" s="141">
        <v>-269326</v>
      </c>
      <c r="CR81" s="141">
        <v>-36432</v>
      </c>
      <c r="CS81" s="141">
        <v>0</v>
      </c>
      <c r="CT81" s="141">
        <v>0</v>
      </c>
      <c r="CU81" s="141">
        <v>-269326</v>
      </c>
      <c r="CV81" s="141">
        <v>-36432</v>
      </c>
      <c r="CW81" s="141">
        <v>-305758</v>
      </c>
      <c r="CX81" s="141">
        <v>0</v>
      </c>
      <c r="CY81" s="141">
        <v>0</v>
      </c>
      <c r="CZ81" s="141">
        <v>0</v>
      </c>
      <c r="DA81" s="141">
        <v>-1500</v>
      </c>
      <c r="DB81" s="141">
        <v>0</v>
      </c>
      <c r="DC81" s="141">
        <v>-1500</v>
      </c>
      <c r="DD81" s="141">
        <v>-82993</v>
      </c>
      <c r="DE81" s="141">
        <v>0</v>
      </c>
      <c r="DF81" s="141">
        <v>-82993</v>
      </c>
      <c r="DG81" s="141">
        <v>-15057</v>
      </c>
      <c r="DH81" s="141">
        <v>0</v>
      </c>
      <c r="DI81" s="141">
        <v>-15057</v>
      </c>
      <c r="DJ81" s="141">
        <v>0</v>
      </c>
      <c r="DK81" s="141">
        <v>0</v>
      </c>
      <c r="DL81" s="141">
        <v>0</v>
      </c>
      <c r="DM81" s="141">
        <v>-2570722</v>
      </c>
      <c r="DN81" s="141">
        <v>0</v>
      </c>
      <c r="DO81" s="141">
        <v>-2570722</v>
      </c>
      <c r="DP81" s="141">
        <v>-2670272</v>
      </c>
      <c r="DQ81" s="141">
        <v>0</v>
      </c>
      <c r="DR81" s="141">
        <v>0</v>
      </c>
      <c r="DS81" s="141">
        <v>0</v>
      </c>
      <c r="DT81" s="141">
        <v>-2670272</v>
      </c>
      <c r="DU81" s="141">
        <v>0</v>
      </c>
      <c r="DV81" s="141">
        <v>-2670272</v>
      </c>
      <c r="DW81" s="856">
        <v>93542053</v>
      </c>
      <c r="DX81" s="856">
        <v>124784</v>
      </c>
      <c r="DY81" s="857">
        <v>93666837</v>
      </c>
      <c r="DZ81" t="s">
        <v>1647</v>
      </c>
    </row>
    <row r="82" spans="1:130" ht="12.75" x14ac:dyDescent="0.2">
      <c r="A82" s="764">
        <v>75</v>
      </c>
      <c r="B82" s="765" t="s">
        <v>30</v>
      </c>
      <c r="C82" s="766" t="s">
        <v>1217</v>
      </c>
      <c r="D82" s="767" t="s">
        <v>1220</v>
      </c>
      <c r="E82" s="768" t="s">
        <v>29</v>
      </c>
      <c r="F82" s="867">
        <v>43465</v>
      </c>
      <c r="G82" s="141">
        <v>56597155</v>
      </c>
      <c r="H82" s="141">
        <v>0</v>
      </c>
      <c r="I82" s="141">
        <v>56597155</v>
      </c>
      <c r="J82" s="141">
        <v>49.1</v>
      </c>
      <c r="K82" s="141">
        <v>27789203</v>
      </c>
      <c r="L82" s="141">
        <v>0</v>
      </c>
      <c r="M82" s="141">
        <v>142366</v>
      </c>
      <c r="N82" s="141">
        <v>0</v>
      </c>
      <c r="O82" s="141">
        <v>27931569</v>
      </c>
      <c r="P82" s="141">
        <v>0</v>
      </c>
      <c r="Q82" s="141">
        <v>27931569</v>
      </c>
      <c r="R82" s="141">
        <v>-1199401</v>
      </c>
      <c r="S82" s="141">
        <v>0</v>
      </c>
      <c r="T82" s="141">
        <v>-1199401</v>
      </c>
      <c r="U82" s="141">
        <v>43799</v>
      </c>
      <c r="V82" s="141">
        <v>0</v>
      </c>
      <c r="W82" s="141">
        <v>43799</v>
      </c>
      <c r="X82" s="141">
        <v>-1155602</v>
      </c>
      <c r="Y82" s="141">
        <v>0</v>
      </c>
      <c r="Z82" s="141">
        <v>0</v>
      </c>
      <c r="AA82" s="141">
        <v>0</v>
      </c>
      <c r="AB82" s="141">
        <v>-1155602</v>
      </c>
      <c r="AC82" s="141">
        <v>0</v>
      </c>
      <c r="AD82" s="141">
        <v>-1155602</v>
      </c>
      <c r="AE82" s="141">
        <v>1155602</v>
      </c>
      <c r="AF82" s="141">
        <v>0</v>
      </c>
      <c r="AG82" s="141">
        <v>1155602</v>
      </c>
      <c r="AH82" s="141">
        <v>-4711352</v>
      </c>
      <c r="AI82" s="141">
        <v>0</v>
      </c>
      <c r="AJ82" s="141">
        <v>-4711352</v>
      </c>
      <c r="AK82" s="141">
        <v>0</v>
      </c>
      <c r="AL82" s="141">
        <v>0</v>
      </c>
      <c r="AM82" s="141">
        <v>0</v>
      </c>
      <c r="AN82" s="141">
        <v>353993</v>
      </c>
      <c r="AO82" s="141">
        <v>0</v>
      </c>
      <c r="AP82" s="141">
        <v>353993</v>
      </c>
      <c r="AQ82" s="141">
        <v>-4357359</v>
      </c>
      <c r="AR82" s="141">
        <v>0</v>
      </c>
      <c r="AS82" s="141">
        <v>-4357359</v>
      </c>
      <c r="AT82" s="141">
        <v>-1561062</v>
      </c>
      <c r="AU82" s="141">
        <v>0</v>
      </c>
      <c r="AV82" s="141">
        <v>-1561062</v>
      </c>
      <c r="AW82" s="141">
        <v>-21672</v>
      </c>
      <c r="AX82" s="141">
        <v>0</v>
      </c>
      <c r="AY82" s="141">
        <v>-21672</v>
      </c>
      <c r="AZ82" s="141">
        <v>-50479</v>
      </c>
      <c r="BA82" s="141">
        <v>0</v>
      </c>
      <c r="BB82" s="141">
        <v>-50479</v>
      </c>
      <c r="BC82" s="141">
        <v>-5990572</v>
      </c>
      <c r="BD82" s="141">
        <v>0</v>
      </c>
      <c r="BE82" s="141">
        <v>-2844</v>
      </c>
      <c r="BF82" s="141">
        <v>0</v>
      </c>
      <c r="BG82" s="141">
        <v>-5993416</v>
      </c>
      <c r="BH82" s="141">
        <v>0</v>
      </c>
      <c r="BI82" s="141">
        <v>-5993416</v>
      </c>
      <c r="BJ82" s="141">
        <v>0</v>
      </c>
      <c r="BK82" s="141">
        <v>0</v>
      </c>
      <c r="BL82" s="141">
        <v>0</v>
      </c>
      <c r="BM82" s="141">
        <v>-580090</v>
      </c>
      <c r="BN82" s="141">
        <v>0</v>
      </c>
      <c r="BO82" s="141">
        <v>-580090</v>
      </c>
      <c r="BP82" s="141">
        <v>-580090</v>
      </c>
      <c r="BQ82" s="141">
        <v>0</v>
      </c>
      <c r="BR82" s="141">
        <v>-16105</v>
      </c>
      <c r="BS82" s="141">
        <v>0</v>
      </c>
      <c r="BT82" s="141">
        <v>-596195</v>
      </c>
      <c r="BU82" s="141">
        <v>0</v>
      </c>
      <c r="BV82" s="141">
        <v>-596195</v>
      </c>
      <c r="BW82" s="141">
        <v>-154649</v>
      </c>
      <c r="BX82" s="141">
        <v>0</v>
      </c>
      <c r="BY82" s="141">
        <v>-154649</v>
      </c>
      <c r="BZ82" s="141">
        <v>-88102</v>
      </c>
      <c r="CA82" s="141">
        <v>0</v>
      </c>
      <c r="CB82" s="141">
        <v>-88102</v>
      </c>
      <c r="CC82" s="141">
        <v>-3856</v>
      </c>
      <c r="CD82" s="141">
        <v>0</v>
      </c>
      <c r="CE82" s="141">
        <v>-3856</v>
      </c>
      <c r="CF82" s="141">
        <v>0</v>
      </c>
      <c r="CG82" s="141">
        <v>0</v>
      </c>
      <c r="CH82" s="141">
        <v>0</v>
      </c>
      <c r="CI82" s="141">
        <v>-6114</v>
      </c>
      <c r="CJ82" s="141">
        <v>0</v>
      </c>
      <c r="CK82" s="141">
        <v>-6114</v>
      </c>
      <c r="CL82" s="141">
        <v>0</v>
      </c>
      <c r="CM82" s="141">
        <v>0</v>
      </c>
      <c r="CN82" s="141">
        <v>0</v>
      </c>
      <c r="CO82" s="141">
        <v>0</v>
      </c>
      <c r="CP82" s="141">
        <v>0</v>
      </c>
      <c r="CQ82" s="141">
        <v>-252721</v>
      </c>
      <c r="CR82" s="141">
        <v>0</v>
      </c>
      <c r="CS82" s="141">
        <v>0</v>
      </c>
      <c r="CT82" s="141">
        <v>0</v>
      </c>
      <c r="CU82" s="141">
        <v>-252721</v>
      </c>
      <c r="CV82" s="141">
        <v>0</v>
      </c>
      <c r="CW82" s="141">
        <v>-252721</v>
      </c>
      <c r="CX82" s="141">
        <v>-50479</v>
      </c>
      <c r="CY82" s="141">
        <v>0</v>
      </c>
      <c r="CZ82" s="141">
        <v>-50479</v>
      </c>
      <c r="DA82" s="141">
        <v>0</v>
      </c>
      <c r="DB82" s="141">
        <v>0</v>
      </c>
      <c r="DC82" s="141">
        <v>0</v>
      </c>
      <c r="DD82" s="141">
        <v>-99609</v>
      </c>
      <c r="DE82" s="141">
        <v>0</v>
      </c>
      <c r="DF82" s="141">
        <v>-99609</v>
      </c>
      <c r="DG82" s="141">
        <v>-74992</v>
      </c>
      <c r="DH82" s="141">
        <v>0</v>
      </c>
      <c r="DI82" s="141">
        <v>-74992</v>
      </c>
      <c r="DJ82" s="141">
        <v>0</v>
      </c>
      <c r="DK82" s="141">
        <v>0</v>
      </c>
      <c r="DL82" s="141">
        <v>0</v>
      </c>
      <c r="DM82" s="141">
        <v>-1194417</v>
      </c>
      <c r="DN82" s="141">
        <v>0</v>
      </c>
      <c r="DO82" s="141">
        <v>-1194417</v>
      </c>
      <c r="DP82" s="141">
        <v>-1419497</v>
      </c>
      <c r="DQ82" s="141">
        <v>0</v>
      </c>
      <c r="DR82" s="141">
        <v>0</v>
      </c>
      <c r="DS82" s="141">
        <v>0</v>
      </c>
      <c r="DT82" s="141">
        <v>-1419497</v>
      </c>
      <c r="DU82" s="141">
        <v>0</v>
      </c>
      <c r="DV82" s="141">
        <v>-1419497</v>
      </c>
      <c r="DW82" s="856">
        <v>18514138</v>
      </c>
      <c r="DX82" s="856">
        <v>0</v>
      </c>
      <c r="DY82" s="857">
        <v>18514138</v>
      </c>
      <c r="DZ82" t="s">
        <v>1648</v>
      </c>
    </row>
    <row r="83" spans="1:130" ht="12.75" x14ac:dyDescent="0.2">
      <c r="A83" s="764">
        <v>76</v>
      </c>
      <c r="B83" s="765" t="s">
        <v>32</v>
      </c>
      <c r="C83" s="766" t="s">
        <v>1224</v>
      </c>
      <c r="D83" s="767" t="s">
        <v>1225</v>
      </c>
      <c r="E83" s="768" t="s">
        <v>31</v>
      </c>
      <c r="F83" s="867">
        <v>43460</v>
      </c>
      <c r="G83" s="141">
        <v>244525735</v>
      </c>
      <c r="H83" s="141">
        <v>0</v>
      </c>
      <c r="I83" s="141">
        <v>244525735</v>
      </c>
      <c r="J83" s="141">
        <v>49.1</v>
      </c>
      <c r="K83" s="141">
        <v>120062136</v>
      </c>
      <c r="L83" s="141">
        <v>0</v>
      </c>
      <c r="M83" s="141">
        <v>680000</v>
      </c>
      <c r="N83" s="141">
        <v>0</v>
      </c>
      <c r="O83" s="141">
        <v>120742136</v>
      </c>
      <c r="P83" s="141">
        <v>0</v>
      </c>
      <c r="Q83" s="141">
        <v>120742136</v>
      </c>
      <c r="R83" s="141">
        <v>-879016</v>
      </c>
      <c r="S83" s="141">
        <v>0</v>
      </c>
      <c r="T83" s="141">
        <v>-879016</v>
      </c>
      <c r="U83" s="141">
        <v>1806557</v>
      </c>
      <c r="V83" s="141">
        <v>0</v>
      </c>
      <c r="W83" s="141">
        <v>1806557</v>
      </c>
      <c r="X83" s="141">
        <v>927541</v>
      </c>
      <c r="Y83" s="141">
        <v>0</v>
      </c>
      <c r="Z83" s="141">
        <v>0</v>
      </c>
      <c r="AA83" s="141">
        <v>0</v>
      </c>
      <c r="AB83" s="141">
        <v>927541</v>
      </c>
      <c r="AC83" s="141">
        <v>0</v>
      </c>
      <c r="AD83" s="141">
        <v>927541</v>
      </c>
      <c r="AE83" s="141">
        <v>-927541</v>
      </c>
      <c r="AF83" s="141">
        <v>0</v>
      </c>
      <c r="AG83" s="141">
        <v>-927541</v>
      </c>
      <c r="AH83" s="141">
        <v>-9886301</v>
      </c>
      <c r="AI83" s="141">
        <v>0</v>
      </c>
      <c r="AJ83" s="141">
        <v>-9886301</v>
      </c>
      <c r="AK83" s="141">
        <v>-25806</v>
      </c>
      <c r="AL83" s="141">
        <v>0</v>
      </c>
      <c r="AM83" s="141">
        <v>-25806</v>
      </c>
      <c r="AN83" s="141">
        <v>2318845</v>
      </c>
      <c r="AO83" s="141">
        <v>0</v>
      </c>
      <c r="AP83" s="141">
        <v>2318845</v>
      </c>
      <c r="AQ83" s="141">
        <v>-7567456</v>
      </c>
      <c r="AR83" s="141">
        <v>0</v>
      </c>
      <c r="AS83" s="141">
        <v>-7567456</v>
      </c>
      <c r="AT83" s="141">
        <v>-7414401</v>
      </c>
      <c r="AU83" s="141">
        <v>0</v>
      </c>
      <c r="AV83" s="141">
        <v>-7414401</v>
      </c>
      <c r="AW83" s="141">
        <v>-52315</v>
      </c>
      <c r="AX83" s="141">
        <v>0</v>
      </c>
      <c r="AY83" s="141">
        <v>-52315</v>
      </c>
      <c r="AZ83" s="141">
        <v>-3478</v>
      </c>
      <c r="BA83" s="141">
        <v>0</v>
      </c>
      <c r="BB83" s="141">
        <v>-3478</v>
      </c>
      <c r="BC83" s="141">
        <v>-15037650</v>
      </c>
      <c r="BD83" s="141">
        <v>0</v>
      </c>
      <c r="BE83" s="141">
        <v>0</v>
      </c>
      <c r="BF83" s="141">
        <v>0</v>
      </c>
      <c r="BG83" s="141">
        <v>-15037650</v>
      </c>
      <c r="BH83" s="141">
        <v>0</v>
      </c>
      <c r="BI83" s="141">
        <v>-15037650</v>
      </c>
      <c r="BJ83" s="141">
        <v>-100000</v>
      </c>
      <c r="BK83" s="141">
        <v>0</v>
      </c>
      <c r="BL83" s="141">
        <v>-100000</v>
      </c>
      <c r="BM83" s="141">
        <v>-3499086</v>
      </c>
      <c r="BN83" s="141">
        <v>0</v>
      </c>
      <c r="BO83" s="141">
        <v>-3499086</v>
      </c>
      <c r="BP83" s="141">
        <v>-3599086</v>
      </c>
      <c r="BQ83" s="141">
        <v>0</v>
      </c>
      <c r="BR83" s="141">
        <v>-100000</v>
      </c>
      <c r="BS83" s="141">
        <v>0</v>
      </c>
      <c r="BT83" s="141">
        <v>-3699086</v>
      </c>
      <c r="BU83" s="141">
        <v>0</v>
      </c>
      <c r="BV83" s="141">
        <v>-3699086</v>
      </c>
      <c r="BW83" s="141">
        <v>-293384</v>
      </c>
      <c r="BX83" s="141">
        <v>0</v>
      </c>
      <c r="BY83" s="141">
        <v>-293384</v>
      </c>
      <c r="BZ83" s="141">
        <v>-165647</v>
      </c>
      <c r="CA83" s="141">
        <v>0</v>
      </c>
      <c r="CB83" s="141">
        <v>-165647</v>
      </c>
      <c r="CC83" s="141">
        <v>0</v>
      </c>
      <c r="CD83" s="141">
        <v>0</v>
      </c>
      <c r="CE83" s="141">
        <v>0</v>
      </c>
      <c r="CF83" s="141">
        <v>0</v>
      </c>
      <c r="CG83" s="141">
        <v>0</v>
      </c>
      <c r="CH83" s="141">
        <v>0</v>
      </c>
      <c r="CI83" s="141">
        <v>0</v>
      </c>
      <c r="CJ83" s="141">
        <v>0</v>
      </c>
      <c r="CK83" s="141">
        <v>0</v>
      </c>
      <c r="CL83" s="141">
        <v>0</v>
      </c>
      <c r="CM83" s="141">
        <v>0</v>
      </c>
      <c r="CN83" s="141">
        <v>0</v>
      </c>
      <c r="CO83" s="141">
        <v>0</v>
      </c>
      <c r="CP83" s="141">
        <v>0</v>
      </c>
      <c r="CQ83" s="141">
        <v>-459031</v>
      </c>
      <c r="CR83" s="141">
        <v>0</v>
      </c>
      <c r="CS83" s="141">
        <v>0</v>
      </c>
      <c r="CT83" s="141">
        <v>0</v>
      </c>
      <c r="CU83" s="141">
        <v>-459031</v>
      </c>
      <c r="CV83" s="141">
        <v>0</v>
      </c>
      <c r="CW83" s="141">
        <v>-459031</v>
      </c>
      <c r="CX83" s="141">
        <v>-3478</v>
      </c>
      <c r="CY83" s="141">
        <v>0</v>
      </c>
      <c r="CZ83" s="141">
        <v>-3478</v>
      </c>
      <c r="DA83" s="141">
        <v>0</v>
      </c>
      <c r="DB83" s="141">
        <v>0</v>
      </c>
      <c r="DC83" s="141">
        <v>0</v>
      </c>
      <c r="DD83" s="141">
        <v>-45039</v>
      </c>
      <c r="DE83" s="141">
        <v>0</v>
      </c>
      <c r="DF83" s="141">
        <v>-45039</v>
      </c>
      <c r="DG83" s="141">
        <v>-92628</v>
      </c>
      <c r="DH83" s="141">
        <v>0</v>
      </c>
      <c r="DI83" s="141">
        <v>-92628</v>
      </c>
      <c r="DJ83" s="141">
        <v>0</v>
      </c>
      <c r="DK83" s="141">
        <v>0</v>
      </c>
      <c r="DL83" s="141">
        <v>0</v>
      </c>
      <c r="DM83" s="141">
        <v>-2558066</v>
      </c>
      <c r="DN83" s="141">
        <v>0</v>
      </c>
      <c r="DO83" s="141">
        <v>-2558066</v>
      </c>
      <c r="DP83" s="141">
        <v>-2699211</v>
      </c>
      <c r="DQ83" s="141">
        <v>0</v>
      </c>
      <c r="DR83" s="141">
        <v>0</v>
      </c>
      <c r="DS83" s="141">
        <v>0</v>
      </c>
      <c r="DT83" s="141">
        <v>-2699211</v>
      </c>
      <c r="DU83" s="141">
        <v>0</v>
      </c>
      <c r="DV83" s="141">
        <v>-2699211</v>
      </c>
      <c r="DW83" s="856">
        <v>99774699</v>
      </c>
      <c r="DX83" s="856">
        <v>0</v>
      </c>
      <c r="DY83" s="857">
        <v>99774699</v>
      </c>
      <c r="DZ83" t="s">
        <v>1649</v>
      </c>
    </row>
    <row r="84" spans="1:130" ht="12.75" x14ac:dyDescent="0.2">
      <c r="A84" s="764">
        <v>77</v>
      </c>
      <c r="B84" s="765" t="s">
        <v>1146</v>
      </c>
      <c r="C84" s="766" t="s">
        <v>529</v>
      </c>
      <c r="D84" s="767" t="s">
        <v>1226</v>
      </c>
      <c r="E84" s="768" t="s">
        <v>1145</v>
      </c>
      <c r="F84" s="867">
        <v>43465</v>
      </c>
      <c r="G84" s="141">
        <v>284545431</v>
      </c>
      <c r="H84" s="141">
        <v>954370</v>
      </c>
      <c r="I84" s="141">
        <v>285499801</v>
      </c>
      <c r="J84" s="141">
        <v>49.1</v>
      </c>
      <c r="K84" s="141">
        <v>139711807</v>
      </c>
      <c r="L84" s="141">
        <v>468596</v>
      </c>
      <c r="M84" s="141">
        <v>0</v>
      </c>
      <c r="N84" s="141">
        <v>0</v>
      </c>
      <c r="O84" s="141">
        <v>139711807</v>
      </c>
      <c r="P84" s="141">
        <v>468596</v>
      </c>
      <c r="Q84" s="141">
        <v>140180403</v>
      </c>
      <c r="R84" s="141">
        <v>-2707452</v>
      </c>
      <c r="S84" s="141">
        <v>0</v>
      </c>
      <c r="T84" s="141">
        <v>-2707452</v>
      </c>
      <c r="U84" s="141">
        <v>1392835</v>
      </c>
      <c r="V84" s="141">
        <v>3000</v>
      </c>
      <c r="W84" s="141">
        <v>1395835</v>
      </c>
      <c r="X84" s="141">
        <v>-1314617</v>
      </c>
      <c r="Y84" s="141">
        <v>3000</v>
      </c>
      <c r="Z84" s="141">
        <v>0</v>
      </c>
      <c r="AA84" s="141">
        <v>0</v>
      </c>
      <c r="AB84" s="141">
        <v>-1314617</v>
      </c>
      <c r="AC84" s="141">
        <v>3000</v>
      </c>
      <c r="AD84" s="141">
        <v>-1311617</v>
      </c>
      <c r="AE84" s="141">
        <v>1314617</v>
      </c>
      <c r="AF84" s="141">
        <v>-3000</v>
      </c>
      <c r="AG84" s="141">
        <v>1311617</v>
      </c>
      <c r="AH84" s="141">
        <v>-18981208</v>
      </c>
      <c r="AI84" s="141">
        <v>-3953</v>
      </c>
      <c r="AJ84" s="141">
        <v>-18985161</v>
      </c>
      <c r="AK84" s="141">
        <v>-26761</v>
      </c>
      <c r="AL84" s="141">
        <v>0</v>
      </c>
      <c r="AM84" s="141">
        <v>-26761</v>
      </c>
      <c r="AN84" s="141">
        <v>2108405</v>
      </c>
      <c r="AO84" s="141">
        <v>0</v>
      </c>
      <c r="AP84" s="141">
        <v>2108405</v>
      </c>
      <c r="AQ84" s="141">
        <v>-16872803</v>
      </c>
      <c r="AR84" s="141">
        <v>-3953</v>
      </c>
      <c r="AS84" s="141">
        <v>-16876756</v>
      </c>
      <c r="AT84" s="141">
        <v>-10895453</v>
      </c>
      <c r="AU84" s="141">
        <v>0</v>
      </c>
      <c r="AV84" s="141">
        <v>-10895453</v>
      </c>
      <c r="AW84" s="141">
        <v>-348559</v>
      </c>
      <c r="AX84" s="141">
        <v>0</v>
      </c>
      <c r="AY84" s="141">
        <v>-348559</v>
      </c>
      <c r="AZ84" s="141">
        <v>-113223</v>
      </c>
      <c r="BA84" s="141">
        <v>0</v>
      </c>
      <c r="BB84" s="141">
        <v>-113223</v>
      </c>
      <c r="BC84" s="141">
        <v>-28230038</v>
      </c>
      <c r="BD84" s="141">
        <v>-3953</v>
      </c>
      <c r="BE84" s="141">
        <v>0</v>
      </c>
      <c r="BF84" s="141">
        <v>0</v>
      </c>
      <c r="BG84" s="141">
        <v>-28230038</v>
      </c>
      <c r="BH84" s="141">
        <v>-3953</v>
      </c>
      <c r="BI84" s="141">
        <v>-28233991</v>
      </c>
      <c r="BJ84" s="141">
        <v>0</v>
      </c>
      <c r="BK84" s="141">
        <v>0</v>
      </c>
      <c r="BL84" s="141">
        <v>0</v>
      </c>
      <c r="BM84" s="141">
        <v>-2574492</v>
      </c>
      <c r="BN84" s="141">
        <v>0</v>
      </c>
      <c r="BO84" s="141">
        <v>-2574492</v>
      </c>
      <c r="BP84" s="141">
        <v>-2574492</v>
      </c>
      <c r="BQ84" s="141">
        <v>0</v>
      </c>
      <c r="BR84" s="141">
        <v>0</v>
      </c>
      <c r="BS84" s="141">
        <v>0</v>
      </c>
      <c r="BT84" s="141">
        <v>-2574492</v>
      </c>
      <c r="BU84" s="141">
        <v>0</v>
      </c>
      <c r="BV84" s="141">
        <v>-2574492</v>
      </c>
      <c r="BW84" s="141">
        <v>-325384</v>
      </c>
      <c r="BX84" s="141">
        <v>0</v>
      </c>
      <c r="BY84" s="141">
        <v>-325384</v>
      </c>
      <c r="BZ84" s="141">
        <v>-105235</v>
      </c>
      <c r="CA84" s="141">
        <v>0</v>
      </c>
      <c r="CB84" s="141">
        <v>-105235</v>
      </c>
      <c r="CC84" s="141">
        <v>-31477</v>
      </c>
      <c r="CD84" s="141">
        <v>0</v>
      </c>
      <c r="CE84" s="141">
        <v>-31477</v>
      </c>
      <c r="CF84" s="141">
        <v>0</v>
      </c>
      <c r="CG84" s="141">
        <v>0</v>
      </c>
      <c r="CH84" s="141">
        <v>0</v>
      </c>
      <c r="CI84" s="141">
        <v>0</v>
      </c>
      <c r="CJ84" s="141">
        <v>0</v>
      </c>
      <c r="CK84" s="141">
        <v>0</v>
      </c>
      <c r="CL84" s="141">
        <v>0</v>
      </c>
      <c r="CM84" s="141">
        <v>-43427</v>
      </c>
      <c r="CN84" s="141">
        <v>-43427</v>
      </c>
      <c r="CO84" s="141">
        <v>-43427</v>
      </c>
      <c r="CP84" s="141">
        <v>0</v>
      </c>
      <c r="CQ84" s="141">
        <v>-462096</v>
      </c>
      <c r="CR84" s="141">
        <v>-43427</v>
      </c>
      <c r="CS84" s="141">
        <v>0</v>
      </c>
      <c r="CT84" s="141">
        <v>0</v>
      </c>
      <c r="CU84" s="141">
        <v>-462096</v>
      </c>
      <c r="CV84" s="141">
        <v>-43427</v>
      </c>
      <c r="CW84" s="141">
        <v>-505523</v>
      </c>
      <c r="CX84" s="141">
        <v>-113117</v>
      </c>
      <c r="CY84" s="141">
        <v>0</v>
      </c>
      <c r="CZ84" s="141">
        <v>-113117</v>
      </c>
      <c r="DA84" s="141">
        <v>0</v>
      </c>
      <c r="DB84" s="141">
        <v>0</v>
      </c>
      <c r="DC84" s="141">
        <v>0</v>
      </c>
      <c r="DD84" s="141">
        <v>-127698</v>
      </c>
      <c r="DE84" s="141">
        <v>0</v>
      </c>
      <c r="DF84" s="141">
        <v>-127698</v>
      </c>
      <c r="DG84" s="141">
        <v>0</v>
      </c>
      <c r="DH84" s="141">
        <v>0</v>
      </c>
      <c r="DI84" s="141">
        <v>0</v>
      </c>
      <c r="DJ84" s="141">
        <v>0</v>
      </c>
      <c r="DK84" s="141">
        <v>0</v>
      </c>
      <c r="DL84" s="141">
        <v>0</v>
      </c>
      <c r="DM84" s="141">
        <v>-4243829</v>
      </c>
      <c r="DN84" s="141">
        <v>0</v>
      </c>
      <c r="DO84" s="141">
        <v>-4243829</v>
      </c>
      <c r="DP84" s="141">
        <v>-4484644</v>
      </c>
      <c r="DQ84" s="141">
        <v>0</v>
      </c>
      <c r="DR84" s="141">
        <v>0</v>
      </c>
      <c r="DS84" s="141">
        <v>0</v>
      </c>
      <c r="DT84" s="141">
        <v>-4484644</v>
      </c>
      <c r="DU84" s="141">
        <v>0</v>
      </c>
      <c r="DV84" s="141">
        <v>-4484644</v>
      </c>
      <c r="DW84" s="856">
        <v>102645920</v>
      </c>
      <c r="DX84" s="856">
        <v>424216</v>
      </c>
      <c r="DY84" s="857">
        <v>103070136</v>
      </c>
      <c r="DZ84" t="s">
        <v>1650</v>
      </c>
    </row>
    <row r="85" spans="1:130" ht="12.75" x14ac:dyDescent="0.2">
      <c r="A85" s="764">
        <v>78</v>
      </c>
      <c r="B85" s="765" t="s">
        <v>43</v>
      </c>
      <c r="C85" s="766" t="s">
        <v>1217</v>
      </c>
      <c r="D85" s="767" t="s">
        <v>1218</v>
      </c>
      <c r="E85" s="768" t="s">
        <v>42</v>
      </c>
      <c r="F85" s="867">
        <v>43465</v>
      </c>
      <c r="G85" s="141">
        <v>108142687</v>
      </c>
      <c r="H85" s="141">
        <v>0</v>
      </c>
      <c r="I85" s="141">
        <v>108142687</v>
      </c>
      <c r="J85" s="141">
        <v>49.1</v>
      </c>
      <c r="K85" s="141">
        <v>53098059</v>
      </c>
      <c r="L85" s="141">
        <v>0</v>
      </c>
      <c r="M85" s="141">
        <v>1006328</v>
      </c>
      <c r="N85" s="141">
        <v>0</v>
      </c>
      <c r="O85" s="141">
        <v>54104387</v>
      </c>
      <c r="P85" s="141">
        <v>0</v>
      </c>
      <c r="Q85" s="141">
        <v>54104387</v>
      </c>
      <c r="R85" s="141">
        <v>-515289</v>
      </c>
      <c r="S85" s="141">
        <v>0</v>
      </c>
      <c r="T85" s="141">
        <v>-515289</v>
      </c>
      <c r="U85" s="141">
        <v>1113556</v>
      </c>
      <c r="V85" s="141">
        <v>0</v>
      </c>
      <c r="W85" s="141">
        <v>1113556</v>
      </c>
      <c r="X85" s="141">
        <v>598267</v>
      </c>
      <c r="Y85" s="141">
        <v>0</v>
      </c>
      <c r="Z85" s="141">
        <v>0</v>
      </c>
      <c r="AA85" s="141">
        <v>0</v>
      </c>
      <c r="AB85" s="141">
        <v>598267</v>
      </c>
      <c r="AC85" s="141">
        <v>0</v>
      </c>
      <c r="AD85" s="141">
        <v>598267</v>
      </c>
      <c r="AE85" s="141">
        <v>-598267</v>
      </c>
      <c r="AF85" s="141">
        <v>0</v>
      </c>
      <c r="AG85" s="141">
        <v>-598267</v>
      </c>
      <c r="AH85" s="141">
        <v>-4277000</v>
      </c>
      <c r="AI85" s="141">
        <v>0</v>
      </c>
      <c r="AJ85" s="141">
        <v>-4277000</v>
      </c>
      <c r="AK85" s="141">
        <v>-3657</v>
      </c>
      <c r="AL85" s="141">
        <v>0</v>
      </c>
      <c r="AM85" s="141">
        <v>-3657</v>
      </c>
      <c r="AN85" s="141">
        <v>1075000</v>
      </c>
      <c r="AO85" s="141">
        <v>0</v>
      </c>
      <c r="AP85" s="141">
        <v>1075000</v>
      </c>
      <c r="AQ85" s="141">
        <v>-3202000</v>
      </c>
      <c r="AR85" s="141">
        <v>0</v>
      </c>
      <c r="AS85" s="141">
        <v>-3202000</v>
      </c>
      <c r="AT85" s="141">
        <v>-2798356</v>
      </c>
      <c r="AU85" s="141">
        <v>0</v>
      </c>
      <c r="AV85" s="141">
        <v>-2798356</v>
      </c>
      <c r="AW85" s="141">
        <v>-38264</v>
      </c>
      <c r="AX85" s="141">
        <v>0</v>
      </c>
      <c r="AY85" s="141">
        <v>-38264</v>
      </c>
      <c r="AZ85" s="141">
        <v>-15368</v>
      </c>
      <c r="BA85" s="141">
        <v>0</v>
      </c>
      <c r="BB85" s="141">
        <v>-15368</v>
      </c>
      <c r="BC85" s="141">
        <v>-6053988</v>
      </c>
      <c r="BD85" s="141">
        <v>0</v>
      </c>
      <c r="BE85" s="141">
        <v>-122012</v>
      </c>
      <c r="BF85" s="141">
        <v>0</v>
      </c>
      <c r="BG85" s="141">
        <v>-6176000</v>
      </c>
      <c r="BH85" s="141">
        <v>0</v>
      </c>
      <c r="BI85" s="141">
        <v>-6176000</v>
      </c>
      <c r="BJ85" s="141">
        <v>0</v>
      </c>
      <c r="BK85" s="141">
        <v>0</v>
      </c>
      <c r="BL85" s="141">
        <v>0</v>
      </c>
      <c r="BM85" s="141">
        <v>-825091</v>
      </c>
      <c r="BN85" s="141">
        <v>0</v>
      </c>
      <c r="BO85" s="141">
        <v>-825091</v>
      </c>
      <c r="BP85" s="141">
        <v>-825091</v>
      </c>
      <c r="BQ85" s="141">
        <v>0</v>
      </c>
      <c r="BR85" s="141">
        <v>-349909</v>
      </c>
      <c r="BS85" s="141">
        <v>0</v>
      </c>
      <c r="BT85" s="141">
        <v>-1175000</v>
      </c>
      <c r="BU85" s="141">
        <v>0</v>
      </c>
      <c r="BV85" s="141">
        <v>-1175000</v>
      </c>
      <c r="BW85" s="141">
        <v>-163293</v>
      </c>
      <c r="BX85" s="141">
        <v>0</v>
      </c>
      <c r="BY85" s="141">
        <v>-163293</v>
      </c>
      <c r="BZ85" s="141">
        <v>-13316</v>
      </c>
      <c r="CA85" s="141">
        <v>0</v>
      </c>
      <c r="CB85" s="141">
        <v>-13316</v>
      </c>
      <c r="CC85" s="141">
        <v>0</v>
      </c>
      <c r="CD85" s="141">
        <v>0</v>
      </c>
      <c r="CE85" s="141">
        <v>0</v>
      </c>
      <c r="CF85" s="141">
        <v>0</v>
      </c>
      <c r="CG85" s="141">
        <v>0</v>
      </c>
      <c r="CH85" s="141">
        <v>0</v>
      </c>
      <c r="CI85" s="141">
        <v>0</v>
      </c>
      <c r="CJ85" s="141">
        <v>0</v>
      </c>
      <c r="CK85" s="141">
        <v>0</v>
      </c>
      <c r="CL85" s="141">
        <v>-1975000</v>
      </c>
      <c r="CM85" s="141">
        <v>0</v>
      </c>
      <c r="CN85" s="141">
        <v>-1975000</v>
      </c>
      <c r="CO85" s="141">
        <v>0</v>
      </c>
      <c r="CP85" s="141">
        <v>-1975000</v>
      </c>
      <c r="CQ85" s="141">
        <v>-2151609</v>
      </c>
      <c r="CR85" s="141">
        <v>0</v>
      </c>
      <c r="CS85" s="141">
        <v>-3391</v>
      </c>
      <c r="CT85" s="141">
        <v>0</v>
      </c>
      <c r="CU85" s="141">
        <v>-2155000</v>
      </c>
      <c r="CV85" s="141">
        <v>0</v>
      </c>
      <c r="CW85" s="141">
        <v>-2155000</v>
      </c>
      <c r="CX85" s="141">
        <v>-15368</v>
      </c>
      <c r="CY85" s="141">
        <v>0</v>
      </c>
      <c r="CZ85" s="141">
        <v>-15368</v>
      </c>
      <c r="DA85" s="141">
        <v>-1500</v>
      </c>
      <c r="DB85" s="141">
        <v>0</v>
      </c>
      <c r="DC85" s="141">
        <v>-1500</v>
      </c>
      <c r="DD85" s="141">
        <v>-38010</v>
      </c>
      <c r="DE85" s="141">
        <v>0</v>
      </c>
      <c r="DF85" s="141">
        <v>-38010</v>
      </c>
      <c r="DG85" s="141">
        <v>-46475</v>
      </c>
      <c r="DH85" s="141">
        <v>0</v>
      </c>
      <c r="DI85" s="141">
        <v>-46475</v>
      </c>
      <c r="DJ85" s="141">
        <v>0</v>
      </c>
      <c r="DK85" s="141">
        <v>0</v>
      </c>
      <c r="DL85" s="141">
        <v>0</v>
      </c>
      <c r="DM85" s="141">
        <v>-735000</v>
      </c>
      <c r="DN85" s="141">
        <v>0</v>
      </c>
      <c r="DO85" s="141">
        <v>-735000</v>
      </c>
      <c r="DP85" s="141">
        <v>-836353</v>
      </c>
      <c r="DQ85" s="141">
        <v>0</v>
      </c>
      <c r="DR85" s="141">
        <v>0</v>
      </c>
      <c r="DS85" s="141">
        <v>0</v>
      </c>
      <c r="DT85" s="141">
        <v>-836353</v>
      </c>
      <c r="DU85" s="141">
        <v>0</v>
      </c>
      <c r="DV85" s="141">
        <v>-836353</v>
      </c>
      <c r="DW85" s="856">
        <v>44360301</v>
      </c>
      <c r="DX85" s="856">
        <v>0</v>
      </c>
      <c r="DY85" s="857">
        <v>44360301</v>
      </c>
      <c r="DZ85" t="s">
        <v>1651</v>
      </c>
    </row>
    <row r="86" spans="1:130" ht="12.75" x14ac:dyDescent="0.2">
      <c r="A86" s="764">
        <v>79</v>
      </c>
      <c r="B86" s="765" t="s">
        <v>45</v>
      </c>
      <c r="C86" s="766" t="s">
        <v>1224</v>
      </c>
      <c r="D86" s="767" t="s">
        <v>1227</v>
      </c>
      <c r="E86" s="768" t="s">
        <v>44</v>
      </c>
      <c r="F86" s="867">
        <v>43460</v>
      </c>
      <c r="G86" s="141">
        <v>231111445</v>
      </c>
      <c r="H86" s="141">
        <v>511450</v>
      </c>
      <c r="I86" s="141">
        <v>231622895</v>
      </c>
      <c r="J86" s="141">
        <v>49.1</v>
      </c>
      <c r="K86" s="141">
        <v>113475719</v>
      </c>
      <c r="L86" s="141">
        <v>251122</v>
      </c>
      <c r="M86" s="141">
        <v>275000</v>
      </c>
      <c r="N86" s="141">
        <v>380560</v>
      </c>
      <c r="O86" s="141">
        <v>113750719</v>
      </c>
      <c r="P86" s="141">
        <v>631682</v>
      </c>
      <c r="Q86" s="141">
        <v>114382401</v>
      </c>
      <c r="R86" s="141">
        <v>-690260</v>
      </c>
      <c r="S86" s="141">
        <v>-905</v>
      </c>
      <c r="T86" s="141">
        <v>-691165</v>
      </c>
      <c r="U86" s="141">
        <v>1674761</v>
      </c>
      <c r="V86" s="141">
        <v>0</v>
      </c>
      <c r="W86" s="141">
        <v>1674761</v>
      </c>
      <c r="X86" s="141">
        <v>984501</v>
      </c>
      <c r="Y86" s="141">
        <v>-905</v>
      </c>
      <c r="Z86" s="141">
        <v>0</v>
      </c>
      <c r="AA86" s="141">
        <v>0</v>
      </c>
      <c r="AB86" s="141">
        <v>984501</v>
      </c>
      <c r="AC86" s="141">
        <v>-905</v>
      </c>
      <c r="AD86" s="141">
        <v>983596</v>
      </c>
      <c r="AE86" s="141">
        <v>-984501</v>
      </c>
      <c r="AF86" s="141">
        <v>905</v>
      </c>
      <c r="AG86" s="141">
        <v>-983596</v>
      </c>
      <c r="AH86" s="141">
        <v>-11623965</v>
      </c>
      <c r="AI86" s="141">
        <v>-4762</v>
      </c>
      <c r="AJ86" s="141">
        <v>-11628727</v>
      </c>
      <c r="AK86" s="141">
        <v>-30054</v>
      </c>
      <c r="AL86" s="141">
        <v>0</v>
      </c>
      <c r="AM86" s="141">
        <v>-30054</v>
      </c>
      <c r="AN86" s="141">
        <v>2005340</v>
      </c>
      <c r="AO86" s="141">
        <v>0</v>
      </c>
      <c r="AP86" s="141">
        <v>2005340</v>
      </c>
      <c r="AQ86" s="141">
        <v>-9618625</v>
      </c>
      <c r="AR86" s="141">
        <v>-4762</v>
      </c>
      <c r="AS86" s="141">
        <v>-9623387</v>
      </c>
      <c r="AT86" s="141">
        <v>-6204287</v>
      </c>
      <c r="AU86" s="141">
        <v>0</v>
      </c>
      <c r="AV86" s="141">
        <v>-6204287</v>
      </c>
      <c r="AW86" s="141">
        <v>-34917</v>
      </c>
      <c r="AX86" s="141">
        <v>0</v>
      </c>
      <c r="AY86" s="141">
        <v>-34917</v>
      </c>
      <c r="AZ86" s="141">
        <v>0</v>
      </c>
      <c r="BA86" s="141">
        <v>0</v>
      </c>
      <c r="BB86" s="141">
        <v>0</v>
      </c>
      <c r="BC86" s="141">
        <v>-15857829</v>
      </c>
      <c r="BD86" s="141">
        <v>-4762</v>
      </c>
      <c r="BE86" s="141">
        <v>-62000</v>
      </c>
      <c r="BF86" s="141">
        <v>0</v>
      </c>
      <c r="BG86" s="141">
        <v>-15919829</v>
      </c>
      <c r="BH86" s="141">
        <v>-4762</v>
      </c>
      <c r="BI86" s="141">
        <v>-15924591</v>
      </c>
      <c r="BJ86" s="141">
        <v>0</v>
      </c>
      <c r="BK86" s="141">
        <v>0</v>
      </c>
      <c r="BL86" s="141">
        <v>0</v>
      </c>
      <c r="BM86" s="141">
        <v>-3798386</v>
      </c>
      <c r="BN86" s="141">
        <v>-1614</v>
      </c>
      <c r="BO86" s="141">
        <v>-3800000</v>
      </c>
      <c r="BP86" s="141">
        <v>-3798386</v>
      </c>
      <c r="BQ86" s="141">
        <v>-1614</v>
      </c>
      <c r="BR86" s="141">
        <v>0</v>
      </c>
      <c r="BS86" s="141">
        <v>0</v>
      </c>
      <c r="BT86" s="141">
        <v>-3798386</v>
      </c>
      <c r="BU86" s="141">
        <v>-1614</v>
      </c>
      <c r="BV86" s="141">
        <v>-3800000</v>
      </c>
      <c r="BW86" s="141">
        <v>-592736</v>
      </c>
      <c r="BX86" s="141">
        <v>0</v>
      </c>
      <c r="BY86" s="141">
        <v>-592736</v>
      </c>
      <c r="BZ86" s="141">
        <v>-81788</v>
      </c>
      <c r="CA86" s="141">
        <v>0</v>
      </c>
      <c r="CB86" s="141">
        <v>-81788</v>
      </c>
      <c r="CC86" s="141">
        <v>-8729</v>
      </c>
      <c r="CD86" s="141">
        <v>0</v>
      </c>
      <c r="CE86" s="141">
        <v>-8729</v>
      </c>
      <c r="CF86" s="141">
        <v>0</v>
      </c>
      <c r="CG86" s="141">
        <v>0</v>
      </c>
      <c r="CH86" s="141">
        <v>0</v>
      </c>
      <c r="CI86" s="141">
        <v>0</v>
      </c>
      <c r="CJ86" s="141">
        <v>0</v>
      </c>
      <c r="CK86" s="141">
        <v>0</v>
      </c>
      <c r="CL86" s="141">
        <v>-155700</v>
      </c>
      <c r="CM86" s="141">
        <v>-219432</v>
      </c>
      <c r="CN86" s="141">
        <v>-375132</v>
      </c>
      <c r="CO86" s="141">
        <v>-219432</v>
      </c>
      <c r="CP86" s="141">
        <v>-155000</v>
      </c>
      <c r="CQ86" s="141">
        <v>-838953</v>
      </c>
      <c r="CR86" s="141">
        <v>-219432</v>
      </c>
      <c r="CS86" s="141">
        <v>0</v>
      </c>
      <c r="CT86" s="141">
        <v>-218000</v>
      </c>
      <c r="CU86" s="141">
        <v>-838953</v>
      </c>
      <c r="CV86" s="141">
        <v>-437432</v>
      </c>
      <c r="CW86" s="141">
        <v>-1276385</v>
      </c>
      <c r="CX86" s="141">
        <v>0</v>
      </c>
      <c r="CY86" s="141">
        <v>0</v>
      </c>
      <c r="CZ86" s="141">
        <v>0</v>
      </c>
      <c r="DA86" s="141">
        <v>-2150</v>
      </c>
      <c r="DB86" s="141">
        <v>0</v>
      </c>
      <c r="DC86" s="141">
        <v>-2150</v>
      </c>
      <c r="DD86" s="141">
        <v>-15482</v>
      </c>
      <c r="DE86" s="141">
        <v>0</v>
      </c>
      <c r="DF86" s="141">
        <v>-15482</v>
      </c>
      <c r="DG86" s="141">
        <v>-70417</v>
      </c>
      <c r="DH86" s="141">
        <v>0</v>
      </c>
      <c r="DI86" s="141">
        <v>-70417</v>
      </c>
      <c r="DJ86" s="141">
        <v>0</v>
      </c>
      <c r="DK86" s="141">
        <v>0</v>
      </c>
      <c r="DL86" s="141">
        <v>0</v>
      </c>
      <c r="DM86" s="141">
        <v>-2024000</v>
      </c>
      <c r="DN86" s="141">
        <v>0</v>
      </c>
      <c r="DO86" s="141">
        <v>-2024000</v>
      </c>
      <c r="DP86" s="141">
        <v>-2112049</v>
      </c>
      <c r="DQ86" s="141">
        <v>0</v>
      </c>
      <c r="DR86" s="141">
        <v>0</v>
      </c>
      <c r="DS86" s="141">
        <v>0</v>
      </c>
      <c r="DT86" s="141">
        <v>-2112049</v>
      </c>
      <c r="DU86" s="141">
        <v>0</v>
      </c>
      <c r="DV86" s="141">
        <v>-2112049</v>
      </c>
      <c r="DW86" s="856">
        <v>92066003</v>
      </c>
      <c r="DX86" s="856">
        <v>186969</v>
      </c>
      <c r="DY86" s="857">
        <v>92252972</v>
      </c>
      <c r="DZ86" t="s">
        <v>1652</v>
      </c>
    </row>
    <row r="87" spans="1:130" ht="12.75" x14ac:dyDescent="0.2">
      <c r="A87" s="764">
        <v>80</v>
      </c>
      <c r="B87" s="765" t="s">
        <v>47</v>
      </c>
      <c r="C87" s="766" t="s">
        <v>529</v>
      </c>
      <c r="D87" s="767" t="s">
        <v>1229</v>
      </c>
      <c r="E87" s="768" t="s">
        <v>46</v>
      </c>
      <c r="F87" s="867">
        <v>43453</v>
      </c>
      <c r="G87" s="141">
        <v>314002800</v>
      </c>
      <c r="H87" s="141">
        <v>0</v>
      </c>
      <c r="I87" s="141">
        <v>314002800</v>
      </c>
      <c r="J87" s="141">
        <v>49.1</v>
      </c>
      <c r="K87" s="141">
        <v>154175375</v>
      </c>
      <c r="L87" s="141">
        <v>0</v>
      </c>
      <c r="M87" s="141">
        <v>-1165315</v>
      </c>
      <c r="N87" s="141">
        <v>0</v>
      </c>
      <c r="O87" s="141">
        <v>153010060</v>
      </c>
      <c r="P87" s="141">
        <v>0</v>
      </c>
      <c r="Q87" s="141">
        <v>153010060</v>
      </c>
      <c r="R87" s="141">
        <v>-1777645</v>
      </c>
      <c r="S87" s="141">
        <v>0</v>
      </c>
      <c r="T87" s="141">
        <v>-1777645</v>
      </c>
      <c r="U87" s="141">
        <v>2605070</v>
      </c>
      <c r="V87" s="141">
        <v>0</v>
      </c>
      <c r="W87" s="141">
        <v>2605070</v>
      </c>
      <c r="X87" s="141">
        <v>827425</v>
      </c>
      <c r="Y87" s="141">
        <v>0</v>
      </c>
      <c r="Z87" s="141">
        <v>0</v>
      </c>
      <c r="AA87" s="141">
        <v>0</v>
      </c>
      <c r="AB87" s="141">
        <v>827425</v>
      </c>
      <c r="AC87" s="141">
        <v>0</v>
      </c>
      <c r="AD87" s="141">
        <v>827425</v>
      </c>
      <c r="AE87" s="141">
        <v>-827425</v>
      </c>
      <c r="AF87" s="141">
        <v>0</v>
      </c>
      <c r="AG87" s="141">
        <v>-827425</v>
      </c>
      <c r="AH87" s="141">
        <v>-14953813</v>
      </c>
      <c r="AI87" s="141">
        <v>0</v>
      </c>
      <c r="AJ87" s="141">
        <v>-14953813</v>
      </c>
      <c r="AK87" s="141">
        <v>-18308</v>
      </c>
      <c r="AL87" s="141">
        <v>0</v>
      </c>
      <c r="AM87" s="141">
        <v>-18308</v>
      </c>
      <c r="AN87" s="141">
        <v>2732483</v>
      </c>
      <c r="AO87" s="141">
        <v>0</v>
      </c>
      <c r="AP87" s="141">
        <v>2732483</v>
      </c>
      <c r="AQ87" s="141">
        <v>-12221330</v>
      </c>
      <c r="AR87" s="141">
        <v>0</v>
      </c>
      <c r="AS87" s="141">
        <v>-12221330</v>
      </c>
      <c r="AT87" s="141">
        <v>-12193257</v>
      </c>
      <c r="AU87" s="141">
        <v>0</v>
      </c>
      <c r="AV87" s="141">
        <v>-12193257</v>
      </c>
      <c r="AW87" s="141">
        <v>-300381</v>
      </c>
      <c r="AX87" s="141">
        <v>0</v>
      </c>
      <c r="AY87" s="141">
        <v>-300381</v>
      </c>
      <c r="AZ87" s="141">
        <v>-86080</v>
      </c>
      <c r="BA87" s="141">
        <v>0</v>
      </c>
      <c r="BB87" s="141">
        <v>-86080</v>
      </c>
      <c r="BC87" s="141">
        <v>-24801048</v>
      </c>
      <c r="BD87" s="141">
        <v>0</v>
      </c>
      <c r="BE87" s="141">
        <v>-377919</v>
      </c>
      <c r="BF87" s="141">
        <v>0</v>
      </c>
      <c r="BG87" s="141">
        <v>-25178967</v>
      </c>
      <c r="BH87" s="141">
        <v>0</v>
      </c>
      <c r="BI87" s="141">
        <v>-25178967</v>
      </c>
      <c r="BJ87" s="141">
        <v>0</v>
      </c>
      <c r="BK87" s="141">
        <v>0</v>
      </c>
      <c r="BL87" s="141">
        <v>0</v>
      </c>
      <c r="BM87" s="141">
        <v>-3115096</v>
      </c>
      <c r="BN87" s="141">
        <v>0</v>
      </c>
      <c r="BO87" s="141">
        <v>-3115096</v>
      </c>
      <c r="BP87" s="141">
        <v>-3115096</v>
      </c>
      <c r="BQ87" s="141">
        <v>0</v>
      </c>
      <c r="BR87" s="141">
        <v>-2920112</v>
      </c>
      <c r="BS87" s="141">
        <v>0</v>
      </c>
      <c r="BT87" s="141">
        <v>-6035208</v>
      </c>
      <c r="BU87" s="141">
        <v>0</v>
      </c>
      <c r="BV87" s="141">
        <v>-6035208</v>
      </c>
      <c r="BW87" s="141">
        <v>-777641</v>
      </c>
      <c r="BX87" s="141">
        <v>0</v>
      </c>
      <c r="BY87" s="141">
        <v>-777641</v>
      </c>
      <c r="BZ87" s="141">
        <v>-212366</v>
      </c>
      <c r="CA87" s="141">
        <v>0</v>
      </c>
      <c r="CB87" s="141">
        <v>-212366</v>
      </c>
      <c r="CC87" s="141">
        <v>0</v>
      </c>
      <c r="CD87" s="141">
        <v>0</v>
      </c>
      <c r="CE87" s="141">
        <v>0</v>
      </c>
      <c r="CF87" s="141">
        <v>0</v>
      </c>
      <c r="CG87" s="141">
        <v>0</v>
      </c>
      <c r="CH87" s="141">
        <v>0</v>
      </c>
      <c r="CI87" s="141">
        <v>-2480</v>
      </c>
      <c r="CJ87" s="141">
        <v>0</v>
      </c>
      <c r="CK87" s="141">
        <v>-2480</v>
      </c>
      <c r="CL87" s="141">
        <v>0</v>
      </c>
      <c r="CM87" s="141">
        <v>0</v>
      </c>
      <c r="CN87" s="141">
        <v>0</v>
      </c>
      <c r="CO87" s="141">
        <v>0</v>
      </c>
      <c r="CP87" s="141">
        <v>0</v>
      </c>
      <c r="CQ87" s="141">
        <v>-992487</v>
      </c>
      <c r="CR87" s="141">
        <v>0</v>
      </c>
      <c r="CS87" s="141">
        <v>-67141</v>
      </c>
      <c r="CT87" s="141">
        <v>0</v>
      </c>
      <c r="CU87" s="141">
        <v>-1059628</v>
      </c>
      <c r="CV87" s="141">
        <v>0</v>
      </c>
      <c r="CW87" s="141">
        <v>-1059628</v>
      </c>
      <c r="CX87" s="141">
        <v>-83600</v>
      </c>
      <c r="CY87" s="141">
        <v>0</v>
      </c>
      <c r="CZ87" s="141">
        <v>-83600</v>
      </c>
      <c r="DA87" s="141">
        <v>-1500</v>
      </c>
      <c r="DB87" s="141">
        <v>0</v>
      </c>
      <c r="DC87" s="141">
        <v>-1500</v>
      </c>
      <c r="DD87" s="141">
        <v>-73460</v>
      </c>
      <c r="DE87" s="141">
        <v>0</v>
      </c>
      <c r="DF87" s="141">
        <v>-73460</v>
      </c>
      <c r="DG87" s="141">
        <v>-132509</v>
      </c>
      <c r="DH87" s="141">
        <v>0</v>
      </c>
      <c r="DI87" s="141">
        <v>-132509</v>
      </c>
      <c r="DJ87" s="141">
        <v>0</v>
      </c>
      <c r="DK87" s="141">
        <v>0</v>
      </c>
      <c r="DL87" s="141">
        <v>0</v>
      </c>
      <c r="DM87" s="141">
        <v>-1851667</v>
      </c>
      <c r="DN87" s="141">
        <v>0</v>
      </c>
      <c r="DO87" s="141">
        <v>-1851667</v>
      </c>
      <c r="DP87" s="141">
        <v>-2142736</v>
      </c>
      <c r="DQ87" s="141">
        <v>0</v>
      </c>
      <c r="DR87" s="141">
        <v>0</v>
      </c>
      <c r="DS87" s="141">
        <v>0</v>
      </c>
      <c r="DT87" s="141">
        <v>-2142736</v>
      </c>
      <c r="DU87" s="141">
        <v>0</v>
      </c>
      <c r="DV87" s="141">
        <v>-2142736</v>
      </c>
      <c r="DW87" s="856">
        <v>119420946</v>
      </c>
      <c r="DX87" s="856">
        <v>0</v>
      </c>
      <c r="DY87" s="857">
        <v>119420946</v>
      </c>
      <c r="DZ87" t="s">
        <v>1653</v>
      </c>
    </row>
    <row r="88" spans="1:130" ht="12.75" x14ac:dyDescent="0.2">
      <c r="A88" s="764">
        <v>81</v>
      </c>
      <c r="B88" s="765" t="s">
        <v>49</v>
      </c>
      <c r="C88" s="766" t="s">
        <v>1222</v>
      </c>
      <c r="D88" s="767" t="s">
        <v>1223</v>
      </c>
      <c r="E88" s="768" t="s">
        <v>48</v>
      </c>
      <c r="F88" s="867">
        <v>43465</v>
      </c>
      <c r="G88" s="141">
        <v>389595347</v>
      </c>
      <c r="H88" s="141">
        <v>0</v>
      </c>
      <c r="I88" s="141">
        <v>389595347</v>
      </c>
      <c r="J88" s="141">
        <v>49.1</v>
      </c>
      <c r="K88" s="141">
        <v>191291315</v>
      </c>
      <c r="L88" s="141">
        <v>0</v>
      </c>
      <c r="M88" s="141">
        <v>0</v>
      </c>
      <c r="N88" s="141">
        <v>0</v>
      </c>
      <c r="O88" s="141">
        <v>191291315</v>
      </c>
      <c r="P88" s="141">
        <v>0</v>
      </c>
      <c r="Q88" s="141">
        <v>191291315</v>
      </c>
      <c r="R88" s="141">
        <v>-2742114</v>
      </c>
      <c r="S88" s="141">
        <v>0</v>
      </c>
      <c r="T88" s="141">
        <v>-2742114</v>
      </c>
      <c r="U88" s="141">
        <v>1441019</v>
      </c>
      <c r="V88" s="141">
        <v>0</v>
      </c>
      <c r="W88" s="141">
        <v>1441019</v>
      </c>
      <c r="X88" s="141">
        <v>-1301095</v>
      </c>
      <c r="Y88" s="141">
        <v>0</v>
      </c>
      <c r="Z88" s="141">
        <v>0</v>
      </c>
      <c r="AA88" s="141">
        <v>0</v>
      </c>
      <c r="AB88" s="141">
        <v>-1301095</v>
      </c>
      <c r="AC88" s="141">
        <v>0</v>
      </c>
      <c r="AD88" s="141">
        <v>-1301095</v>
      </c>
      <c r="AE88" s="141">
        <v>1301095</v>
      </c>
      <c r="AF88" s="141">
        <v>0</v>
      </c>
      <c r="AG88" s="141">
        <v>1301095</v>
      </c>
      <c r="AH88" s="141">
        <v>-9511345</v>
      </c>
      <c r="AI88" s="141">
        <v>0</v>
      </c>
      <c r="AJ88" s="141">
        <v>-9511345</v>
      </c>
      <c r="AK88" s="141">
        <v>-18557</v>
      </c>
      <c r="AL88" s="141">
        <v>0</v>
      </c>
      <c r="AM88" s="141">
        <v>-18557</v>
      </c>
      <c r="AN88" s="141">
        <v>3709040</v>
      </c>
      <c r="AO88" s="141">
        <v>0</v>
      </c>
      <c r="AP88" s="141">
        <v>3709040</v>
      </c>
      <c r="AQ88" s="141">
        <v>-5802305</v>
      </c>
      <c r="AR88" s="141">
        <v>0</v>
      </c>
      <c r="AS88" s="141">
        <v>-5802305</v>
      </c>
      <c r="AT88" s="141">
        <v>-9413682</v>
      </c>
      <c r="AU88" s="141">
        <v>0</v>
      </c>
      <c r="AV88" s="141">
        <v>-9413682</v>
      </c>
      <c r="AW88" s="141">
        <v>-77440</v>
      </c>
      <c r="AX88" s="141">
        <v>0</v>
      </c>
      <c r="AY88" s="141">
        <v>-77440</v>
      </c>
      <c r="AZ88" s="141">
        <v>0</v>
      </c>
      <c r="BA88" s="141">
        <v>0</v>
      </c>
      <c r="BB88" s="141">
        <v>0</v>
      </c>
      <c r="BC88" s="141">
        <v>-15293427</v>
      </c>
      <c r="BD88" s="141">
        <v>0</v>
      </c>
      <c r="BE88" s="141">
        <v>0</v>
      </c>
      <c r="BF88" s="141">
        <v>0</v>
      </c>
      <c r="BG88" s="141">
        <v>-15293427</v>
      </c>
      <c r="BH88" s="141">
        <v>0</v>
      </c>
      <c r="BI88" s="141">
        <v>-15293427</v>
      </c>
      <c r="BJ88" s="141">
        <v>-100000</v>
      </c>
      <c r="BK88" s="141">
        <v>0</v>
      </c>
      <c r="BL88" s="141">
        <v>-100000</v>
      </c>
      <c r="BM88" s="141">
        <v>-6468108</v>
      </c>
      <c r="BN88" s="141">
        <v>0</v>
      </c>
      <c r="BO88" s="141">
        <v>-6468108</v>
      </c>
      <c r="BP88" s="141">
        <v>-6568108</v>
      </c>
      <c r="BQ88" s="141">
        <v>0</v>
      </c>
      <c r="BR88" s="141">
        <v>-1500000</v>
      </c>
      <c r="BS88" s="141">
        <v>0</v>
      </c>
      <c r="BT88" s="141">
        <v>-8068108</v>
      </c>
      <c r="BU88" s="141">
        <v>0</v>
      </c>
      <c r="BV88" s="141">
        <v>-8068108</v>
      </c>
      <c r="BW88" s="141">
        <v>-182077</v>
      </c>
      <c r="BX88" s="141">
        <v>0</v>
      </c>
      <c r="BY88" s="141">
        <v>-182077</v>
      </c>
      <c r="BZ88" s="141">
        <v>-37895</v>
      </c>
      <c r="CA88" s="141">
        <v>0</v>
      </c>
      <c r="CB88" s="141">
        <v>-37895</v>
      </c>
      <c r="CC88" s="141">
        <v>0</v>
      </c>
      <c r="CD88" s="141">
        <v>0</v>
      </c>
      <c r="CE88" s="141">
        <v>0</v>
      </c>
      <c r="CF88" s="141">
        <v>0</v>
      </c>
      <c r="CG88" s="141">
        <v>0</v>
      </c>
      <c r="CH88" s="141">
        <v>0</v>
      </c>
      <c r="CI88" s="141">
        <v>0</v>
      </c>
      <c r="CJ88" s="141">
        <v>0</v>
      </c>
      <c r="CK88" s="141">
        <v>0</v>
      </c>
      <c r="CL88" s="141">
        <v>-10000</v>
      </c>
      <c r="CM88" s="141">
        <v>0</v>
      </c>
      <c r="CN88" s="141">
        <v>-10000</v>
      </c>
      <c r="CO88" s="141">
        <v>0</v>
      </c>
      <c r="CP88" s="141">
        <v>0</v>
      </c>
      <c r="CQ88" s="141">
        <v>-229972</v>
      </c>
      <c r="CR88" s="141">
        <v>0</v>
      </c>
      <c r="CS88" s="141">
        <v>0</v>
      </c>
      <c r="CT88" s="141">
        <v>0</v>
      </c>
      <c r="CU88" s="141">
        <v>-229972</v>
      </c>
      <c r="CV88" s="141">
        <v>0</v>
      </c>
      <c r="CW88" s="141">
        <v>-229972</v>
      </c>
      <c r="CX88" s="141">
        <v>0</v>
      </c>
      <c r="CY88" s="141">
        <v>0</v>
      </c>
      <c r="CZ88" s="141">
        <v>0</v>
      </c>
      <c r="DA88" s="141">
        <v>0</v>
      </c>
      <c r="DB88" s="141">
        <v>0</v>
      </c>
      <c r="DC88" s="141">
        <v>0</v>
      </c>
      <c r="DD88" s="141">
        <v>-173769</v>
      </c>
      <c r="DE88" s="141">
        <v>0</v>
      </c>
      <c r="DF88" s="141">
        <v>-173769</v>
      </c>
      <c r="DG88" s="141">
        <v>-296000</v>
      </c>
      <c r="DH88" s="141">
        <v>0</v>
      </c>
      <c r="DI88" s="141">
        <v>-296000</v>
      </c>
      <c r="DJ88" s="141">
        <v>0</v>
      </c>
      <c r="DK88" s="141">
        <v>0</v>
      </c>
      <c r="DL88" s="141">
        <v>0</v>
      </c>
      <c r="DM88" s="141">
        <v>-5145590</v>
      </c>
      <c r="DN88" s="141">
        <v>0</v>
      </c>
      <c r="DO88" s="141">
        <v>-5145590</v>
      </c>
      <c r="DP88" s="141">
        <v>-5615359</v>
      </c>
      <c r="DQ88" s="141">
        <v>0</v>
      </c>
      <c r="DR88" s="141">
        <v>0</v>
      </c>
      <c r="DS88" s="141">
        <v>0</v>
      </c>
      <c r="DT88" s="141">
        <v>-5615359</v>
      </c>
      <c r="DU88" s="141">
        <v>0</v>
      </c>
      <c r="DV88" s="141">
        <v>-5615359</v>
      </c>
      <c r="DW88" s="856">
        <v>160783354</v>
      </c>
      <c r="DX88" s="856">
        <v>0</v>
      </c>
      <c r="DY88" s="857">
        <v>160783354</v>
      </c>
      <c r="DZ88" t="s">
        <v>1654</v>
      </c>
    </row>
    <row r="89" spans="1:130" ht="12.75" x14ac:dyDescent="0.2">
      <c r="A89" s="764">
        <v>82</v>
      </c>
      <c r="B89" s="765" t="s">
        <v>51</v>
      </c>
      <c r="C89" s="766" t="s">
        <v>1217</v>
      </c>
      <c r="D89" s="767" t="s">
        <v>1221</v>
      </c>
      <c r="E89" s="768" t="s">
        <v>50</v>
      </c>
      <c r="F89" s="867">
        <v>43460</v>
      </c>
      <c r="G89" s="141">
        <v>56665155</v>
      </c>
      <c r="H89" s="141">
        <v>469000</v>
      </c>
      <c r="I89" s="141">
        <v>57134155</v>
      </c>
      <c r="J89" s="141">
        <v>49.1</v>
      </c>
      <c r="K89" s="141">
        <v>27822591</v>
      </c>
      <c r="L89" s="141">
        <v>230279</v>
      </c>
      <c r="M89" s="141">
        <v>60000</v>
      </c>
      <c r="N89" s="141">
        <v>40000</v>
      </c>
      <c r="O89" s="141">
        <v>27882591</v>
      </c>
      <c r="P89" s="141">
        <v>270279</v>
      </c>
      <c r="Q89" s="141">
        <v>28152870</v>
      </c>
      <c r="R89" s="141">
        <v>-546250</v>
      </c>
      <c r="S89" s="141">
        <v>0</v>
      </c>
      <c r="T89" s="141">
        <v>-546250</v>
      </c>
      <c r="U89" s="141">
        <v>35491</v>
      </c>
      <c r="V89" s="141">
        <v>0</v>
      </c>
      <c r="W89" s="141">
        <v>35491</v>
      </c>
      <c r="X89" s="141">
        <v>-510759</v>
      </c>
      <c r="Y89" s="141">
        <v>0</v>
      </c>
      <c r="Z89" s="141">
        <v>0</v>
      </c>
      <c r="AA89" s="141">
        <v>0</v>
      </c>
      <c r="AB89" s="141">
        <v>-510759</v>
      </c>
      <c r="AC89" s="141">
        <v>0</v>
      </c>
      <c r="AD89" s="141">
        <v>-510759</v>
      </c>
      <c r="AE89" s="141">
        <v>510759</v>
      </c>
      <c r="AF89" s="141">
        <v>0</v>
      </c>
      <c r="AG89" s="141">
        <v>510759</v>
      </c>
      <c r="AH89" s="141">
        <v>-2580526</v>
      </c>
      <c r="AI89" s="141">
        <v>0</v>
      </c>
      <c r="AJ89" s="141">
        <v>-2580526</v>
      </c>
      <c r="AK89" s="141">
        <v>0</v>
      </c>
      <c r="AL89" s="141">
        <v>0</v>
      </c>
      <c r="AM89" s="141">
        <v>0</v>
      </c>
      <c r="AN89" s="141">
        <v>447256</v>
      </c>
      <c r="AO89" s="141">
        <v>6097</v>
      </c>
      <c r="AP89" s="141">
        <v>453353</v>
      </c>
      <c r="AQ89" s="141">
        <v>-2133270</v>
      </c>
      <c r="AR89" s="141">
        <v>6097</v>
      </c>
      <c r="AS89" s="141">
        <v>-2127173</v>
      </c>
      <c r="AT89" s="141">
        <v>-1922497</v>
      </c>
      <c r="AU89" s="141">
        <v>0</v>
      </c>
      <c r="AV89" s="141">
        <v>-1922497</v>
      </c>
      <c r="AW89" s="141">
        <v>-27236</v>
      </c>
      <c r="AX89" s="141">
        <v>0</v>
      </c>
      <c r="AY89" s="141">
        <v>-27236</v>
      </c>
      <c r="AZ89" s="141">
        <v>-28613</v>
      </c>
      <c r="BA89" s="141">
        <v>0</v>
      </c>
      <c r="BB89" s="141">
        <v>-28613</v>
      </c>
      <c r="BC89" s="141">
        <v>-4111616</v>
      </c>
      <c r="BD89" s="141">
        <v>6097</v>
      </c>
      <c r="BE89" s="141">
        <v>0</v>
      </c>
      <c r="BF89" s="141">
        <v>0</v>
      </c>
      <c r="BG89" s="141">
        <v>-4111616</v>
      </c>
      <c r="BH89" s="141">
        <v>6097</v>
      </c>
      <c r="BI89" s="141">
        <v>-4105519</v>
      </c>
      <c r="BJ89" s="141">
        <v>0</v>
      </c>
      <c r="BK89" s="141">
        <v>0</v>
      </c>
      <c r="BL89" s="141">
        <v>0</v>
      </c>
      <c r="BM89" s="141">
        <v>-551575</v>
      </c>
      <c r="BN89" s="141">
        <v>0</v>
      </c>
      <c r="BO89" s="141">
        <v>-551575</v>
      </c>
      <c r="BP89" s="141">
        <v>-551575</v>
      </c>
      <c r="BQ89" s="141">
        <v>0</v>
      </c>
      <c r="BR89" s="141">
        <v>0</v>
      </c>
      <c r="BS89" s="141">
        <v>0</v>
      </c>
      <c r="BT89" s="141">
        <v>-551575</v>
      </c>
      <c r="BU89" s="141">
        <v>0</v>
      </c>
      <c r="BV89" s="141">
        <v>-551575</v>
      </c>
      <c r="BW89" s="141">
        <v>-34991</v>
      </c>
      <c r="BX89" s="141">
        <v>0</v>
      </c>
      <c r="BY89" s="141">
        <v>-34991</v>
      </c>
      <c r="BZ89" s="141">
        <v>-2000</v>
      </c>
      <c r="CA89" s="141">
        <v>0</v>
      </c>
      <c r="CB89" s="141">
        <v>-2000</v>
      </c>
      <c r="CC89" s="141">
        <v>-5709</v>
      </c>
      <c r="CD89" s="141">
        <v>0</v>
      </c>
      <c r="CE89" s="141">
        <v>-5709</v>
      </c>
      <c r="CF89" s="141">
        <v>0</v>
      </c>
      <c r="CG89" s="141">
        <v>0</v>
      </c>
      <c r="CH89" s="141">
        <v>0</v>
      </c>
      <c r="CI89" s="141">
        <v>0</v>
      </c>
      <c r="CJ89" s="141">
        <v>0</v>
      </c>
      <c r="CK89" s="141">
        <v>0</v>
      </c>
      <c r="CL89" s="141">
        <v>-2388</v>
      </c>
      <c r="CM89" s="141">
        <v>-32812</v>
      </c>
      <c r="CN89" s="141">
        <v>-35200</v>
      </c>
      <c r="CO89" s="141">
        <v>-32812</v>
      </c>
      <c r="CP89" s="141">
        <v>0</v>
      </c>
      <c r="CQ89" s="141">
        <v>-45088</v>
      </c>
      <c r="CR89" s="141">
        <v>-32812</v>
      </c>
      <c r="CS89" s="141">
        <v>0</v>
      </c>
      <c r="CT89" s="141">
        <v>0</v>
      </c>
      <c r="CU89" s="141">
        <v>-45088</v>
      </c>
      <c r="CV89" s="141">
        <v>-32812</v>
      </c>
      <c r="CW89" s="141">
        <v>-77900</v>
      </c>
      <c r="CX89" s="141">
        <v>-27411</v>
      </c>
      <c r="CY89" s="141">
        <v>0</v>
      </c>
      <c r="CZ89" s="141">
        <v>-27411</v>
      </c>
      <c r="DA89" s="141">
        <v>0</v>
      </c>
      <c r="DB89" s="141">
        <v>0</v>
      </c>
      <c r="DC89" s="141">
        <v>0</v>
      </c>
      <c r="DD89" s="141">
        <v>-38293</v>
      </c>
      <c r="DE89" s="141">
        <v>0</v>
      </c>
      <c r="DF89" s="141">
        <v>-38293</v>
      </c>
      <c r="DG89" s="141">
        <v>-41664</v>
      </c>
      <c r="DH89" s="141">
        <v>0</v>
      </c>
      <c r="DI89" s="141">
        <v>-41664</v>
      </c>
      <c r="DJ89" s="141">
        <v>0</v>
      </c>
      <c r="DK89" s="141">
        <v>0</v>
      </c>
      <c r="DL89" s="141">
        <v>0</v>
      </c>
      <c r="DM89" s="141">
        <v>-664642</v>
      </c>
      <c r="DN89" s="141">
        <v>0</v>
      </c>
      <c r="DO89" s="141">
        <v>-664642</v>
      </c>
      <c r="DP89" s="141">
        <v>-772010</v>
      </c>
      <c r="DQ89" s="141">
        <v>0</v>
      </c>
      <c r="DR89" s="141">
        <v>0</v>
      </c>
      <c r="DS89" s="141">
        <v>0</v>
      </c>
      <c r="DT89" s="141">
        <v>-772010</v>
      </c>
      <c r="DU89" s="141">
        <v>0</v>
      </c>
      <c r="DV89" s="141">
        <v>-772010</v>
      </c>
      <c r="DW89" s="856">
        <v>21891543</v>
      </c>
      <c r="DX89" s="856">
        <v>243564</v>
      </c>
      <c r="DY89" s="857">
        <v>22135107</v>
      </c>
      <c r="DZ89" t="s">
        <v>1655</v>
      </c>
    </row>
    <row r="90" spans="1:130" ht="12.75" x14ac:dyDescent="0.2">
      <c r="A90" s="764">
        <v>83</v>
      </c>
      <c r="B90" s="765" t="s">
        <v>53</v>
      </c>
      <c r="C90" s="766" t="s">
        <v>1217</v>
      </c>
      <c r="D90" s="767" t="s">
        <v>1226</v>
      </c>
      <c r="E90" s="768" t="s">
        <v>52</v>
      </c>
      <c r="F90" s="867">
        <v>43465</v>
      </c>
      <c r="G90" s="141">
        <v>97818757</v>
      </c>
      <c r="H90" s="141">
        <v>2826755</v>
      </c>
      <c r="I90" s="141">
        <v>100645512</v>
      </c>
      <c r="J90" s="141">
        <v>49.1</v>
      </c>
      <c r="K90" s="141">
        <v>48029010</v>
      </c>
      <c r="L90" s="141">
        <v>1387937</v>
      </c>
      <c r="M90" s="141">
        <v>84967</v>
      </c>
      <c r="N90" s="141">
        <v>256116</v>
      </c>
      <c r="O90" s="141">
        <v>48113977</v>
      </c>
      <c r="P90" s="141">
        <v>1644053</v>
      </c>
      <c r="Q90" s="141">
        <v>49758030</v>
      </c>
      <c r="R90" s="141">
        <v>-643458</v>
      </c>
      <c r="S90" s="141">
        <v>-2909</v>
      </c>
      <c r="T90" s="141">
        <v>-646367</v>
      </c>
      <c r="U90" s="141">
        <v>287078</v>
      </c>
      <c r="V90" s="141">
        <v>0</v>
      </c>
      <c r="W90" s="141">
        <v>287078</v>
      </c>
      <c r="X90" s="141">
        <v>-356380</v>
      </c>
      <c r="Y90" s="141">
        <v>-2909</v>
      </c>
      <c r="Z90" s="141">
        <v>0</v>
      </c>
      <c r="AA90" s="141">
        <v>0</v>
      </c>
      <c r="AB90" s="141">
        <v>-356380</v>
      </c>
      <c r="AC90" s="141">
        <v>-2909</v>
      </c>
      <c r="AD90" s="141">
        <v>-359289</v>
      </c>
      <c r="AE90" s="141">
        <v>356380</v>
      </c>
      <c r="AF90" s="141">
        <v>2909</v>
      </c>
      <c r="AG90" s="141">
        <v>359289</v>
      </c>
      <c r="AH90" s="141">
        <v>-7191623</v>
      </c>
      <c r="AI90" s="141">
        <v>-52072</v>
      </c>
      <c r="AJ90" s="141">
        <v>-7243695</v>
      </c>
      <c r="AK90" s="141">
        <v>-31169</v>
      </c>
      <c r="AL90" s="141">
        <v>0</v>
      </c>
      <c r="AM90" s="141">
        <v>-31169</v>
      </c>
      <c r="AN90" s="141">
        <v>704433</v>
      </c>
      <c r="AO90" s="141">
        <v>31385</v>
      </c>
      <c r="AP90" s="141">
        <v>735818</v>
      </c>
      <c r="AQ90" s="141">
        <v>-6487190</v>
      </c>
      <c r="AR90" s="141">
        <v>-20687</v>
      </c>
      <c r="AS90" s="141">
        <v>-6507877</v>
      </c>
      <c r="AT90" s="141">
        <v>-2942917</v>
      </c>
      <c r="AU90" s="141">
        <v>-227808</v>
      </c>
      <c r="AV90" s="141">
        <v>-3170725</v>
      </c>
      <c r="AW90" s="141">
        <v>-465047</v>
      </c>
      <c r="AX90" s="141">
        <v>0</v>
      </c>
      <c r="AY90" s="141">
        <v>-465047</v>
      </c>
      <c r="AZ90" s="141">
        <v>-43718</v>
      </c>
      <c r="BA90" s="141">
        <v>0</v>
      </c>
      <c r="BB90" s="141">
        <v>-43718</v>
      </c>
      <c r="BC90" s="141">
        <v>-9938872</v>
      </c>
      <c r="BD90" s="141">
        <v>-248495</v>
      </c>
      <c r="BE90" s="141">
        <v>0</v>
      </c>
      <c r="BF90" s="141">
        <v>0</v>
      </c>
      <c r="BG90" s="141">
        <v>-9938872</v>
      </c>
      <c r="BH90" s="141">
        <v>-248495</v>
      </c>
      <c r="BI90" s="141">
        <v>-10187367</v>
      </c>
      <c r="BJ90" s="141">
        <v>0</v>
      </c>
      <c r="BK90" s="141">
        <v>0</v>
      </c>
      <c r="BL90" s="141">
        <v>0</v>
      </c>
      <c r="BM90" s="141">
        <v>-594123</v>
      </c>
      <c r="BN90" s="141">
        <v>-4919</v>
      </c>
      <c r="BO90" s="141">
        <v>-599042</v>
      </c>
      <c r="BP90" s="141">
        <v>-594123</v>
      </c>
      <c r="BQ90" s="141">
        <v>-4919</v>
      </c>
      <c r="BR90" s="141">
        <v>0</v>
      </c>
      <c r="BS90" s="141">
        <v>0</v>
      </c>
      <c r="BT90" s="141">
        <v>-594123</v>
      </c>
      <c r="BU90" s="141">
        <v>-4919</v>
      </c>
      <c r="BV90" s="141">
        <v>-599042</v>
      </c>
      <c r="BW90" s="141">
        <v>-144718</v>
      </c>
      <c r="BX90" s="141">
        <v>0</v>
      </c>
      <c r="BY90" s="141">
        <v>-144718</v>
      </c>
      <c r="BZ90" s="141">
        <v>-417</v>
      </c>
      <c r="CA90" s="141">
        <v>0</v>
      </c>
      <c r="CB90" s="141">
        <v>-417</v>
      </c>
      <c r="CC90" s="141">
        <v>-83125</v>
      </c>
      <c r="CD90" s="141">
        <v>0</v>
      </c>
      <c r="CE90" s="141">
        <v>-83125</v>
      </c>
      <c r="CF90" s="141">
        <v>0</v>
      </c>
      <c r="CG90" s="141">
        <v>0</v>
      </c>
      <c r="CH90" s="141">
        <v>0</v>
      </c>
      <c r="CI90" s="141">
        <v>0</v>
      </c>
      <c r="CJ90" s="141">
        <v>0</v>
      </c>
      <c r="CK90" s="141">
        <v>0</v>
      </c>
      <c r="CL90" s="141">
        <v>0</v>
      </c>
      <c r="CM90" s="141">
        <v>-309710</v>
      </c>
      <c r="CN90" s="141">
        <v>-309710</v>
      </c>
      <c r="CO90" s="141">
        <v>-309710</v>
      </c>
      <c r="CP90" s="141">
        <v>0</v>
      </c>
      <c r="CQ90" s="141">
        <v>-228260</v>
      </c>
      <c r="CR90" s="141">
        <v>-309710</v>
      </c>
      <c r="CS90" s="141">
        <v>0</v>
      </c>
      <c r="CT90" s="141">
        <v>0</v>
      </c>
      <c r="CU90" s="141">
        <v>-228260</v>
      </c>
      <c r="CV90" s="141">
        <v>-309710</v>
      </c>
      <c r="CW90" s="141">
        <v>-537970</v>
      </c>
      <c r="CX90" s="141">
        <v>-43718</v>
      </c>
      <c r="CY90" s="141">
        <v>0</v>
      </c>
      <c r="CZ90" s="141">
        <v>-43718</v>
      </c>
      <c r="DA90" s="141">
        <v>-1500</v>
      </c>
      <c r="DB90" s="141">
        <v>0</v>
      </c>
      <c r="DC90" s="141">
        <v>-1500</v>
      </c>
      <c r="DD90" s="141">
        <v>-18385</v>
      </c>
      <c r="DE90" s="141">
        <v>0</v>
      </c>
      <c r="DF90" s="141">
        <v>-18385</v>
      </c>
      <c r="DG90" s="141">
        <v>-52000</v>
      </c>
      <c r="DH90" s="141">
        <v>0</v>
      </c>
      <c r="DI90" s="141">
        <v>-52000</v>
      </c>
      <c r="DJ90" s="141">
        <v>0</v>
      </c>
      <c r="DK90" s="141">
        <v>0</v>
      </c>
      <c r="DL90" s="141">
        <v>0</v>
      </c>
      <c r="DM90" s="141">
        <v>-1099793</v>
      </c>
      <c r="DN90" s="141">
        <v>0</v>
      </c>
      <c r="DO90" s="141">
        <v>-1099793</v>
      </c>
      <c r="DP90" s="141">
        <v>-1215396</v>
      </c>
      <c r="DQ90" s="141">
        <v>0</v>
      </c>
      <c r="DR90" s="141">
        <v>0</v>
      </c>
      <c r="DS90" s="141">
        <v>0</v>
      </c>
      <c r="DT90" s="141">
        <v>-1215396</v>
      </c>
      <c r="DU90" s="141">
        <v>0</v>
      </c>
      <c r="DV90" s="141">
        <v>-1215396</v>
      </c>
      <c r="DW90" s="856">
        <v>35780946</v>
      </c>
      <c r="DX90" s="856">
        <v>1078020</v>
      </c>
      <c r="DY90" s="857">
        <v>36858966</v>
      </c>
      <c r="DZ90" t="s">
        <v>1656</v>
      </c>
    </row>
    <row r="91" spans="1:130" ht="12.75" x14ac:dyDescent="0.2">
      <c r="A91" s="764">
        <v>84</v>
      </c>
      <c r="B91" s="765" t="s">
        <v>55</v>
      </c>
      <c r="C91" s="766" t="s">
        <v>1217</v>
      </c>
      <c r="D91" s="767" t="s">
        <v>1218</v>
      </c>
      <c r="E91" s="768" t="s">
        <v>54</v>
      </c>
      <c r="F91" s="867">
        <v>43465</v>
      </c>
      <c r="G91" s="141">
        <v>86689735</v>
      </c>
      <c r="H91" s="141">
        <v>170850</v>
      </c>
      <c r="I91" s="141">
        <v>86860585</v>
      </c>
      <c r="J91" s="141">
        <v>49.1</v>
      </c>
      <c r="K91" s="141">
        <v>42564660</v>
      </c>
      <c r="L91" s="141">
        <v>83887</v>
      </c>
      <c r="M91" s="141">
        <v>0</v>
      </c>
      <c r="N91" s="141">
        <v>0</v>
      </c>
      <c r="O91" s="141">
        <v>42564660</v>
      </c>
      <c r="P91" s="141">
        <v>83887</v>
      </c>
      <c r="Q91" s="141">
        <v>42648547</v>
      </c>
      <c r="R91" s="141">
        <v>-676552</v>
      </c>
      <c r="S91" s="141">
        <v>0</v>
      </c>
      <c r="T91" s="141">
        <v>-676552</v>
      </c>
      <c r="U91" s="141">
        <v>101729</v>
      </c>
      <c r="V91" s="141">
        <v>0</v>
      </c>
      <c r="W91" s="141">
        <v>101729</v>
      </c>
      <c r="X91" s="141">
        <v>-574823</v>
      </c>
      <c r="Y91" s="141">
        <v>0</v>
      </c>
      <c r="Z91" s="141">
        <v>0</v>
      </c>
      <c r="AA91" s="141">
        <v>0</v>
      </c>
      <c r="AB91" s="141">
        <v>-574823</v>
      </c>
      <c r="AC91" s="141">
        <v>0</v>
      </c>
      <c r="AD91" s="141">
        <v>-574823</v>
      </c>
      <c r="AE91" s="141">
        <v>574823</v>
      </c>
      <c r="AF91" s="141">
        <v>0</v>
      </c>
      <c r="AG91" s="141">
        <v>574823</v>
      </c>
      <c r="AH91" s="141">
        <v>-4374742</v>
      </c>
      <c r="AI91" s="141">
        <v>-3400</v>
      </c>
      <c r="AJ91" s="141">
        <v>-4378142</v>
      </c>
      <c r="AK91" s="141">
        <v>-2631</v>
      </c>
      <c r="AL91" s="141">
        <v>0</v>
      </c>
      <c r="AM91" s="141">
        <v>-2631</v>
      </c>
      <c r="AN91" s="141">
        <v>639265</v>
      </c>
      <c r="AO91" s="141">
        <v>1263</v>
      </c>
      <c r="AP91" s="141">
        <v>640528</v>
      </c>
      <c r="AQ91" s="141">
        <v>-3735477</v>
      </c>
      <c r="AR91" s="141">
        <v>-2137</v>
      </c>
      <c r="AS91" s="141">
        <v>-3737614</v>
      </c>
      <c r="AT91" s="141">
        <v>-2978800</v>
      </c>
      <c r="AU91" s="141">
        <v>-30684</v>
      </c>
      <c r="AV91" s="141">
        <v>-3009484</v>
      </c>
      <c r="AW91" s="141">
        <v>-33859</v>
      </c>
      <c r="AX91" s="141">
        <v>0</v>
      </c>
      <c r="AY91" s="141">
        <v>-33859</v>
      </c>
      <c r="AZ91" s="141">
        <v>0</v>
      </c>
      <c r="BA91" s="141">
        <v>0</v>
      </c>
      <c r="BB91" s="141">
        <v>0</v>
      </c>
      <c r="BC91" s="141">
        <v>-6748136</v>
      </c>
      <c r="BD91" s="141">
        <v>-32821</v>
      </c>
      <c r="BE91" s="141">
        <v>0</v>
      </c>
      <c r="BF91" s="141">
        <v>0</v>
      </c>
      <c r="BG91" s="141">
        <v>-6748136</v>
      </c>
      <c r="BH91" s="141">
        <v>-32821</v>
      </c>
      <c r="BI91" s="141">
        <v>-6780957</v>
      </c>
      <c r="BJ91" s="141">
        <v>0</v>
      </c>
      <c r="BK91" s="141">
        <v>0</v>
      </c>
      <c r="BL91" s="141">
        <v>0</v>
      </c>
      <c r="BM91" s="141">
        <v>-770469</v>
      </c>
      <c r="BN91" s="141">
        <v>-4032</v>
      </c>
      <c r="BO91" s="141">
        <v>-774501</v>
      </c>
      <c r="BP91" s="141">
        <v>-770469</v>
      </c>
      <c r="BQ91" s="141">
        <v>-4032</v>
      </c>
      <c r="BR91" s="141">
        <v>0</v>
      </c>
      <c r="BS91" s="141">
        <v>0</v>
      </c>
      <c r="BT91" s="141">
        <v>-770469</v>
      </c>
      <c r="BU91" s="141">
        <v>-4032</v>
      </c>
      <c r="BV91" s="141">
        <v>-774501</v>
      </c>
      <c r="BW91" s="141">
        <v>-99252</v>
      </c>
      <c r="BX91" s="141">
        <v>0</v>
      </c>
      <c r="BY91" s="141">
        <v>-99252</v>
      </c>
      <c r="BZ91" s="141">
        <v>-4873</v>
      </c>
      <c r="CA91" s="141">
        <v>0</v>
      </c>
      <c r="CB91" s="141">
        <v>-4873</v>
      </c>
      <c r="CC91" s="141">
        <v>-4232</v>
      </c>
      <c r="CD91" s="141">
        <v>0</v>
      </c>
      <c r="CE91" s="141">
        <v>-4232</v>
      </c>
      <c r="CF91" s="141">
        <v>0</v>
      </c>
      <c r="CG91" s="141">
        <v>0</v>
      </c>
      <c r="CH91" s="141">
        <v>0</v>
      </c>
      <c r="CI91" s="141">
        <v>0</v>
      </c>
      <c r="CJ91" s="141">
        <v>0</v>
      </c>
      <c r="CK91" s="141">
        <v>0</v>
      </c>
      <c r="CL91" s="141">
        <v>0</v>
      </c>
      <c r="CM91" s="141">
        <v>-15381</v>
      </c>
      <c r="CN91" s="141">
        <v>-15381</v>
      </c>
      <c r="CO91" s="141">
        <v>-15381</v>
      </c>
      <c r="CP91" s="141">
        <v>0</v>
      </c>
      <c r="CQ91" s="141">
        <v>-108357</v>
      </c>
      <c r="CR91" s="141">
        <v>-15381</v>
      </c>
      <c r="CS91" s="141">
        <v>0</v>
      </c>
      <c r="CT91" s="141">
        <v>0</v>
      </c>
      <c r="CU91" s="141">
        <v>-108357</v>
      </c>
      <c r="CV91" s="141">
        <v>-15381</v>
      </c>
      <c r="CW91" s="141">
        <v>-123738</v>
      </c>
      <c r="CX91" s="141">
        <v>-27128</v>
      </c>
      <c r="CY91" s="141">
        <v>0</v>
      </c>
      <c r="CZ91" s="141">
        <v>-27128</v>
      </c>
      <c r="DA91" s="141">
        <v>-4500</v>
      </c>
      <c r="DB91" s="141">
        <v>0</v>
      </c>
      <c r="DC91" s="141">
        <v>-4500</v>
      </c>
      <c r="DD91" s="141">
        <v>-48515</v>
      </c>
      <c r="DE91" s="141">
        <v>0</v>
      </c>
      <c r="DF91" s="141">
        <v>-48515</v>
      </c>
      <c r="DG91" s="141">
        <v>-84000</v>
      </c>
      <c r="DH91" s="141">
        <v>0</v>
      </c>
      <c r="DI91" s="141">
        <v>-84000</v>
      </c>
      <c r="DJ91" s="141">
        <v>0</v>
      </c>
      <c r="DK91" s="141">
        <v>0</v>
      </c>
      <c r="DL91" s="141">
        <v>0</v>
      </c>
      <c r="DM91" s="141">
        <v>-927191</v>
      </c>
      <c r="DN91" s="141">
        <v>0</v>
      </c>
      <c r="DO91" s="141">
        <v>-927191</v>
      </c>
      <c r="DP91" s="141">
        <v>-1091334</v>
      </c>
      <c r="DQ91" s="141">
        <v>0</v>
      </c>
      <c r="DR91" s="141">
        <v>0</v>
      </c>
      <c r="DS91" s="141">
        <v>0</v>
      </c>
      <c r="DT91" s="141">
        <v>-1091334</v>
      </c>
      <c r="DU91" s="141">
        <v>0</v>
      </c>
      <c r="DV91" s="141">
        <v>-1091334</v>
      </c>
      <c r="DW91" s="856">
        <v>33271541</v>
      </c>
      <c r="DX91" s="856">
        <v>31653</v>
      </c>
      <c r="DY91" s="857">
        <v>33303194</v>
      </c>
      <c r="DZ91" t="s">
        <v>1657</v>
      </c>
    </row>
    <row r="92" spans="1:130" ht="12.75" x14ac:dyDescent="0.2">
      <c r="A92" s="764">
        <v>85</v>
      </c>
      <c r="B92" s="765" t="s">
        <v>57</v>
      </c>
      <c r="C92" s="766" t="s">
        <v>1217</v>
      </c>
      <c r="D92" s="767" t="s">
        <v>1221</v>
      </c>
      <c r="E92" s="768" t="s">
        <v>56</v>
      </c>
      <c r="F92" s="867">
        <v>43465</v>
      </c>
      <c r="G92" s="141">
        <v>118996271</v>
      </c>
      <c r="H92" s="141">
        <v>0</v>
      </c>
      <c r="I92" s="141">
        <v>118996271</v>
      </c>
      <c r="J92" s="141">
        <v>49.1</v>
      </c>
      <c r="K92" s="141">
        <v>58427169</v>
      </c>
      <c r="L92" s="141">
        <v>0</v>
      </c>
      <c r="M92" s="141">
        <v>-93810</v>
      </c>
      <c r="N92" s="141">
        <v>0</v>
      </c>
      <c r="O92" s="141">
        <v>58333359</v>
      </c>
      <c r="P92" s="141">
        <v>0</v>
      </c>
      <c r="Q92" s="141">
        <v>58333359</v>
      </c>
      <c r="R92" s="141">
        <v>-751941</v>
      </c>
      <c r="S92" s="141">
        <v>0</v>
      </c>
      <c r="T92" s="141">
        <v>-751941</v>
      </c>
      <c r="U92" s="141">
        <v>372176</v>
      </c>
      <c r="V92" s="141">
        <v>0</v>
      </c>
      <c r="W92" s="141">
        <v>372176</v>
      </c>
      <c r="X92" s="141">
        <v>-379765</v>
      </c>
      <c r="Y92" s="141">
        <v>0</v>
      </c>
      <c r="Z92" s="141">
        <v>0</v>
      </c>
      <c r="AA92" s="141">
        <v>0</v>
      </c>
      <c r="AB92" s="141">
        <v>-379765</v>
      </c>
      <c r="AC92" s="141">
        <v>0</v>
      </c>
      <c r="AD92" s="141">
        <v>-379765</v>
      </c>
      <c r="AE92" s="141">
        <v>379765</v>
      </c>
      <c r="AF92" s="141">
        <v>0</v>
      </c>
      <c r="AG92" s="141">
        <v>379765</v>
      </c>
      <c r="AH92" s="141">
        <v>-5436803</v>
      </c>
      <c r="AI92" s="141">
        <v>0</v>
      </c>
      <c r="AJ92" s="141">
        <v>-5436803</v>
      </c>
      <c r="AK92" s="141">
        <v>0</v>
      </c>
      <c r="AL92" s="141">
        <v>0</v>
      </c>
      <c r="AM92" s="141">
        <v>0</v>
      </c>
      <c r="AN92" s="141">
        <v>961159</v>
      </c>
      <c r="AO92" s="141">
        <v>0</v>
      </c>
      <c r="AP92" s="141">
        <v>961159</v>
      </c>
      <c r="AQ92" s="141">
        <v>-4475644</v>
      </c>
      <c r="AR92" s="141">
        <v>0</v>
      </c>
      <c r="AS92" s="141">
        <v>-4475644</v>
      </c>
      <c r="AT92" s="141">
        <v>-4559631</v>
      </c>
      <c r="AU92" s="141">
        <v>0</v>
      </c>
      <c r="AV92" s="141">
        <v>-4559631</v>
      </c>
      <c r="AW92" s="141">
        <v>-84565</v>
      </c>
      <c r="AX92" s="141">
        <v>0</v>
      </c>
      <c r="AY92" s="141">
        <v>-84565</v>
      </c>
      <c r="AZ92" s="141">
        <v>-38645</v>
      </c>
      <c r="BA92" s="141">
        <v>0</v>
      </c>
      <c r="BB92" s="141">
        <v>-38645</v>
      </c>
      <c r="BC92" s="141">
        <v>-9158485</v>
      </c>
      <c r="BD92" s="141">
        <v>0</v>
      </c>
      <c r="BE92" s="141">
        <v>-214053</v>
      </c>
      <c r="BF92" s="141">
        <v>0</v>
      </c>
      <c r="BG92" s="141">
        <v>-9372538</v>
      </c>
      <c r="BH92" s="141">
        <v>0</v>
      </c>
      <c r="BI92" s="141">
        <v>-9372538</v>
      </c>
      <c r="BJ92" s="141">
        <v>0</v>
      </c>
      <c r="BK92" s="141">
        <v>0</v>
      </c>
      <c r="BL92" s="141">
        <v>0</v>
      </c>
      <c r="BM92" s="141">
        <v>-864543</v>
      </c>
      <c r="BN92" s="141">
        <v>0</v>
      </c>
      <c r="BO92" s="141">
        <v>-864543</v>
      </c>
      <c r="BP92" s="141">
        <v>-864543</v>
      </c>
      <c r="BQ92" s="141">
        <v>0</v>
      </c>
      <c r="BR92" s="141">
        <v>-668363</v>
      </c>
      <c r="BS92" s="141">
        <v>0</v>
      </c>
      <c r="BT92" s="141">
        <v>-1532906</v>
      </c>
      <c r="BU92" s="141">
        <v>0</v>
      </c>
      <c r="BV92" s="141">
        <v>-1532906</v>
      </c>
      <c r="BW92" s="141">
        <v>-137874</v>
      </c>
      <c r="BX92" s="141">
        <v>0</v>
      </c>
      <c r="BY92" s="141">
        <v>-137874</v>
      </c>
      <c r="BZ92" s="141">
        <v>-43789</v>
      </c>
      <c r="CA92" s="141">
        <v>0</v>
      </c>
      <c r="CB92" s="141">
        <v>-43789</v>
      </c>
      <c r="CC92" s="141">
        <v>0</v>
      </c>
      <c r="CD92" s="141">
        <v>0</v>
      </c>
      <c r="CE92" s="141">
        <v>0</v>
      </c>
      <c r="CF92" s="141">
        <v>-3024</v>
      </c>
      <c r="CG92" s="141">
        <v>0</v>
      </c>
      <c r="CH92" s="141">
        <v>-3024</v>
      </c>
      <c r="CI92" s="141">
        <v>0</v>
      </c>
      <c r="CJ92" s="141">
        <v>0</v>
      </c>
      <c r="CK92" s="141">
        <v>0</v>
      </c>
      <c r="CL92" s="141">
        <v>0</v>
      </c>
      <c r="CM92" s="141">
        <v>0</v>
      </c>
      <c r="CN92" s="141">
        <v>0</v>
      </c>
      <c r="CO92" s="141">
        <v>0</v>
      </c>
      <c r="CP92" s="141">
        <v>0</v>
      </c>
      <c r="CQ92" s="141">
        <v>-184687</v>
      </c>
      <c r="CR92" s="141">
        <v>0</v>
      </c>
      <c r="CS92" s="141">
        <v>-62105</v>
      </c>
      <c r="CT92" s="141">
        <v>0</v>
      </c>
      <c r="CU92" s="141">
        <v>-246792</v>
      </c>
      <c r="CV92" s="141">
        <v>0</v>
      </c>
      <c r="CW92" s="141">
        <v>-246792</v>
      </c>
      <c r="CX92" s="141">
        <v>-34739</v>
      </c>
      <c r="CY92" s="141">
        <v>0</v>
      </c>
      <c r="CZ92" s="141">
        <v>-34739</v>
      </c>
      <c r="DA92" s="141">
        <v>-1500</v>
      </c>
      <c r="DB92" s="141">
        <v>0</v>
      </c>
      <c r="DC92" s="141">
        <v>-1500</v>
      </c>
      <c r="DD92" s="141">
        <v>-32495</v>
      </c>
      <c r="DE92" s="141">
        <v>0</v>
      </c>
      <c r="DF92" s="141">
        <v>-32495</v>
      </c>
      <c r="DG92" s="141">
        <v>-65639</v>
      </c>
      <c r="DH92" s="141">
        <v>0</v>
      </c>
      <c r="DI92" s="141">
        <v>-65639</v>
      </c>
      <c r="DJ92" s="141">
        <v>0</v>
      </c>
      <c r="DK92" s="141">
        <v>0</v>
      </c>
      <c r="DL92" s="141">
        <v>0</v>
      </c>
      <c r="DM92" s="141">
        <v>-1484602</v>
      </c>
      <c r="DN92" s="141">
        <v>0</v>
      </c>
      <c r="DO92" s="141">
        <v>-1484602</v>
      </c>
      <c r="DP92" s="141">
        <v>-1618975</v>
      </c>
      <c r="DQ92" s="141">
        <v>0</v>
      </c>
      <c r="DR92" s="141">
        <v>0</v>
      </c>
      <c r="DS92" s="141">
        <v>0</v>
      </c>
      <c r="DT92" s="141">
        <v>-1618975</v>
      </c>
      <c r="DU92" s="141">
        <v>0</v>
      </c>
      <c r="DV92" s="141">
        <v>-1618975</v>
      </c>
      <c r="DW92" s="856">
        <v>45182383</v>
      </c>
      <c r="DX92" s="856">
        <v>0</v>
      </c>
      <c r="DY92" s="857">
        <v>45182383</v>
      </c>
      <c r="DZ92" t="s">
        <v>1658</v>
      </c>
    </row>
    <row r="93" spans="1:130" ht="12.75" x14ac:dyDescent="0.2">
      <c r="A93" s="764">
        <v>86</v>
      </c>
      <c r="B93" s="765" t="s">
        <v>59</v>
      </c>
      <c r="C93" s="766" t="s">
        <v>1217</v>
      </c>
      <c r="D93" s="767" t="s">
        <v>1220</v>
      </c>
      <c r="E93" s="768" t="s">
        <v>58</v>
      </c>
      <c r="F93" s="867">
        <v>43461</v>
      </c>
      <c r="G93" s="141">
        <v>99863580</v>
      </c>
      <c r="H93" s="141">
        <v>0</v>
      </c>
      <c r="I93" s="141">
        <v>99863580</v>
      </c>
      <c r="J93" s="141">
        <v>49.1</v>
      </c>
      <c r="K93" s="141">
        <v>49033018</v>
      </c>
      <c r="L93" s="141">
        <v>0</v>
      </c>
      <c r="M93" s="141">
        <v>122583</v>
      </c>
      <c r="N93" s="141">
        <v>0</v>
      </c>
      <c r="O93" s="141">
        <v>49155601</v>
      </c>
      <c r="P93" s="141">
        <v>0</v>
      </c>
      <c r="Q93" s="141">
        <v>49155601</v>
      </c>
      <c r="R93" s="141">
        <v>-1001468</v>
      </c>
      <c r="S93" s="141">
        <v>0</v>
      </c>
      <c r="T93" s="141">
        <v>-1001468</v>
      </c>
      <c r="U93" s="141">
        <v>116662</v>
      </c>
      <c r="V93" s="141">
        <v>0</v>
      </c>
      <c r="W93" s="141">
        <v>116662</v>
      </c>
      <c r="X93" s="141">
        <v>-884806</v>
      </c>
      <c r="Y93" s="141">
        <v>0</v>
      </c>
      <c r="Z93" s="141">
        <v>0</v>
      </c>
      <c r="AA93" s="141">
        <v>0</v>
      </c>
      <c r="AB93" s="141">
        <v>-884806</v>
      </c>
      <c r="AC93" s="141">
        <v>0</v>
      </c>
      <c r="AD93" s="141">
        <v>-884806</v>
      </c>
      <c r="AE93" s="141">
        <v>884806</v>
      </c>
      <c r="AF93" s="141">
        <v>0</v>
      </c>
      <c r="AG93" s="141">
        <v>884806</v>
      </c>
      <c r="AH93" s="141">
        <v>-6994475</v>
      </c>
      <c r="AI93" s="141">
        <v>0</v>
      </c>
      <c r="AJ93" s="141">
        <v>-6994475</v>
      </c>
      <c r="AK93" s="141">
        <v>0</v>
      </c>
      <c r="AL93" s="141">
        <v>0</v>
      </c>
      <c r="AM93" s="141">
        <v>0</v>
      </c>
      <c r="AN93" s="141">
        <v>701813</v>
      </c>
      <c r="AO93" s="141">
        <v>0</v>
      </c>
      <c r="AP93" s="141">
        <v>701813</v>
      </c>
      <c r="AQ93" s="141">
        <v>-6292662</v>
      </c>
      <c r="AR93" s="141">
        <v>0</v>
      </c>
      <c r="AS93" s="141">
        <v>-6292662</v>
      </c>
      <c r="AT93" s="141">
        <v>-2893559</v>
      </c>
      <c r="AU93" s="141">
        <v>0</v>
      </c>
      <c r="AV93" s="141">
        <v>-2893559</v>
      </c>
      <c r="AW93" s="141">
        <v>-77014</v>
      </c>
      <c r="AX93" s="141">
        <v>0</v>
      </c>
      <c r="AY93" s="141">
        <v>-77014</v>
      </c>
      <c r="AZ93" s="141">
        <v>-85834</v>
      </c>
      <c r="BA93" s="141">
        <v>0</v>
      </c>
      <c r="BB93" s="141">
        <v>-85834</v>
      </c>
      <c r="BC93" s="141">
        <v>-9349069</v>
      </c>
      <c r="BD93" s="141">
        <v>0</v>
      </c>
      <c r="BE93" s="141">
        <v>0</v>
      </c>
      <c r="BF93" s="141">
        <v>0</v>
      </c>
      <c r="BG93" s="141">
        <v>-9349069</v>
      </c>
      <c r="BH93" s="141">
        <v>0</v>
      </c>
      <c r="BI93" s="141">
        <v>-9349069</v>
      </c>
      <c r="BJ93" s="141">
        <v>0</v>
      </c>
      <c r="BK93" s="141">
        <v>0</v>
      </c>
      <c r="BL93" s="141">
        <v>0</v>
      </c>
      <c r="BM93" s="141">
        <v>-438571</v>
      </c>
      <c r="BN93" s="141">
        <v>0</v>
      </c>
      <c r="BO93" s="141">
        <v>-438571</v>
      </c>
      <c r="BP93" s="141">
        <v>-438571</v>
      </c>
      <c r="BQ93" s="141">
        <v>0</v>
      </c>
      <c r="BR93" s="141">
        <v>0</v>
      </c>
      <c r="BS93" s="141">
        <v>0</v>
      </c>
      <c r="BT93" s="141">
        <v>-438571</v>
      </c>
      <c r="BU93" s="141">
        <v>0</v>
      </c>
      <c r="BV93" s="141">
        <v>-438571</v>
      </c>
      <c r="BW93" s="141">
        <v>-80328</v>
      </c>
      <c r="BX93" s="141">
        <v>0</v>
      </c>
      <c r="BY93" s="141">
        <v>-80328</v>
      </c>
      <c r="BZ93" s="141">
        <v>-5522</v>
      </c>
      <c r="CA93" s="141">
        <v>0</v>
      </c>
      <c r="CB93" s="141">
        <v>-5522</v>
      </c>
      <c r="CC93" s="141">
        <v>-6058</v>
      </c>
      <c r="CD93" s="141">
        <v>0</v>
      </c>
      <c r="CE93" s="141">
        <v>-6058</v>
      </c>
      <c r="CF93" s="141">
        <v>0</v>
      </c>
      <c r="CG93" s="141">
        <v>0</v>
      </c>
      <c r="CH93" s="141">
        <v>0</v>
      </c>
      <c r="CI93" s="141">
        <v>0</v>
      </c>
      <c r="CJ93" s="141">
        <v>0</v>
      </c>
      <c r="CK93" s="141">
        <v>0</v>
      </c>
      <c r="CL93" s="141">
        <v>0</v>
      </c>
      <c r="CM93" s="141">
        <v>0</v>
      </c>
      <c r="CN93" s="141">
        <v>0</v>
      </c>
      <c r="CO93" s="141">
        <v>0</v>
      </c>
      <c r="CP93" s="141">
        <v>0</v>
      </c>
      <c r="CQ93" s="141">
        <v>-91908</v>
      </c>
      <c r="CR93" s="141">
        <v>0</v>
      </c>
      <c r="CS93" s="141">
        <v>0</v>
      </c>
      <c r="CT93" s="141">
        <v>0</v>
      </c>
      <c r="CU93" s="141">
        <v>-91908</v>
      </c>
      <c r="CV93" s="141">
        <v>0</v>
      </c>
      <c r="CW93" s="141">
        <v>-91908</v>
      </c>
      <c r="CX93" s="141">
        <v>-89930</v>
      </c>
      <c r="CY93" s="141">
        <v>0</v>
      </c>
      <c r="CZ93" s="141">
        <v>-89930</v>
      </c>
      <c r="DA93" s="141">
        <v>0</v>
      </c>
      <c r="DB93" s="141">
        <v>0</v>
      </c>
      <c r="DC93" s="141">
        <v>0</v>
      </c>
      <c r="DD93" s="141">
        <v>-68644</v>
      </c>
      <c r="DE93" s="141">
        <v>0</v>
      </c>
      <c r="DF93" s="141">
        <v>-68644</v>
      </c>
      <c r="DG93" s="141">
        <v>-84000</v>
      </c>
      <c r="DH93" s="141">
        <v>0</v>
      </c>
      <c r="DI93" s="141">
        <v>-84000</v>
      </c>
      <c r="DJ93" s="141">
        <v>0</v>
      </c>
      <c r="DK93" s="141">
        <v>0</v>
      </c>
      <c r="DL93" s="141">
        <v>0</v>
      </c>
      <c r="DM93" s="141">
        <v>-1059895</v>
      </c>
      <c r="DN93" s="141">
        <v>0</v>
      </c>
      <c r="DO93" s="141">
        <v>-1059895</v>
      </c>
      <c r="DP93" s="141">
        <v>-1302469</v>
      </c>
      <c r="DQ93" s="141">
        <v>0</v>
      </c>
      <c r="DR93" s="141">
        <v>0</v>
      </c>
      <c r="DS93" s="141">
        <v>0</v>
      </c>
      <c r="DT93" s="141">
        <v>-1302469</v>
      </c>
      <c r="DU93" s="141">
        <v>0</v>
      </c>
      <c r="DV93" s="141">
        <v>-1302469</v>
      </c>
      <c r="DW93" s="856">
        <v>37088778</v>
      </c>
      <c r="DX93" s="856">
        <v>0</v>
      </c>
      <c r="DY93" s="857">
        <v>37088778</v>
      </c>
      <c r="DZ93" t="s">
        <v>1659</v>
      </c>
    </row>
    <row r="94" spans="1:130" ht="12.75" x14ac:dyDescent="0.2">
      <c r="A94" s="764">
        <v>87</v>
      </c>
      <c r="B94" s="765" t="s">
        <v>61</v>
      </c>
      <c r="C94" s="766" t="s">
        <v>1217</v>
      </c>
      <c r="D94" s="767" t="s">
        <v>1220</v>
      </c>
      <c r="E94" s="768" t="s">
        <v>60</v>
      </c>
      <c r="F94" s="867">
        <v>43468</v>
      </c>
      <c r="G94" s="141">
        <v>79309427</v>
      </c>
      <c r="H94" s="141">
        <v>0</v>
      </c>
      <c r="I94" s="141">
        <v>79309427</v>
      </c>
      <c r="J94" s="141">
        <v>49.1</v>
      </c>
      <c r="K94" s="141">
        <v>38940929</v>
      </c>
      <c r="L94" s="141">
        <v>0</v>
      </c>
      <c r="M94" s="141">
        <v>1052541</v>
      </c>
      <c r="N94" s="141">
        <v>0</v>
      </c>
      <c r="O94" s="141">
        <v>39993470</v>
      </c>
      <c r="P94" s="141">
        <v>0</v>
      </c>
      <c r="Q94" s="141">
        <v>39993470</v>
      </c>
      <c r="R94" s="141">
        <v>-127516</v>
      </c>
      <c r="S94" s="141">
        <v>0</v>
      </c>
      <c r="T94" s="141">
        <v>-127516</v>
      </c>
      <c r="U94" s="141">
        <v>270471</v>
      </c>
      <c r="V94" s="141">
        <v>0</v>
      </c>
      <c r="W94" s="141">
        <v>270471</v>
      </c>
      <c r="X94" s="141">
        <v>142955</v>
      </c>
      <c r="Y94" s="141">
        <v>0</v>
      </c>
      <c r="Z94" s="141">
        <v>0</v>
      </c>
      <c r="AA94" s="141">
        <v>0</v>
      </c>
      <c r="AB94" s="141">
        <v>142955</v>
      </c>
      <c r="AC94" s="141">
        <v>0</v>
      </c>
      <c r="AD94" s="141">
        <v>142955</v>
      </c>
      <c r="AE94" s="141">
        <v>-142955</v>
      </c>
      <c r="AF94" s="141">
        <v>0</v>
      </c>
      <c r="AG94" s="141">
        <v>-142955</v>
      </c>
      <c r="AH94" s="141">
        <v>-3077923</v>
      </c>
      <c r="AI94" s="141">
        <v>0</v>
      </c>
      <c r="AJ94" s="141">
        <v>-3077923</v>
      </c>
      <c r="AK94" s="141">
        <v>-10458</v>
      </c>
      <c r="AL94" s="141">
        <v>0</v>
      </c>
      <c r="AM94" s="141">
        <v>-10458</v>
      </c>
      <c r="AN94" s="141">
        <v>785292</v>
      </c>
      <c r="AO94" s="141">
        <v>0</v>
      </c>
      <c r="AP94" s="141">
        <v>785292</v>
      </c>
      <c r="AQ94" s="141">
        <v>-2292631</v>
      </c>
      <c r="AR94" s="141">
        <v>0</v>
      </c>
      <c r="AS94" s="141">
        <v>-2292631</v>
      </c>
      <c r="AT94" s="141">
        <v>-2040587</v>
      </c>
      <c r="AU94" s="141">
        <v>0</v>
      </c>
      <c r="AV94" s="141">
        <v>-2040587</v>
      </c>
      <c r="AW94" s="141">
        <v>-38382</v>
      </c>
      <c r="AX94" s="141">
        <v>0</v>
      </c>
      <c r="AY94" s="141">
        <v>-38382</v>
      </c>
      <c r="AZ94" s="141">
        <v>-26533</v>
      </c>
      <c r="BA94" s="141">
        <v>0</v>
      </c>
      <c r="BB94" s="141">
        <v>-26533</v>
      </c>
      <c r="BC94" s="141">
        <v>-4398133</v>
      </c>
      <c r="BD94" s="141">
        <v>0</v>
      </c>
      <c r="BE94" s="141">
        <v>0</v>
      </c>
      <c r="BF94" s="141">
        <v>0</v>
      </c>
      <c r="BG94" s="141">
        <v>-4398133</v>
      </c>
      <c r="BH94" s="141">
        <v>0</v>
      </c>
      <c r="BI94" s="141">
        <v>-4398133</v>
      </c>
      <c r="BJ94" s="141">
        <v>-50000</v>
      </c>
      <c r="BK94" s="141">
        <v>0</v>
      </c>
      <c r="BL94" s="141">
        <v>-50000</v>
      </c>
      <c r="BM94" s="141">
        <v>-286526</v>
      </c>
      <c r="BN94" s="141">
        <v>0</v>
      </c>
      <c r="BO94" s="141">
        <v>-286526</v>
      </c>
      <c r="BP94" s="141">
        <v>-336526</v>
      </c>
      <c r="BQ94" s="141">
        <v>0</v>
      </c>
      <c r="BR94" s="141">
        <v>0</v>
      </c>
      <c r="BS94" s="141">
        <v>0</v>
      </c>
      <c r="BT94" s="141">
        <v>-336526</v>
      </c>
      <c r="BU94" s="141">
        <v>0</v>
      </c>
      <c r="BV94" s="141">
        <v>-336526</v>
      </c>
      <c r="BW94" s="141">
        <v>-88368</v>
      </c>
      <c r="BX94" s="141">
        <v>0</v>
      </c>
      <c r="BY94" s="141">
        <v>-88368</v>
      </c>
      <c r="BZ94" s="141">
        <v>-63368</v>
      </c>
      <c r="CA94" s="141">
        <v>0</v>
      </c>
      <c r="CB94" s="141">
        <v>-63368</v>
      </c>
      <c r="CC94" s="141">
        <v>-6218</v>
      </c>
      <c r="CD94" s="141">
        <v>0</v>
      </c>
      <c r="CE94" s="141">
        <v>-6218</v>
      </c>
      <c r="CF94" s="141">
        <v>0</v>
      </c>
      <c r="CG94" s="141">
        <v>0</v>
      </c>
      <c r="CH94" s="141">
        <v>0</v>
      </c>
      <c r="CI94" s="141">
        <v>-37760</v>
      </c>
      <c r="CJ94" s="141">
        <v>0</v>
      </c>
      <c r="CK94" s="141">
        <v>-37760</v>
      </c>
      <c r="CL94" s="141">
        <v>0</v>
      </c>
      <c r="CM94" s="141">
        <v>0</v>
      </c>
      <c r="CN94" s="141">
        <v>0</v>
      </c>
      <c r="CO94" s="141">
        <v>0</v>
      </c>
      <c r="CP94" s="141">
        <v>0</v>
      </c>
      <c r="CQ94" s="141">
        <v>-195714</v>
      </c>
      <c r="CR94" s="141">
        <v>0</v>
      </c>
      <c r="CS94" s="141">
        <v>0</v>
      </c>
      <c r="CT94" s="141">
        <v>0</v>
      </c>
      <c r="CU94" s="141">
        <v>-195714</v>
      </c>
      <c r="CV94" s="141">
        <v>0</v>
      </c>
      <c r="CW94" s="141">
        <v>-195714</v>
      </c>
      <c r="CX94" s="141">
        <v>-26533</v>
      </c>
      <c r="CY94" s="141">
        <v>0</v>
      </c>
      <c r="CZ94" s="141">
        <v>-26533</v>
      </c>
      <c r="DA94" s="141">
        <v>0</v>
      </c>
      <c r="DB94" s="141">
        <v>0</v>
      </c>
      <c r="DC94" s="141">
        <v>0</v>
      </c>
      <c r="DD94" s="141">
        <v>-6461</v>
      </c>
      <c r="DE94" s="141">
        <v>0</v>
      </c>
      <c r="DF94" s="141">
        <v>-6461</v>
      </c>
      <c r="DG94" s="141">
        <v>-17000</v>
      </c>
      <c r="DH94" s="141">
        <v>0</v>
      </c>
      <c r="DI94" s="141">
        <v>-17000</v>
      </c>
      <c r="DJ94" s="141">
        <v>0</v>
      </c>
      <c r="DK94" s="141">
        <v>0</v>
      </c>
      <c r="DL94" s="141">
        <v>0</v>
      </c>
      <c r="DM94" s="141">
        <v>-380918</v>
      </c>
      <c r="DN94" s="141">
        <v>0</v>
      </c>
      <c r="DO94" s="141">
        <v>-380918</v>
      </c>
      <c r="DP94" s="141">
        <v>-430912</v>
      </c>
      <c r="DQ94" s="141">
        <v>0</v>
      </c>
      <c r="DR94" s="141">
        <v>0</v>
      </c>
      <c r="DS94" s="141">
        <v>0</v>
      </c>
      <c r="DT94" s="141">
        <v>-430912</v>
      </c>
      <c r="DU94" s="141">
        <v>0</v>
      </c>
      <c r="DV94" s="141">
        <v>-430912</v>
      </c>
      <c r="DW94" s="856">
        <v>34775140</v>
      </c>
      <c r="DX94" s="856">
        <v>0</v>
      </c>
      <c r="DY94" s="857">
        <v>34775140</v>
      </c>
      <c r="DZ94" t="s">
        <v>1660</v>
      </c>
    </row>
    <row r="95" spans="1:130" ht="12.75" x14ac:dyDescent="0.2">
      <c r="A95" s="764">
        <v>88</v>
      </c>
      <c r="B95" s="765" t="s">
        <v>63</v>
      </c>
      <c r="C95" s="766" t="s">
        <v>529</v>
      </c>
      <c r="D95" s="767" t="s">
        <v>1225</v>
      </c>
      <c r="E95" s="768" t="s">
        <v>585</v>
      </c>
      <c r="F95" s="867">
        <v>43465</v>
      </c>
      <c r="G95" s="141">
        <v>253488882</v>
      </c>
      <c r="H95" s="141">
        <v>217000</v>
      </c>
      <c r="I95" s="141">
        <v>253705882</v>
      </c>
      <c r="J95" s="141">
        <v>49.1</v>
      </c>
      <c r="K95" s="141">
        <v>124463041</v>
      </c>
      <c r="L95" s="141">
        <v>106547</v>
      </c>
      <c r="M95" s="141">
        <v>1918372</v>
      </c>
      <c r="N95" s="141">
        <v>0</v>
      </c>
      <c r="O95" s="141">
        <v>126381413</v>
      </c>
      <c r="P95" s="141">
        <v>106547</v>
      </c>
      <c r="Q95" s="141">
        <v>126487960</v>
      </c>
      <c r="R95" s="141">
        <v>-1411444</v>
      </c>
      <c r="S95" s="141">
        <v>0</v>
      </c>
      <c r="T95" s="141">
        <v>-1411444</v>
      </c>
      <c r="U95" s="141">
        <v>8183180</v>
      </c>
      <c r="V95" s="141">
        <v>0</v>
      </c>
      <c r="W95" s="141">
        <v>8183180</v>
      </c>
      <c r="X95" s="141">
        <v>6771736</v>
      </c>
      <c r="Y95" s="141">
        <v>0</v>
      </c>
      <c r="Z95" s="141">
        <v>0</v>
      </c>
      <c r="AA95" s="141">
        <v>0</v>
      </c>
      <c r="AB95" s="141">
        <v>6771736</v>
      </c>
      <c r="AC95" s="141">
        <v>0</v>
      </c>
      <c r="AD95" s="141">
        <v>6771736</v>
      </c>
      <c r="AE95" s="141">
        <v>-6771736</v>
      </c>
      <c r="AF95" s="141">
        <v>0</v>
      </c>
      <c r="AG95" s="141">
        <v>-6771736</v>
      </c>
      <c r="AH95" s="141">
        <v>-13022884</v>
      </c>
      <c r="AI95" s="141">
        <v>0</v>
      </c>
      <c r="AJ95" s="141">
        <v>-13022884</v>
      </c>
      <c r="AK95" s="141">
        <v>-18074</v>
      </c>
      <c r="AL95" s="141">
        <v>0</v>
      </c>
      <c r="AM95" s="141">
        <v>-18074</v>
      </c>
      <c r="AN95" s="141">
        <v>2214681</v>
      </c>
      <c r="AO95" s="141">
        <v>2821</v>
      </c>
      <c r="AP95" s="141">
        <v>2217502</v>
      </c>
      <c r="AQ95" s="141">
        <v>-10808203</v>
      </c>
      <c r="AR95" s="141">
        <v>2821</v>
      </c>
      <c r="AS95" s="141">
        <v>-10805382</v>
      </c>
      <c r="AT95" s="141">
        <v>-4385312</v>
      </c>
      <c r="AU95" s="141">
        <v>0</v>
      </c>
      <c r="AV95" s="141">
        <v>-4385312</v>
      </c>
      <c r="AW95" s="141">
        <v>-90566</v>
      </c>
      <c r="AX95" s="141">
        <v>0</v>
      </c>
      <c r="AY95" s="141">
        <v>-90566</v>
      </c>
      <c r="AZ95" s="141">
        <v>-58455</v>
      </c>
      <c r="BA95" s="141">
        <v>0</v>
      </c>
      <c r="BB95" s="141">
        <v>-58455</v>
      </c>
      <c r="BC95" s="141">
        <v>-15342536</v>
      </c>
      <c r="BD95" s="141">
        <v>2821</v>
      </c>
      <c r="BE95" s="141">
        <v>-236275</v>
      </c>
      <c r="BF95" s="141">
        <v>0</v>
      </c>
      <c r="BG95" s="141">
        <v>-15578811</v>
      </c>
      <c r="BH95" s="141">
        <v>2821</v>
      </c>
      <c r="BI95" s="141">
        <v>-15575990</v>
      </c>
      <c r="BJ95" s="141">
        <v>0</v>
      </c>
      <c r="BK95" s="141">
        <v>0</v>
      </c>
      <c r="BL95" s="141">
        <v>0</v>
      </c>
      <c r="BM95" s="141">
        <v>-2374767</v>
      </c>
      <c r="BN95" s="141">
        <v>0</v>
      </c>
      <c r="BO95" s="141">
        <v>-2374767</v>
      </c>
      <c r="BP95" s="141">
        <v>-2374767</v>
      </c>
      <c r="BQ95" s="141">
        <v>0</v>
      </c>
      <c r="BR95" s="141">
        <v>-36571</v>
      </c>
      <c r="BS95" s="141">
        <v>0</v>
      </c>
      <c r="BT95" s="141">
        <v>-2411338</v>
      </c>
      <c r="BU95" s="141">
        <v>0</v>
      </c>
      <c r="BV95" s="141">
        <v>-2411338</v>
      </c>
      <c r="BW95" s="141">
        <v>-125219</v>
      </c>
      <c r="BX95" s="141">
        <v>0</v>
      </c>
      <c r="BY95" s="141">
        <v>-125219</v>
      </c>
      <c r="BZ95" s="141">
        <v>-432580</v>
      </c>
      <c r="CA95" s="141">
        <v>0</v>
      </c>
      <c r="CB95" s="141">
        <v>-432580</v>
      </c>
      <c r="CC95" s="141">
        <v>-21370</v>
      </c>
      <c r="CD95" s="141">
        <v>0</v>
      </c>
      <c r="CE95" s="141">
        <v>-21370</v>
      </c>
      <c r="CF95" s="141">
        <v>0</v>
      </c>
      <c r="CG95" s="141">
        <v>0</v>
      </c>
      <c r="CH95" s="141">
        <v>0</v>
      </c>
      <c r="CI95" s="141">
        <v>-28011</v>
      </c>
      <c r="CJ95" s="141">
        <v>0</v>
      </c>
      <c r="CK95" s="141">
        <v>-28011</v>
      </c>
      <c r="CL95" s="141">
        <v>-16002</v>
      </c>
      <c r="CM95" s="141">
        <v>0</v>
      </c>
      <c r="CN95" s="141">
        <v>-16002</v>
      </c>
      <c r="CO95" s="141">
        <v>0</v>
      </c>
      <c r="CP95" s="141">
        <v>-16002</v>
      </c>
      <c r="CQ95" s="141">
        <v>-623182</v>
      </c>
      <c r="CR95" s="141">
        <v>0</v>
      </c>
      <c r="CS95" s="141">
        <v>-9597</v>
      </c>
      <c r="CT95" s="141">
        <v>0</v>
      </c>
      <c r="CU95" s="141">
        <v>-632779</v>
      </c>
      <c r="CV95" s="141">
        <v>0</v>
      </c>
      <c r="CW95" s="141">
        <v>-632779</v>
      </c>
      <c r="CX95" s="141">
        <v>-58455</v>
      </c>
      <c r="CY95" s="141">
        <v>0</v>
      </c>
      <c r="CZ95" s="141">
        <v>-58455</v>
      </c>
      <c r="DA95" s="141">
        <v>-1500</v>
      </c>
      <c r="DB95" s="141">
        <v>0</v>
      </c>
      <c r="DC95" s="141">
        <v>-1500</v>
      </c>
      <c r="DD95" s="141">
        <v>-156957</v>
      </c>
      <c r="DE95" s="141">
        <v>0</v>
      </c>
      <c r="DF95" s="141">
        <v>-156957</v>
      </c>
      <c r="DG95" s="141">
        <v>-112000</v>
      </c>
      <c r="DH95" s="141">
        <v>0</v>
      </c>
      <c r="DI95" s="141">
        <v>-112000</v>
      </c>
      <c r="DJ95" s="141">
        <v>0</v>
      </c>
      <c r="DK95" s="141">
        <v>0</v>
      </c>
      <c r="DL95" s="141">
        <v>0</v>
      </c>
      <c r="DM95" s="141">
        <v>-2100097</v>
      </c>
      <c r="DN95" s="141">
        <v>0</v>
      </c>
      <c r="DO95" s="141">
        <v>-2100097</v>
      </c>
      <c r="DP95" s="141">
        <v>-2429009</v>
      </c>
      <c r="DQ95" s="141">
        <v>0</v>
      </c>
      <c r="DR95" s="141">
        <v>-3317</v>
      </c>
      <c r="DS95" s="141">
        <v>0</v>
      </c>
      <c r="DT95" s="141">
        <v>-2432326</v>
      </c>
      <c r="DU95" s="141">
        <v>0</v>
      </c>
      <c r="DV95" s="141">
        <v>-2432326</v>
      </c>
      <c r="DW95" s="856">
        <v>112097895</v>
      </c>
      <c r="DX95" s="856">
        <v>109368</v>
      </c>
      <c r="DY95" s="857">
        <v>112207263</v>
      </c>
      <c r="DZ95" t="s">
        <v>1661</v>
      </c>
    </row>
    <row r="96" spans="1:130" ht="12.75" x14ac:dyDescent="0.2">
      <c r="A96" s="764">
        <v>89</v>
      </c>
      <c r="B96" s="765" t="s">
        <v>68</v>
      </c>
      <c r="C96" s="766" t="s">
        <v>1217</v>
      </c>
      <c r="D96" s="767" t="s">
        <v>1227</v>
      </c>
      <c r="E96" s="768" t="s">
        <v>67</v>
      </c>
      <c r="F96" s="867">
        <v>43474</v>
      </c>
      <c r="G96" s="141">
        <v>137355809</v>
      </c>
      <c r="H96" s="141">
        <v>0</v>
      </c>
      <c r="I96" s="141">
        <v>137355809</v>
      </c>
      <c r="J96" s="141">
        <v>49.1</v>
      </c>
      <c r="K96" s="141">
        <v>67441702</v>
      </c>
      <c r="L96" s="141">
        <v>0</v>
      </c>
      <c r="M96" s="141">
        <v>-1490313</v>
      </c>
      <c r="N96" s="141">
        <v>0</v>
      </c>
      <c r="O96" s="141">
        <v>65951389</v>
      </c>
      <c r="P96" s="141">
        <v>0</v>
      </c>
      <c r="Q96" s="141">
        <v>65951389</v>
      </c>
      <c r="R96" s="141">
        <v>-744104</v>
      </c>
      <c r="S96" s="141">
        <v>0</v>
      </c>
      <c r="T96" s="141">
        <v>-744104</v>
      </c>
      <c r="U96" s="141">
        <v>840624</v>
      </c>
      <c r="V96" s="141">
        <v>0</v>
      </c>
      <c r="W96" s="141">
        <v>840624</v>
      </c>
      <c r="X96" s="141">
        <v>96520</v>
      </c>
      <c r="Y96" s="141">
        <v>0</v>
      </c>
      <c r="Z96" s="141">
        <v>-965</v>
      </c>
      <c r="AA96" s="141">
        <v>0</v>
      </c>
      <c r="AB96" s="141">
        <v>95555</v>
      </c>
      <c r="AC96" s="141">
        <v>0</v>
      </c>
      <c r="AD96" s="141">
        <v>95555</v>
      </c>
      <c r="AE96" s="141">
        <v>-95555</v>
      </c>
      <c r="AF96" s="141">
        <v>0</v>
      </c>
      <c r="AG96" s="141">
        <v>-95555</v>
      </c>
      <c r="AH96" s="141">
        <v>-4231563</v>
      </c>
      <c r="AI96" s="141">
        <v>0</v>
      </c>
      <c r="AJ96" s="141">
        <v>-4231563</v>
      </c>
      <c r="AK96" s="141">
        <v>0</v>
      </c>
      <c r="AL96" s="141">
        <v>0</v>
      </c>
      <c r="AM96" s="141">
        <v>0</v>
      </c>
      <c r="AN96" s="141">
        <v>1347239</v>
      </c>
      <c r="AO96" s="141">
        <v>0</v>
      </c>
      <c r="AP96" s="141">
        <v>1347239</v>
      </c>
      <c r="AQ96" s="141">
        <v>-2884324</v>
      </c>
      <c r="AR96" s="141">
        <v>0</v>
      </c>
      <c r="AS96" s="141">
        <v>-2884324</v>
      </c>
      <c r="AT96" s="141">
        <v>-2661714</v>
      </c>
      <c r="AU96" s="141">
        <v>0</v>
      </c>
      <c r="AV96" s="141">
        <v>-2661714</v>
      </c>
      <c r="AW96" s="141">
        <v>-41015</v>
      </c>
      <c r="AX96" s="141">
        <v>0</v>
      </c>
      <c r="AY96" s="141">
        <v>-41015</v>
      </c>
      <c r="AZ96" s="141">
        <v>-2664</v>
      </c>
      <c r="BA96" s="141">
        <v>0</v>
      </c>
      <c r="BB96" s="141">
        <v>-2664</v>
      </c>
      <c r="BC96" s="141">
        <v>-5589717</v>
      </c>
      <c r="BD96" s="141">
        <v>0</v>
      </c>
      <c r="BE96" s="141">
        <v>-53234</v>
      </c>
      <c r="BF96" s="141">
        <v>0</v>
      </c>
      <c r="BG96" s="141">
        <v>-5642951</v>
      </c>
      <c r="BH96" s="141">
        <v>0</v>
      </c>
      <c r="BI96" s="141">
        <v>-5642951</v>
      </c>
      <c r="BJ96" s="141">
        <v>-221045</v>
      </c>
      <c r="BK96" s="141">
        <v>0</v>
      </c>
      <c r="BL96" s="141">
        <v>-221045</v>
      </c>
      <c r="BM96" s="141">
        <v>-1881907</v>
      </c>
      <c r="BN96" s="141">
        <v>0</v>
      </c>
      <c r="BO96" s="141">
        <v>-1881907</v>
      </c>
      <c r="BP96" s="141">
        <v>-2102952</v>
      </c>
      <c r="BQ96" s="141">
        <v>0</v>
      </c>
      <c r="BR96" s="141">
        <v>-210295</v>
      </c>
      <c r="BS96" s="141">
        <v>0</v>
      </c>
      <c r="BT96" s="141">
        <v>-2313247</v>
      </c>
      <c r="BU96" s="141">
        <v>0</v>
      </c>
      <c r="BV96" s="141">
        <v>-2313247</v>
      </c>
      <c r="BW96" s="141">
        <v>-54909</v>
      </c>
      <c r="BX96" s="141">
        <v>0</v>
      </c>
      <c r="BY96" s="141">
        <v>-54909</v>
      </c>
      <c r="BZ96" s="141">
        <v>-18366</v>
      </c>
      <c r="CA96" s="141">
        <v>0</v>
      </c>
      <c r="CB96" s="141">
        <v>-18366</v>
      </c>
      <c r="CC96" s="141">
        <v>-2359</v>
      </c>
      <c r="CD96" s="141">
        <v>0</v>
      </c>
      <c r="CE96" s="141">
        <v>-2359</v>
      </c>
      <c r="CF96" s="141">
        <v>0</v>
      </c>
      <c r="CG96" s="141">
        <v>0</v>
      </c>
      <c r="CH96" s="141">
        <v>0</v>
      </c>
      <c r="CI96" s="141">
        <v>0</v>
      </c>
      <c r="CJ96" s="141">
        <v>0</v>
      </c>
      <c r="CK96" s="141">
        <v>0</v>
      </c>
      <c r="CL96" s="141">
        <v>0</v>
      </c>
      <c r="CM96" s="141">
        <v>0</v>
      </c>
      <c r="CN96" s="141">
        <v>0</v>
      </c>
      <c r="CO96" s="141">
        <v>0</v>
      </c>
      <c r="CP96" s="141">
        <v>0</v>
      </c>
      <c r="CQ96" s="141">
        <v>-75634</v>
      </c>
      <c r="CR96" s="141">
        <v>0</v>
      </c>
      <c r="CS96" s="141">
        <v>0</v>
      </c>
      <c r="CT96" s="141">
        <v>0</v>
      </c>
      <c r="CU96" s="141">
        <v>-75634</v>
      </c>
      <c r="CV96" s="141">
        <v>0</v>
      </c>
      <c r="CW96" s="141">
        <v>-75634</v>
      </c>
      <c r="CX96" s="141">
        <v>-2664</v>
      </c>
      <c r="CY96" s="141">
        <v>0</v>
      </c>
      <c r="CZ96" s="141">
        <v>-2664</v>
      </c>
      <c r="DA96" s="141">
        <v>-1500</v>
      </c>
      <c r="DB96" s="141">
        <v>0</v>
      </c>
      <c r="DC96" s="141">
        <v>-1500</v>
      </c>
      <c r="DD96" s="141">
        <v>-2235</v>
      </c>
      <c r="DE96" s="141">
        <v>0</v>
      </c>
      <c r="DF96" s="141">
        <v>-2235</v>
      </c>
      <c r="DG96" s="141">
        <v>-70893</v>
      </c>
      <c r="DH96" s="141">
        <v>0</v>
      </c>
      <c r="DI96" s="141">
        <v>-70893</v>
      </c>
      <c r="DJ96" s="141">
        <v>0</v>
      </c>
      <c r="DK96" s="141">
        <v>0</v>
      </c>
      <c r="DL96" s="141">
        <v>0</v>
      </c>
      <c r="DM96" s="141">
        <v>-604478</v>
      </c>
      <c r="DN96" s="141">
        <v>0</v>
      </c>
      <c r="DO96" s="141">
        <v>-604478</v>
      </c>
      <c r="DP96" s="141">
        <v>-681770</v>
      </c>
      <c r="DQ96" s="141">
        <v>0</v>
      </c>
      <c r="DR96" s="141">
        <v>0</v>
      </c>
      <c r="DS96" s="141">
        <v>0</v>
      </c>
      <c r="DT96" s="141">
        <v>-681770</v>
      </c>
      <c r="DU96" s="141">
        <v>0</v>
      </c>
      <c r="DV96" s="141">
        <v>-681770</v>
      </c>
      <c r="DW96" s="856">
        <v>57333342</v>
      </c>
      <c r="DX96" s="856">
        <v>0</v>
      </c>
      <c r="DY96" s="857">
        <v>57333342</v>
      </c>
      <c r="DZ96" t="s">
        <v>1662</v>
      </c>
    </row>
    <row r="97" spans="1:130" ht="12.75" x14ac:dyDescent="0.2">
      <c r="A97" s="764">
        <v>90</v>
      </c>
      <c r="B97" s="765" t="s">
        <v>1148</v>
      </c>
      <c r="C97" s="766" t="s">
        <v>1217</v>
      </c>
      <c r="D97" s="767" t="s">
        <v>1221</v>
      </c>
      <c r="E97" s="768" t="s">
        <v>1147</v>
      </c>
      <c r="F97" s="867">
        <v>43460</v>
      </c>
      <c r="G97" s="141">
        <v>230861362</v>
      </c>
      <c r="H97" s="141">
        <v>934300</v>
      </c>
      <c r="I97" s="141">
        <v>231795662</v>
      </c>
      <c r="J97" s="141">
        <v>49.1</v>
      </c>
      <c r="K97" s="141">
        <v>113352929</v>
      </c>
      <c r="L97" s="141">
        <v>458741</v>
      </c>
      <c r="M97" s="141">
        <v>0</v>
      </c>
      <c r="N97" s="141">
        <v>0</v>
      </c>
      <c r="O97" s="141">
        <v>113352929</v>
      </c>
      <c r="P97" s="141">
        <v>458741</v>
      </c>
      <c r="Q97" s="141">
        <v>113811670</v>
      </c>
      <c r="R97" s="141">
        <v>-2008672</v>
      </c>
      <c r="S97" s="141">
        <v>-1236</v>
      </c>
      <c r="T97" s="141">
        <v>-2009908</v>
      </c>
      <c r="U97" s="141">
        <v>6384699</v>
      </c>
      <c r="V97" s="141">
        <v>0</v>
      </c>
      <c r="W97" s="141">
        <v>6384699</v>
      </c>
      <c r="X97" s="141">
        <v>4376027</v>
      </c>
      <c r="Y97" s="141">
        <v>-1236</v>
      </c>
      <c r="Z97" s="141">
        <v>0</v>
      </c>
      <c r="AA97" s="141">
        <v>0</v>
      </c>
      <c r="AB97" s="141">
        <v>4376027</v>
      </c>
      <c r="AC97" s="141">
        <v>-1236</v>
      </c>
      <c r="AD97" s="141">
        <v>4374791</v>
      </c>
      <c r="AE97" s="141">
        <v>-4376027</v>
      </c>
      <c r="AF97" s="141">
        <v>1236</v>
      </c>
      <c r="AG97" s="141">
        <v>-4374791</v>
      </c>
      <c r="AH97" s="141">
        <v>-10713011</v>
      </c>
      <c r="AI97" s="141">
        <v>-11048</v>
      </c>
      <c r="AJ97" s="141">
        <v>-10724059</v>
      </c>
      <c r="AK97" s="141">
        <v>-2455</v>
      </c>
      <c r="AL97" s="141">
        <v>0</v>
      </c>
      <c r="AM97" s="141">
        <v>-2455</v>
      </c>
      <c r="AN97" s="141">
        <v>2132709</v>
      </c>
      <c r="AO97" s="141">
        <v>9226</v>
      </c>
      <c r="AP97" s="141">
        <v>2141935</v>
      </c>
      <c r="AQ97" s="141">
        <v>-8580302</v>
      </c>
      <c r="AR97" s="141">
        <v>-1822</v>
      </c>
      <c r="AS97" s="141">
        <v>-8582124</v>
      </c>
      <c r="AT97" s="141">
        <v>-6326781</v>
      </c>
      <c r="AU97" s="141">
        <v>0</v>
      </c>
      <c r="AV97" s="141">
        <v>-6326781</v>
      </c>
      <c r="AW97" s="141">
        <v>-75075</v>
      </c>
      <c r="AX97" s="141">
        <v>0</v>
      </c>
      <c r="AY97" s="141">
        <v>-75075</v>
      </c>
      <c r="AZ97" s="141">
        <v>-69425</v>
      </c>
      <c r="BA97" s="141">
        <v>0</v>
      </c>
      <c r="BB97" s="141">
        <v>-69425</v>
      </c>
      <c r="BC97" s="141">
        <v>-15051583</v>
      </c>
      <c r="BD97" s="141">
        <v>-1822</v>
      </c>
      <c r="BE97" s="141">
        <v>0</v>
      </c>
      <c r="BF97" s="141">
        <v>0</v>
      </c>
      <c r="BG97" s="141">
        <v>-15051583</v>
      </c>
      <c r="BH97" s="141">
        <v>-1822</v>
      </c>
      <c r="BI97" s="141">
        <v>-15053405</v>
      </c>
      <c r="BJ97" s="141">
        <v>-54548</v>
      </c>
      <c r="BK97" s="141">
        <v>0</v>
      </c>
      <c r="BL97" s="141">
        <v>-54548</v>
      </c>
      <c r="BM97" s="141">
        <v>-1687548</v>
      </c>
      <c r="BN97" s="141">
        <v>0</v>
      </c>
      <c r="BO97" s="141">
        <v>-1687548</v>
      </c>
      <c r="BP97" s="141">
        <v>-1742096</v>
      </c>
      <c r="BQ97" s="141">
        <v>0</v>
      </c>
      <c r="BR97" s="141">
        <v>0</v>
      </c>
      <c r="BS97" s="141">
        <v>0</v>
      </c>
      <c r="BT97" s="141">
        <v>-1742096</v>
      </c>
      <c r="BU97" s="141">
        <v>0</v>
      </c>
      <c r="BV97" s="141">
        <v>-1742096</v>
      </c>
      <c r="BW97" s="141">
        <v>-155298</v>
      </c>
      <c r="BX97" s="141">
        <v>0</v>
      </c>
      <c r="BY97" s="141">
        <v>-155298</v>
      </c>
      <c r="BZ97" s="141">
        <v>-307586</v>
      </c>
      <c r="CA97" s="141">
        <v>0</v>
      </c>
      <c r="CB97" s="141">
        <v>-307586</v>
      </c>
      <c r="CC97" s="141">
        <v>-496</v>
      </c>
      <c r="CD97" s="141">
        <v>0</v>
      </c>
      <c r="CE97" s="141">
        <v>-496</v>
      </c>
      <c r="CF97" s="141">
        <v>-9059</v>
      </c>
      <c r="CG97" s="141">
        <v>0</v>
      </c>
      <c r="CH97" s="141">
        <v>-9059</v>
      </c>
      <c r="CI97" s="141">
        <v>-2239</v>
      </c>
      <c r="CJ97" s="141">
        <v>0</v>
      </c>
      <c r="CK97" s="141">
        <v>-2239</v>
      </c>
      <c r="CL97" s="141">
        <v>-32277</v>
      </c>
      <c r="CM97" s="141">
        <v>-200220</v>
      </c>
      <c r="CN97" s="141">
        <v>-232497</v>
      </c>
      <c r="CO97" s="141">
        <v>-200220</v>
      </c>
      <c r="CP97" s="141">
        <v>0</v>
      </c>
      <c r="CQ97" s="141">
        <v>-506955</v>
      </c>
      <c r="CR97" s="141">
        <v>-200220</v>
      </c>
      <c r="CS97" s="141">
        <v>0</v>
      </c>
      <c r="CT97" s="141">
        <v>0</v>
      </c>
      <c r="CU97" s="141">
        <v>-506955</v>
      </c>
      <c r="CV97" s="141">
        <v>-200220</v>
      </c>
      <c r="CW97" s="141">
        <v>-707175</v>
      </c>
      <c r="CX97" s="141">
        <v>-64115</v>
      </c>
      <c r="CY97" s="141">
        <v>0</v>
      </c>
      <c r="CZ97" s="141">
        <v>-64115</v>
      </c>
      <c r="DA97" s="141">
        <v>-1500</v>
      </c>
      <c r="DB97" s="141">
        <v>0</v>
      </c>
      <c r="DC97" s="141">
        <v>-1500</v>
      </c>
      <c r="DD97" s="141">
        <v>-170174</v>
      </c>
      <c r="DE97" s="141">
        <v>0</v>
      </c>
      <c r="DF97" s="141">
        <v>-170174</v>
      </c>
      <c r="DG97" s="141">
        <v>-164505</v>
      </c>
      <c r="DH97" s="141">
        <v>0</v>
      </c>
      <c r="DI97" s="141">
        <v>-164505</v>
      </c>
      <c r="DJ97" s="141">
        <v>0</v>
      </c>
      <c r="DK97" s="141">
        <v>0</v>
      </c>
      <c r="DL97" s="141">
        <v>0</v>
      </c>
      <c r="DM97" s="141">
        <v>-2300478</v>
      </c>
      <c r="DN97" s="141">
        <v>0</v>
      </c>
      <c r="DO97" s="141">
        <v>-2300478</v>
      </c>
      <c r="DP97" s="141">
        <v>-2700772</v>
      </c>
      <c r="DQ97" s="141">
        <v>0</v>
      </c>
      <c r="DR97" s="141">
        <v>0</v>
      </c>
      <c r="DS97" s="141">
        <v>0</v>
      </c>
      <c r="DT97" s="141">
        <v>-2700772</v>
      </c>
      <c r="DU97" s="141">
        <v>0</v>
      </c>
      <c r="DV97" s="141">
        <v>-2700772</v>
      </c>
      <c r="DW97" s="856">
        <v>97727550</v>
      </c>
      <c r="DX97" s="856">
        <v>255463</v>
      </c>
      <c r="DY97" s="857">
        <v>97983013</v>
      </c>
      <c r="DZ97" t="s">
        <v>1663</v>
      </c>
    </row>
    <row r="98" spans="1:130" ht="12.75" x14ac:dyDescent="0.2">
      <c r="A98" s="764">
        <v>91</v>
      </c>
      <c r="B98" s="765" t="s">
        <v>70</v>
      </c>
      <c r="C98" s="766" t="s">
        <v>1217</v>
      </c>
      <c r="D98" s="767" t="s">
        <v>1218</v>
      </c>
      <c r="E98" s="768" t="s">
        <v>69</v>
      </c>
      <c r="F98" s="867">
        <v>43489</v>
      </c>
      <c r="G98" s="141">
        <v>90436202</v>
      </c>
      <c r="H98" s="141">
        <v>0</v>
      </c>
      <c r="I98" s="141">
        <v>90436202</v>
      </c>
      <c r="J98" s="141">
        <v>49.1</v>
      </c>
      <c r="K98" s="141">
        <v>44404175</v>
      </c>
      <c r="L98" s="141">
        <v>0</v>
      </c>
      <c r="M98" s="141">
        <v>105631</v>
      </c>
      <c r="N98" s="141">
        <v>0</v>
      </c>
      <c r="O98" s="141">
        <v>44509806</v>
      </c>
      <c r="P98" s="141">
        <v>0</v>
      </c>
      <c r="Q98" s="141">
        <v>44509806</v>
      </c>
      <c r="R98" s="141">
        <v>-539759</v>
      </c>
      <c r="S98" s="141">
        <v>0</v>
      </c>
      <c r="T98" s="141">
        <v>-539759</v>
      </c>
      <c r="U98" s="141">
        <v>64468</v>
      </c>
      <c r="V98" s="141">
        <v>0</v>
      </c>
      <c r="W98" s="141">
        <v>64468</v>
      </c>
      <c r="X98" s="141">
        <v>-475291</v>
      </c>
      <c r="Y98" s="141">
        <v>0</v>
      </c>
      <c r="Z98" s="141">
        <v>0</v>
      </c>
      <c r="AA98" s="141">
        <v>0</v>
      </c>
      <c r="AB98" s="141">
        <v>-475291</v>
      </c>
      <c r="AC98" s="141">
        <v>0</v>
      </c>
      <c r="AD98" s="141">
        <v>-475291</v>
      </c>
      <c r="AE98" s="141">
        <v>475291</v>
      </c>
      <c r="AF98" s="141">
        <v>0</v>
      </c>
      <c r="AG98" s="141">
        <v>475291</v>
      </c>
      <c r="AH98" s="141">
        <v>-3492850</v>
      </c>
      <c r="AI98" s="141">
        <v>0</v>
      </c>
      <c r="AJ98" s="141">
        <v>-3492850</v>
      </c>
      <c r="AK98" s="141">
        <v>0</v>
      </c>
      <c r="AL98" s="141">
        <v>0</v>
      </c>
      <c r="AM98" s="141">
        <v>0</v>
      </c>
      <c r="AN98" s="141">
        <v>846074</v>
      </c>
      <c r="AO98" s="141">
        <v>0</v>
      </c>
      <c r="AP98" s="141">
        <v>846074</v>
      </c>
      <c r="AQ98" s="141">
        <v>-2646776</v>
      </c>
      <c r="AR98" s="141">
        <v>0</v>
      </c>
      <c r="AS98" s="141">
        <v>-2646776</v>
      </c>
      <c r="AT98" s="141">
        <v>-3953390</v>
      </c>
      <c r="AU98" s="141">
        <v>0</v>
      </c>
      <c r="AV98" s="141">
        <v>-3953390</v>
      </c>
      <c r="AW98" s="141">
        <v>-123440</v>
      </c>
      <c r="AX98" s="141">
        <v>0</v>
      </c>
      <c r="AY98" s="141">
        <v>-123440</v>
      </c>
      <c r="AZ98" s="141">
        <v>0</v>
      </c>
      <c r="BA98" s="141">
        <v>0</v>
      </c>
      <c r="BB98" s="141">
        <v>0</v>
      </c>
      <c r="BC98" s="141">
        <v>-6723606</v>
      </c>
      <c r="BD98" s="141">
        <v>0</v>
      </c>
      <c r="BE98" s="141">
        <v>-121000</v>
      </c>
      <c r="BF98" s="141">
        <v>0</v>
      </c>
      <c r="BG98" s="141">
        <v>-6844606</v>
      </c>
      <c r="BH98" s="141">
        <v>0</v>
      </c>
      <c r="BI98" s="141">
        <v>-6844606</v>
      </c>
      <c r="BJ98" s="141">
        <v>0</v>
      </c>
      <c r="BK98" s="141">
        <v>0</v>
      </c>
      <c r="BL98" s="141">
        <v>0</v>
      </c>
      <c r="BM98" s="141">
        <v>-544625</v>
      </c>
      <c r="BN98" s="141">
        <v>0</v>
      </c>
      <c r="BO98" s="141">
        <v>-544625</v>
      </c>
      <c r="BP98" s="141">
        <v>-544625</v>
      </c>
      <c r="BQ98" s="141">
        <v>0</v>
      </c>
      <c r="BR98" s="141">
        <v>0</v>
      </c>
      <c r="BS98" s="141">
        <v>0</v>
      </c>
      <c r="BT98" s="141">
        <v>-544625</v>
      </c>
      <c r="BU98" s="141">
        <v>0</v>
      </c>
      <c r="BV98" s="141">
        <v>-544625</v>
      </c>
      <c r="BW98" s="141">
        <v>-67103</v>
      </c>
      <c r="BX98" s="141">
        <v>0</v>
      </c>
      <c r="BY98" s="141">
        <v>-67103</v>
      </c>
      <c r="BZ98" s="141">
        <v>-46048</v>
      </c>
      <c r="CA98" s="141">
        <v>0</v>
      </c>
      <c r="CB98" s="141">
        <v>-46048</v>
      </c>
      <c r="CC98" s="141">
        <v>0</v>
      </c>
      <c r="CD98" s="141">
        <v>0</v>
      </c>
      <c r="CE98" s="141">
        <v>0</v>
      </c>
      <c r="CF98" s="141">
        <v>0</v>
      </c>
      <c r="CG98" s="141">
        <v>0</v>
      </c>
      <c r="CH98" s="141">
        <v>0</v>
      </c>
      <c r="CI98" s="141">
        <v>0</v>
      </c>
      <c r="CJ98" s="141">
        <v>0</v>
      </c>
      <c r="CK98" s="141">
        <v>0</v>
      </c>
      <c r="CL98" s="141">
        <v>-13968</v>
      </c>
      <c r="CM98" s="141">
        <v>0</v>
      </c>
      <c r="CN98" s="141">
        <v>-13968</v>
      </c>
      <c r="CO98" s="141">
        <v>0</v>
      </c>
      <c r="CP98" s="141">
        <v>0</v>
      </c>
      <c r="CQ98" s="141">
        <v>-127119</v>
      </c>
      <c r="CR98" s="141">
        <v>0</v>
      </c>
      <c r="CS98" s="141">
        <v>-30200</v>
      </c>
      <c r="CT98" s="141">
        <v>0</v>
      </c>
      <c r="CU98" s="141">
        <v>-157319</v>
      </c>
      <c r="CV98" s="141">
        <v>0</v>
      </c>
      <c r="CW98" s="141">
        <v>-157319</v>
      </c>
      <c r="CX98" s="141">
        <v>0</v>
      </c>
      <c r="CY98" s="141">
        <v>0</v>
      </c>
      <c r="CZ98" s="141">
        <v>0</v>
      </c>
      <c r="DA98" s="141">
        <v>0</v>
      </c>
      <c r="DB98" s="141">
        <v>0</v>
      </c>
      <c r="DC98" s="141">
        <v>0</v>
      </c>
      <c r="DD98" s="141">
        <v>-54557</v>
      </c>
      <c r="DE98" s="141">
        <v>0</v>
      </c>
      <c r="DF98" s="141">
        <v>-54557</v>
      </c>
      <c r="DG98" s="141">
        <v>-58853</v>
      </c>
      <c r="DH98" s="141">
        <v>0</v>
      </c>
      <c r="DI98" s="141">
        <v>-58853</v>
      </c>
      <c r="DJ98" s="141">
        <v>0</v>
      </c>
      <c r="DK98" s="141">
        <v>0</v>
      </c>
      <c r="DL98" s="141">
        <v>0</v>
      </c>
      <c r="DM98" s="141">
        <v>-868792</v>
      </c>
      <c r="DN98" s="141">
        <v>0</v>
      </c>
      <c r="DO98" s="141">
        <v>-868792</v>
      </c>
      <c r="DP98" s="141">
        <v>-982202</v>
      </c>
      <c r="DQ98" s="141">
        <v>0</v>
      </c>
      <c r="DR98" s="141">
        <v>0</v>
      </c>
      <c r="DS98" s="141">
        <v>0</v>
      </c>
      <c r="DT98" s="141">
        <v>-982202</v>
      </c>
      <c r="DU98" s="141">
        <v>0</v>
      </c>
      <c r="DV98" s="141">
        <v>-982202</v>
      </c>
      <c r="DW98" s="856">
        <v>35505763</v>
      </c>
      <c r="DX98" s="856">
        <v>0</v>
      </c>
      <c r="DY98" s="857">
        <v>35505763</v>
      </c>
      <c r="DZ98" t="s">
        <v>1664</v>
      </c>
    </row>
    <row r="99" spans="1:130" ht="12.75" x14ac:dyDescent="0.2">
      <c r="A99" s="764">
        <v>92</v>
      </c>
      <c r="B99" s="765" t="s">
        <v>72</v>
      </c>
      <c r="C99" s="766" t="s">
        <v>1217</v>
      </c>
      <c r="D99" s="767" t="s">
        <v>1218</v>
      </c>
      <c r="E99" s="768" t="s">
        <v>71</v>
      </c>
      <c r="F99" s="867">
        <v>43465</v>
      </c>
      <c r="G99" s="141">
        <v>136127483</v>
      </c>
      <c r="H99" s="141">
        <v>0</v>
      </c>
      <c r="I99" s="141">
        <v>136127483</v>
      </c>
      <c r="J99" s="141">
        <v>49.1</v>
      </c>
      <c r="K99" s="141">
        <v>66838594</v>
      </c>
      <c r="L99" s="141">
        <v>0</v>
      </c>
      <c r="M99" s="141">
        <v>0</v>
      </c>
      <c r="N99" s="141">
        <v>0</v>
      </c>
      <c r="O99" s="141">
        <v>66838594</v>
      </c>
      <c r="P99" s="141">
        <v>0</v>
      </c>
      <c r="Q99" s="141">
        <v>66838594</v>
      </c>
      <c r="R99" s="141">
        <v>-294951</v>
      </c>
      <c r="S99" s="141">
        <v>0</v>
      </c>
      <c r="T99" s="141">
        <v>-294951</v>
      </c>
      <c r="U99" s="141">
        <v>714891</v>
      </c>
      <c r="V99" s="141">
        <v>0</v>
      </c>
      <c r="W99" s="141">
        <v>714891</v>
      </c>
      <c r="X99" s="141">
        <v>419940</v>
      </c>
      <c r="Y99" s="141">
        <v>0</v>
      </c>
      <c r="Z99" s="141">
        <v>0</v>
      </c>
      <c r="AA99" s="141">
        <v>0</v>
      </c>
      <c r="AB99" s="141">
        <v>419940</v>
      </c>
      <c r="AC99" s="141">
        <v>0</v>
      </c>
      <c r="AD99" s="141">
        <v>419940</v>
      </c>
      <c r="AE99" s="141">
        <v>-419940</v>
      </c>
      <c r="AF99" s="141">
        <v>0</v>
      </c>
      <c r="AG99" s="141">
        <v>-419940</v>
      </c>
      <c r="AH99" s="141">
        <v>-3029152</v>
      </c>
      <c r="AI99" s="141">
        <v>0</v>
      </c>
      <c r="AJ99" s="141">
        <v>-3029152</v>
      </c>
      <c r="AK99" s="141">
        <v>-12939</v>
      </c>
      <c r="AL99" s="141">
        <v>0</v>
      </c>
      <c r="AM99" s="141">
        <v>-12939</v>
      </c>
      <c r="AN99" s="141">
        <v>1346031</v>
      </c>
      <c r="AO99" s="141">
        <v>0</v>
      </c>
      <c r="AP99" s="141">
        <v>1346031</v>
      </c>
      <c r="AQ99" s="141">
        <v>-1683121</v>
      </c>
      <c r="AR99" s="141">
        <v>0</v>
      </c>
      <c r="AS99" s="141">
        <v>-1683121</v>
      </c>
      <c r="AT99" s="141">
        <v>-2371588</v>
      </c>
      <c r="AU99" s="141">
        <v>0</v>
      </c>
      <c r="AV99" s="141">
        <v>-2371588</v>
      </c>
      <c r="AW99" s="141">
        <v>0</v>
      </c>
      <c r="AX99" s="141">
        <v>0</v>
      </c>
      <c r="AY99" s="141">
        <v>0</v>
      </c>
      <c r="AZ99" s="141">
        <v>0</v>
      </c>
      <c r="BA99" s="141">
        <v>0</v>
      </c>
      <c r="BB99" s="141">
        <v>0</v>
      </c>
      <c r="BC99" s="141">
        <v>-4054709</v>
      </c>
      <c r="BD99" s="141">
        <v>0</v>
      </c>
      <c r="BE99" s="141">
        <v>0</v>
      </c>
      <c r="BF99" s="141">
        <v>0</v>
      </c>
      <c r="BG99" s="141">
        <v>-4054709</v>
      </c>
      <c r="BH99" s="141">
        <v>0</v>
      </c>
      <c r="BI99" s="141">
        <v>-4054709</v>
      </c>
      <c r="BJ99" s="141">
        <v>0</v>
      </c>
      <c r="BK99" s="141">
        <v>0</v>
      </c>
      <c r="BL99" s="141">
        <v>0</v>
      </c>
      <c r="BM99" s="141">
        <v>-767597</v>
      </c>
      <c r="BN99" s="141">
        <v>0</v>
      </c>
      <c r="BO99" s="141">
        <v>-767597</v>
      </c>
      <c r="BP99" s="141">
        <v>-767597</v>
      </c>
      <c r="BQ99" s="141">
        <v>0</v>
      </c>
      <c r="BR99" s="141">
        <v>0</v>
      </c>
      <c r="BS99" s="141">
        <v>0</v>
      </c>
      <c r="BT99" s="141">
        <v>-767597</v>
      </c>
      <c r="BU99" s="141">
        <v>0</v>
      </c>
      <c r="BV99" s="141">
        <v>-767597</v>
      </c>
      <c r="BW99" s="141">
        <v>-48143</v>
      </c>
      <c r="BX99" s="141">
        <v>0</v>
      </c>
      <c r="BY99" s="141">
        <v>-48143</v>
      </c>
      <c r="BZ99" s="141">
        <v>-438102</v>
      </c>
      <c r="CA99" s="141">
        <v>0</v>
      </c>
      <c r="CB99" s="141">
        <v>-438102</v>
      </c>
      <c r="CC99" s="141">
        <v>0</v>
      </c>
      <c r="CD99" s="141">
        <v>0</v>
      </c>
      <c r="CE99" s="141">
        <v>0</v>
      </c>
      <c r="CF99" s="141">
        <v>0</v>
      </c>
      <c r="CG99" s="141">
        <v>0</v>
      </c>
      <c r="CH99" s="141">
        <v>0</v>
      </c>
      <c r="CI99" s="141">
        <v>0</v>
      </c>
      <c r="CJ99" s="141">
        <v>0</v>
      </c>
      <c r="CK99" s="141">
        <v>0</v>
      </c>
      <c r="CL99" s="141">
        <v>0</v>
      </c>
      <c r="CM99" s="141">
        <v>0</v>
      </c>
      <c r="CN99" s="141">
        <v>0</v>
      </c>
      <c r="CO99" s="141">
        <v>0</v>
      </c>
      <c r="CP99" s="141">
        <v>0</v>
      </c>
      <c r="CQ99" s="141">
        <v>-486245</v>
      </c>
      <c r="CR99" s="141">
        <v>0</v>
      </c>
      <c r="CS99" s="141">
        <v>0</v>
      </c>
      <c r="CT99" s="141">
        <v>0</v>
      </c>
      <c r="CU99" s="141">
        <v>-486245</v>
      </c>
      <c r="CV99" s="141">
        <v>0</v>
      </c>
      <c r="CW99" s="141">
        <v>-486245</v>
      </c>
      <c r="CX99" s="141">
        <v>0</v>
      </c>
      <c r="CY99" s="141">
        <v>0</v>
      </c>
      <c r="CZ99" s="141">
        <v>0</v>
      </c>
      <c r="DA99" s="141">
        <v>0</v>
      </c>
      <c r="DB99" s="141">
        <v>0</v>
      </c>
      <c r="DC99" s="141">
        <v>0</v>
      </c>
      <c r="DD99" s="141">
        <v>-7179</v>
      </c>
      <c r="DE99" s="141">
        <v>0</v>
      </c>
      <c r="DF99" s="141">
        <v>-7179</v>
      </c>
      <c r="DG99" s="141">
        <v>-33461</v>
      </c>
      <c r="DH99" s="141">
        <v>0</v>
      </c>
      <c r="DI99" s="141">
        <v>-33461</v>
      </c>
      <c r="DJ99" s="141">
        <v>0</v>
      </c>
      <c r="DK99" s="141">
        <v>0</v>
      </c>
      <c r="DL99" s="141">
        <v>0</v>
      </c>
      <c r="DM99" s="141">
        <v>-1921454</v>
      </c>
      <c r="DN99" s="141">
        <v>0</v>
      </c>
      <c r="DO99" s="141">
        <v>-1921454</v>
      </c>
      <c r="DP99" s="141">
        <v>-1962094</v>
      </c>
      <c r="DQ99" s="141">
        <v>0</v>
      </c>
      <c r="DR99" s="141">
        <v>0</v>
      </c>
      <c r="DS99" s="141">
        <v>0</v>
      </c>
      <c r="DT99" s="141">
        <v>-1962094</v>
      </c>
      <c r="DU99" s="141">
        <v>0</v>
      </c>
      <c r="DV99" s="141">
        <v>-1962094</v>
      </c>
      <c r="DW99" s="856">
        <v>59987889</v>
      </c>
      <c r="DX99" s="856">
        <v>0</v>
      </c>
      <c r="DY99" s="857">
        <v>59987889</v>
      </c>
      <c r="DZ99" t="s">
        <v>1665</v>
      </c>
    </row>
    <row r="100" spans="1:130" ht="12.75" x14ac:dyDescent="0.2">
      <c r="A100" s="764">
        <v>93</v>
      </c>
      <c r="B100" s="765" t="s">
        <v>74</v>
      </c>
      <c r="C100" s="766" t="s">
        <v>1217</v>
      </c>
      <c r="D100" s="767" t="s">
        <v>1219</v>
      </c>
      <c r="E100" s="768" t="s">
        <v>73</v>
      </c>
      <c r="F100" s="867">
        <v>43481</v>
      </c>
      <c r="G100" s="141">
        <v>57756211</v>
      </c>
      <c r="H100" s="141">
        <v>0</v>
      </c>
      <c r="I100" s="141">
        <v>57756211</v>
      </c>
      <c r="J100" s="141">
        <v>49.1</v>
      </c>
      <c r="K100" s="141">
        <v>28358300</v>
      </c>
      <c r="L100" s="141">
        <v>0</v>
      </c>
      <c r="M100" s="141">
        <v>0</v>
      </c>
      <c r="N100" s="141">
        <v>0</v>
      </c>
      <c r="O100" s="141">
        <v>28358300</v>
      </c>
      <c r="P100" s="141">
        <v>0</v>
      </c>
      <c r="Q100" s="141">
        <v>28358300</v>
      </c>
      <c r="R100" s="141">
        <v>-368480</v>
      </c>
      <c r="S100" s="141">
        <v>0</v>
      </c>
      <c r="T100" s="141">
        <v>-368480</v>
      </c>
      <c r="U100" s="141">
        <v>48180</v>
      </c>
      <c r="V100" s="141">
        <v>0</v>
      </c>
      <c r="W100" s="141">
        <v>48180</v>
      </c>
      <c r="X100" s="141">
        <v>-320300</v>
      </c>
      <c r="Y100" s="141">
        <v>0</v>
      </c>
      <c r="Z100" s="141">
        <v>0</v>
      </c>
      <c r="AA100" s="141">
        <v>0</v>
      </c>
      <c r="AB100" s="141">
        <v>-320300</v>
      </c>
      <c r="AC100" s="141">
        <v>0</v>
      </c>
      <c r="AD100" s="141">
        <v>-320300</v>
      </c>
      <c r="AE100" s="141">
        <v>320300</v>
      </c>
      <c r="AF100" s="141">
        <v>0</v>
      </c>
      <c r="AG100" s="141">
        <v>320300</v>
      </c>
      <c r="AH100" s="141">
        <v>-3697594</v>
      </c>
      <c r="AI100" s="141">
        <v>0</v>
      </c>
      <c r="AJ100" s="141">
        <v>-3697594</v>
      </c>
      <c r="AK100" s="141">
        <v>0</v>
      </c>
      <c r="AL100" s="141">
        <v>0</v>
      </c>
      <c r="AM100" s="141">
        <v>0</v>
      </c>
      <c r="AN100" s="141">
        <v>466926</v>
      </c>
      <c r="AO100" s="141">
        <v>0</v>
      </c>
      <c r="AP100" s="141">
        <v>466926</v>
      </c>
      <c r="AQ100" s="141">
        <v>-3230668</v>
      </c>
      <c r="AR100" s="141">
        <v>0</v>
      </c>
      <c r="AS100" s="141">
        <v>-3230668</v>
      </c>
      <c r="AT100" s="141">
        <v>-1467206</v>
      </c>
      <c r="AU100" s="141">
        <v>0</v>
      </c>
      <c r="AV100" s="141">
        <v>-1467206</v>
      </c>
      <c r="AW100" s="141">
        <v>-84261</v>
      </c>
      <c r="AX100" s="141">
        <v>0</v>
      </c>
      <c r="AY100" s="141">
        <v>-84261</v>
      </c>
      <c r="AZ100" s="141">
        <v>-63514</v>
      </c>
      <c r="BA100" s="141">
        <v>0</v>
      </c>
      <c r="BB100" s="141">
        <v>-63514</v>
      </c>
      <c r="BC100" s="141">
        <v>-4845649</v>
      </c>
      <c r="BD100" s="141">
        <v>0</v>
      </c>
      <c r="BE100" s="141">
        <v>0</v>
      </c>
      <c r="BF100" s="141">
        <v>0</v>
      </c>
      <c r="BG100" s="141">
        <v>-4845649</v>
      </c>
      <c r="BH100" s="141">
        <v>0</v>
      </c>
      <c r="BI100" s="141">
        <v>-4845649</v>
      </c>
      <c r="BJ100" s="141">
        <v>0</v>
      </c>
      <c r="BK100" s="141">
        <v>0</v>
      </c>
      <c r="BL100" s="141">
        <v>0</v>
      </c>
      <c r="BM100" s="141">
        <v>-336152</v>
      </c>
      <c r="BN100" s="141">
        <v>0</v>
      </c>
      <c r="BO100" s="141">
        <v>-336152</v>
      </c>
      <c r="BP100" s="141">
        <v>-336152</v>
      </c>
      <c r="BQ100" s="141">
        <v>0</v>
      </c>
      <c r="BR100" s="141">
        <v>0</v>
      </c>
      <c r="BS100" s="141">
        <v>0</v>
      </c>
      <c r="BT100" s="141">
        <v>-336152</v>
      </c>
      <c r="BU100" s="141">
        <v>0</v>
      </c>
      <c r="BV100" s="141">
        <v>-336152</v>
      </c>
      <c r="BW100" s="141">
        <v>-62249</v>
      </c>
      <c r="BX100" s="141">
        <v>0</v>
      </c>
      <c r="BY100" s="141">
        <v>-62249</v>
      </c>
      <c r="BZ100" s="141">
        <v>-24555</v>
      </c>
      <c r="CA100" s="141">
        <v>0</v>
      </c>
      <c r="CB100" s="141">
        <v>-24555</v>
      </c>
      <c r="CC100" s="141">
        <v>-3427</v>
      </c>
      <c r="CD100" s="141">
        <v>0</v>
      </c>
      <c r="CE100" s="141">
        <v>-3427</v>
      </c>
      <c r="CF100" s="141">
        <v>0</v>
      </c>
      <c r="CG100" s="141">
        <v>0</v>
      </c>
      <c r="CH100" s="141">
        <v>0</v>
      </c>
      <c r="CI100" s="141">
        <v>-3340</v>
      </c>
      <c r="CJ100" s="141">
        <v>0</v>
      </c>
      <c r="CK100" s="141">
        <v>-3340</v>
      </c>
      <c r="CL100" s="141">
        <v>0</v>
      </c>
      <c r="CM100" s="141">
        <v>0</v>
      </c>
      <c r="CN100" s="141">
        <v>0</v>
      </c>
      <c r="CO100" s="141">
        <v>0</v>
      </c>
      <c r="CP100" s="141">
        <v>0</v>
      </c>
      <c r="CQ100" s="141">
        <v>-93571</v>
      </c>
      <c r="CR100" s="141">
        <v>0</v>
      </c>
      <c r="CS100" s="141">
        <v>0</v>
      </c>
      <c r="CT100" s="141">
        <v>0</v>
      </c>
      <c r="CU100" s="141">
        <v>-93571</v>
      </c>
      <c r="CV100" s="141">
        <v>0</v>
      </c>
      <c r="CW100" s="141">
        <v>-93571</v>
      </c>
      <c r="CX100" s="141">
        <v>-63514</v>
      </c>
      <c r="CY100" s="141">
        <v>0</v>
      </c>
      <c r="CZ100" s="141">
        <v>-63514</v>
      </c>
      <c r="DA100" s="141">
        <v>-1500</v>
      </c>
      <c r="DB100" s="141">
        <v>0</v>
      </c>
      <c r="DC100" s="141">
        <v>-1500</v>
      </c>
      <c r="DD100" s="141">
        <v>-6875</v>
      </c>
      <c r="DE100" s="141">
        <v>0</v>
      </c>
      <c r="DF100" s="141">
        <v>-6875</v>
      </c>
      <c r="DG100" s="141">
        <v>-17462</v>
      </c>
      <c r="DH100" s="141">
        <v>0</v>
      </c>
      <c r="DI100" s="141">
        <v>-17462</v>
      </c>
      <c r="DJ100" s="141">
        <v>0</v>
      </c>
      <c r="DK100" s="141">
        <v>0</v>
      </c>
      <c r="DL100" s="141">
        <v>0</v>
      </c>
      <c r="DM100" s="141">
        <v>-414377</v>
      </c>
      <c r="DN100" s="141">
        <v>0</v>
      </c>
      <c r="DO100" s="141">
        <v>-414377</v>
      </c>
      <c r="DP100" s="141">
        <v>-503728</v>
      </c>
      <c r="DQ100" s="141">
        <v>0</v>
      </c>
      <c r="DR100" s="141">
        <v>0</v>
      </c>
      <c r="DS100" s="141">
        <v>0</v>
      </c>
      <c r="DT100" s="141">
        <v>-503728</v>
      </c>
      <c r="DU100" s="141">
        <v>0</v>
      </c>
      <c r="DV100" s="141">
        <v>-503728</v>
      </c>
      <c r="DW100" s="856">
        <v>22258900</v>
      </c>
      <c r="DX100" s="856">
        <v>0</v>
      </c>
      <c r="DY100" s="857">
        <v>22258900</v>
      </c>
      <c r="DZ100" t="s">
        <v>1666</v>
      </c>
    </row>
    <row r="101" spans="1:130" ht="12.75" x14ac:dyDescent="0.2">
      <c r="A101" s="764">
        <v>94</v>
      </c>
      <c r="B101" s="765" t="s">
        <v>76</v>
      </c>
      <c r="C101" s="766" t="s">
        <v>1217</v>
      </c>
      <c r="D101" s="767" t="s">
        <v>1218</v>
      </c>
      <c r="E101" s="768" t="s">
        <v>75</v>
      </c>
      <c r="F101" s="867">
        <v>43468</v>
      </c>
      <c r="G101" s="141">
        <v>161635759</v>
      </c>
      <c r="H101" s="141">
        <v>0</v>
      </c>
      <c r="I101" s="141">
        <v>161635759</v>
      </c>
      <c r="J101" s="141">
        <v>49.1</v>
      </c>
      <c r="K101" s="141">
        <v>79363158</v>
      </c>
      <c r="L101" s="141">
        <v>0</v>
      </c>
      <c r="M101" s="141">
        <v>0</v>
      </c>
      <c r="N101" s="141">
        <v>0</v>
      </c>
      <c r="O101" s="141">
        <v>79363158</v>
      </c>
      <c r="P101" s="141">
        <v>0</v>
      </c>
      <c r="Q101" s="141">
        <v>79363158</v>
      </c>
      <c r="R101" s="141">
        <v>-1432080</v>
      </c>
      <c r="S101" s="141">
        <v>0</v>
      </c>
      <c r="T101" s="141">
        <v>-1432080</v>
      </c>
      <c r="U101" s="141">
        <v>261409</v>
      </c>
      <c r="V101" s="141">
        <v>0</v>
      </c>
      <c r="W101" s="141">
        <v>261409</v>
      </c>
      <c r="X101" s="141">
        <v>-1170671</v>
      </c>
      <c r="Y101" s="141">
        <v>0</v>
      </c>
      <c r="Z101" s="141">
        <v>0</v>
      </c>
      <c r="AA101" s="141">
        <v>0</v>
      </c>
      <c r="AB101" s="141">
        <v>-1170671</v>
      </c>
      <c r="AC101" s="141">
        <v>0</v>
      </c>
      <c r="AD101" s="141">
        <v>-1170671</v>
      </c>
      <c r="AE101" s="141">
        <v>1170671</v>
      </c>
      <c r="AF101" s="141">
        <v>0</v>
      </c>
      <c r="AG101" s="141">
        <v>1170671</v>
      </c>
      <c r="AH101" s="141">
        <v>-3203261</v>
      </c>
      <c r="AI101" s="141">
        <v>0</v>
      </c>
      <c r="AJ101" s="141">
        <v>-3203261</v>
      </c>
      <c r="AK101" s="141">
        <v>0</v>
      </c>
      <c r="AL101" s="141">
        <v>0</v>
      </c>
      <c r="AM101" s="141">
        <v>0</v>
      </c>
      <c r="AN101" s="141">
        <v>1600795</v>
      </c>
      <c r="AO101" s="141">
        <v>0</v>
      </c>
      <c r="AP101" s="141">
        <v>1600795</v>
      </c>
      <c r="AQ101" s="141">
        <v>-1602466</v>
      </c>
      <c r="AR101" s="141">
        <v>0</v>
      </c>
      <c r="AS101" s="141">
        <v>-1602466</v>
      </c>
      <c r="AT101" s="141">
        <v>-5477991</v>
      </c>
      <c r="AU101" s="141">
        <v>0</v>
      </c>
      <c r="AV101" s="141">
        <v>-5477991</v>
      </c>
      <c r="AW101" s="141">
        <v>-52597</v>
      </c>
      <c r="AX101" s="141">
        <v>0</v>
      </c>
      <c r="AY101" s="141">
        <v>-52597</v>
      </c>
      <c r="AZ101" s="141">
        <v>0</v>
      </c>
      <c r="BA101" s="141">
        <v>0</v>
      </c>
      <c r="BB101" s="141">
        <v>0</v>
      </c>
      <c r="BC101" s="141">
        <v>-7133054</v>
      </c>
      <c r="BD101" s="141">
        <v>0</v>
      </c>
      <c r="BE101" s="141">
        <v>0</v>
      </c>
      <c r="BF101" s="141">
        <v>0</v>
      </c>
      <c r="BG101" s="141">
        <v>-7133054</v>
      </c>
      <c r="BH101" s="141">
        <v>0</v>
      </c>
      <c r="BI101" s="141">
        <v>-7133054</v>
      </c>
      <c r="BJ101" s="141">
        <v>0</v>
      </c>
      <c r="BK101" s="141">
        <v>0</v>
      </c>
      <c r="BL101" s="141">
        <v>0</v>
      </c>
      <c r="BM101" s="141">
        <v>-2702987</v>
      </c>
      <c r="BN101" s="141">
        <v>0</v>
      </c>
      <c r="BO101" s="141">
        <v>-2702987</v>
      </c>
      <c r="BP101" s="141">
        <v>-2702987</v>
      </c>
      <c r="BQ101" s="141">
        <v>0</v>
      </c>
      <c r="BR101" s="141">
        <v>0</v>
      </c>
      <c r="BS101" s="141">
        <v>0</v>
      </c>
      <c r="BT101" s="141">
        <v>-2702987</v>
      </c>
      <c r="BU101" s="141">
        <v>0</v>
      </c>
      <c r="BV101" s="141">
        <v>-2702987</v>
      </c>
      <c r="BW101" s="141">
        <v>-143499</v>
      </c>
      <c r="BX101" s="141">
        <v>0</v>
      </c>
      <c r="BY101" s="141">
        <v>-143499</v>
      </c>
      <c r="BZ101" s="141">
        <v>-485548</v>
      </c>
      <c r="CA101" s="141">
        <v>0</v>
      </c>
      <c r="CB101" s="141">
        <v>-485548</v>
      </c>
      <c r="CC101" s="141">
        <v>0</v>
      </c>
      <c r="CD101" s="141">
        <v>0</v>
      </c>
      <c r="CE101" s="141">
        <v>0</v>
      </c>
      <c r="CF101" s="141">
        <v>0</v>
      </c>
      <c r="CG101" s="141">
        <v>0</v>
      </c>
      <c r="CH101" s="141">
        <v>0</v>
      </c>
      <c r="CI101" s="141">
        <v>0</v>
      </c>
      <c r="CJ101" s="141">
        <v>0</v>
      </c>
      <c r="CK101" s="141">
        <v>0</v>
      </c>
      <c r="CL101" s="141">
        <v>0</v>
      </c>
      <c r="CM101" s="141">
        <v>0</v>
      </c>
      <c r="CN101" s="141">
        <v>0</v>
      </c>
      <c r="CO101" s="141">
        <v>0</v>
      </c>
      <c r="CP101" s="141">
        <v>0</v>
      </c>
      <c r="CQ101" s="141">
        <v>-629047</v>
      </c>
      <c r="CR101" s="141">
        <v>0</v>
      </c>
      <c r="CS101" s="141">
        <v>0</v>
      </c>
      <c r="CT101" s="141">
        <v>0</v>
      </c>
      <c r="CU101" s="141">
        <v>-629047</v>
      </c>
      <c r="CV101" s="141">
        <v>0</v>
      </c>
      <c r="CW101" s="141">
        <v>-629047</v>
      </c>
      <c r="CX101" s="141">
        <v>0</v>
      </c>
      <c r="CY101" s="141">
        <v>0</v>
      </c>
      <c r="CZ101" s="141">
        <v>0</v>
      </c>
      <c r="DA101" s="141">
        <v>0</v>
      </c>
      <c r="DB101" s="141">
        <v>0</v>
      </c>
      <c r="DC101" s="141">
        <v>0</v>
      </c>
      <c r="DD101" s="141">
        <v>-110242</v>
      </c>
      <c r="DE101" s="141">
        <v>0</v>
      </c>
      <c r="DF101" s="141">
        <v>-110242</v>
      </c>
      <c r="DG101" s="141">
        <v>-165000</v>
      </c>
      <c r="DH101" s="141">
        <v>0</v>
      </c>
      <c r="DI101" s="141">
        <v>-165000</v>
      </c>
      <c r="DJ101" s="141">
        <v>0</v>
      </c>
      <c r="DK101" s="141">
        <v>0</v>
      </c>
      <c r="DL101" s="141">
        <v>0</v>
      </c>
      <c r="DM101" s="141">
        <v>-1452636</v>
      </c>
      <c r="DN101" s="141">
        <v>0</v>
      </c>
      <c r="DO101" s="141">
        <v>-1452636</v>
      </c>
      <c r="DP101" s="141">
        <v>-1727878</v>
      </c>
      <c r="DQ101" s="141">
        <v>0</v>
      </c>
      <c r="DR101" s="141">
        <v>0</v>
      </c>
      <c r="DS101" s="141">
        <v>0</v>
      </c>
      <c r="DT101" s="141">
        <v>-1727878</v>
      </c>
      <c r="DU101" s="141">
        <v>0</v>
      </c>
      <c r="DV101" s="141">
        <v>-1727878</v>
      </c>
      <c r="DW101" s="856">
        <v>65999521</v>
      </c>
      <c r="DX101" s="856">
        <v>0</v>
      </c>
      <c r="DY101" s="857">
        <v>65999521</v>
      </c>
      <c r="DZ101" t="s">
        <v>1667</v>
      </c>
    </row>
    <row r="102" spans="1:130" ht="12.75" x14ac:dyDescent="0.2">
      <c r="A102" s="764">
        <v>95</v>
      </c>
      <c r="B102" s="765" t="s">
        <v>78</v>
      </c>
      <c r="C102" s="766" t="s">
        <v>1222</v>
      </c>
      <c r="D102" s="767" t="s">
        <v>1223</v>
      </c>
      <c r="E102" s="768" t="s">
        <v>77</v>
      </c>
      <c r="F102" s="867">
        <v>43465</v>
      </c>
      <c r="G102" s="141">
        <v>278875723</v>
      </c>
      <c r="H102" s="141">
        <v>0</v>
      </c>
      <c r="I102" s="141">
        <v>278875723</v>
      </c>
      <c r="J102" s="141">
        <v>49.1</v>
      </c>
      <c r="K102" s="141">
        <v>136927980</v>
      </c>
      <c r="L102" s="141">
        <v>0</v>
      </c>
      <c r="M102" s="141">
        <v>0</v>
      </c>
      <c r="N102" s="141">
        <v>0</v>
      </c>
      <c r="O102" s="141">
        <v>136927980</v>
      </c>
      <c r="P102" s="141">
        <v>0</v>
      </c>
      <c r="Q102" s="141">
        <v>136927980</v>
      </c>
      <c r="R102" s="141">
        <v>-789080</v>
      </c>
      <c r="S102" s="141">
        <v>0</v>
      </c>
      <c r="T102" s="141">
        <v>-789080</v>
      </c>
      <c r="U102" s="141">
        <v>1271401</v>
      </c>
      <c r="V102" s="141">
        <v>0</v>
      </c>
      <c r="W102" s="141">
        <v>1271401</v>
      </c>
      <c r="X102" s="141">
        <v>482321</v>
      </c>
      <c r="Y102" s="141">
        <v>0</v>
      </c>
      <c r="Z102" s="141">
        <v>0</v>
      </c>
      <c r="AA102" s="141">
        <v>0</v>
      </c>
      <c r="AB102" s="141">
        <v>482321</v>
      </c>
      <c r="AC102" s="141">
        <v>0</v>
      </c>
      <c r="AD102" s="141">
        <v>482321</v>
      </c>
      <c r="AE102" s="141">
        <v>-482321</v>
      </c>
      <c r="AF102" s="141">
        <v>0</v>
      </c>
      <c r="AG102" s="141">
        <v>-482321</v>
      </c>
      <c r="AH102" s="141">
        <v>-6782143</v>
      </c>
      <c r="AI102" s="141">
        <v>0</v>
      </c>
      <c r="AJ102" s="141">
        <v>-6782143</v>
      </c>
      <c r="AK102" s="141">
        <v>0</v>
      </c>
      <c r="AL102" s="141">
        <v>0</v>
      </c>
      <c r="AM102" s="141">
        <v>0</v>
      </c>
      <c r="AN102" s="141">
        <v>2697462</v>
      </c>
      <c r="AO102" s="141">
        <v>0</v>
      </c>
      <c r="AP102" s="141">
        <v>2697462</v>
      </c>
      <c r="AQ102" s="141">
        <v>-4084681</v>
      </c>
      <c r="AR102" s="141">
        <v>0</v>
      </c>
      <c r="AS102" s="141">
        <v>-4084681</v>
      </c>
      <c r="AT102" s="141">
        <v>-7203540</v>
      </c>
      <c r="AU102" s="141">
        <v>0</v>
      </c>
      <c r="AV102" s="141">
        <v>-7203540</v>
      </c>
      <c r="AW102" s="141">
        <v>-134249</v>
      </c>
      <c r="AX102" s="141">
        <v>0</v>
      </c>
      <c r="AY102" s="141">
        <v>-134249</v>
      </c>
      <c r="AZ102" s="141">
        <v>0</v>
      </c>
      <c r="BA102" s="141">
        <v>0</v>
      </c>
      <c r="BB102" s="141">
        <v>0</v>
      </c>
      <c r="BC102" s="141">
        <v>-11422470</v>
      </c>
      <c r="BD102" s="141">
        <v>0</v>
      </c>
      <c r="BE102" s="141">
        <v>0</v>
      </c>
      <c r="BF102" s="141">
        <v>0</v>
      </c>
      <c r="BG102" s="141">
        <v>-11422470</v>
      </c>
      <c r="BH102" s="141">
        <v>0</v>
      </c>
      <c r="BI102" s="141">
        <v>-11422470</v>
      </c>
      <c r="BJ102" s="141">
        <v>0</v>
      </c>
      <c r="BK102" s="141">
        <v>0</v>
      </c>
      <c r="BL102" s="141">
        <v>0</v>
      </c>
      <c r="BM102" s="141">
        <v>-2226163</v>
      </c>
      <c r="BN102" s="141">
        <v>0</v>
      </c>
      <c r="BO102" s="141">
        <v>-2226163</v>
      </c>
      <c r="BP102" s="141">
        <v>-2226163</v>
      </c>
      <c r="BQ102" s="141">
        <v>0</v>
      </c>
      <c r="BR102" s="141">
        <v>0</v>
      </c>
      <c r="BS102" s="141">
        <v>0</v>
      </c>
      <c r="BT102" s="141">
        <v>-2226163</v>
      </c>
      <c r="BU102" s="141">
        <v>0</v>
      </c>
      <c r="BV102" s="141">
        <v>-2226163</v>
      </c>
      <c r="BW102" s="141">
        <v>-203949</v>
      </c>
      <c r="BX102" s="141">
        <v>0</v>
      </c>
      <c r="BY102" s="141">
        <v>-203949</v>
      </c>
      <c r="BZ102" s="141">
        <v>-207320</v>
      </c>
      <c r="CA102" s="141">
        <v>0</v>
      </c>
      <c r="CB102" s="141">
        <v>-207320</v>
      </c>
      <c r="CC102" s="141">
        <v>0</v>
      </c>
      <c r="CD102" s="141">
        <v>0</v>
      </c>
      <c r="CE102" s="141">
        <v>0</v>
      </c>
      <c r="CF102" s="141">
        <v>0</v>
      </c>
      <c r="CG102" s="141">
        <v>0</v>
      </c>
      <c r="CH102" s="141">
        <v>0</v>
      </c>
      <c r="CI102" s="141">
        <v>0</v>
      </c>
      <c r="CJ102" s="141">
        <v>0</v>
      </c>
      <c r="CK102" s="141">
        <v>0</v>
      </c>
      <c r="CL102" s="141">
        <v>0</v>
      </c>
      <c r="CM102" s="141">
        <v>0</v>
      </c>
      <c r="CN102" s="141">
        <v>0</v>
      </c>
      <c r="CO102" s="141">
        <v>0</v>
      </c>
      <c r="CP102" s="141">
        <v>0</v>
      </c>
      <c r="CQ102" s="141">
        <v>-411269</v>
      </c>
      <c r="CR102" s="141">
        <v>0</v>
      </c>
      <c r="CS102" s="141">
        <v>0</v>
      </c>
      <c r="CT102" s="141">
        <v>0</v>
      </c>
      <c r="CU102" s="141">
        <v>-411269</v>
      </c>
      <c r="CV102" s="141">
        <v>0</v>
      </c>
      <c r="CW102" s="141">
        <v>-411269</v>
      </c>
      <c r="CX102" s="141">
        <v>0</v>
      </c>
      <c r="CY102" s="141">
        <v>0</v>
      </c>
      <c r="CZ102" s="141">
        <v>0</v>
      </c>
      <c r="DA102" s="141">
        <v>-1500</v>
      </c>
      <c r="DB102" s="141">
        <v>0</v>
      </c>
      <c r="DC102" s="141">
        <v>-1500</v>
      </c>
      <c r="DD102" s="141">
        <v>-38878</v>
      </c>
      <c r="DE102" s="141">
        <v>0</v>
      </c>
      <c r="DF102" s="141">
        <v>-38878</v>
      </c>
      <c r="DG102" s="141">
        <v>-181964</v>
      </c>
      <c r="DH102" s="141">
        <v>0</v>
      </c>
      <c r="DI102" s="141">
        <v>-181964</v>
      </c>
      <c r="DJ102" s="141">
        <v>0</v>
      </c>
      <c r="DK102" s="141">
        <v>0</v>
      </c>
      <c r="DL102" s="141">
        <v>0</v>
      </c>
      <c r="DM102" s="141">
        <v>-3746927</v>
      </c>
      <c r="DN102" s="141">
        <v>0</v>
      </c>
      <c r="DO102" s="141">
        <v>-3746927</v>
      </c>
      <c r="DP102" s="141">
        <v>-3969269</v>
      </c>
      <c r="DQ102" s="141">
        <v>0</v>
      </c>
      <c r="DR102" s="141">
        <v>0</v>
      </c>
      <c r="DS102" s="141">
        <v>0</v>
      </c>
      <c r="DT102" s="141">
        <v>-3969269</v>
      </c>
      <c r="DU102" s="141">
        <v>0</v>
      </c>
      <c r="DV102" s="141">
        <v>-3969269</v>
      </c>
      <c r="DW102" s="856">
        <v>119381130</v>
      </c>
      <c r="DX102" s="856">
        <v>0</v>
      </c>
      <c r="DY102" s="857">
        <v>119381130</v>
      </c>
      <c r="DZ102" t="s">
        <v>1668</v>
      </c>
    </row>
    <row r="103" spans="1:130" ht="12.75" x14ac:dyDescent="0.2">
      <c r="A103" s="764">
        <v>96</v>
      </c>
      <c r="B103" s="765" t="s">
        <v>80</v>
      </c>
      <c r="C103" s="766" t="s">
        <v>1217</v>
      </c>
      <c r="D103" s="767" t="s">
        <v>1221</v>
      </c>
      <c r="E103" s="768" t="s">
        <v>79</v>
      </c>
      <c r="F103" s="867">
        <v>43453</v>
      </c>
      <c r="G103" s="141">
        <v>96336876</v>
      </c>
      <c r="H103" s="141">
        <v>0</v>
      </c>
      <c r="I103" s="141">
        <v>96336876</v>
      </c>
      <c r="J103" s="141">
        <v>49.1</v>
      </c>
      <c r="K103" s="141">
        <v>47301406</v>
      </c>
      <c r="L103" s="141">
        <v>0</v>
      </c>
      <c r="M103" s="141">
        <v>0</v>
      </c>
      <c r="N103" s="141">
        <v>0</v>
      </c>
      <c r="O103" s="141">
        <v>47301406</v>
      </c>
      <c r="P103" s="141">
        <v>0</v>
      </c>
      <c r="Q103" s="141">
        <v>47301406</v>
      </c>
      <c r="R103" s="141">
        <v>-516448</v>
      </c>
      <c r="S103" s="141">
        <v>0</v>
      </c>
      <c r="T103" s="141">
        <v>-516448</v>
      </c>
      <c r="U103" s="141">
        <v>138045</v>
      </c>
      <c r="V103" s="141">
        <v>0</v>
      </c>
      <c r="W103" s="141">
        <v>138045</v>
      </c>
      <c r="X103" s="141">
        <v>-378403</v>
      </c>
      <c r="Y103" s="141">
        <v>0</v>
      </c>
      <c r="Z103" s="141">
        <v>0</v>
      </c>
      <c r="AA103" s="141">
        <v>0</v>
      </c>
      <c r="AB103" s="141">
        <v>-378403</v>
      </c>
      <c r="AC103" s="141">
        <v>0</v>
      </c>
      <c r="AD103" s="141">
        <v>-378403</v>
      </c>
      <c r="AE103" s="141">
        <v>378403</v>
      </c>
      <c r="AF103" s="141">
        <v>0</v>
      </c>
      <c r="AG103" s="141">
        <v>378403</v>
      </c>
      <c r="AH103" s="141">
        <v>-5073581</v>
      </c>
      <c r="AI103" s="141">
        <v>0</v>
      </c>
      <c r="AJ103" s="141">
        <v>-5073581</v>
      </c>
      <c r="AK103" s="141">
        <v>0</v>
      </c>
      <c r="AL103" s="141">
        <v>0</v>
      </c>
      <c r="AM103" s="141">
        <v>0</v>
      </c>
      <c r="AN103" s="141">
        <v>707482</v>
      </c>
      <c r="AO103" s="141">
        <v>0</v>
      </c>
      <c r="AP103" s="141">
        <v>707482</v>
      </c>
      <c r="AQ103" s="141">
        <v>-4366099</v>
      </c>
      <c r="AR103" s="141">
        <v>0</v>
      </c>
      <c r="AS103" s="141">
        <v>-4366099</v>
      </c>
      <c r="AT103" s="141">
        <v>-3286250</v>
      </c>
      <c r="AU103" s="141">
        <v>0</v>
      </c>
      <c r="AV103" s="141">
        <v>-3286250</v>
      </c>
      <c r="AW103" s="141">
        <v>-34393</v>
      </c>
      <c r="AX103" s="141">
        <v>0</v>
      </c>
      <c r="AY103" s="141">
        <v>-34393</v>
      </c>
      <c r="AZ103" s="141">
        <v>-5947</v>
      </c>
      <c r="BA103" s="141">
        <v>0</v>
      </c>
      <c r="BB103" s="141">
        <v>-5947</v>
      </c>
      <c r="BC103" s="141">
        <v>-7692689</v>
      </c>
      <c r="BD103" s="141">
        <v>0</v>
      </c>
      <c r="BE103" s="141">
        <v>0</v>
      </c>
      <c r="BF103" s="141">
        <v>0</v>
      </c>
      <c r="BG103" s="141">
        <v>-7692689</v>
      </c>
      <c r="BH103" s="141">
        <v>0</v>
      </c>
      <c r="BI103" s="141">
        <v>-7692689</v>
      </c>
      <c r="BJ103" s="141">
        <v>0</v>
      </c>
      <c r="BK103" s="141">
        <v>0</v>
      </c>
      <c r="BL103" s="141">
        <v>0</v>
      </c>
      <c r="BM103" s="141">
        <v>-894857</v>
      </c>
      <c r="BN103" s="141">
        <v>0</v>
      </c>
      <c r="BO103" s="141">
        <v>-894857</v>
      </c>
      <c r="BP103" s="141">
        <v>-894857</v>
      </c>
      <c r="BQ103" s="141">
        <v>0</v>
      </c>
      <c r="BR103" s="141">
        <v>0</v>
      </c>
      <c r="BS103" s="141">
        <v>0</v>
      </c>
      <c r="BT103" s="141">
        <v>-894857</v>
      </c>
      <c r="BU103" s="141">
        <v>0</v>
      </c>
      <c r="BV103" s="141">
        <v>-894857</v>
      </c>
      <c r="BW103" s="141">
        <v>-22518</v>
      </c>
      <c r="BX103" s="141">
        <v>0</v>
      </c>
      <c r="BY103" s="141">
        <v>-22518</v>
      </c>
      <c r="BZ103" s="141">
        <v>-47264</v>
      </c>
      <c r="CA103" s="141">
        <v>0</v>
      </c>
      <c r="CB103" s="141">
        <v>-47264</v>
      </c>
      <c r="CC103" s="141">
        <v>0</v>
      </c>
      <c r="CD103" s="141">
        <v>0</v>
      </c>
      <c r="CE103" s="141">
        <v>0</v>
      </c>
      <c r="CF103" s="141">
        <v>0</v>
      </c>
      <c r="CG103" s="141">
        <v>0</v>
      </c>
      <c r="CH103" s="141">
        <v>0</v>
      </c>
      <c r="CI103" s="141">
        <v>-8367</v>
      </c>
      <c r="CJ103" s="141">
        <v>0</v>
      </c>
      <c r="CK103" s="141">
        <v>-8367</v>
      </c>
      <c r="CL103" s="141">
        <v>0</v>
      </c>
      <c r="CM103" s="141">
        <v>0</v>
      </c>
      <c r="CN103" s="141">
        <v>0</v>
      </c>
      <c r="CO103" s="141">
        <v>0</v>
      </c>
      <c r="CP103" s="141">
        <v>0</v>
      </c>
      <c r="CQ103" s="141">
        <v>-78149</v>
      </c>
      <c r="CR103" s="141">
        <v>0</v>
      </c>
      <c r="CS103" s="141">
        <v>0</v>
      </c>
      <c r="CT103" s="141">
        <v>0</v>
      </c>
      <c r="CU103" s="141">
        <v>-78149</v>
      </c>
      <c r="CV103" s="141">
        <v>0</v>
      </c>
      <c r="CW103" s="141">
        <v>-78149</v>
      </c>
      <c r="CX103" s="141">
        <v>-5947</v>
      </c>
      <c r="CY103" s="141">
        <v>0</v>
      </c>
      <c r="CZ103" s="141">
        <v>-5947</v>
      </c>
      <c r="DA103" s="141">
        <v>0</v>
      </c>
      <c r="DB103" s="141">
        <v>0</v>
      </c>
      <c r="DC103" s="141">
        <v>0</v>
      </c>
      <c r="DD103" s="141">
        <v>-3949</v>
      </c>
      <c r="DE103" s="141">
        <v>0</v>
      </c>
      <c r="DF103" s="141">
        <v>-3949</v>
      </c>
      <c r="DG103" s="141">
        <v>-60000</v>
      </c>
      <c r="DH103" s="141">
        <v>0</v>
      </c>
      <c r="DI103" s="141">
        <v>-60000</v>
      </c>
      <c r="DJ103" s="141">
        <v>0</v>
      </c>
      <c r="DK103" s="141">
        <v>0</v>
      </c>
      <c r="DL103" s="141">
        <v>0</v>
      </c>
      <c r="DM103" s="141">
        <v>-1507285</v>
      </c>
      <c r="DN103" s="141">
        <v>0</v>
      </c>
      <c r="DO103" s="141">
        <v>-1507285</v>
      </c>
      <c r="DP103" s="141">
        <v>-1577181</v>
      </c>
      <c r="DQ103" s="141">
        <v>0</v>
      </c>
      <c r="DR103" s="141">
        <v>0</v>
      </c>
      <c r="DS103" s="141">
        <v>0</v>
      </c>
      <c r="DT103" s="141">
        <v>-1577181</v>
      </c>
      <c r="DU103" s="141">
        <v>0</v>
      </c>
      <c r="DV103" s="141">
        <v>-1577181</v>
      </c>
      <c r="DW103" s="856">
        <v>36680127</v>
      </c>
      <c r="DX103" s="856">
        <v>0</v>
      </c>
      <c r="DY103" s="857">
        <v>36680127</v>
      </c>
      <c r="DZ103" t="s">
        <v>1669</v>
      </c>
    </row>
    <row r="104" spans="1:130" ht="12.75" x14ac:dyDescent="0.2">
      <c r="A104" s="764">
        <v>97</v>
      </c>
      <c r="B104" s="765" t="s">
        <v>82</v>
      </c>
      <c r="C104" s="766" t="s">
        <v>1217</v>
      </c>
      <c r="D104" s="767" t="s">
        <v>1218</v>
      </c>
      <c r="E104" s="768" t="s">
        <v>900</v>
      </c>
      <c r="F104" s="867">
        <v>43468</v>
      </c>
      <c r="G104" s="141">
        <v>64632945</v>
      </c>
      <c r="H104" s="141">
        <v>0</v>
      </c>
      <c r="I104" s="141">
        <v>64632945</v>
      </c>
      <c r="J104" s="141">
        <v>49.1</v>
      </c>
      <c r="K104" s="141">
        <v>31734776</v>
      </c>
      <c r="L104" s="141">
        <v>0</v>
      </c>
      <c r="M104" s="141">
        <v>0</v>
      </c>
      <c r="N104" s="141">
        <v>0</v>
      </c>
      <c r="O104" s="141">
        <v>31734776</v>
      </c>
      <c r="P104" s="141">
        <v>0</v>
      </c>
      <c r="Q104" s="141">
        <v>31734776</v>
      </c>
      <c r="R104" s="141">
        <v>-348881</v>
      </c>
      <c r="S104" s="141">
        <v>0</v>
      </c>
      <c r="T104" s="141">
        <v>-348881</v>
      </c>
      <c r="U104" s="141">
        <v>251749</v>
      </c>
      <c r="V104" s="141">
        <v>0</v>
      </c>
      <c r="W104" s="141">
        <v>251749</v>
      </c>
      <c r="X104" s="141">
        <v>-97132</v>
      </c>
      <c r="Y104" s="141">
        <v>0</v>
      </c>
      <c r="Z104" s="141">
        <v>0</v>
      </c>
      <c r="AA104" s="141">
        <v>0</v>
      </c>
      <c r="AB104" s="141">
        <v>-97132</v>
      </c>
      <c r="AC104" s="141">
        <v>0</v>
      </c>
      <c r="AD104" s="141">
        <v>-97132</v>
      </c>
      <c r="AE104" s="141">
        <v>97132</v>
      </c>
      <c r="AF104" s="141">
        <v>0</v>
      </c>
      <c r="AG104" s="141">
        <v>97132</v>
      </c>
      <c r="AH104" s="141">
        <v>-1804616</v>
      </c>
      <c r="AI104" s="141">
        <v>0</v>
      </c>
      <c r="AJ104" s="141">
        <v>-1804616</v>
      </c>
      <c r="AK104" s="141">
        <v>0</v>
      </c>
      <c r="AL104" s="141">
        <v>0</v>
      </c>
      <c r="AM104" s="141">
        <v>0</v>
      </c>
      <c r="AN104" s="141">
        <v>632453</v>
      </c>
      <c r="AO104" s="141">
        <v>0</v>
      </c>
      <c r="AP104" s="141">
        <v>632453</v>
      </c>
      <c r="AQ104" s="141">
        <v>-1172163</v>
      </c>
      <c r="AR104" s="141">
        <v>0</v>
      </c>
      <c r="AS104" s="141">
        <v>-1172163</v>
      </c>
      <c r="AT104" s="141">
        <v>-3316470</v>
      </c>
      <c r="AU104" s="141">
        <v>0</v>
      </c>
      <c r="AV104" s="141">
        <v>-3316470</v>
      </c>
      <c r="AW104" s="141">
        <v>-47779</v>
      </c>
      <c r="AX104" s="141">
        <v>0</v>
      </c>
      <c r="AY104" s="141">
        <v>-47779</v>
      </c>
      <c r="AZ104" s="141">
        <v>0</v>
      </c>
      <c r="BA104" s="141">
        <v>0</v>
      </c>
      <c r="BB104" s="141">
        <v>0</v>
      </c>
      <c r="BC104" s="141">
        <v>-4536412</v>
      </c>
      <c r="BD104" s="141">
        <v>0</v>
      </c>
      <c r="BE104" s="141">
        <v>0</v>
      </c>
      <c r="BF104" s="141">
        <v>0</v>
      </c>
      <c r="BG104" s="141">
        <v>-4536412</v>
      </c>
      <c r="BH104" s="141">
        <v>0</v>
      </c>
      <c r="BI104" s="141">
        <v>-4536412</v>
      </c>
      <c r="BJ104" s="141">
        <v>0</v>
      </c>
      <c r="BK104" s="141">
        <v>0</v>
      </c>
      <c r="BL104" s="141">
        <v>0</v>
      </c>
      <c r="BM104" s="141">
        <v>-548068</v>
      </c>
      <c r="BN104" s="141">
        <v>0</v>
      </c>
      <c r="BO104" s="141">
        <v>-548068</v>
      </c>
      <c r="BP104" s="141">
        <v>-548068</v>
      </c>
      <c r="BQ104" s="141">
        <v>0</v>
      </c>
      <c r="BR104" s="141">
        <v>-230000</v>
      </c>
      <c r="BS104" s="141">
        <v>0</v>
      </c>
      <c r="BT104" s="141">
        <v>-778068</v>
      </c>
      <c r="BU104" s="141">
        <v>0</v>
      </c>
      <c r="BV104" s="141">
        <v>-778068</v>
      </c>
      <c r="BW104" s="141">
        <v>-70119</v>
      </c>
      <c r="BX104" s="141">
        <v>0</v>
      </c>
      <c r="BY104" s="141">
        <v>-70119</v>
      </c>
      <c r="BZ104" s="141">
        <v>-598</v>
      </c>
      <c r="CA104" s="141">
        <v>0</v>
      </c>
      <c r="CB104" s="141">
        <v>-598</v>
      </c>
      <c r="CC104" s="141">
        <v>-8417</v>
      </c>
      <c r="CD104" s="141">
        <v>0</v>
      </c>
      <c r="CE104" s="141">
        <v>-8417</v>
      </c>
      <c r="CF104" s="141">
        <v>0</v>
      </c>
      <c r="CG104" s="141">
        <v>0</v>
      </c>
      <c r="CH104" s="141">
        <v>0</v>
      </c>
      <c r="CI104" s="141">
        <v>0</v>
      </c>
      <c r="CJ104" s="141">
        <v>0</v>
      </c>
      <c r="CK104" s="141">
        <v>0</v>
      </c>
      <c r="CL104" s="141">
        <v>0</v>
      </c>
      <c r="CM104" s="141">
        <v>0</v>
      </c>
      <c r="CN104" s="141">
        <v>0</v>
      </c>
      <c r="CO104" s="141">
        <v>0</v>
      </c>
      <c r="CP104" s="141">
        <v>0</v>
      </c>
      <c r="CQ104" s="141">
        <v>-79134</v>
      </c>
      <c r="CR104" s="141">
        <v>0</v>
      </c>
      <c r="CS104" s="141">
        <v>0</v>
      </c>
      <c r="CT104" s="141">
        <v>0</v>
      </c>
      <c r="CU104" s="141">
        <v>-79134</v>
      </c>
      <c r="CV104" s="141">
        <v>0</v>
      </c>
      <c r="CW104" s="141">
        <v>-79134</v>
      </c>
      <c r="CX104" s="141">
        <v>0</v>
      </c>
      <c r="CY104" s="141">
        <v>0</v>
      </c>
      <c r="CZ104" s="141">
        <v>0</v>
      </c>
      <c r="DA104" s="141">
        <v>0</v>
      </c>
      <c r="DB104" s="141">
        <v>0</v>
      </c>
      <c r="DC104" s="141">
        <v>0</v>
      </c>
      <c r="DD104" s="141">
        <v>-14880</v>
      </c>
      <c r="DE104" s="141">
        <v>0</v>
      </c>
      <c r="DF104" s="141">
        <v>-14880</v>
      </c>
      <c r="DG104" s="141">
        <v>-51122</v>
      </c>
      <c r="DH104" s="141">
        <v>0</v>
      </c>
      <c r="DI104" s="141">
        <v>-51122</v>
      </c>
      <c r="DJ104" s="141">
        <v>0</v>
      </c>
      <c r="DK104" s="141">
        <v>0</v>
      </c>
      <c r="DL104" s="141">
        <v>0</v>
      </c>
      <c r="DM104" s="141">
        <v>-740733</v>
      </c>
      <c r="DN104" s="141">
        <v>0</v>
      </c>
      <c r="DO104" s="141">
        <v>-740733</v>
      </c>
      <c r="DP104" s="141">
        <v>-806735</v>
      </c>
      <c r="DQ104" s="141">
        <v>0</v>
      </c>
      <c r="DR104" s="141">
        <v>0</v>
      </c>
      <c r="DS104" s="141">
        <v>0</v>
      </c>
      <c r="DT104" s="141">
        <v>-806735</v>
      </c>
      <c r="DU104" s="141">
        <v>0</v>
      </c>
      <c r="DV104" s="141">
        <v>-806735</v>
      </c>
      <c r="DW104" s="856">
        <v>25437295</v>
      </c>
      <c r="DX104" s="856">
        <v>0</v>
      </c>
      <c r="DY104" s="857">
        <v>25437295</v>
      </c>
      <c r="DZ104" t="s">
        <v>1670</v>
      </c>
    </row>
    <row r="105" spans="1:130" ht="12.75" x14ac:dyDescent="0.2">
      <c r="A105" s="764">
        <v>98</v>
      </c>
      <c r="B105" s="765" t="s">
        <v>84</v>
      </c>
      <c r="C105" s="766" t="s">
        <v>1217</v>
      </c>
      <c r="D105" s="767" t="s">
        <v>1220</v>
      </c>
      <c r="E105" s="768" t="s">
        <v>83</v>
      </c>
      <c r="F105" s="867">
        <v>43476</v>
      </c>
      <c r="G105" s="141">
        <v>66692144</v>
      </c>
      <c r="H105" s="141">
        <v>0</v>
      </c>
      <c r="I105" s="141">
        <v>66692144</v>
      </c>
      <c r="J105" s="141">
        <v>49.1</v>
      </c>
      <c r="K105" s="141">
        <v>32745843</v>
      </c>
      <c r="L105" s="141">
        <v>0</v>
      </c>
      <c r="M105" s="141">
        <v>150000</v>
      </c>
      <c r="N105" s="141">
        <v>0</v>
      </c>
      <c r="O105" s="141">
        <v>32895843</v>
      </c>
      <c r="P105" s="141">
        <v>0</v>
      </c>
      <c r="Q105" s="141">
        <v>32895843</v>
      </c>
      <c r="R105" s="141">
        <v>-243468.64</v>
      </c>
      <c r="S105" s="141">
        <v>0</v>
      </c>
      <c r="T105" s="141">
        <v>-243468.64</v>
      </c>
      <c r="U105" s="141">
        <v>122063.6</v>
      </c>
      <c r="V105" s="141">
        <v>0</v>
      </c>
      <c r="W105" s="141">
        <v>122063.6</v>
      </c>
      <c r="X105" s="141">
        <v>-121405.04000000001</v>
      </c>
      <c r="Y105" s="141">
        <v>0</v>
      </c>
      <c r="Z105" s="141">
        <v>0</v>
      </c>
      <c r="AA105" s="141">
        <v>0</v>
      </c>
      <c r="AB105" s="141">
        <v>-121405.04000000001</v>
      </c>
      <c r="AC105" s="141">
        <v>0</v>
      </c>
      <c r="AD105" s="141">
        <v>-121405.04000000001</v>
      </c>
      <c r="AE105" s="141">
        <v>121405.04000000001</v>
      </c>
      <c r="AF105" s="141">
        <v>0</v>
      </c>
      <c r="AG105" s="141">
        <v>121405.04000000001</v>
      </c>
      <c r="AH105" s="141">
        <v>-4127462</v>
      </c>
      <c r="AI105" s="141">
        <v>0</v>
      </c>
      <c r="AJ105" s="141">
        <v>-4127462</v>
      </c>
      <c r="AK105" s="141">
        <v>0</v>
      </c>
      <c r="AL105" s="141">
        <v>0</v>
      </c>
      <c r="AM105" s="141">
        <v>0</v>
      </c>
      <c r="AN105" s="141">
        <v>503644</v>
      </c>
      <c r="AO105" s="141">
        <v>0</v>
      </c>
      <c r="AP105" s="141">
        <v>503644</v>
      </c>
      <c r="AQ105" s="141">
        <v>-3623818</v>
      </c>
      <c r="AR105" s="141">
        <v>0</v>
      </c>
      <c r="AS105" s="141">
        <v>-3623818</v>
      </c>
      <c r="AT105" s="141">
        <v>-2130990</v>
      </c>
      <c r="AU105" s="141">
        <v>0</v>
      </c>
      <c r="AV105" s="141">
        <v>-2130990</v>
      </c>
      <c r="AW105" s="141">
        <v>-52618</v>
      </c>
      <c r="AX105" s="141">
        <v>0</v>
      </c>
      <c r="AY105" s="141">
        <v>-52618</v>
      </c>
      <c r="AZ105" s="141">
        <v>0</v>
      </c>
      <c r="BA105" s="141">
        <v>0</v>
      </c>
      <c r="BB105" s="141">
        <v>0</v>
      </c>
      <c r="BC105" s="141">
        <v>-5807426</v>
      </c>
      <c r="BD105" s="141">
        <v>0</v>
      </c>
      <c r="BE105" s="141">
        <v>0</v>
      </c>
      <c r="BF105" s="141">
        <v>0</v>
      </c>
      <c r="BG105" s="141">
        <v>-5807426</v>
      </c>
      <c r="BH105" s="141">
        <v>0</v>
      </c>
      <c r="BI105" s="141">
        <v>-5807426</v>
      </c>
      <c r="BJ105" s="141">
        <v>0</v>
      </c>
      <c r="BK105" s="141">
        <v>0</v>
      </c>
      <c r="BL105" s="141">
        <v>0</v>
      </c>
      <c r="BM105" s="141">
        <v>-450000</v>
      </c>
      <c r="BN105" s="141">
        <v>0</v>
      </c>
      <c r="BO105" s="141">
        <v>-450000</v>
      </c>
      <c r="BP105" s="141">
        <v>-450000</v>
      </c>
      <c r="BQ105" s="141">
        <v>0</v>
      </c>
      <c r="BR105" s="141">
        <v>0</v>
      </c>
      <c r="BS105" s="141">
        <v>0</v>
      </c>
      <c r="BT105" s="141">
        <v>-450000</v>
      </c>
      <c r="BU105" s="141">
        <v>0</v>
      </c>
      <c r="BV105" s="141">
        <v>-450000</v>
      </c>
      <c r="BW105" s="141">
        <v>-19651</v>
      </c>
      <c r="BX105" s="141">
        <v>0</v>
      </c>
      <c r="BY105" s="141">
        <v>-19651</v>
      </c>
      <c r="BZ105" s="141">
        <v>-35166</v>
      </c>
      <c r="CA105" s="141">
        <v>0</v>
      </c>
      <c r="CB105" s="141">
        <v>-35166</v>
      </c>
      <c r="CC105" s="141">
        <v>0</v>
      </c>
      <c r="CD105" s="141">
        <v>0</v>
      </c>
      <c r="CE105" s="141">
        <v>0</v>
      </c>
      <c r="CF105" s="141">
        <v>0</v>
      </c>
      <c r="CG105" s="141">
        <v>0</v>
      </c>
      <c r="CH105" s="141">
        <v>0</v>
      </c>
      <c r="CI105" s="141">
        <v>0</v>
      </c>
      <c r="CJ105" s="141">
        <v>0</v>
      </c>
      <c r="CK105" s="141">
        <v>0</v>
      </c>
      <c r="CL105" s="141">
        <v>0</v>
      </c>
      <c r="CM105" s="141">
        <v>0</v>
      </c>
      <c r="CN105" s="141">
        <v>0</v>
      </c>
      <c r="CO105" s="141">
        <v>0</v>
      </c>
      <c r="CP105" s="141">
        <v>0</v>
      </c>
      <c r="CQ105" s="141">
        <v>-54817</v>
      </c>
      <c r="CR105" s="141">
        <v>0</v>
      </c>
      <c r="CS105" s="141">
        <v>0</v>
      </c>
      <c r="CT105" s="141">
        <v>0</v>
      </c>
      <c r="CU105" s="141">
        <v>-54817</v>
      </c>
      <c r="CV105" s="141">
        <v>0</v>
      </c>
      <c r="CW105" s="141">
        <v>-54817</v>
      </c>
      <c r="CX105" s="141">
        <v>-4861</v>
      </c>
      <c r="CY105" s="141">
        <v>0</v>
      </c>
      <c r="CZ105" s="141">
        <v>-4861</v>
      </c>
      <c r="DA105" s="141">
        <v>0</v>
      </c>
      <c r="DB105" s="141">
        <v>0</v>
      </c>
      <c r="DC105" s="141">
        <v>0</v>
      </c>
      <c r="DD105" s="141">
        <v>-21793</v>
      </c>
      <c r="DE105" s="141">
        <v>0</v>
      </c>
      <c r="DF105" s="141">
        <v>-21793</v>
      </c>
      <c r="DG105" s="141">
        <v>-28000</v>
      </c>
      <c r="DH105" s="141">
        <v>0</v>
      </c>
      <c r="DI105" s="141">
        <v>-28000</v>
      </c>
      <c r="DJ105" s="141">
        <v>0</v>
      </c>
      <c r="DK105" s="141">
        <v>0</v>
      </c>
      <c r="DL105" s="141">
        <v>0</v>
      </c>
      <c r="DM105" s="141">
        <v>-533000</v>
      </c>
      <c r="DN105" s="141">
        <v>0</v>
      </c>
      <c r="DO105" s="141">
        <v>-533000</v>
      </c>
      <c r="DP105" s="141">
        <v>-587654</v>
      </c>
      <c r="DQ105" s="141">
        <v>0</v>
      </c>
      <c r="DR105" s="141">
        <v>0</v>
      </c>
      <c r="DS105" s="141">
        <v>0</v>
      </c>
      <c r="DT105" s="141">
        <v>-587654</v>
      </c>
      <c r="DU105" s="141">
        <v>0</v>
      </c>
      <c r="DV105" s="141">
        <v>-587654</v>
      </c>
      <c r="DW105" s="856">
        <v>25874540.960000001</v>
      </c>
      <c r="DX105" s="856">
        <v>0</v>
      </c>
      <c r="DY105" s="857">
        <v>25874540.960000001</v>
      </c>
      <c r="DZ105" t="s">
        <v>1671</v>
      </c>
    </row>
    <row r="106" spans="1:130" ht="12.75" x14ac:dyDescent="0.2">
      <c r="A106" s="764">
        <v>99</v>
      </c>
      <c r="B106" s="765" t="s">
        <v>86</v>
      </c>
      <c r="C106" s="766" t="s">
        <v>1217</v>
      </c>
      <c r="D106" s="767" t="s">
        <v>1226</v>
      </c>
      <c r="E106" s="768" t="s">
        <v>85</v>
      </c>
      <c r="F106" s="867">
        <v>43460</v>
      </c>
      <c r="G106" s="141">
        <v>191293088</v>
      </c>
      <c r="H106" s="141">
        <v>0</v>
      </c>
      <c r="I106" s="141">
        <v>191293088</v>
      </c>
      <c r="J106" s="141">
        <v>49.1</v>
      </c>
      <c r="K106" s="141">
        <v>93924906</v>
      </c>
      <c r="L106" s="141">
        <v>0</v>
      </c>
      <c r="M106" s="141">
        <v>0</v>
      </c>
      <c r="N106" s="141">
        <v>0</v>
      </c>
      <c r="O106" s="141">
        <v>93924906</v>
      </c>
      <c r="P106" s="141">
        <v>0</v>
      </c>
      <c r="Q106" s="141">
        <v>93924906</v>
      </c>
      <c r="R106" s="141">
        <v>-1056637</v>
      </c>
      <c r="S106" s="141">
        <v>0</v>
      </c>
      <c r="T106" s="141">
        <v>-1056637</v>
      </c>
      <c r="U106" s="141">
        <v>2832679</v>
      </c>
      <c r="V106" s="141">
        <v>0</v>
      </c>
      <c r="W106" s="141">
        <v>2832679</v>
      </c>
      <c r="X106" s="141">
        <v>1776042</v>
      </c>
      <c r="Y106" s="141">
        <v>0</v>
      </c>
      <c r="Z106" s="141">
        <v>0</v>
      </c>
      <c r="AA106" s="141">
        <v>0</v>
      </c>
      <c r="AB106" s="141">
        <v>1776042</v>
      </c>
      <c r="AC106" s="141">
        <v>0</v>
      </c>
      <c r="AD106" s="141">
        <v>1776042</v>
      </c>
      <c r="AE106" s="141">
        <v>-1776042</v>
      </c>
      <c r="AF106" s="141">
        <v>0</v>
      </c>
      <c r="AG106" s="141">
        <v>-1776042</v>
      </c>
      <c r="AH106" s="141">
        <v>-3766229</v>
      </c>
      <c r="AI106" s="141">
        <v>0</v>
      </c>
      <c r="AJ106" s="141">
        <v>-3766229</v>
      </c>
      <c r="AK106" s="141">
        <v>0</v>
      </c>
      <c r="AL106" s="141">
        <v>0</v>
      </c>
      <c r="AM106" s="141">
        <v>0</v>
      </c>
      <c r="AN106" s="141">
        <v>1925107</v>
      </c>
      <c r="AO106" s="141">
        <v>0</v>
      </c>
      <c r="AP106" s="141">
        <v>1925107</v>
      </c>
      <c r="AQ106" s="141">
        <v>-1841122</v>
      </c>
      <c r="AR106" s="141">
        <v>0</v>
      </c>
      <c r="AS106" s="141">
        <v>-1841122</v>
      </c>
      <c r="AT106" s="141">
        <v>-7125601</v>
      </c>
      <c r="AU106" s="141">
        <v>0</v>
      </c>
      <c r="AV106" s="141">
        <v>-7125601</v>
      </c>
      <c r="AW106" s="141">
        <v>-39694</v>
      </c>
      <c r="AX106" s="141">
        <v>0</v>
      </c>
      <c r="AY106" s="141">
        <v>-39694</v>
      </c>
      <c r="AZ106" s="141">
        <v>0</v>
      </c>
      <c r="BA106" s="141">
        <v>0</v>
      </c>
      <c r="BB106" s="141">
        <v>0</v>
      </c>
      <c r="BC106" s="141">
        <v>-9006417</v>
      </c>
      <c r="BD106" s="141">
        <v>0</v>
      </c>
      <c r="BE106" s="141">
        <v>0</v>
      </c>
      <c r="BF106" s="141">
        <v>0</v>
      </c>
      <c r="BG106" s="141">
        <v>-9006417</v>
      </c>
      <c r="BH106" s="141">
        <v>0</v>
      </c>
      <c r="BI106" s="141">
        <v>-9006417</v>
      </c>
      <c r="BJ106" s="141">
        <v>0</v>
      </c>
      <c r="BK106" s="141">
        <v>0</v>
      </c>
      <c r="BL106" s="141">
        <v>0</v>
      </c>
      <c r="BM106" s="141">
        <v>-2042068</v>
      </c>
      <c r="BN106" s="141">
        <v>0</v>
      </c>
      <c r="BO106" s="141">
        <v>-2042068</v>
      </c>
      <c r="BP106" s="141">
        <v>-2042068</v>
      </c>
      <c r="BQ106" s="141">
        <v>0</v>
      </c>
      <c r="BR106" s="141">
        <v>0</v>
      </c>
      <c r="BS106" s="141">
        <v>0</v>
      </c>
      <c r="BT106" s="141">
        <v>-2042068</v>
      </c>
      <c r="BU106" s="141">
        <v>0</v>
      </c>
      <c r="BV106" s="141">
        <v>-2042068</v>
      </c>
      <c r="BW106" s="141">
        <v>-220066</v>
      </c>
      <c r="BX106" s="141">
        <v>0</v>
      </c>
      <c r="BY106" s="141">
        <v>-220066</v>
      </c>
      <c r="BZ106" s="141">
        <v>-57740</v>
      </c>
      <c r="CA106" s="141">
        <v>0</v>
      </c>
      <c r="CB106" s="141">
        <v>-57740</v>
      </c>
      <c r="CC106" s="141">
        <v>-4239</v>
      </c>
      <c r="CD106" s="141">
        <v>0</v>
      </c>
      <c r="CE106" s="141">
        <v>-4239</v>
      </c>
      <c r="CF106" s="141">
        <v>0</v>
      </c>
      <c r="CG106" s="141">
        <v>0</v>
      </c>
      <c r="CH106" s="141">
        <v>0</v>
      </c>
      <c r="CI106" s="141">
        <v>0</v>
      </c>
      <c r="CJ106" s="141">
        <v>0</v>
      </c>
      <c r="CK106" s="141">
        <v>0</v>
      </c>
      <c r="CL106" s="141">
        <v>0</v>
      </c>
      <c r="CM106" s="141">
        <v>0</v>
      </c>
      <c r="CN106" s="141">
        <v>0</v>
      </c>
      <c r="CO106" s="141">
        <v>0</v>
      </c>
      <c r="CP106" s="141">
        <v>0</v>
      </c>
      <c r="CQ106" s="141">
        <v>-282045</v>
      </c>
      <c r="CR106" s="141">
        <v>0</v>
      </c>
      <c r="CS106" s="141">
        <v>0</v>
      </c>
      <c r="CT106" s="141">
        <v>0</v>
      </c>
      <c r="CU106" s="141">
        <v>-282045</v>
      </c>
      <c r="CV106" s="141">
        <v>0</v>
      </c>
      <c r="CW106" s="141">
        <v>-282045</v>
      </c>
      <c r="CX106" s="141">
        <v>0</v>
      </c>
      <c r="CY106" s="141">
        <v>0</v>
      </c>
      <c r="CZ106" s="141">
        <v>0</v>
      </c>
      <c r="DA106" s="141">
        <v>-1500</v>
      </c>
      <c r="DB106" s="141">
        <v>0</v>
      </c>
      <c r="DC106" s="141">
        <v>-1500</v>
      </c>
      <c r="DD106" s="141">
        <v>-53492</v>
      </c>
      <c r="DE106" s="141">
        <v>0</v>
      </c>
      <c r="DF106" s="141">
        <v>-53492</v>
      </c>
      <c r="DG106" s="141">
        <v>-71000</v>
      </c>
      <c r="DH106" s="141">
        <v>0</v>
      </c>
      <c r="DI106" s="141">
        <v>-71000</v>
      </c>
      <c r="DJ106" s="141">
        <v>0</v>
      </c>
      <c r="DK106" s="141">
        <v>0</v>
      </c>
      <c r="DL106" s="141">
        <v>0</v>
      </c>
      <c r="DM106" s="141">
        <v>-1787292</v>
      </c>
      <c r="DN106" s="141">
        <v>0</v>
      </c>
      <c r="DO106" s="141">
        <v>-1787292</v>
      </c>
      <c r="DP106" s="141">
        <v>-1913284</v>
      </c>
      <c r="DQ106" s="141">
        <v>0</v>
      </c>
      <c r="DR106" s="141">
        <v>0</v>
      </c>
      <c r="DS106" s="141">
        <v>0</v>
      </c>
      <c r="DT106" s="141">
        <v>-1913284</v>
      </c>
      <c r="DU106" s="141">
        <v>0</v>
      </c>
      <c r="DV106" s="141">
        <v>-1913284</v>
      </c>
      <c r="DW106" s="856">
        <v>82457134</v>
      </c>
      <c r="DX106" s="856">
        <v>0</v>
      </c>
      <c r="DY106" s="857">
        <v>82457134</v>
      </c>
      <c r="DZ106" t="s">
        <v>1672</v>
      </c>
    </row>
    <row r="107" spans="1:130" ht="12.75" x14ac:dyDescent="0.2">
      <c r="A107" s="764">
        <v>100</v>
      </c>
      <c r="B107" s="765" t="s">
        <v>88</v>
      </c>
      <c r="C107" s="766" t="s">
        <v>1217</v>
      </c>
      <c r="D107" s="767" t="s">
        <v>1218</v>
      </c>
      <c r="E107" s="768" t="s">
        <v>87</v>
      </c>
      <c r="F107" s="867">
        <v>43488</v>
      </c>
      <c r="G107" s="141">
        <v>101178271</v>
      </c>
      <c r="H107" s="141">
        <v>1387140</v>
      </c>
      <c r="I107" s="141">
        <v>102565411</v>
      </c>
      <c r="J107" s="141">
        <v>49.1</v>
      </c>
      <c r="K107" s="141">
        <v>49678531</v>
      </c>
      <c r="L107" s="141">
        <v>681086</v>
      </c>
      <c r="M107" s="141">
        <v>-57835</v>
      </c>
      <c r="N107" s="141">
        <v>106547</v>
      </c>
      <c r="O107" s="141">
        <v>49620696</v>
      </c>
      <c r="P107" s="141">
        <v>787633</v>
      </c>
      <c r="Q107" s="141">
        <v>50408329</v>
      </c>
      <c r="R107" s="141">
        <v>-255601</v>
      </c>
      <c r="S107" s="141">
        <v>0</v>
      </c>
      <c r="T107" s="141">
        <v>-255601</v>
      </c>
      <c r="U107" s="141">
        <v>673539</v>
      </c>
      <c r="V107" s="141">
        <v>0</v>
      </c>
      <c r="W107" s="141">
        <v>673539</v>
      </c>
      <c r="X107" s="141">
        <v>417938</v>
      </c>
      <c r="Y107" s="141">
        <v>0</v>
      </c>
      <c r="Z107" s="141">
        <v>0</v>
      </c>
      <c r="AA107" s="141">
        <v>0</v>
      </c>
      <c r="AB107" s="141">
        <v>417938</v>
      </c>
      <c r="AC107" s="141">
        <v>0</v>
      </c>
      <c r="AD107" s="141">
        <v>417938</v>
      </c>
      <c r="AE107" s="141">
        <v>-417938</v>
      </c>
      <c r="AF107" s="141">
        <v>0</v>
      </c>
      <c r="AG107" s="141">
        <v>-417938</v>
      </c>
      <c r="AH107" s="141">
        <v>-3231416</v>
      </c>
      <c r="AI107" s="141">
        <v>-19615</v>
      </c>
      <c r="AJ107" s="141">
        <v>-3251031</v>
      </c>
      <c r="AK107" s="141">
        <v>-1613</v>
      </c>
      <c r="AL107" s="141">
        <v>0</v>
      </c>
      <c r="AM107" s="141">
        <v>-1613</v>
      </c>
      <c r="AN107" s="141">
        <v>923693</v>
      </c>
      <c r="AO107" s="141">
        <v>8803</v>
      </c>
      <c r="AP107" s="141">
        <v>932496</v>
      </c>
      <c r="AQ107" s="141">
        <v>-2307723</v>
      </c>
      <c r="AR107" s="141">
        <v>-10812</v>
      </c>
      <c r="AS107" s="141">
        <v>-2318535</v>
      </c>
      <c r="AT107" s="141">
        <v>-2746201</v>
      </c>
      <c r="AU107" s="141">
        <v>-108931</v>
      </c>
      <c r="AV107" s="141">
        <v>-2855132</v>
      </c>
      <c r="AW107" s="141">
        <v>0</v>
      </c>
      <c r="AX107" s="141">
        <v>0</v>
      </c>
      <c r="AY107" s="141">
        <v>0</v>
      </c>
      <c r="AZ107" s="141">
        <v>0</v>
      </c>
      <c r="BA107" s="141">
        <v>0</v>
      </c>
      <c r="BB107" s="141">
        <v>0</v>
      </c>
      <c r="BC107" s="141">
        <v>-5053924</v>
      </c>
      <c r="BD107" s="141">
        <v>-119743</v>
      </c>
      <c r="BE107" s="141">
        <v>0</v>
      </c>
      <c r="BF107" s="141">
        <v>0</v>
      </c>
      <c r="BG107" s="141">
        <v>-5053924</v>
      </c>
      <c r="BH107" s="141">
        <v>-119743</v>
      </c>
      <c r="BI107" s="141">
        <v>-5173667</v>
      </c>
      <c r="BJ107" s="141">
        <v>-30000</v>
      </c>
      <c r="BK107" s="141">
        <v>0</v>
      </c>
      <c r="BL107" s="141">
        <v>-30000</v>
      </c>
      <c r="BM107" s="141">
        <v>-1377417</v>
      </c>
      <c r="BN107" s="141">
        <v>-4435</v>
      </c>
      <c r="BO107" s="141">
        <v>-1381852</v>
      </c>
      <c r="BP107" s="141">
        <v>-1407417</v>
      </c>
      <c r="BQ107" s="141">
        <v>-4435</v>
      </c>
      <c r="BR107" s="141">
        <v>0</v>
      </c>
      <c r="BS107" s="141">
        <v>0</v>
      </c>
      <c r="BT107" s="141">
        <v>-1407417</v>
      </c>
      <c r="BU107" s="141">
        <v>-4435</v>
      </c>
      <c r="BV107" s="141">
        <v>-1411852</v>
      </c>
      <c r="BW107" s="141">
        <v>-133339</v>
      </c>
      <c r="BX107" s="141">
        <v>-4032</v>
      </c>
      <c r="BY107" s="141">
        <v>-137371</v>
      </c>
      <c r="BZ107" s="141">
        <v>-541142</v>
      </c>
      <c r="CA107" s="141">
        <v>-12766</v>
      </c>
      <c r="CB107" s="141">
        <v>-553908</v>
      </c>
      <c r="CC107" s="141">
        <v>0</v>
      </c>
      <c r="CD107" s="141">
        <v>0</v>
      </c>
      <c r="CE107" s="141">
        <v>0</v>
      </c>
      <c r="CF107" s="141">
        <v>0</v>
      </c>
      <c r="CG107" s="141">
        <v>0</v>
      </c>
      <c r="CH107" s="141">
        <v>0</v>
      </c>
      <c r="CI107" s="141">
        <v>0</v>
      </c>
      <c r="CJ107" s="141">
        <v>0</v>
      </c>
      <c r="CK107" s="141">
        <v>0</v>
      </c>
      <c r="CL107" s="141">
        <v>0</v>
      </c>
      <c r="CM107" s="141">
        <v>-236230</v>
      </c>
      <c r="CN107" s="141">
        <v>-236230</v>
      </c>
      <c r="CO107" s="141">
        <v>-236230</v>
      </c>
      <c r="CP107" s="141">
        <v>0</v>
      </c>
      <c r="CQ107" s="141">
        <v>-674481</v>
      </c>
      <c r="CR107" s="141">
        <v>-253028</v>
      </c>
      <c r="CS107" s="141">
        <v>0</v>
      </c>
      <c r="CT107" s="141">
        <v>0</v>
      </c>
      <c r="CU107" s="141">
        <v>-674481</v>
      </c>
      <c r="CV107" s="141">
        <v>-253028</v>
      </c>
      <c r="CW107" s="141">
        <v>-927509</v>
      </c>
      <c r="CX107" s="141">
        <v>0</v>
      </c>
      <c r="CY107" s="141">
        <v>0</v>
      </c>
      <c r="CZ107" s="141">
        <v>0</v>
      </c>
      <c r="DA107" s="141">
        <v>0</v>
      </c>
      <c r="DB107" s="141">
        <v>0</v>
      </c>
      <c r="DC107" s="141">
        <v>0</v>
      </c>
      <c r="DD107" s="141">
        <v>-11082</v>
      </c>
      <c r="DE107" s="141">
        <v>0</v>
      </c>
      <c r="DF107" s="141">
        <v>-11082</v>
      </c>
      <c r="DG107" s="141">
        <v>-36000</v>
      </c>
      <c r="DH107" s="141">
        <v>0</v>
      </c>
      <c r="DI107" s="141">
        <v>-36000</v>
      </c>
      <c r="DJ107" s="141">
        <v>0</v>
      </c>
      <c r="DK107" s="141">
        <v>0</v>
      </c>
      <c r="DL107" s="141">
        <v>0</v>
      </c>
      <c r="DM107" s="141">
        <v>-957707</v>
      </c>
      <c r="DN107" s="141">
        <v>-1211</v>
      </c>
      <c r="DO107" s="141">
        <v>-958918</v>
      </c>
      <c r="DP107" s="141">
        <v>-1004789</v>
      </c>
      <c r="DQ107" s="141">
        <v>-1211</v>
      </c>
      <c r="DR107" s="141">
        <v>0</v>
      </c>
      <c r="DS107" s="141">
        <v>0</v>
      </c>
      <c r="DT107" s="141">
        <v>-1004789</v>
      </c>
      <c r="DU107" s="141">
        <v>-1211</v>
      </c>
      <c r="DV107" s="141">
        <v>-1006000</v>
      </c>
      <c r="DW107" s="856">
        <v>41898023</v>
      </c>
      <c r="DX107" s="856">
        <v>409216</v>
      </c>
      <c r="DY107" s="857">
        <v>42307239</v>
      </c>
      <c r="DZ107" t="s">
        <v>1673</v>
      </c>
    </row>
    <row r="108" spans="1:130" ht="12.75" x14ac:dyDescent="0.2">
      <c r="A108" s="764">
        <v>101</v>
      </c>
      <c r="B108" s="765" t="s">
        <v>90</v>
      </c>
      <c r="C108" s="766" t="s">
        <v>1217</v>
      </c>
      <c r="D108" s="767" t="s">
        <v>1221</v>
      </c>
      <c r="E108" s="768" t="s">
        <v>89</v>
      </c>
      <c r="F108" s="867">
        <v>43460</v>
      </c>
      <c r="G108" s="141">
        <v>66917492</v>
      </c>
      <c r="H108" s="141">
        <v>0</v>
      </c>
      <c r="I108" s="141">
        <v>66917492</v>
      </c>
      <c r="J108" s="141">
        <v>49.1</v>
      </c>
      <c r="K108" s="141">
        <v>32856489</v>
      </c>
      <c r="L108" s="141">
        <v>0</v>
      </c>
      <c r="M108" s="141">
        <v>0</v>
      </c>
      <c r="N108" s="141">
        <v>0</v>
      </c>
      <c r="O108" s="141">
        <v>32856489</v>
      </c>
      <c r="P108" s="141">
        <v>0</v>
      </c>
      <c r="Q108" s="141">
        <v>32856489</v>
      </c>
      <c r="R108" s="141">
        <v>-306679</v>
      </c>
      <c r="S108" s="141">
        <v>0</v>
      </c>
      <c r="T108" s="141">
        <v>-306679</v>
      </c>
      <c r="U108" s="141">
        <v>228074</v>
      </c>
      <c r="V108" s="141">
        <v>0</v>
      </c>
      <c r="W108" s="141">
        <v>228074</v>
      </c>
      <c r="X108" s="141">
        <v>-78605</v>
      </c>
      <c r="Y108" s="141">
        <v>0</v>
      </c>
      <c r="Z108" s="141">
        <v>0</v>
      </c>
      <c r="AA108" s="141">
        <v>0</v>
      </c>
      <c r="AB108" s="141">
        <v>-78605</v>
      </c>
      <c r="AC108" s="141">
        <v>0</v>
      </c>
      <c r="AD108" s="141">
        <v>-78605</v>
      </c>
      <c r="AE108" s="141">
        <v>78605</v>
      </c>
      <c r="AF108" s="141">
        <v>0</v>
      </c>
      <c r="AG108" s="141">
        <v>78605</v>
      </c>
      <c r="AH108" s="141">
        <v>-3740412</v>
      </c>
      <c r="AI108" s="141">
        <v>0</v>
      </c>
      <c r="AJ108" s="141">
        <v>-3740412</v>
      </c>
      <c r="AK108" s="141">
        <v>0</v>
      </c>
      <c r="AL108" s="141">
        <v>0</v>
      </c>
      <c r="AM108" s="141">
        <v>0</v>
      </c>
      <c r="AN108" s="141">
        <v>567656</v>
      </c>
      <c r="AO108" s="141">
        <v>0</v>
      </c>
      <c r="AP108" s="141">
        <v>567656</v>
      </c>
      <c r="AQ108" s="141">
        <v>-3172756</v>
      </c>
      <c r="AR108" s="141">
        <v>0</v>
      </c>
      <c r="AS108" s="141">
        <v>-3172756</v>
      </c>
      <c r="AT108" s="141">
        <v>-2340649</v>
      </c>
      <c r="AU108" s="141">
        <v>0</v>
      </c>
      <c r="AV108" s="141">
        <v>-2340649</v>
      </c>
      <c r="AW108" s="141">
        <v>-38314</v>
      </c>
      <c r="AX108" s="141">
        <v>0</v>
      </c>
      <c r="AY108" s="141">
        <v>-38314</v>
      </c>
      <c r="AZ108" s="141">
        <v>-25376</v>
      </c>
      <c r="BA108" s="141">
        <v>0</v>
      </c>
      <c r="BB108" s="141">
        <v>-25376</v>
      </c>
      <c r="BC108" s="141">
        <v>-5577095</v>
      </c>
      <c r="BD108" s="141">
        <v>0</v>
      </c>
      <c r="BE108" s="141">
        <v>-180325</v>
      </c>
      <c r="BF108" s="141">
        <v>0</v>
      </c>
      <c r="BG108" s="141">
        <v>-5757420</v>
      </c>
      <c r="BH108" s="141">
        <v>0</v>
      </c>
      <c r="BI108" s="141">
        <v>-5757420</v>
      </c>
      <c r="BJ108" s="141">
        <v>0</v>
      </c>
      <c r="BK108" s="141">
        <v>0</v>
      </c>
      <c r="BL108" s="141">
        <v>0</v>
      </c>
      <c r="BM108" s="141">
        <v>-523790</v>
      </c>
      <c r="BN108" s="141">
        <v>0</v>
      </c>
      <c r="BO108" s="141">
        <v>-523790</v>
      </c>
      <c r="BP108" s="141">
        <v>-523790</v>
      </c>
      <c r="BQ108" s="141">
        <v>0</v>
      </c>
      <c r="BR108" s="141">
        <v>0</v>
      </c>
      <c r="BS108" s="141">
        <v>0</v>
      </c>
      <c r="BT108" s="141">
        <v>-523790</v>
      </c>
      <c r="BU108" s="141">
        <v>0</v>
      </c>
      <c r="BV108" s="141">
        <v>-523790</v>
      </c>
      <c r="BW108" s="141">
        <v>-27882</v>
      </c>
      <c r="BX108" s="141">
        <v>0</v>
      </c>
      <c r="BY108" s="141">
        <v>-27882</v>
      </c>
      <c r="BZ108" s="141">
        <v>-54632</v>
      </c>
      <c r="CA108" s="141">
        <v>0</v>
      </c>
      <c r="CB108" s="141">
        <v>-54632</v>
      </c>
      <c r="CC108" s="141">
        <v>-1084</v>
      </c>
      <c r="CD108" s="141">
        <v>0</v>
      </c>
      <c r="CE108" s="141">
        <v>-1084</v>
      </c>
      <c r="CF108" s="141">
        <v>0</v>
      </c>
      <c r="CG108" s="141">
        <v>0</v>
      </c>
      <c r="CH108" s="141">
        <v>0</v>
      </c>
      <c r="CI108" s="141">
        <v>-4812</v>
      </c>
      <c r="CJ108" s="141">
        <v>0</v>
      </c>
      <c r="CK108" s="141">
        <v>-4812</v>
      </c>
      <c r="CL108" s="141">
        <v>0</v>
      </c>
      <c r="CM108" s="141">
        <v>0</v>
      </c>
      <c r="CN108" s="141">
        <v>0</v>
      </c>
      <c r="CO108" s="141">
        <v>0</v>
      </c>
      <c r="CP108" s="141">
        <v>0</v>
      </c>
      <c r="CQ108" s="141">
        <v>-88410</v>
      </c>
      <c r="CR108" s="141">
        <v>0</v>
      </c>
      <c r="CS108" s="141">
        <v>0</v>
      </c>
      <c r="CT108" s="141">
        <v>0</v>
      </c>
      <c r="CU108" s="141">
        <v>-88410</v>
      </c>
      <c r="CV108" s="141">
        <v>0</v>
      </c>
      <c r="CW108" s="141">
        <v>-88410</v>
      </c>
      <c r="CX108" s="141">
        <v>-25376</v>
      </c>
      <c r="CY108" s="141">
        <v>0</v>
      </c>
      <c r="CZ108" s="141">
        <v>-25376</v>
      </c>
      <c r="DA108" s="141">
        <v>0</v>
      </c>
      <c r="DB108" s="141">
        <v>0</v>
      </c>
      <c r="DC108" s="141">
        <v>0</v>
      </c>
      <c r="DD108" s="141">
        <v>-21321</v>
      </c>
      <c r="DE108" s="141">
        <v>0</v>
      </c>
      <c r="DF108" s="141">
        <v>-21321</v>
      </c>
      <c r="DG108" s="141">
        <v>-31917</v>
      </c>
      <c r="DH108" s="141">
        <v>0</v>
      </c>
      <c r="DI108" s="141">
        <v>-31917</v>
      </c>
      <c r="DJ108" s="141">
        <v>0</v>
      </c>
      <c r="DK108" s="141">
        <v>0</v>
      </c>
      <c r="DL108" s="141">
        <v>0</v>
      </c>
      <c r="DM108" s="141">
        <v>-639349</v>
      </c>
      <c r="DN108" s="141">
        <v>0</v>
      </c>
      <c r="DO108" s="141">
        <v>-639349</v>
      </c>
      <c r="DP108" s="141">
        <v>-717963</v>
      </c>
      <c r="DQ108" s="141">
        <v>0</v>
      </c>
      <c r="DR108" s="141">
        <v>0</v>
      </c>
      <c r="DS108" s="141">
        <v>0</v>
      </c>
      <c r="DT108" s="141">
        <v>-717963</v>
      </c>
      <c r="DU108" s="141">
        <v>0</v>
      </c>
      <c r="DV108" s="141">
        <v>-717963</v>
      </c>
      <c r="DW108" s="856">
        <v>25690301</v>
      </c>
      <c r="DX108" s="856">
        <v>0</v>
      </c>
      <c r="DY108" s="857">
        <v>25690301</v>
      </c>
      <c r="DZ108" t="s">
        <v>1674</v>
      </c>
    </row>
    <row r="109" spans="1:130" ht="12.75" x14ac:dyDescent="0.2">
      <c r="A109" s="764">
        <v>102</v>
      </c>
      <c r="B109" s="765" t="s">
        <v>345</v>
      </c>
      <c r="C109" s="766" t="s">
        <v>1217</v>
      </c>
      <c r="D109" s="767" t="s">
        <v>1221</v>
      </c>
      <c r="E109" s="768" t="s">
        <v>1142</v>
      </c>
      <c r="F109" s="867">
        <v>43465</v>
      </c>
      <c r="G109" s="141">
        <v>76876544</v>
      </c>
      <c r="H109" s="141">
        <v>0</v>
      </c>
      <c r="I109" s="141">
        <v>76876544</v>
      </c>
      <c r="J109" s="141">
        <v>49.1</v>
      </c>
      <c r="K109" s="141">
        <v>37746383</v>
      </c>
      <c r="L109" s="141">
        <v>0</v>
      </c>
      <c r="M109" s="141">
        <v>377464</v>
      </c>
      <c r="N109" s="141">
        <v>0</v>
      </c>
      <c r="O109" s="141">
        <v>38123847</v>
      </c>
      <c r="P109" s="141">
        <v>0</v>
      </c>
      <c r="Q109" s="141">
        <v>38123847</v>
      </c>
      <c r="R109" s="141">
        <v>-490861</v>
      </c>
      <c r="S109" s="141">
        <v>0</v>
      </c>
      <c r="T109" s="141">
        <v>-490861</v>
      </c>
      <c r="U109" s="141">
        <v>844574</v>
      </c>
      <c r="V109" s="141">
        <v>0</v>
      </c>
      <c r="W109" s="141">
        <v>844574</v>
      </c>
      <c r="X109" s="141">
        <v>353713</v>
      </c>
      <c r="Y109" s="141">
        <v>0</v>
      </c>
      <c r="Z109" s="141">
        <v>-28297</v>
      </c>
      <c r="AA109" s="141">
        <v>0</v>
      </c>
      <c r="AB109" s="141">
        <v>325416</v>
      </c>
      <c r="AC109" s="141">
        <v>0</v>
      </c>
      <c r="AD109" s="141">
        <v>325416</v>
      </c>
      <c r="AE109" s="141">
        <v>-325416</v>
      </c>
      <c r="AF109" s="141">
        <v>0</v>
      </c>
      <c r="AG109" s="141">
        <v>-325416</v>
      </c>
      <c r="AH109" s="141">
        <v>-4212154</v>
      </c>
      <c r="AI109" s="141">
        <v>0</v>
      </c>
      <c r="AJ109" s="141">
        <v>-4212154</v>
      </c>
      <c r="AK109" s="141">
        <v>-21256</v>
      </c>
      <c r="AL109" s="141">
        <v>0</v>
      </c>
      <c r="AM109" s="141">
        <v>-21256</v>
      </c>
      <c r="AN109" s="141">
        <v>660879</v>
      </c>
      <c r="AO109" s="141">
        <v>0</v>
      </c>
      <c r="AP109" s="141">
        <v>660879</v>
      </c>
      <c r="AQ109" s="141">
        <v>-3551275</v>
      </c>
      <c r="AR109" s="141">
        <v>0</v>
      </c>
      <c r="AS109" s="141">
        <v>-3551275</v>
      </c>
      <c r="AT109" s="141">
        <v>-2857119</v>
      </c>
      <c r="AU109" s="141">
        <v>0</v>
      </c>
      <c r="AV109" s="141">
        <v>-2857119</v>
      </c>
      <c r="AW109" s="141">
        <v>-88468</v>
      </c>
      <c r="AX109" s="141">
        <v>0</v>
      </c>
      <c r="AY109" s="141">
        <v>-88468</v>
      </c>
      <c r="AZ109" s="141">
        <v>-19888</v>
      </c>
      <c r="BA109" s="141">
        <v>0</v>
      </c>
      <c r="BB109" s="141">
        <v>-19888</v>
      </c>
      <c r="BC109" s="141">
        <v>-6516750</v>
      </c>
      <c r="BD109" s="141">
        <v>0</v>
      </c>
      <c r="BE109" s="141">
        <v>-65168</v>
      </c>
      <c r="BF109" s="141">
        <v>0</v>
      </c>
      <c r="BG109" s="141">
        <v>-6581918</v>
      </c>
      <c r="BH109" s="141">
        <v>0</v>
      </c>
      <c r="BI109" s="141">
        <v>-6581918</v>
      </c>
      <c r="BJ109" s="141">
        <v>-13770</v>
      </c>
      <c r="BK109" s="141">
        <v>0</v>
      </c>
      <c r="BL109" s="141">
        <v>-13770</v>
      </c>
      <c r="BM109" s="141">
        <v>-994340</v>
      </c>
      <c r="BN109" s="141">
        <v>0</v>
      </c>
      <c r="BO109" s="141">
        <v>-994340</v>
      </c>
      <c r="BP109" s="141">
        <v>-1008110</v>
      </c>
      <c r="BQ109" s="141">
        <v>0</v>
      </c>
      <c r="BR109" s="141">
        <v>-88714</v>
      </c>
      <c r="BS109" s="141">
        <v>0</v>
      </c>
      <c r="BT109" s="141">
        <v>-1096824</v>
      </c>
      <c r="BU109" s="141">
        <v>0</v>
      </c>
      <c r="BV109" s="141">
        <v>-1096824</v>
      </c>
      <c r="BW109" s="141">
        <v>-75727</v>
      </c>
      <c r="BX109" s="141">
        <v>0</v>
      </c>
      <c r="BY109" s="141">
        <v>-75727</v>
      </c>
      <c r="BZ109" s="141">
        <v>-6085</v>
      </c>
      <c r="CA109" s="141">
        <v>0</v>
      </c>
      <c r="CB109" s="141">
        <v>-6085</v>
      </c>
      <c r="CC109" s="141">
        <v>-1434</v>
      </c>
      <c r="CD109" s="141">
        <v>0</v>
      </c>
      <c r="CE109" s="141">
        <v>-1434</v>
      </c>
      <c r="CF109" s="141">
        <v>0</v>
      </c>
      <c r="CG109" s="141">
        <v>0</v>
      </c>
      <c r="CH109" s="141">
        <v>0</v>
      </c>
      <c r="CI109" s="141">
        <v>0</v>
      </c>
      <c r="CJ109" s="141">
        <v>0</v>
      </c>
      <c r="CK109" s="141">
        <v>0</v>
      </c>
      <c r="CL109" s="141">
        <v>0</v>
      </c>
      <c r="CM109" s="141">
        <v>0</v>
      </c>
      <c r="CN109" s="141">
        <v>0</v>
      </c>
      <c r="CO109" s="141">
        <v>0</v>
      </c>
      <c r="CP109" s="141">
        <v>0</v>
      </c>
      <c r="CQ109" s="141">
        <v>-83246</v>
      </c>
      <c r="CR109" s="141">
        <v>0</v>
      </c>
      <c r="CS109" s="141">
        <v>-2830</v>
      </c>
      <c r="CT109" s="141">
        <v>0</v>
      </c>
      <c r="CU109" s="141">
        <v>-86076</v>
      </c>
      <c r="CV109" s="141">
        <v>0</v>
      </c>
      <c r="CW109" s="141">
        <v>-86076</v>
      </c>
      <c r="CX109" s="141">
        <v>-19888</v>
      </c>
      <c r="CY109" s="141">
        <v>0</v>
      </c>
      <c r="CZ109" s="141">
        <v>-19888</v>
      </c>
      <c r="DA109" s="141">
        <v>0</v>
      </c>
      <c r="DB109" s="141">
        <v>0</v>
      </c>
      <c r="DC109" s="141">
        <v>0</v>
      </c>
      <c r="DD109" s="141">
        <v>-30660</v>
      </c>
      <c r="DE109" s="141">
        <v>0</v>
      </c>
      <c r="DF109" s="141">
        <v>-30660</v>
      </c>
      <c r="DG109" s="141">
        <v>-32202</v>
      </c>
      <c r="DH109" s="141">
        <v>0</v>
      </c>
      <c r="DI109" s="141">
        <v>-32202</v>
      </c>
      <c r="DJ109" s="141">
        <v>0</v>
      </c>
      <c r="DK109" s="141">
        <v>0</v>
      </c>
      <c r="DL109" s="141">
        <v>0</v>
      </c>
      <c r="DM109" s="141">
        <v>-1038712</v>
      </c>
      <c r="DN109" s="141">
        <v>0</v>
      </c>
      <c r="DO109" s="141">
        <v>-1038712</v>
      </c>
      <c r="DP109" s="141">
        <v>-1121462</v>
      </c>
      <c r="DQ109" s="141">
        <v>0</v>
      </c>
      <c r="DR109" s="141">
        <v>-56073</v>
      </c>
      <c r="DS109" s="141">
        <v>0</v>
      </c>
      <c r="DT109" s="141">
        <v>-1177535</v>
      </c>
      <c r="DU109" s="141">
        <v>0</v>
      </c>
      <c r="DV109" s="141">
        <v>-1177535</v>
      </c>
      <c r="DW109" s="856">
        <v>29506910</v>
      </c>
      <c r="DX109" s="856">
        <v>0</v>
      </c>
      <c r="DY109" s="857">
        <v>29506910</v>
      </c>
      <c r="DZ109" t="s">
        <v>1675</v>
      </c>
    </row>
    <row r="110" spans="1:130" ht="12.75" x14ac:dyDescent="0.2">
      <c r="A110" s="764">
        <v>103</v>
      </c>
      <c r="B110" s="765" t="s">
        <v>92</v>
      </c>
      <c r="C110" s="766" t="s">
        <v>1217</v>
      </c>
      <c r="D110" s="767" t="s">
        <v>1226</v>
      </c>
      <c r="E110" s="768" t="s">
        <v>91</v>
      </c>
      <c r="F110" s="867">
        <v>43481</v>
      </c>
      <c r="G110" s="141">
        <v>39745761</v>
      </c>
      <c r="H110" s="141">
        <v>0</v>
      </c>
      <c r="I110" s="141">
        <v>39745761</v>
      </c>
      <c r="J110" s="141">
        <v>49.1</v>
      </c>
      <c r="K110" s="141">
        <v>19515169</v>
      </c>
      <c r="L110" s="141">
        <v>0</v>
      </c>
      <c r="M110" s="141">
        <v>123327</v>
      </c>
      <c r="N110" s="141">
        <v>0</v>
      </c>
      <c r="O110" s="141">
        <v>19638496</v>
      </c>
      <c r="P110" s="141">
        <v>0</v>
      </c>
      <c r="Q110" s="141">
        <v>19638496</v>
      </c>
      <c r="R110" s="141">
        <v>-507080</v>
      </c>
      <c r="S110" s="141">
        <v>0</v>
      </c>
      <c r="T110" s="141">
        <v>-507080</v>
      </c>
      <c r="U110" s="141">
        <v>62578</v>
      </c>
      <c r="V110" s="141">
        <v>0</v>
      </c>
      <c r="W110" s="141">
        <v>62578</v>
      </c>
      <c r="X110" s="141">
        <v>-444502</v>
      </c>
      <c r="Y110" s="141">
        <v>0</v>
      </c>
      <c r="Z110" s="141">
        <v>0</v>
      </c>
      <c r="AA110" s="141">
        <v>0</v>
      </c>
      <c r="AB110" s="141">
        <v>-444502</v>
      </c>
      <c r="AC110" s="141">
        <v>0</v>
      </c>
      <c r="AD110" s="141">
        <v>-444502</v>
      </c>
      <c r="AE110" s="141">
        <v>444502</v>
      </c>
      <c r="AF110" s="141">
        <v>0</v>
      </c>
      <c r="AG110" s="141">
        <v>444502</v>
      </c>
      <c r="AH110" s="141">
        <v>-3504646</v>
      </c>
      <c r="AI110" s="141">
        <v>0</v>
      </c>
      <c r="AJ110" s="141">
        <v>-3504646</v>
      </c>
      <c r="AK110" s="141">
        <v>-5698</v>
      </c>
      <c r="AL110" s="141">
        <v>0</v>
      </c>
      <c r="AM110" s="141">
        <v>-5698</v>
      </c>
      <c r="AN110" s="141">
        <v>281399</v>
      </c>
      <c r="AO110" s="141">
        <v>0</v>
      </c>
      <c r="AP110" s="141">
        <v>281399</v>
      </c>
      <c r="AQ110" s="141">
        <v>-3223247</v>
      </c>
      <c r="AR110" s="141">
        <v>0</v>
      </c>
      <c r="AS110" s="141">
        <v>-3223247</v>
      </c>
      <c r="AT110" s="141">
        <v>-1827405</v>
      </c>
      <c r="AU110" s="141">
        <v>0</v>
      </c>
      <c r="AV110" s="141">
        <v>-1827405</v>
      </c>
      <c r="AW110" s="141">
        <v>-7166</v>
      </c>
      <c r="AX110" s="141">
        <v>0</v>
      </c>
      <c r="AY110" s="141">
        <v>-7166</v>
      </c>
      <c r="AZ110" s="141">
        <v>-41130</v>
      </c>
      <c r="BA110" s="141">
        <v>0</v>
      </c>
      <c r="BB110" s="141">
        <v>-41130</v>
      </c>
      <c r="BC110" s="141">
        <v>-5098948</v>
      </c>
      <c r="BD110" s="141">
        <v>0</v>
      </c>
      <c r="BE110" s="141">
        <v>240122</v>
      </c>
      <c r="BF110" s="141">
        <v>0</v>
      </c>
      <c r="BG110" s="141">
        <v>-4858826</v>
      </c>
      <c r="BH110" s="141">
        <v>0</v>
      </c>
      <c r="BI110" s="141">
        <v>-4858826</v>
      </c>
      <c r="BJ110" s="141">
        <v>-10000</v>
      </c>
      <c r="BK110" s="141">
        <v>0</v>
      </c>
      <c r="BL110" s="141">
        <v>-10000</v>
      </c>
      <c r="BM110" s="141">
        <v>-476101</v>
      </c>
      <c r="BN110" s="141">
        <v>0</v>
      </c>
      <c r="BO110" s="141">
        <v>-476101</v>
      </c>
      <c r="BP110" s="141">
        <v>-486101</v>
      </c>
      <c r="BQ110" s="141">
        <v>0</v>
      </c>
      <c r="BR110" s="141">
        <v>0</v>
      </c>
      <c r="BS110" s="141">
        <v>0</v>
      </c>
      <c r="BT110" s="141">
        <v>-486101</v>
      </c>
      <c r="BU110" s="141">
        <v>0</v>
      </c>
      <c r="BV110" s="141">
        <v>-486101</v>
      </c>
      <c r="BW110" s="141">
        <v>-36728</v>
      </c>
      <c r="BX110" s="141">
        <v>0</v>
      </c>
      <c r="BY110" s="141">
        <v>-36728</v>
      </c>
      <c r="BZ110" s="141">
        <v>-7158</v>
      </c>
      <c r="CA110" s="141">
        <v>0</v>
      </c>
      <c r="CB110" s="141">
        <v>-7158</v>
      </c>
      <c r="CC110" s="141">
        <v>0</v>
      </c>
      <c r="CD110" s="141">
        <v>0</v>
      </c>
      <c r="CE110" s="141">
        <v>0</v>
      </c>
      <c r="CF110" s="141">
        <v>0</v>
      </c>
      <c r="CG110" s="141">
        <v>0</v>
      </c>
      <c r="CH110" s="141">
        <v>0</v>
      </c>
      <c r="CI110" s="141">
        <v>0</v>
      </c>
      <c r="CJ110" s="141">
        <v>0</v>
      </c>
      <c r="CK110" s="141">
        <v>0</v>
      </c>
      <c r="CL110" s="141">
        <v>0</v>
      </c>
      <c r="CM110" s="141">
        <v>0</v>
      </c>
      <c r="CN110" s="141">
        <v>0</v>
      </c>
      <c r="CO110" s="141">
        <v>0</v>
      </c>
      <c r="CP110" s="141">
        <v>0</v>
      </c>
      <c r="CQ110" s="141">
        <v>-43886</v>
      </c>
      <c r="CR110" s="141">
        <v>0</v>
      </c>
      <c r="CS110" s="141">
        <v>-490</v>
      </c>
      <c r="CT110" s="141">
        <v>0</v>
      </c>
      <c r="CU110" s="141">
        <v>-44376</v>
      </c>
      <c r="CV110" s="141">
        <v>0</v>
      </c>
      <c r="CW110" s="141">
        <v>-44376</v>
      </c>
      <c r="CX110" s="141">
        <v>-41130</v>
      </c>
      <c r="CY110" s="141">
        <v>0</v>
      </c>
      <c r="CZ110" s="141">
        <v>-41130</v>
      </c>
      <c r="DA110" s="141">
        <v>-1500</v>
      </c>
      <c r="DB110" s="141">
        <v>0</v>
      </c>
      <c r="DC110" s="141">
        <v>-1500</v>
      </c>
      <c r="DD110" s="141">
        <v>-15778</v>
      </c>
      <c r="DE110" s="141">
        <v>0</v>
      </c>
      <c r="DF110" s="141">
        <v>-15778</v>
      </c>
      <c r="DG110" s="141">
        <v>-33704</v>
      </c>
      <c r="DH110" s="141">
        <v>0</v>
      </c>
      <c r="DI110" s="141">
        <v>-33704</v>
      </c>
      <c r="DJ110" s="141">
        <v>0</v>
      </c>
      <c r="DK110" s="141">
        <v>0</v>
      </c>
      <c r="DL110" s="141">
        <v>0</v>
      </c>
      <c r="DM110" s="141">
        <v>-309138</v>
      </c>
      <c r="DN110" s="141">
        <v>0</v>
      </c>
      <c r="DO110" s="141">
        <v>-309138</v>
      </c>
      <c r="DP110" s="141">
        <v>-401250</v>
      </c>
      <c r="DQ110" s="141">
        <v>0</v>
      </c>
      <c r="DR110" s="141">
        <v>4730</v>
      </c>
      <c r="DS110" s="141">
        <v>0</v>
      </c>
      <c r="DT110" s="141">
        <v>-396520</v>
      </c>
      <c r="DU110" s="141">
        <v>0</v>
      </c>
      <c r="DV110" s="141">
        <v>-396520</v>
      </c>
      <c r="DW110" s="856">
        <v>13408171</v>
      </c>
      <c r="DX110" s="856">
        <v>0</v>
      </c>
      <c r="DY110" s="857">
        <v>13408171</v>
      </c>
      <c r="DZ110" t="s">
        <v>1676</v>
      </c>
    </row>
    <row r="111" spans="1:130" ht="12.75" x14ac:dyDescent="0.2">
      <c r="A111" s="764">
        <v>104</v>
      </c>
      <c r="B111" s="765" t="s">
        <v>94</v>
      </c>
      <c r="C111" s="766" t="s">
        <v>1217</v>
      </c>
      <c r="D111" s="767" t="s">
        <v>1219</v>
      </c>
      <c r="E111" s="768" t="s">
        <v>93</v>
      </c>
      <c r="F111" s="867">
        <v>43475</v>
      </c>
      <c r="G111" s="141">
        <v>60641365</v>
      </c>
      <c r="H111" s="141">
        <v>6475820</v>
      </c>
      <c r="I111" s="141">
        <v>67117185</v>
      </c>
      <c r="J111" s="141">
        <v>49.1</v>
      </c>
      <c r="K111" s="141">
        <v>29774910</v>
      </c>
      <c r="L111" s="141">
        <v>3179628</v>
      </c>
      <c r="M111" s="141">
        <v>-6683</v>
      </c>
      <c r="N111" s="141">
        <v>34809</v>
      </c>
      <c r="O111" s="141">
        <v>29768227</v>
      </c>
      <c r="P111" s="141">
        <v>3214437</v>
      </c>
      <c r="Q111" s="141">
        <v>32982664</v>
      </c>
      <c r="R111" s="141">
        <v>-208174</v>
      </c>
      <c r="S111" s="141">
        <v>-273</v>
      </c>
      <c r="T111" s="141">
        <v>-208447</v>
      </c>
      <c r="U111" s="141">
        <v>250079</v>
      </c>
      <c r="V111" s="141">
        <v>34466</v>
      </c>
      <c r="W111" s="141">
        <v>284545</v>
      </c>
      <c r="X111" s="141">
        <v>41905</v>
      </c>
      <c r="Y111" s="141">
        <v>34193</v>
      </c>
      <c r="Z111" s="141">
        <v>-6182</v>
      </c>
      <c r="AA111" s="141">
        <v>-5044</v>
      </c>
      <c r="AB111" s="141">
        <v>35723</v>
      </c>
      <c r="AC111" s="141">
        <v>29149</v>
      </c>
      <c r="AD111" s="141">
        <v>64872</v>
      </c>
      <c r="AE111" s="141">
        <v>-35723</v>
      </c>
      <c r="AF111" s="141">
        <v>-29149</v>
      </c>
      <c r="AG111" s="141">
        <v>-64872</v>
      </c>
      <c r="AH111" s="141">
        <v>-3578021</v>
      </c>
      <c r="AI111" s="141">
        <v>-33751</v>
      </c>
      <c r="AJ111" s="141">
        <v>-3611772</v>
      </c>
      <c r="AK111" s="141">
        <v>-3584</v>
      </c>
      <c r="AL111" s="141">
        <v>0</v>
      </c>
      <c r="AM111" s="141">
        <v>-3584</v>
      </c>
      <c r="AN111" s="141">
        <v>516836</v>
      </c>
      <c r="AO111" s="141">
        <v>73182</v>
      </c>
      <c r="AP111" s="141">
        <v>590018</v>
      </c>
      <c r="AQ111" s="141">
        <v>-3061185</v>
      </c>
      <c r="AR111" s="141">
        <v>39431</v>
      </c>
      <c r="AS111" s="141">
        <v>-3021754</v>
      </c>
      <c r="AT111" s="141">
        <v>-1302689</v>
      </c>
      <c r="AU111" s="141">
        <v>-47457</v>
      </c>
      <c r="AV111" s="141">
        <v>-1350146</v>
      </c>
      <c r="AW111" s="141">
        <v>-7933</v>
      </c>
      <c r="AX111" s="141">
        <v>0</v>
      </c>
      <c r="AY111" s="141">
        <v>-7933</v>
      </c>
      <c r="AZ111" s="141">
        <v>-7208</v>
      </c>
      <c r="BA111" s="141">
        <v>0</v>
      </c>
      <c r="BB111" s="141">
        <v>-7208</v>
      </c>
      <c r="BC111" s="141">
        <v>-4379015</v>
      </c>
      <c r="BD111" s="141">
        <v>-8026</v>
      </c>
      <c r="BE111" s="141">
        <v>-171212</v>
      </c>
      <c r="BF111" s="141">
        <v>-1910</v>
      </c>
      <c r="BG111" s="141">
        <v>-4550227</v>
      </c>
      <c r="BH111" s="141">
        <v>-9936</v>
      </c>
      <c r="BI111" s="141">
        <v>-4560163</v>
      </c>
      <c r="BJ111" s="141">
        <v>-15000</v>
      </c>
      <c r="BK111" s="141">
        <v>-5000</v>
      </c>
      <c r="BL111" s="141">
        <v>-20000</v>
      </c>
      <c r="BM111" s="141">
        <v>-488948</v>
      </c>
      <c r="BN111" s="141">
        <v>0</v>
      </c>
      <c r="BO111" s="141">
        <v>-488948</v>
      </c>
      <c r="BP111" s="141">
        <v>-503948</v>
      </c>
      <c r="BQ111" s="141">
        <v>-5000</v>
      </c>
      <c r="BR111" s="141">
        <v>-224790</v>
      </c>
      <c r="BS111" s="141">
        <v>0</v>
      </c>
      <c r="BT111" s="141">
        <v>-728738</v>
      </c>
      <c r="BU111" s="141">
        <v>-5000</v>
      </c>
      <c r="BV111" s="141">
        <v>-733738</v>
      </c>
      <c r="BW111" s="141">
        <v>-55350</v>
      </c>
      <c r="BX111" s="141">
        <v>-272</v>
      </c>
      <c r="BY111" s="141">
        <v>-55622</v>
      </c>
      <c r="BZ111" s="141">
        <v>-20817</v>
      </c>
      <c r="CA111" s="141">
        <v>0</v>
      </c>
      <c r="CB111" s="141">
        <v>-20817</v>
      </c>
      <c r="CC111" s="141">
        <v>-1095</v>
      </c>
      <c r="CD111" s="141">
        <v>0</v>
      </c>
      <c r="CE111" s="141">
        <v>-1095</v>
      </c>
      <c r="CF111" s="141">
        <v>-2884</v>
      </c>
      <c r="CG111" s="141">
        <v>0</v>
      </c>
      <c r="CH111" s="141">
        <v>-2884</v>
      </c>
      <c r="CI111" s="141">
        <v>0</v>
      </c>
      <c r="CJ111" s="141">
        <v>0</v>
      </c>
      <c r="CK111" s="141">
        <v>0</v>
      </c>
      <c r="CL111" s="141">
        <v>0</v>
      </c>
      <c r="CM111" s="141">
        <v>-259239</v>
      </c>
      <c r="CN111" s="141">
        <v>-259239</v>
      </c>
      <c r="CO111" s="141">
        <v>-259239</v>
      </c>
      <c r="CP111" s="141">
        <v>0</v>
      </c>
      <c r="CQ111" s="141">
        <v>-80146</v>
      </c>
      <c r="CR111" s="141">
        <v>-259511</v>
      </c>
      <c r="CS111" s="141">
        <v>12806</v>
      </c>
      <c r="CT111" s="141">
        <v>-72620</v>
      </c>
      <c r="CU111" s="141">
        <v>-67340</v>
      </c>
      <c r="CV111" s="141">
        <v>-332131</v>
      </c>
      <c r="CW111" s="141">
        <v>-399471</v>
      </c>
      <c r="CX111" s="141">
        <v>-4323</v>
      </c>
      <c r="CY111" s="141">
        <v>0</v>
      </c>
      <c r="CZ111" s="141">
        <v>-4323</v>
      </c>
      <c r="DA111" s="141">
        <v>-1500</v>
      </c>
      <c r="DB111" s="141">
        <v>0</v>
      </c>
      <c r="DC111" s="141">
        <v>-1500</v>
      </c>
      <c r="DD111" s="141">
        <v>-13209</v>
      </c>
      <c r="DE111" s="141">
        <v>0</v>
      </c>
      <c r="DF111" s="141">
        <v>-13209</v>
      </c>
      <c r="DG111" s="141">
        <v>-25183</v>
      </c>
      <c r="DH111" s="141">
        <v>0</v>
      </c>
      <c r="DI111" s="141">
        <v>-25183</v>
      </c>
      <c r="DJ111" s="141">
        <v>0</v>
      </c>
      <c r="DK111" s="141">
        <v>0</v>
      </c>
      <c r="DL111" s="141">
        <v>0</v>
      </c>
      <c r="DM111" s="141">
        <v>-563653</v>
      </c>
      <c r="DN111" s="141">
        <v>0</v>
      </c>
      <c r="DO111" s="141">
        <v>-563653</v>
      </c>
      <c r="DP111" s="141">
        <v>-607868</v>
      </c>
      <c r="DQ111" s="141">
        <v>0</v>
      </c>
      <c r="DR111" s="141">
        <v>0</v>
      </c>
      <c r="DS111" s="141">
        <v>0</v>
      </c>
      <c r="DT111" s="141">
        <v>-607868</v>
      </c>
      <c r="DU111" s="141">
        <v>0</v>
      </c>
      <c r="DV111" s="141">
        <v>-607868</v>
      </c>
      <c r="DW111" s="856">
        <v>23849777</v>
      </c>
      <c r="DX111" s="856">
        <v>2896519</v>
      </c>
      <c r="DY111" s="857">
        <v>26746296</v>
      </c>
      <c r="DZ111" t="s">
        <v>1677</v>
      </c>
    </row>
    <row r="112" spans="1:130" ht="12.75" x14ac:dyDescent="0.2">
      <c r="A112" s="764">
        <v>105</v>
      </c>
      <c r="B112" s="765" t="s">
        <v>96</v>
      </c>
      <c r="C112" s="766" t="s">
        <v>1224</v>
      </c>
      <c r="D112" s="767" t="s">
        <v>1229</v>
      </c>
      <c r="E112" s="768" t="s">
        <v>95</v>
      </c>
      <c r="F112" s="867">
        <v>43474</v>
      </c>
      <c r="G112" s="141">
        <v>212877681</v>
      </c>
      <c r="H112" s="141">
        <v>6588075</v>
      </c>
      <c r="I112" s="141">
        <v>219465756</v>
      </c>
      <c r="J112" s="141">
        <v>49.1</v>
      </c>
      <c r="K112" s="141">
        <v>104522941</v>
      </c>
      <c r="L112" s="141">
        <v>3234745</v>
      </c>
      <c r="M112" s="141">
        <v>0</v>
      </c>
      <c r="N112" s="141">
        <v>251784</v>
      </c>
      <c r="O112" s="141">
        <v>104522941</v>
      </c>
      <c r="P112" s="141">
        <v>3486529</v>
      </c>
      <c r="Q112" s="141">
        <v>108009470</v>
      </c>
      <c r="R112" s="141">
        <v>-1222931</v>
      </c>
      <c r="S112" s="141">
        <v>-23733</v>
      </c>
      <c r="T112" s="141">
        <v>-1246664</v>
      </c>
      <c r="U112" s="141">
        <v>2741223</v>
      </c>
      <c r="V112" s="141">
        <v>40303</v>
      </c>
      <c r="W112" s="141">
        <v>2781526</v>
      </c>
      <c r="X112" s="141">
        <v>1518292</v>
      </c>
      <c r="Y112" s="141">
        <v>16570</v>
      </c>
      <c r="Z112" s="141">
        <v>0</v>
      </c>
      <c r="AA112" s="141">
        <v>0</v>
      </c>
      <c r="AB112" s="141">
        <v>1518292</v>
      </c>
      <c r="AC112" s="141">
        <v>16570</v>
      </c>
      <c r="AD112" s="141">
        <v>1534862</v>
      </c>
      <c r="AE112" s="141">
        <v>-1518292</v>
      </c>
      <c r="AF112" s="141">
        <v>-16570</v>
      </c>
      <c r="AG112" s="141">
        <v>-1534862</v>
      </c>
      <c r="AH112" s="141">
        <v>-6196254</v>
      </c>
      <c r="AI112" s="141">
        <v>-116320</v>
      </c>
      <c r="AJ112" s="141">
        <v>-6312574</v>
      </c>
      <c r="AK112" s="141">
        <v>-9059</v>
      </c>
      <c r="AL112" s="141">
        <v>0</v>
      </c>
      <c r="AM112" s="141">
        <v>-9059</v>
      </c>
      <c r="AN112" s="141">
        <v>2108771</v>
      </c>
      <c r="AO112" s="141">
        <v>70137</v>
      </c>
      <c r="AP112" s="141">
        <v>2178908</v>
      </c>
      <c r="AQ112" s="141">
        <v>-4087483</v>
      </c>
      <c r="AR112" s="141">
        <v>-46183</v>
      </c>
      <c r="AS112" s="141">
        <v>-4133666</v>
      </c>
      <c r="AT112" s="141">
        <v>-3607275</v>
      </c>
      <c r="AU112" s="141">
        <v>-994887</v>
      </c>
      <c r="AV112" s="141">
        <v>-4602162</v>
      </c>
      <c r="AW112" s="141">
        <v>-92181</v>
      </c>
      <c r="AX112" s="141">
        <v>0</v>
      </c>
      <c r="AY112" s="141">
        <v>-92181</v>
      </c>
      <c r="AZ112" s="141">
        <v>-6452</v>
      </c>
      <c r="BA112" s="141">
        <v>0</v>
      </c>
      <c r="BB112" s="141">
        <v>-6452</v>
      </c>
      <c r="BC112" s="141">
        <v>-7793391</v>
      </c>
      <c r="BD112" s="141">
        <v>-1041070</v>
      </c>
      <c r="BE112" s="141">
        <v>0</v>
      </c>
      <c r="BF112" s="141">
        <v>0</v>
      </c>
      <c r="BG112" s="141">
        <v>-7793391</v>
      </c>
      <c r="BH112" s="141">
        <v>-1041070</v>
      </c>
      <c r="BI112" s="141">
        <v>-8834461</v>
      </c>
      <c r="BJ112" s="141">
        <v>-38800</v>
      </c>
      <c r="BK112" s="141">
        <v>-1200</v>
      </c>
      <c r="BL112" s="141">
        <v>-40000</v>
      </c>
      <c r="BM112" s="141">
        <v>-6864916</v>
      </c>
      <c r="BN112" s="141">
        <v>-135084</v>
      </c>
      <c r="BO112" s="141">
        <v>-7000000</v>
      </c>
      <c r="BP112" s="141">
        <v>-6903716</v>
      </c>
      <c r="BQ112" s="141">
        <v>-136284</v>
      </c>
      <c r="BR112" s="141">
        <v>0</v>
      </c>
      <c r="BS112" s="141">
        <v>0</v>
      </c>
      <c r="BT112" s="141">
        <v>-6903716</v>
      </c>
      <c r="BU112" s="141">
        <v>-136284</v>
      </c>
      <c r="BV112" s="141">
        <v>-7040000</v>
      </c>
      <c r="BW112" s="141">
        <v>-71982</v>
      </c>
      <c r="BX112" s="141">
        <v>-665</v>
      </c>
      <c r="BY112" s="141">
        <v>-72647</v>
      </c>
      <c r="BZ112" s="141">
        <v>0</v>
      </c>
      <c r="CA112" s="141">
        <v>0</v>
      </c>
      <c r="CB112" s="141">
        <v>0</v>
      </c>
      <c r="CC112" s="141">
        <v>-776</v>
      </c>
      <c r="CD112" s="141">
        <v>0</v>
      </c>
      <c r="CE112" s="141">
        <v>-776</v>
      </c>
      <c r="CF112" s="141">
        <v>0</v>
      </c>
      <c r="CG112" s="141">
        <v>0</v>
      </c>
      <c r="CH112" s="141">
        <v>0</v>
      </c>
      <c r="CI112" s="141">
        <v>0</v>
      </c>
      <c r="CJ112" s="141">
        <v>0</v>
      </c>
      <c r="CK112" s="141">
        <v>0</v>
      </c>
      <c r="CL112" s="141">
        <v>0</v>
      </c>
      <c r="CM112" s="141">
        <v>0</v>
      </c>
      <c r="CN112" s="141">
        <v>0</v>
      </c>
      <c r="CO112" s="141">
        <v>0</v>
      </c>
      <c r="CP112" s="141">
        <v>0</v>
      </c>
      <c r="CQ112" s="141">
        <v>-72758</v>
      </c>
      <c r="CR112" s="141">
        <v>-665</v>
      </c>
      <c r="CS112" s="141">
        <v>0</v>
      </c>
      <c r="CT112" s="141">
        <v>0</v>
      </c>
      <c r="CU112" s="141">
        <v>-72758</v>
      </c>
      <c r="CV112" s="141">
        <v>-665</v>
      </c>
      <c r="CW112" s="141">
        <v>-73423</v>
      </c>
      <c r="CX112" s="141">
        <v>-6452</v>
      </c>
      <c r="CY112" s="141">
        <v>0</v>
      </c>
      <c r="CZ112" s="141">
        <v>-6452</v>
      </c>
      <c r="DA112" s="141">
        <v>0</v>
      </c>
      <c r="DB112" s="141">
        <v>0</v>
      </c>
      <c r="DC112" s="141">
        <v>0</v>
      </c>
      <c r="DD112" s="141">
        <v>-44380</v>
      </c>
      <c r="DE112" s="141">
        <v>0</v>
      </c>
      <c r="DF112" s="141">
        <v>-44380</v>
      </c>
      <c r="DG112" s="141">
        <v>-72500</v>
      </c>
      <c r="DH112" s="141">
        <v>-3500</v>
      </c>
      <c r="DI112" s="141">
        <v>-76000</v>
      </c>
      <c r="DJ112" s="141">
        <v>0</v>
      </c>
      <c r="DK112" s="141">
        <v>0</v>
      </c>
      <c r="DL112" s="141">
        <v>0</v>
      </c>
      <c r="DM112" s="141">
        <v>-1112490</v>
      </c>
      <c r="DN112" s="141">
        <v>-11510</v>
      </c>
      <c r="DO112" s="141">
        <v>-1124000</v>
      </c>
      <c r="DP112" s="141">
        <v>-1235822</v>
      </c>
      <c r="DQ112" s="141">
        <v>-15010</v>
      </c>
      <c r="DR112" s="141">
        <v>0</v>
      </c>
      <c r="DS112" s="141">
        <v>0</v>
      </c>
      <c r="DT112" s="141">
        <v>-1235822</v>
      </c>
      <c r="DU112" s="141">
        <v>-15010</v>
      </c>
      <c r="DV112" s="141">
        <v>-1250832</v>
      </c>
      <c r="DW112" s="856">
        <v>90035546</v>
      </c>
      <c r="DX112" s="856">
        <v>2310070</v>
      </c>
      <c r="DY112" s="857">
        <v>92345616</v>
      </c>
      <c r="DZ112" t="s">
        <v>1678</v>
      </c>
    </row>
    <row r="113" spans="1:130" ht="12.75" x14ac:dyDescent="0.2">
      <c r="A113" s="764">
        <v>106</v>
      </c>
      <c r="B113" s="765" t="s">
        <v>98</v>
      </c>
      <c r="C113" s="766" t="s">
        <v>1217</v>
      </c>
      <c r="D113" s="767" t="s">
        <v>1220</v>
      </c>
      <c r="E113" s="768" t="s">
        <v>97</v>
      </c>
      <c r="F113" s="867">
        <v>43493</v>
      </c>
      <c r="G113" s="141">
        <v>58593186</v>
      </c>
      <c r="H113" s="141">
        <v>0</v>
      </c>
      <c r="I113" s="141">
        <v>58593186</v>
      </c>
      <c r="J113" s="141">
        <v>49.1</v>
      </c>
      <c r="K113" s="141">
        <v>28769254</v>
      </c>
      <c r="L113" s="141">
        <v>0</v>
      </c>
      <c r="M113" s="141">
        <v>0</v>
      </c>
      <c r="N113" s="141">
        <v>0</v>
      </c>
      <c r="O113" s="141">
        <v>28769254</v>
      </c>
      <c r="P113" s="141">
        <v>0</v>
      </c>
      <c r="Q113" s="141">
        <v>28769254</v>
      </c>
      <c r="R113" s="141">
        <v>-382542.44</v>
      </c>
      <c r="S113" s="141">
        <v>0</v>
      </c>
      <c r="T113" s="141">
        <v>-382542.44</v>
      </c>
      <c r="U113" s="141">
        <v>88066.95</v>
      </c>
      <c r="V113" s="141">
        <v>0</v>
      </c>
      <c r="W113" s="141">
        <v>88066.95</v>
      </c>
      <c r="X113" s="141">
        <v>-294475.49</v>
      </c>
      <c r="Y113" s="141">
        <v>0</v>
      </c>
      <c r="Z113" s="141">
        <v>0</v>
      </c>
      <c r="AA113" s="141">
        <v>0</v>
      </c>
      <c r="AB113" s="141">
        <v>-294475.49</v>
      </c>
      <c r="AC113" s="141">
        <v>0</v>
      </c>
      <c r="AD113" s="141">
        <v>-294475.49</v>
      </c>
      <c r="AE113" s="141">
        <v>294475.49</v>
      </c>
      <c r="AF113" s="141">
        <v>0</v>
      </c>
      <c r="AG113" s="141">
        <v>294475.49</v>
      </c>
      <c r="AH113" s="141">
        <v>-2769107.94</v>
      </c>
      <c r="AI113" s="141">
        <v>0</v>
      </c>
      <c r="AJ113" s="141">
        <v>-2769107.94</v>
      </c>
      <c r="AK113" s="141">
        <v>0</v>
      </c>
      <c r="AL113" s="141">
        <v>0</v>
      </c>
      <c r="AM113" s="141">
        <v>0</v>
      </c>
      <c r="AN113" s="141">
        <v>494362.83</v>
      </c>
      <c r="AO113" s="141">
        <v>0</v>
      </c>
      <c r="AP113" s="141">
        <v>494362.83</v>
      </c>
      <c r="AQ113" s="141">
        <v>-2274745.11</v>
      </c>
      <c r="AR113" s="141">
        <v>0</v>
      </c>
      <c r="AS113" s="141">
        <v>-2274745.11</v>
      </c>
      <c r="AT113" s="141">
        <v>-1774567.54</v>
      </c>
      <c r="AU113" s="141">
        <v>0</v>
      </c>
      <c r="AV113" s="141">
        <v>-1774567.54</v>
      </c>
      <c r="AW113" s="141">
        <v>-48182.400000000001</v>
      </c>
      <c r="AX113" s="141">
        <v>0</v>
      </c>
      <c r="AY113" s="141">
        <v>-48182.400000000001</v>
      </c>
      <c r="AZ113" s="141">
        <v>0</v>
      </c>
      <c r="BA113" s="141">
        <v>0</v>
      </c>
      <c r="BB113" s="141">
        <v>0</v>
      </c>
      <c r="BC113" s="141">
        <v>-4097495.05</v>
      </c>
      <c r="BD113" s="141">
        <v>0</v>
      </c>
      <c r="BE113" s="141">
        <v>0</v>
      </c>
      <c r="BF113" s="141">
        <v>0</v>
      </c>
      <c r="BG113" s="141">
        <v>-4097495.05</v>
      </c>
      <c r="BH113" s="141">
        <v>0</v>
      </c>
      <c r="BI113" s="141">
        <v>-4097495.05</v>
      </c>
      <c r="BJ113" s="141">
        <v>0</v>
      </c>
      <c r="BK113" s="141">
        <v>0</v>
      </c>
      <c r="BL113" s="141">
        <v>0</v>
      </c>
      <c r="BM113" s="141">
        <v>-271048.53999999998</v>
      </c>
      <c r="BN113" s="141">
        <v>0</v>
      </c>
      <c r="BO113" s="141">
        <v>-271048.53999999998</v>
      </c>
      <c r="BP113" s="141">
        <v>-271048.53999999998</v>
      </c>
      <c r="BQ113" s="141">
        <v>0</v>
      </c>
      <c r="BR113" s="141">
        <v>0</v>
      </c>
      <c r="BS113" s="141">
        <v>0</v>
      </c>
      <c r="BT113" s="141">
        <v>-271048.53999999998</v>
      </c>
      <c r="BU113" s="141">
        <v>0</v>
      </c>
      <c r="BV113" s="141">
        <v>-271048.53999999998</v>
      </c>
      <c r="BW113" s="141">
        <v>-86541.81</v>
      </c>
      <c r="BX113" s="141">
        <v>0</v>
      </c>
      <c r="BY113" s="141">
        <v>-86541.81</v>
      </c>
      <c r="BZ113" s="141">
        <v>-47504.7</v>
      </c>
      <c r="CA113" s="141">
        <v>0</v>
      </c>
      <c r="CB113" s="141">
        <v>-47504.7</v>
      </c>
      <c r="CC113" s="141">
        <v>-5922</v>
      </c>
      <c r="CD113" s="141">
        <v>0</v>
      </c>
      <c r="CE113" s="141">
        <v>-5922</v>
      </c>
      <c r="CF113" s="141">
        <v>0</v>
      </c>
      <c r="CG113" s="141">
        <v>0</v>
      </c>
      <c r="CH113" s="141">
        <v>0</v>
      </c>
      <c r="CI113" s="141">
        <v>0</v>
      </c>
      <c r="CJ113" s="141">
        <v>0</v>
      </c>
      <c r="CK113" s="141">
        <v>0</v>
      </c>
      <c r="CL113" s="141">
        <v>0</v>
      </c>
      <c r="CM113" s="141">
        <v>0</v>
      </c>
      <c r="CN113" s="141">
        <v>0</v>
      </c>
      <c r="CO113" s="141">
        <v>0</v>
      </c>
      <c r="CP113" s="141">
        <v>0</v>
      </c>
      <c r="CQ113" s="141">
        <v>-139968.51</v>
      </c>
      <c r="CR113" s="141">
        <v>0</v>
      </c>
      <c r="CS113" s="141">
        <v>0</v>
      </c>
      <c r="CT113" s="141">
        <v>0</v>
      </c>
      <c r="CU113" s="141">
        <v>-139968.51</v>
      </c>
      <c r="CV113" s="141">
        <v>0</v>
      </c>
      <c r="CW113" s="141">
        <v>-139968.51</v>
      </c>
      <c r="CX113" s="141">
        <v>0</v>
      </c>
      <c r="CY113" s="141">
        <v>0</v>
      </c>
      <c r="CZ113" s="141">
        <v>0</v>
      </c>
      <c r="DA113" s="141">
        <v>0</v>
      </c>
      <c r="DB113" s="141">
        <v>0</v>
      </c>
      <c r="DC113" s="141">
        <v>0</v>
      </c>
      <c r="DD113" s="141">
        <v>-17820</v>
      </c>
      <c r="DE113" s="141">
        <v>0</v>
      </c>
      <c r="DF113" s="141">
        <v>-17820</v>
      </c>
      <c r="DG113" s="141">
        <v>-42612</v>
      </c>
      <c r="DH113" s="141">
        <v>0</v>
      </c>
      <c r="DI113" s="141">
        <v>-42612</v>
      </c>
      <c r="DJ113" s="141">
        <v>0</v>
      </c>
      <c r="DK113" s="141">
        <v>0</v>
      </c>
      <c r="DL113" s="141">
        <v>0</v>
      </c>
      <c r="DM113" s="141">
        <v>-560000</v>
      </c>
      <c r="DN113" s="141">
        <v>0</v>
      </c>
      <c r="DO113" s="141">
        <v>-560000</v>
      </c>
      <c r="DP113" s="141">
        <v>-620432</v>
      </c>
      <c r="DQ113" s="141">
        <v>0</v>
      </c>
      <c r="DR113" s="141">
        <v>0</v>
      </c>
      <c r="DS113" s="141">
        <v>0</v>
      </c>
      <c r="DT113" s="141">
        <v>-620432</v>
      </c>
      <c r="DU113" s="141">
        <v>0</v>
      </c>
      <c r="DV113" s="141">
        <v>-620432</v>
      </c>
      <c r="DW113" s="856">
        <v>23345834.41</v>
      </c>
      <c r="DX113" s="856">
        <v>0</v>
      </c>
      <c r="DY113" s="857">
        <v>23345834.41</v>
      </c>
      <c r="DZ113" t="s">
        <v>1679</v>
      </c>
    </row>
    <row r="114" spans="1:130" ht="12.75" x14ac:dyDescent="0.2">
      <c r="A114" s="764">
        <v>107</v>
      </c>
      <c r="B114" s="765" t="s">
        <v>100</v>
      </c>
      <c r="C114" s="766" t="s">
        <v>1217</v>
      </c>
      <c r="D114" s="767" t="s">
        <v>1226</v>
      </c>
      <c r="E114" s="768" t="s">
        <v>99</v>
      </c>
      <c r="F114" s="867">
        <v>43486</v>
      </c>
      <c r="G114" s="141">
        <v>127600124</v>
      </c>
      <c r="H114" s="141">
        <v>0</v>
      </c>
      <c r="I114" s="141">
        <v>127600124</v>
      </c>
      <c r="J114" s="141">
        <v>49.1</v>
      </c>
      <c r="K114" s="141">
        <v>62651661</v>
      </c>
      <c r="L114" s="141">
        <v>0</v>
      </c>
      <c r="M114" s="141">
        <v>134000</v>
      </c>
      <c r="N114" s="141">
        <v>0</v>
      </c>
      <c r="O114" s="141">
        <v>62785661</v>
      </c>
      <c r="P114" s="141">
        <v>0</v>
      </c>
      <c r="Q114" s="141">
        <v>62785661</v>
      </c>
      <c r="R114" s="141">
        <v>-232495</v>
      </c>
      <c r="S114" s="141">
        <v>0</v>
      </c>
      <c r="T114" s="141">
        <v>-232495</v>
      </c>
      <c r="U114" s="141">
        <v>1216682</v>
      </c>
      <c r="V114" s="141">
        <v>0</v>
      </c>
      <c r="W114" s="141">
        <v>1216682</v>
      </c>
      <c r="X114" s="141">
        <v>984187</v>
      </c>
      <c r="Y114" s="141">
        <v>0</v>
      </c>
      <c r="Z114" s="141">
        <v>0</v>
      </c>
      <c r="AA114" s="141">
        <v>0</v>
      </c>
      <c r="AB114" s="141">
        <v>984187</v>
      </c>
      <c r="AC114" s="141">
        <v>0</v>
      </c>
      <c r="AD114" s="141">
        <v>984187</v>
      </c>
      <c r="AE114" s="141">
        <v>-984187</v>
      </c>
      <c r="AF114" s="141">
        <v>0</v>
      </c>
      <c r="AG114" s="141">
        <v>-984187</v>
      </c>
      <c r="AH114" s="141">
        <v>-3183896</v>
      </c>
      <c r="AI114" s="141">
        <v>0</v>
      </c>
      <c r="AJ114" s="141">
        <v>-3183896</v>
      </c>
      <c r="AK114" s="141">
        <v>0</v>
      </c>
      <c r="AL114" s="141">
        <v>0</v>
      </c>
      <c r="AM114" s="141">
        <v>0</v>
      </c>
      <c r="AN114" s="141">
        <v>1257085</v>
      </c>
      <c r="AO114" s="141">
        <v>0</v>
      </c>
      <c r="AP114" s="141">
        <v>1257085</v>
      </c>
      <c r="AQ114" s="141">
        <v>-1926811</v>
      </c>
      <c r="AR114" s="141">
        <v>0</v>
      </c>
      <c r="AS114" s="141">
        <v>-1926811</v>
      </c>
      <c r="AT114" s="141">
        <v>-3734451</v>
      </c>
      <c r="AU114" s="141">
        <v>0</v>
      </c>
      <c r="AV114" s="141">
        <v>-3734451</v>
      </c>
      <c r="AW114" s="141">
        <v>-40807</v>
      </c>
      <c r="AX114" s="141">
        <v>0</v>
      </c>
      <c r="AY114" s="141">
        <v>-40807</v>
      </c>
      <c r="AZ114" s="141">
        <v>0</v>
      </c>
      <c r="BA114" s="141">
        <v>0</v>
      </c>
      <c r="BB114" s="141">
        <v>0</v>
      </c>
      <c r="BC114" s="141">
        <v>-5702069</v>
      </c>
      <c r="BD114" s="141">
        <v>0</v>
      </c>
      <c r="BE114" s="141">
        <v>0</v>
      </c>
      <c r="BF114" s="141">
        <v>0</v>
      </c>
      <c r="BG114" s="141">
        <v>-5702069</v>
      </c>
      <c r="BH114" s="141">
        <v>0</v>
      </c>
      <c r="BI114" s="141">
        <v>-5702069</v>
      </c>
      <c r="BJ114" s="141">
        <v>0</v>
      </c>
      <c r="BK114" s="141">
        <v>0</v>
      </c>
      <c r="BL114" s="141">
        <v>0</v>
      </c>
      <c r="BM114" s="141">
        <v>-1625819</v>
      </c>
      <c r="BN114" s="141">
        <v>0</v>
      </c>
      <c r="BO114" s="141">
        <v>-1625819</v>
      </c>
      <c r="BP114" s="141">
        <v>-1625819</v>
      </c>
      <c r="BQ114" s="141">
        <v>0</v>
      </c>
      <c r="BR114" s="141">
        <v>0</v>
      </c>
      <c r="BS114" s="141">
        <v>0</v>
      </c>
      <c r="BT114" s="141">
        <v>-1625819</v>
      </c>
      <c r="BU114" s="141">
        <v>0</v>
      </c>
      <c r="BV114" s="141">
        <v>-1625819</v>
      </c>
      <c r="BW114" s="141">
        <v>0</v>
      </c>
      <c r="BX114" s="141">
        <v>0</v>
      </c>
      <c r="BY114" s="141">
        <v>0</v>
      </c>
      <c r="BZ114" s="141">
        <v>-115915</v>
      </c>
      <c r="CA114" s="141">
        <v>0</v>
      </c>
      <c r="CB114" s="141">
        <v>-115915</v>
      </c>
      <c r="CC114" s="141">
        <v>0</v>
      </c>
      <c r="CD114" s="141">
        <v>0</v>
      </c>
      <c r="CE114" s="141">
        <v>0</v>
      </c>
      <c r="CF114" s="141">
        <v>0</v>
      </c>
      <c r="CG114" s="141">
        <v>0</v>
      </c>
      <c r="CH114" s="141">
        <v>0</v>
      </c>
      <c r="CI114" s="141">
        <v>0</v>
      </c>
      <c r="CJ114" s="141">
        <v>0</v>
      </c>
      <c r="CK114" s="141">
        <v>0</v>
      </c>
      <c r="CL114" s="141">
        <v>0</v>
      </c>
      <c r="CM114" s="141">
        <v>0</v>
      </c>
      <c r="CN114" s="141">
        <v>0</v>
      </c>
      <c r="CO114" s="141">
        <v>0</v>
      </c>
      <c r="CP114" s="141">
        <v>0</v>
      </c>
      <c r="CQ114" s="141">
        <v>-115915</v>
      </c>
      <c r="CR114" s="141">
        <v>0</v>
      </c>
      <c r="CS114" s="141">
        <v>0</v>
      </c>
      <c r="CT114" s="141">
        <v>0</v>
      </c>
      <c r="CU114" s="141">
        <v>-115915</v>
      </c>
      <c r="CV114" s="141">
        <v>0</v>
      </c>
      <c r="CW114" s="141">
        <v>-115915</v>
      </c>
      <c r="CX114" s="141">
        <v>0</v>
      </c>
      <c r="CY114" s="141">
        <v>0</v>
      </c>
      <c r="CZ114" s="141">
        <v>0</v>
      </c>
      <c r="DA114" s="141">
        <v>0</v>
      </c>
      <c r="DB114" s="141">
        <v>0</v>
      </c>
      <c r="DC114" s="141">
        <v>0</v>
      </c>
      <c r="DD114" s="141">
        <v>-5095</v>
      </c>
      <c r="DE114" s="141">
        <v>0</v>
      </c>
      <c r="DF114" s="141">
        <v>-5095</v>
      </c>
      <c r="DG114" s="141">
        <v>-40000</v>
      </c>
      <c r="DH114" s="141">
        <v>0</v>
      </c>
      <c r="DI114" s="141">
        <v>-40000</v>
      </c>
      <c r="DJ114" s="141">
        <v>0</v>
      </c>
      <c r="DK114" s="141">
        <v>0</v>
      </c>
      <c r="DL114" s="141">
        <v>0</v>
      </c>
      <c r="DM114" s="141">
        <v>-1000000</v>
      </c>
      <c r="DN114" s="141">
        <v>0</v>
      </c>
      <c r="DO114" s="141">
        <v>-1000000</v>
      </c>
      <c r="DP114" s="141">
        <v>-1045095</v>
      </c>
      <c r="DQ114" s="141">
        <v>0</v>
      </c>
      <c r="DR114" s="141">
        <v>0</v>
      </c>
      <c r="DS114" s="141">
        <v>0</v>
      </c>
      <c r="DT114" s="141">
        <v>-1045095</v>
      </c>
      <c r="DU114" s="141">
        <v>0</v>
      </c>
      <c r="DV114" s="141">
        <v>-1045095</v>
      </c>
      <c r="DW114" s="856">
        <v>55280950</v>
      </c>
      <c r="DX114" s="856">
        <v>0</v>
      </c>
      <c r="DY114" s="857">
        <v>55280950</v>
      </c>
      <c r="DZ114" t="s">
        <v>1680</v>
      </c>
    </row>
    <row r="115" spans="1:130" ht="12.75" x14ac:dyDescent="0.2">
      <c r="A115" s="764">
        <v>108</v>
      </c>
      <c r="B115" s="765" t="s">
        <v>102</v>
      </c>
      <c r="C115" s="766" t="s">
        <v>1217</v>
      </c>
      <c r="D115" s="767" t="s">
        <v>1218</v>
      </c>
      <c r="E115" s="768" t="s">
        <v>101</v>
      </c>
      <c r="F115" s="867">
        <v>43468</v>
      </c>
      <c r="G115" s="141">
        <v>41241875</v>
      </c>
      <c r="H115" s="141">
        <v>1533985</v>
      </c>
      <c r="I115" s="141">
        <v>42775860</v>
      </c>
      <c r="J115" s="141">
        <v>49.1</v>
      </c>
      <c r="K115" s="141">
        <v>20249761</v>
      </c>
      <c r="L115" s="141">
        <v>753187</v>
      </c>
      <c r="M115" s="141">
        <v>343700</v>
      </c>
      <c r="N115" s="141">
        <v>62357</v>
      </c>
      <c r="O115" s="141">
        <v>20593461</v>
      </c>
      <c r="P115" s="141">
        <v>815544</v>
      </c>
      <c r="Q115" s="141">
        <v>21409005</v>
      </c>
      <c r="R115" s="141">
        <v>-134731</v>
      </c>
      <c r="S115" s="141">
        <v>0</v>
      </c>
      <c r="T115" s="141">
        <v>-134731</v>
      </c>
      <c r="U115" s="141">
        <v>152867</v>
      </c>
      <c r="V115" s="141">
        <v>24819</v>
      </c>
      <c r="W115" s="141">
        <v>177686</v>
      </c>
      <c r="X115" s="141">
        <v>18136</v>
      </c>
      <c r="Y115" s="141">
        <v>24819</v>
      </c>
      <c r="Z115" s="141">
        <v>0</v>
      </c>
      <c r="AA115" s="141">
        <v>0</v>
      </c>
      <c r="AB115" s="141">
        <v>18136</v>
      </c>
      <c r="AC115" s="141">
        <v>24819</v>
      </c>
      <c r="AD115" s="141">
        <v>42955</v>
      </c>
      <c r="AE115" s="141">
        <v>-18136</v>
      </c>
      <c r="AF115" s="141">
        <v>-24819</v>
      </c>
      <c r="AG115" s="141">
        <v>-42955</v>
      </c>
      <c r="AH115" s="141">
        <v>-2175779</v>
      </c>
      <c r="AI115" s="141">
        <v>-83904</v>
      </c>
      <c r="AJ115" s="141">
        <v>-2259683</v>
      </c>
      <c r="AK115" s="141">
        <v>0</v>
      </c>
      <c r="AL115" s="141">
        <v>0</v>
      </c>
      <c r="AM115" s="141">
        <v>0</v>
      </c>
      <c r="AN115" s="141">
        <v>351290</v>
      </c>
      <c r="AO115" s="141">
        <v>10135</v>
      </c>
      <c r="AP115" s="141">
        <v>361425</v>
      </c>
      <c r="AQ115" s="141">
        <v>-1824489</v>
      </c>
      <c r="AR115" s="141">
        <v>-73769</v>
      </c>
      <c r="AS115" s="141">
        <v>-1898258</v>
      </c>
      <c r="AT115" s="141">
        <v>-1477558</v>
      </c>
      <c r="AU115" s="141">
        <v>-20825</v>
      </c>
      <c r="AV115" s="141">
        <v>-1498383</v>
      </c>
      <c r="AW115" s="141">
        <v>-22449</v>
      </c>
      <c r="AX115" s="141">
        <v>0</v>
      </c>
      <c r="AY115" s="141">
        <v>-22449</v>
      </c>
      <c r="AZ115" s="141">
        <v>0</v>
      </c>
      <c r="BA115" s="141">
        <v>0</v>
      </c>
      <c r="BB115" s="141">
        <v>0</v>
      </c>
      <c r="BC115" s="141">
        <v>-3324496</v>
      </c>
      <c r="BD115" s="141">
        <v>-94594</v>
      </c>
      <c r="BE115" s="141">
        <v>0</v>
      </c>
      <c r="BF115" s="141">
        <v>0</v>
      </c>
      <c r="BG115" s="141">
        <v>-3324496</v>
      </c>
      <c r="BH115" s="141">
        <v>-94594</v>
      </c>
      <c r="BI115" s="141">
        <v>-3419090</v>
      </c>
      <c r="BJ115" s="141">
        <v>-1000</v>
      </c>
      <c r="BK115" s="141">
        <v>-500</v>
      </c>
      <c r="BL115" s="141">
        <v>-1500</v>
      </c>
      <c r="BM115" s="141">
        <v>-147072</v>
      </c>
      <c r="BN115" s="141">
        <v>-71749</v>
      </c>
      <c r="BO115" s="141">
        <v>-218821</v>
      </c>
      <c r="BP115" s="141">
        <v>-148072</v>
      </c>
      <c r="BQ115" s="141">
        <v>-72249</v>
      </c>
      <c r="BR115" s="141">
        <v>-70000</v>
      </c>
      <c r="BS115" s="141">
        <v>-10000</v>
      </c>
      <c r="BT115" s="141">
        <v>-218072</v>
      </c>
      <c r="BU115" s="141">
        <v>-82249</v>
      </c>
      <c r="BV115" s="141">
        <v>-300321</v>
      </c>
      <c r="BW115" s="141">
        <v>-142721</v>
      </c>
      <c r="BX115" s="141">
        <v>-5206</v>
      </c>
      <c r="BY115" s="141">
        <v>-147927</v>
      </c>
      <c r="BZ115" s="141">
        <v>-75945</v>
      </c>
      <c r="CA115" s="141">
        <v>0</v>
      </c>
      <c r="CB115" s="141">
        <v>-75945</v>
      </c>
      <c r="CC115" s="141">
        <v>-778</v>
      </c>
      <c r="CD115" s="141">
        <v>0</v>
      </c>
      <c r="CE115" s="141">
        <v>-778</v>
      </c>
      <c r="CF115" s="141">
        <v>0</v>
      </c>
      <c r="CG115" s="141">
        <v>0</v>
      </c>
      <c r="CH115" s="141">
        <v>0</v>
      </c>
      <c r="CI115" s="141">
        <v>0</v>
      </c>
      <c r="CJ115" s="141">
        <v>0</v>
      </c>
      <c r="CK115" s="141">
        <v>0</v>
      </c>
      <c r="CL115" s="141">
        <v>0</v>
      </c>
      <c r="CM115" s="141">
        <v>-401264</v>
      </c>
      <c r="CN115" s="141">
        <v>-401264</v>
      </c>
      <c r="CO115" s="141">
        <v>-401264</v>
      </c>
      <c r="CP115" s="141">
        <v>0</v>
      </c>
      <c r="CQ115" s="141">
        <v>-219444</v>
      </c>
      <c r="CR115" s="141">
        <v>-406470</v>
      </c>
      <c r="CS115" s="141">
        <v>0</v>
      </c>
      <c r="CT115" s="141">
        <v>0</v>
      </c>
      <c r="CU115" s="141">
        <v>-219444</v>
      </c>
      <c r="CV115" s="141">
        <v>-406470</v>
      </c>
      <c r="CW115" s="141">
        <v>-625914</v>
      </c>
      <c r="CX115" s="141">
        <v>0</v>
      </c>
      <c r="CY115" s="141">
        <v>0</v>
      </c>
      <c r="CZ115" s="141">
        <v>0</v>
      </c>
      <c r="DA115" s="141">
        <v>0</v>
      </c>
      <c r="DB115" s="141">
        <v>0</v>
      </c>
      <c r="DC115" s="141">
        <v>0</v>
      </c>
      <c r="DD115" s="141">
        <v>-4049</v>
      </c>
      <c r="DE115" s="141">
        <v>0</v>
      </c>
      <c r="DF115" s="141">
        <v>-4049</v>
      </c>
      <c r="DG115" s="141">
        <v>-23363</v>
      </c>
      <c r="DH115" s="141">
        <v>-282</v>
      </c>
      <c r="DI115" s="141">
        <v>-23645</v>
      </c>
      <c r="DJ115" s="141">
        <v>0</v>
      </c>
      <c r="DK115" s="141">
        <v>0</v>
      </c>
      <c r="DL115" s="141">
        <v>0</v>
      </c>
      <c r="DM115" s="141">
        <v>-538552</v>
      </c>
      <c r="DN115" s="141">
        <v>0</v>
      </c>
      <c r="DO115" s="141">
        <v>-538552</v>
      </c>
      <c r="DP115" s="141">
        <v>-565964</v>
      </c>
      <c r="DQ115" s="141">
        <v>-282</v>
      </c>
      <c r="DR115" s="141">
        <v>0</v>
      </c>
      <c r="DS115" s="141">
        <v>0</v>
      </c>
      <c r="DT115" s="141">
        <v>-565964</v>
      </c>
      <c r="DU115" s="141">
        <v>-282</v>
      </c>
      <c r="DV115" s="141">
        <v>-566246</v>
      </c>
      <c r="DW115" s="856">
        <v>16283621</v>
      </c>
      <c r="DX115" s="856">
        <v>256768</v>
      </c>
      <c r="DY115" s="857">
        <v>16540389</v>
      </c>
      <c r="DZ115" t="s">
        <v>1681</v>
      </c>
    </row>
    <row r="116" spans="1:130" ht="12.75" x14ac:dyDescent="0.2">
      <c r="A116" s="764">
        <v>109</v>
      </c>
      <c r="B116" s="765" t="s">
        <v>104</v>
      </c>
      <c r="C116" s="766" t="s">
        <v>1217</v>
      </c>
      <c r="D116" s="767" t="s">
        <v>1218</v>
      </c>
      <c r="E116" s="768" t="s">
        <v>103</v>
      </c>
      <c r="F116" s="867">
        <v>43468</v>
      </c>
      <c r="G116" s="141">
        <v>64272227</v>
      </c>
      <c r="H116" s="141">
        <v>0</v>
      </c>
      <c r="I116" s="141">
        <v>64272227</v>
      </c>
      <c r="J116" s="141">
        <v>49.1</v>
      </c>
      <c r="K116" s="141">
        <v>31557663</v>
      </c>
      <c r="L116" s="141">
        <v>0</v>
      </c>
      <c r="M116" s="141">
        <v>0</v>
      </c>
      <c r="N116" s="141">
        <v>0</v>
      </c>
      <c r="O116" s="141">
        <v>31557663</v>
      </c>
      <c r="P116" s="141">
        <v>0</v>
      </c>
      <c r="Q116" s="141">
        <v>31557663</v>
      </c>
      <c r="R116" s="141">
        <v>-430175</v>
      </c>
      <c r="S116" s="141">
        <v>0</v>
      </c>
      <c r="T116" s="141">
        <v>-430175</v>
      </c>
      <c r="U116" s="141">
        <v>339556</v>
      </c>
      <c r="V116" s="141">
        <v>0</v>
      </c>
      <c r="W116" s="141">
        <v>339556</v>
      </c>
      <c r="X116" s="141">
        <v>-90619</v>
      </c>
      <c r="Y116" s="141">
        <v>0</v>
      </c>
      <c r="Z116" s="141">
        <v>0</v>
      </c>
      <c r="AA116" s="141">
        <v>0</v>
      </c>
      <c r="AB116" s="141">
        <v>-90619</v>
      </c>
      <c r="AC116" s="141">
        <v>0</v>
      </c>
      <c r="AD116" s="141">
        <v>-90619</v>
      </c>
      <c r="AE116" s="141">
        <v>90619</v>
      </c>
      <c r="AF116" s="141">
        <v>0</v>
      </c>
      <c r="AG116" s="141">
        <v>90619</v>
      </c>
      <c r="AH116" s="141">
        <v>-2800564</v>
      </c>
      <c r="AI116" s="141">
        <v>0</v>
      </c>
      <c r="AJ116" s="141">
        <v>-2800564</v>
      </c>
      <c r="AK116" s="141">
        <v>0</v>
      </c>
      <c r="AL116" s="141">
        <v>0</v>
      </c>
      <c r="AM116" s="141">
        <v>0</v>
      </c>
      <c r="AN116" s="141">
        <v>586898</v>
      </c>
      <c r="AO116" s="141">
        <v>0</v>
      </c>
      <c r="AP116" s="141">
        <v>586898</v>
      </c>
      <c r="AQ116" s="141">
        <v>-2213666</v>
      </c>
      <c r="AR116" s="141">
        <v>0</v>
      </c>
      <c r="AS116" s="141">
        <v>-2213666</v>
      </c>
      <c r="AT116" s="141">
        <v>-2798288</v>
      </c>
      <c r="AU116" s="141">
        <v>0</v>
      </c>
      <c r="AV116" s="141">
        <v>-2798288</v>
      </c>
      <c r="AW116" s="141">
        <v>-43284</v>
      </c>
      <c r="AX116" s="141">
        <v>0</v>
      </c>
      <c r="AY116" s="141">
        <v>-43284</v>
      </c>
      <c r="AZ116" s="141">
        <v>-6085</v>
      </c>
      <c r="BA116" s="141">
        <v>0</v>
      </c>
      <c r="BB116" s="141">
        <v>-6085</v>
      </c>
      <c r="BC116" s="141">
        <v>-5061323</v>
      </c>
      <c r="BD116" s="141">
        <v>0</v>
      </c>
      <c r="BE116" s="141">
        <v>0</v>
      </c>
      <c r="BF116" s="141">
        <v>0</v>
      </c>
      <c r="BG116" s="141">
        <v>-5061323</v>
      </c>
      <c r="BH116" s="141">
        <v>0</v>
      </c>
      <c r="BI116" s="141">
        <v>-5061323</v>
      </c>
      <c r="BJ116" s="141">
        <v>0</v>
      </c>
      <c r="BK116" s="141">
        <v>0</v>
      </c>
      <c r="BL116" s="141">
        <v>0</v>
      </c>
      <c r="BM116" s="141">
        <v>-771541</v>
      </c>
      <c r="BN116" s="141">
        <v>0</v>
      </c>
      <c r="BO116" s="141">
        <v>-771541</v>
      </c>
      <c r="BP116" s="141">
        <v>-771541</v>
      </c>
      <c r="BQ116" s="141">
        <v>0</v>
      </c>
      <c r="BR116" s="141">
        <v>0</v>
      </c>
      <c r="BS116" s="141">
        <v>0</v>
      </c>
      <c r="BT116" s="141">
        <v>-771541</v>
      </c>
      <c r="BU116" s="141">
        <v>0</v>
      </c>
      <c r="BV116" s="141">
        <v>-771541</v>
      </c>
      <c r="BW116" s="141">
        <v>-96835</v>
      </c>
      <c r="BX116" s="141">
        <v>0</v>
      </c>
      <c r="BY116" s="141">
        <v>-96835</v>
      </c>
      <c r="BZ116" s="141">
        <v>-21464</v>
      </c>
      <c r="CA116" s="141">
        <v>0</v>
      </c>
      <c r="CB116" s="141">
        <v>-21464</v>
      </c>
      <c r="CC116" s="141">
        <v>-267</v>
      </c>
      <c r="CD116" s="141">
        <v>0</v>
      </c>
      <c r="CE116" s="141">
        <v>-267</v>
      </c>
      <c r="CF116" s="141">
        <v>-511</v>
      </c>
      <c r="CG116" s="141">
        <v>0</v>
      </c>
      <c r="CH116" s="141">
        <v>-511</v>
      </c>
      <c r="CI116" s="141">
        <v>0</v>
      </c>
      <c r="CJ116" s="141">
        <v>0</v>
      </c>
      <c r="CK116" s="141">
        <v>0</v>
      </c>
      <c r="CL116" s="141">
        <v>0</v>
      </c>
      <c r="CM116" s="141">
        <v>0</v>
      </c>
      <c r="CN116" s="141">
        <v>0</v>
      </c>
      <c r="CO116" s="141">
        <v>0</v>
      </c>
      <c r="CP116" s="141">
        <v>0</v>
      </c>
      <c r="CQ116" s="141">
        <v>-119077</v>
      </c>
      <c r="CR116" s="141">
        <v>0</v>
      </c>
      <c r="CS116" s="141">
        <v>0</v>
      </c>
      <c r="CT116" s="141">
        <v>0</v>
      </c>
      <c r="CU116" s="141">
        <v>-119077</v>
      </c>
      <c r="CV116" s="141">
        <v>0</v>
      </c>
      <c r="CW116" s="141">
        <v>-119077</v>
      </c>
      <c r="CX116" s="141">
        <v>-6086</v>
      </c>
      <c r="CY116" s="141">
        <v>0</v>
      </c>
      <c r="CZ116" s="141">
        <v>-6086</v>
      </c>
      <c r="DA116" s="141">
        <v>-1500</v>
      </c>
      <c r="DB116" s="141">
        <v>0</v>
      </c>
      <c r="DC116" s="141">
        <v>-1500</v>
      </c>
      <c r="DD116" s="141">
        <v>-25324</v>
      </c>
      <c r="DE116" s="141">
        <v>0</v>
      </c>
      <c r="DF116" s="141">
        <v>-25324</v>
      </c>
      <c r="DG116" s="141">
        <v>0</v>
      </c>
      <c r="DH116" s="141">
        <v>0</v>
      </c>
      <c r="DI116" s="141">
        <v>0</v>
      </c>
      <c r="DJ116" s="141">
        <v>0</v>
      </c>
      <c r="DK116" s="141">
        <v>0</v>
      </c>
      <c r="DL116" s="141">
        <v>0</v>
      </c>
      <c r="DM116" s="141">
        <v>-571400</v>
      </c>
      <c r="DN116" s="141">
        <v>0</v>
      </c>
      <c r="DO116" s="141">
        <v>-571400</v>
      </c>
      <c r="DP116" s="141">
        <v>-604310</v>
      </c>
      <c r="DQ116" s="141">
        <v>0</v>
      </c>
      <c r="DR116" s="141">
        <v>0</v>
      </c>
      <c r="DS116" s="141">
        <v>0</v>
      </c>
      <c r="DT116" s="141">
        <v>-604310</v>
      </c>
      <c r="DU116" s="141">
        <v>0</v>
      </c>
      <c r="DV116" s="141">
        <v>-604310</v>
      </c>
      <c r="DW116" s="856">
        <v>24910793</v>
      </c>
      <c r="DX116" s="856">
        <v>0</v>
      </c>
      <c r="DY116" s="857">
        <v>24910793</v>
      </c>
      <c r="DZ116" t="s">
        <v>1682</v>
      </c>
    </row>
    <row r="117" spans="1:130" ht="12.75" x14ac:dyDescent="0.2">
      <c r="A117" s="764">
        <v>110</v>
      </c>
      <c r="B117" s="765" t="s">
        <v>106</v>
      </c>
      <c r="C117" s="766" t="s">
        <v>1217</v>
      </c>
      <c r="D117" s="767" t="s">
        <v>1221</v>
      </c>
      <c r="E117" s="768" t="s">
        <v>105</v>
      </c>
      <c r="F117" s="867">
        <v>43488</v>
      </c>
      <c r="G117" s="141">
        <v>76821647</v>
      </c>
      <c r="H117" s="141">
        <v>3273800</v>
      </c>
      <c r="I117" s="141">
        <v>80095447</v>
      </c>
      <c r="J117" s="141">
        <v>49.1</v>
      </c>
      <c r="K117" s="141">
        <v>37719429</v>
      </c>
      <c r="L117" s="141">
        <v>1607436</v>
      </c>
      <c r="M117" s="141">
        <v>30536</v>
      </c>
      <c r="N117" s="141">
        <v>150215</v>
      </c>
      <c r="O117" s="141">
        <v>37749965</v>
      </c>
      <c r="P117" s="141">
        <v>1757651</v>
      </c>
      <c r="Q117" s="141">
        <v>39507616</v>
      </c>
      <c r="R117" s="141">
        <v>-389516</v>
      </c>
      <c r="S117" s="141">
        <v>-1686</v>
      </c>
      <c r="T117" s="141">
        <v>-391202</v>
      </c>
      <c r="U117" s="141">
        <v>1143588</v>
      </c>
      <c r="V117" s="141">
        <v>0</v>
      </c>
      <c r="W117" s="141">
        <v>1143588</v>
      </c>
      <c r="X117" s="141">
        <v>754072</v>
      </c>
      <c r="Y117" s="141">
        <v>-1686</v>
      </c>
      <c r="Z117" s="141">
        <v>0</v>
      </c>
      <c r="AA117" s="141">
        <v>0</v>
      </c>
      <c r="AB117" s="141">
        <v>754072</v>
      </c>
      <c r="AC117" s="141">
        <v>-1686</v>
      </c>
      <c r="AD117" s="141">
        <v>752386</v>
      </c>
      <c r="AE117" s="141">
        <v>-754072</v>
      </c>
      <c r="AF117" s="141">
        <v>1686</v>
      </c>
      <c r="AG117" s="141">
        <v>-752386</v>
      </c>
      <c r="AH117" s="141">
        <v>-3956316</v>
      </c>
      <c r="AI117" s="141">
        <v>-982</v>
      </c>
      <c r="AJ117" s="141">
        <v>-3957298</v>
      </c>
      <c r="AK117" s="141">
        <v>-2797</v>
      </c>
      <c r="AL117" s="141">
        <v>0</v>
      </c>
      <c r="AM117" s="141">
        <v>-2797</v>
      </c>
      <c r="AN117" s="141">
        <v>640460</v>
      </c>
      <c r="AO117" s="141">
        <v>36830</v>
      </c>
      <c r="AP117" s="141">
        <v>677290</v>
      </c>
      <c r="AQ117" s="141">
        <v>-3315856</v>
      </c>
      <c r="AR117" s="141">
        <v>35848</v>
      </c>
      <c r="AS117" s="141">
        <v>-3280008</v>
      </c>
      <c r="AT117" s="141">
        <v>-2153559</v>
      </c>
      <c r="AU117" s="141">
        <v>-20362</v>
      </c>
      <c r="AV117" s="141">
        <v>-2173921</v>
      </c>
      <c r="AW117" s="141">
        <v>-18850</v>
      </c>
      <c r="AX117" s="141">
        <v>0</v>
      </c>
      <c r="AY117" s="141">
        <v>-18850</v>
      </c>
      <c r="AZ117" s="141">
        <v>-688</v>
      </c>
      <c r="BA117" s="141">
        <v>0</v>
      </c>
      <c r="BB117" s="141">
        <v>-688</v>
      </c>
      <c r="BC117" s="141">
        <v>-5488953</v>
      </c>
      <c r="BD117" s="141">
        <v>15486</v>
      </c>
      <c r="BE117" s="141">
        <v>0</v>
      </c>
      <c r="BF117" s="141">
        <v>0</v>
      </c>
      <c r="BG117" s="141">
        <v>-5488953</v>
      </c>
      <c r="BH117" s="141">
        <v>15486</v>
      </c>
      <c r="BI117" s="141">
        <v>-5473467</v>
      </c>
      <c r="BJ117" s="141">
        <v>0</v>
      </c>
      <c r="BK117" s="141">
        <v>0</v>
      </c>
      <c r="BL117" s="141">
        <v>0</v>
      </c>
      <c r="BM117" s="141">
        <v>-868529</v>
      </c>
      <c r="BN117" s="141">
        <v>-313992</v>
      </c>
      <c r="BO117" s="141">
        <v>-1182521</v>
      </c>
      <c r="BP117" s="141">
        <v>-868529</v>
      </c>
      <c r="BQ117" s="141">
        <v>-313992</v>
      </c>
      <c r="BR117" s="141">
        <v>0</v>
      </c>
      <c r="BS117" s="141">
        <v>0</v>
      </c>
      <c r="BT117" s="141">
        <v>-868529</v>
      </c>
      <c r="BU117" s="141">
        <v>-313992</v>
      </c>
      <c r="BV117" s="141">
        <v>-1182521</v>
      </c>
      <c r="BW117" s="141">
        <v>-123685</v>
      </c>
      <c r="BX117" s="141">
        <v>-5090</v>
      </c>
      <c r="BY117" s="141">
        <v>-128775</v>
      </c>
      <c r="BZ117" s="141">
        <v>-15005</v>
      </c>
      <c r="CA117" s="141">
        <v>0</v>
      </c>
      <c r="CB117" s="141">
        <v>-15005</v>
      </c>
      <c r="CC117" s="141">
        <v>0</v>
      </c>
      <c r="CD117" s="141">
        <v>0</v>
      </c>
      <c r="CE117" s="141">
        <v>0</v>
      </c>
      <c r="CF117" s="141">
        <v>0</v>
      </c>
      <c r="CG117" s="141">
        <v>0</v>
      </c>
      <c r="CH117" s="141">
        <v>0</v>
      </c>
      <c r="CI117" s="141">
        <v>0</v>
      </c>
      <c r="CJ117" s="141">
        <v>0</v>
      </c>
      <c r="CK117" s="141">
        <v>0</v>
      </c>
      <c r="CL117" s="141">
        <v>0</v>
      </c>
      <c r="CM117" s="141">
        <v>-619151</v>
      </c>
      <c r="CN117" s="141">
        <v>-619151</v>
      </c>
      <c r="CO117" s="141">
        <v>-619151</v>
      </c>
      <c r="CP117" s="141">
        <v>0</v>
      </c>
      <c r="CQ117" s="141">
        <v>-138690</v>
      </c>
      <c r="CR117" s="141">
        <v>-624241</v>
      </c>
      <c r="CS117" s="141">
        <v>0</v>
      </c>
      <c r="CT117" s="141">
        <v>0</v>
      </c>
      <c r="CU117" s="141">
        <v>-138690</v>
      </c>
      <c r="CV117" s="141">
        <v>-624241</v>
      </c>
      <c r="CW117" s="141">
        <v>-762931</v>
      </c>
      <c r="CX117" s="141">
        <v>-688</v>
      </c>
      <c r="CY117" s="141">
        <v>0</v>
      </c>
      <c r="CZ117" s="141">
        <v>-688</v>
      </c>
      <c r="DA117" s="141">
        <v>0</v>
      </c>
      <c r="DB117" s="141">
        <v>0</v>
      </c>
      <c r="DC117" s="141">
        <v>0</v>
      </c>
      <c r="DD117" s="141">
        <v>-17244</v>
      </c>
      <c r="DE117" s="141">
        <v>0</v>
      </c>
      <c r="DF117" s="141">
        <v>-17244</v>
      </c>
      <c r="DG117" s="141">
        <v>-64000</v>
      </c>
      <c r="DH117" s="141">
        <v>0</v>
      </c>
      <c r="DI117" s="141">
        <v>-64000</v>
      </c>
      <c r="DJ117" s="141">
        <v>0</v>
      </c>
      <c r="DK117" s="141">
        <v>0</v>
      </c>
      <c r="DL117" s="141">
        <v>0</v>
      </c>
      <c r="DM117" s="141">
        <v>-769000</v>
      </c>
      <c r="DN117" s="141">
        <v>0</v>
      </c>
      <c r="DO117" s="141">
        <v>-769000</v>
      </c>
      <c r="DP117" s="141">
        <v>-850932</v>
      </c>
      <c r="DQ117" s="141">
        <v>0</v>
      </c>
      <c r="DR117" s="141">
        <v>0</v>
      </c>
      <c r="DS117" s="141">
        <v>0</v>
      </c>
      <c r="DT117" s="141">
        <v>-850932</v>
      </c>
      <c r="DU117" s="141">
        <v>0</v>
      </c>
      <c r="DV117" s="141">
        <v>-850932</v>
      </c>
      <c r="DW117" s="856">
        <v>31156933</v>
      </c>
      <c r="DX117" s="856">
        <v>833218</v>
      </c>
      <c r="DY117" s="857">
        <v>31990151</v>
      </c>
      <c r="DZ117" t="s">
        <v>1683</v>
      </c>
    </row>
    <row r="118" spans="1:130" ht="12.75" x14ac:dyDescent="0.2">
      <c r="A118" s="764">
        <v>111</v>
      </c>
      <c r="B118" s="765" t="s">
        <v>108</v>
      </c>
      <c r="C118" s="766" t="s">
        <v>1228</v>
      </c>
      <c r="D118" s="767" t="s">
        <v>1223</v>
      </c>
      <c r="E118" s="768" t="s">
        <v>107</v>
      </c>
      <c r="F118" s="867">
        <v>43479</v>
      </c>
      <c r="G118" s="141">
        <v>234328241</v>
      </c>
      <c r="H118" s="141">
        <v>0</v>
      </c>
      <c r="I118" s="141">
        <v>234328241</v>
      </c>
      <c r="J118" s="141">
        <v>49.1</v>
      </c>
      <c r="K118" s="141">
        <v>115055166</v>
      </c>
      <c r="L118" s="141">
        <v>0</v>
      </c>
      <c r="M118" s="141">
        <v>0</v>
      </c>
      <c r="N118" s="141">
        <v>0</v>
      </c>
      <c r="O118" s="141">
        <v>115055166</v>
      </c>
      <c r="P118" s="141">
        <v>0</v>
      </c>
      <c r="Q118" s="141">
        <v>115055166</v>
      </c>
      <c r="R118" s="141">
        <v>-1191526</v>
      </c>
      <c r="S118" s="141">
        <v>0</v>
      </c>
      <c r="T118" s="141">
        <v>-1191526</v>
      </c>
      <c r="U118" s="141">
        <v>498601</v>
      </c>
      <c r="V118" s="141">
        <v>0</v>
      </c>
      <c r="W118" s="141">
        <v>498601</v>
      </c>
      <c r="X118" s="141">
        <v>-692925</v>
      </c>
      <c r="Y118" s="141">
        <v>0</v>
      </c>
      <c r="Z118" s="141">
        <v>0</v>
      </c>
      <c r="AA118" s="141">
        <v>0</v>
      </c>
      <c r="AB118" s="141">
        <v>-692925</v>
      </c>
      <c r="AC118" s="141">
        <v>0</v>
      </c>
      <c r="AD118" s="141">
        <v>-692925</v>
      </c>
      <c r="AE118" s="141">
        <v>692925</v>
      </c>
      <c r="AF118" s="141">
        <v>0</v>
      </c>
      <c r="AG118" s="141">
        <v>692925</v>
      </c>
      <c r="AH118" s="141">
        <v>-5551317</v>
      </c>
      <c r="AI118" s="141">
        <v>0</v>
      </c>
      <c r="AJ118" s="141">
        <v>-5551317</v>
      </c>
      <c r="AK118" s="141">
        <v>0</v>
      </c>
      <c r="AL118" s="141">
        <v>0</v>
      </c>
      <c r="AM118" s="141">
        <v>0</v>
      </c>
      <c r="AN118" s="141">
        <v>2562817</v>
      </c>
      <c r="AO118" s="141">
        <v>0</v>
      </c>
      <c r="AP118" s="141">
        <v>2562817</v>
      </c>
      <c r="AQ118" s="141">
        <v>-2988500</v>
      </c>
      <c r="AR118" s="141">
        <v>0</v>
      </c>
      <c r="AS118" s="141">
        <v>-2988500</v>
      </c>
      <c r="AT118" s="141">
        <v>-11343685</v>
      </c>
      <c r="AU118" s="141">
        <v>0</v>
      </c>
      <c r="AV118" s="141">
        <v>-11343685</v>
      </c>
      <c r="AW118" s="141">
        <v>-122413</v>
      </c>
      <c r="AX118" s="141">
        <v>0</v>
      </c>
      <c r="AY118" s="141">
        <v>-122413</v>
      </c>
      <c r="AZ118" s="141">
        <v>0</v>
      </c>
      <c r="BA118" s="141">
        <v>0</v>
      </c>
      <c r="BB118" s="141">
        <v>0</v>
      </c>
      <c r="BC118" s="141">
        <v>-14454598</v>
      </c>
      <c r="BD118" s="141">
        <v>0</v>
      </c>
      <c r="BE118" s="141">
        <v>0</v>
      </c>
      <c r="BF118" s="141">
        <v>0</v>
      </c>
      <c r="BG118" s="141">
        <v>-14454598</v>
      </c>
      <c r="BH118" s="141">
        <v>0</v>
      </c>
      <c r="BI118" s="141">
        <v>-14454598</v>
      </c>
      <c r="BJ118" s="141">
        <v>-2535</v>
      </c>
      <c r="BK118" s="141">
        <v>0</v>
      </c>
      <c r="BL118" s="141">
        <v>-2535</v>
      </c>
      <c r="BM118" s="141">
        <v>-2398988</v>
      </c>
      <c r="BN118" s="141">
        <v>0</v>
      </c>
      <c r="BO118" s="141">
        <v>-2398988</v>
      </c>
      <c r="BP118" s="141">
        <v>-2401523</v>
      </c>
      <c r="BQ118" s="141">
        <v>0</v>
      </c>
      <c r="BR118" s="141">
        <v>0</v>
      </c>
      <c r="BS118" s="141">
        <v>0</v>
      </c>
      <c r="BT118" s="141">
        <v>-2401523</v>
      </c>
      <c r="BU118" s="141">
        <v>0</v>
      </c>
      <c r="BV118" s="141">
        <v>-2401523</v>
      </c>
      <c r="BW118" s="141">
        <v>-730123</v>
      </c>
      <c r="BX118" s="141">
        <v>0</v>
      </c>
      <c r="BY118" s="141">
        <v>-730123</v>
      </c>
      <c r="BZ118" s="141">
        <v>-36181</v>
      </c>
      <c r="CA118" s="141">
        <v>0</v>
      </c>
      <c r="CB118" s="141">
        <v>-36181</v>
      </c>
      <c r="CC118" s="141">
        <v>0</v>
      </c>
      <c r="CD118" s="141">
        <v>0</v>
      </c>
      <c r="CE118" s="141">
        <v>0</v>
      </c>
      <c r="CF118" s="141">
        <v>0</v>
      </c>
      <c r="CG118" s="141">
        <v>0</v>
      </c>
      <c r="CH118" s="141">
        <v>0</v>
      </c>
      <c r="CI118" s="141">
        <v>0</v>
      </c>
      <c r="CJ118" s="141">
        <v>0</v>
      </c>
      <c r="CK118" s="141">
        <v>0</v>
      </c>
      <c r="CL118" s="141">
        <v>0</v>
      </c>
      <c r="CM118" s="141">
        <v>0</v>
      </c>
      <c r="CN118" s="141">
        <v>0</v>
      </c>
      <c r="CO118" s="141">
        <v>0</v>
      </c>
      <c r="CP118" s="141">
        <v>0</v>
      </c>
      <c r="CQ118" s="141">
        <v>-766304</v>
      </c>
      <c r="CR118" s="141">
        <v>0</v>
      </c>
      <c r="CS118" s="141">
        <v>0</v>
      </c>
      <c r="CT118" s="141">
        <v>0</v>
      </c>
      <c r="CU118" s="141">
        <v>-766304</v>
      </c>
      <c r="CV118" s="141">
        <v>0</v>
      </c>
      <c r="CW118" s="141">
        <v>-766304</v>
      </c>
      <c r="CX118" s="141">
        <v>0</v>
      </c>
      <c r="CY118" s="141">
        <v>0</v>
      </c>
      <c r="CZ118" s="141">
        <v>0</v>
      </c>
      <c r="DA118" s="141">
        <v>0</v>
      </c>
      <c r="DB118" s="141">
        <v>0</v>
      </c>
      <c r="DC118" s="141">
        <v>0</v>
      </c>
      <c r="DD118" s="141">
        <v>-102813</v>
      </c>
      <c r="DE118" s="141">
        <v>0</v>
      </c>
      <c r="DF118" s="141">
        <v>-102813</v>
      </c>
      <c r="DG118" s="141">
        <v>-184000</v>
      </c>
      <c r="DH118" s="141">
        <v>0</v>
      </c>
      <c r="DI118" s="141">
        <v>-184000</v>
      </c>
      <c r="DJ118" s="141">
        <v>0</v>
      </c>
      <c r="DK118" s="141">
        <v>0</v>
      </c>
      <c r="DL118" s="141">
        <v>0</v>
      </c>
      <c r="DM118" s="141">
        <v>-3714945</v>
      </c>
      <c r="DN118" s="141">
        <v>0</v>
      </c>
      <c r="DO118" s="141">
        <v>-3714945</v>
      </c>
      <c r="DP118" s="141">
        <v>-4001758</v>
      </c>
      <c r="DQ118" s="141">
        <v>0</v>
      </c>
      <c r="DR118" s="141">
        <v>0</v>
      </c>
      <c r="DS118" s="141">
        <v>0</v>
      </c>
      <c r="DT118" s="141">
        <v>-4001758</v>
      </c>
      <c r="DU118" s="141">
        <v>0</v>
      </c>
      <c r="DV118" s="141">
        <v>-4001758</v>
      </c>
      <c r="DW118" s="856">
        <v>92738058</v>
      </c>
      <c r="DX118" s="856">
        <v>0</v>
      </c>
      <c r="DY118" s="857">
        <v>92738058</v>
      </c>
      <c r="DZ118" t="s">
        <v>1684</v>
      </c>
    </row>
    <row r="119" spans="1:130" ht="12.75" x14ac:dyDescent="0.2">
      <c r="A119" s="764">
        <v>112</v>
      </c>
      <c r="B119" s="765" t="s">
        <v>110</v>
      </c>
      <c r="C119" s="766" t="s">
        <v>1217</v>
      </c>
      <c r="D119" s="767" t="s">
        <v>1218</v>
      </c>
      <c r="E119" s="768" t="s">
        <v>109</v>
      </c>
      <c r="F119" s="867">
        <v>43465</v>
      </c>
      <c r="G119" s="141">
        <v>224450725</v>
      </c>
      <c r="H119" s="141">
        <v>0</v>
      </c>
      <c r="I119" s="141">
        <v>224450725</v>
      </c>
      <c r="J119" s="141">
        <v>49.1</v>
      </c>
      <c r="K119" s="141">
        <v>110205306</v>
      </c>
      <c r="L119" s="141">
        <v>0</v>
      </c>
      <c r="M119" s="141">
        <v>-1000000</v>
      </c>
      <c r="N119" s="141">
        <v>0</v>
      </c>
      <c r="O119" s="141">
        <v>109205306</v>
      </c>
      <c r="P119" s="141">
        <v>0</v>
      </c>
      <c r="Q119" s="141">
        <v>109205306</v>
      </c>
      <c r="R119" s="141">
        <v>-904749</v>
      </c>
      <c r="S119" s="141">
        <v>0</v>
      </c>
      <c r="T119" s="141">
        <v>-904749</v>
      </c>
      <c r="U119" s="141">
        <v>486863</v>
      </c>
      <c r="V119" s="141">
        <v>0</v>
      </c>
      <c r="W119" s="141">
        <v>486863</v>
      </c>
      <c r="X119" s="141">
        <v>-417886</v>
      </c>
      <c r="Y119" s="141">
        <v>0</v>
      </c>
      <c r="Z119" s="141">
        <v>0</v>
      </c>
      <c r="AA119" s="141">
        <v>0</v>
      </c>
      <c r="AB119" s="141">
        <v>-417886</v>
      </c>
      <c r="AC119" s="141">
        <v>0</v>
      </c>
      <c r="AD119" s="141">
        <v>-417886</v>
      </c>
      <c r="AE119" s="141">
        <v>417886</v>
      </c>
      <c r="AF119" s="141">
        <v>0</v>
      </c>
      <c r="AG119" s="141">
        <v>417886</v>
      </c>
      <c r="AH119" s="141">
        <v>-3301132</v>
      </c>
      <c r="AI119" s="141">
        <v>0</v>
      </c>
      <c r="AJ119" s="141">
        <v>-3301132</v>
      </c>
      <c r="AK119" s="141">
        <v>0</v>
      </c>
      <c r="AL119" s="141">
        <v>0</v>
      </c>
      <c r="AM119" s="141">
        <v>0</v>
      </c>
      <c r="AN119" s="141">
        <v>2399973</v>
      </c>
      <c r="AO119" s="141">
        <v>0</v>
      </c>
      <c r="AP119" s="141">
        <v>2399973</v>
      </c>
      <c r="AQ119" s="141">
        <v>-901159</v>
      </c>
      <c r="AR119" s="141">
        <v>0</v>
      </c>
      <c r="AS119" s="141">
        <v>-901159</v>
      </c>
      <c r="AT119" s="141">
        <v>-11201217</v>
      </c>
      <c r="AU119" s="141">
        <v>0</v>
      </c>
      <c r="AV119" s="141">
        <v>-11201217</v>
      </c>
      <c r="AW119" s="141">
        <v>-36923</v>
      </c>
      <c r="AX119" s="141">
        <v>0</v>
      </c>
      <c r="AY119" s="141">
        <v>-36923</v>
      </c>
      <c r="AZ119" s="141">
        <v>-13337</v>
      </c>
      <c r="BA119" s="141">
        <v>0</v>
      </c>
      <c r="BB119" s="141">
        <v>-13337</v>
      </c>
      <c r="BC119" s="141">
        <v>-12152636</v>
      </c>
      <c r="BD119" s="141">
        <v>0</v>
      </c>
      <c r="BE119" s="141">
        <v>-350000</v>
      </c>
      <c r="BF119" s="141">
        <v>0</v>
      </c>
      <c r="BG119" s="141">
        <v>-12502636</v>
      </c>
      <c r="BH119" s="141">
        <v>0</v>
      </c>
      <c r="BI119" s="141">
        <v>-12502636</v>
      </c>
      <c r="BJ119" s="141">
        <v>-810129</v>
      </c>
      <c r="BK119" s="141">
        <v>0</v>
      </c>
      <c r="BL119" s="141">
        <v>-810129</v>
      </c>
      <c r="BM119" s="141">
        <v>-1876637</v>
      </c>
      <c r="BN119" s="141">
        <v>0</v>
      </c>
      <c r="BO119" s="141">
        <v>-1876637</v>
      </c>
      <c r="BP119" s="141">
        <v>-2686766</v>
      </c>
      <c r="BQ119" s="141">
        <v>0</v>
      </c>
      <c r="BR119" s="141">
        <v>-2015075</v>
      </c>
      <c r="BS119" s="141">
        <v>0</v>
      </c>
      <c r="BT119" s="141">
        <v>-4701841</v>
      </c>
      <c r="BU119" s="141">
        <v>0</v>
      </c>
      <c r="BV119" s="141">
        <v>-4701841</v>
      </c>
      <c r="BW119" s="141">
        <v>-176789</v>
      </c>
      <c r="BX119" s="141">
        <v>0</v>
      </c>
      <c r="BY119" s="141">
        <v>-176789</v>
      </c>
      <c r="BZ119" s="141">
        <v>-6601</v>
      </c>
      <c r="CA119" s="141">
        <v>0</v>
      </c>
      <c r="CB119" s="141">
        <v>-6601</v>
      </c>
      <c r="CC119" s="141">
        <v>0</v>
      </c>
      <c r="CD119" s="141">
        <v>0</v>
      </c>
      <c r="CE119" s="141">
        <v>0</v>
      </c>
      <c r="CF119" s="141">
        <v>0</v>
      </c>
      <c r="CG119" s="141">
        <v>0</v>
      </c>
      <c r="CH119" s="141">
        <v>0</v>
      </c>
      <c r="CI119" s="141">
        <v>-19272</v>
      </c>
      <c r="CJ119" s="141">
        <v>0</v>
      </c>
      <c r="CK119" s="141">
        <v>-19272</v>
      </c>
      <c r="CL119" s="141">
        <v>0</v>
      </c>
      <c r="CM119" s="141">
        <v>0</v>
      </c>
      <c r="CN119" s="141">
        <v>0</v>
      </c>
      <c r="CO119" s="141">
        <v>0</v>
      </c>
      <c r="CP119" s="141">
        <v>0</v>
      </c>
      <c r="CQ119" s="141">
        <v>-202662</v>
      </c>
      <c r="CR119" s="141">
        <v>0</v>
      </c>
      <c r="CS119" s="141">
        <v>0</v>
      </c>
      <c r="CT119" s="141">
        <v>0</v>
      </c>
      <c r="CU119" s="141">
        <v>-202662</v>
      </c>
      <c r="CV119" s="141">
        <v>0</v>
      </c>
      <c r="CW119" s="141">
        <v>-202662</v>
      </c>
      <c r="CX119" s="141">
        <v>-13337</v>
      </c>
      <c r="CY119" s="141">
        <v>0</v>
      </c>
      <c r="CZ119" s="141">
        <v>-13337</v>
      </c>
      <c r="DA119" s="141">
        <v>-1500</v>
      </c>
      <c r="DB119" s="141">
        <v>0</v>
      </c>
      <c r="DC119" s="141">
        <v>-1500</v>
      </c>
      <c r="DD119" s="141">
        <v>-27334</v>
      </c>
      <c r="DE119" s="141">
        <v>0</v>
      </c>
      <c r="DF119" s="141">
        <v>-27334</v>
      </c>
      <c r="DG119" s="141">
        <v>-128000</v>
      </c>
      <c r="DH119" s="141">
        <v>0</v>
      </c>
      <c r="DI119" s="141">
        <v>-128000</v>
      </c>
      <c r="DJ119" s="141">
        <v>0</v>
      </c>
      <c r="DK119" s="141">
        <v>0</v>
      </c>
      <c r="DL119" s="141">
        <v>0</v>
      </c>
      <c r="DM119" s="141">
        <v>-1298267</v>
      </c>
      <c r="DN119" s="141">
        <v>0</v>
      </c>
      <c r="DO119" s="141">
        <v>-1298267</v>
      </c>
      <c r="DP119" s="141">
        <v>-1468438</v>
      </c>
      <c r="DQ119" s="141">
        <v>0</v>
      </c>
      <c r="DR119" s="141">
        <v>0</v>
      </c>
      <c r="DS119" s="141">
        <v>0</v>
      </c>
      <c r="DT119" s="141">
        <v>-1468438</v>
      </c>
      <c r="DU119" s="141">
        <v>0</v>
      </c>
      <c r="DV119" s="141">
        <v>-1468438</v>
      </c>
      <c r="DW119" s="856">
        <v>89911843</v>
      </c>
      <c r="DX119" s="856">
        <v>0</v>
      </c>
      <c r="DY119" s="857">
        <v>89911843</v>
      </c>
      <c r="DZ119" t="s">
        <v>1685</v>
      </c>
    </row>
    <row r="120" spans="1:130" ht="12.75" x14ac:dyDescent="0.2">
      <c r="A120" s="764">
        <v>113</v>
      </c>
      <c r="B120" s="765" t="s">
        <v>112</v>
      </c>
      <c r="C120" s="766" t="s">
        <v>1228</v>
      </c>
      <c r="D120" s="767" t="s">
        <v>1223</v>
      </c>
      <c r="E120" s="768" t="s">
        <v>111</v>
      </c>
      <c r="F120" s="867">
        <v>43468</v>
      </c>
      <c r="G120" s="141">
        <v>379557559</v>
      </c>
      <c r="H120" s="141">
        <v>0</v>
      </c>
      <c r="I120" s="141">
        <v>379557559</v>
      </c>
      <c r="J120" s="141">
        <v>49.1</v>
      </c>
      <c r="K120" s="141">
        <v>186362761</v>
      </c>
      <c r="L120" s="141">
        <v>0</v>
      </c>
      <c r="M120" s="141">
        <v>-14013040</v>
      </c>
      <c r="N120" s="141">
        <v>0</v>
      </c>
      <c r="O120" s="141">
        <v>172349721</v>
      </c>
      <c r="P120" s="141">
        <v>0</v>
      </c>
      <c r="Q120" s="141">
        <v>172349721</v>
      </c>
      <c r="R120" s="141">
        <v>-11597078</v>
      </c>
      <c r="S120" s="141">
        <v>0</v>
      </c>
      <c r="T120" s="141">
        <v>-11597078</v>
      </c>
      <c r="U120" s="141">
        <v>563398</v>
      </c>
      <c r="V120" s="141">
        <v>0</v>
      </c>
      <c r="W120" s="141">
        <v>563398</v>
      </c>
      <c r="X120" s="141">
        <v>-11033680</v>
      </c>
      <c r="Y120" s="141">
        <v>0</v>
      </c>
      <c r="Z120" s="141">
        <v>0</v>
      </c>
      <c r="AA120" s="141">
        <v>0</v>
      </c>
      <c r="AB120" s="141">
        <v>-11033680</v>
      </c>
      <c r="AC120" s="141">
        <v>0</v>
      </c>
      <c r="AD120" s="141">
        <v>-11033680</v>
      </c>
      <c r="AE120" s="141">
        <v>11033680</v>
      </c>
      <c r="AF120" s="141">
        <v>0</v>
      </c>
      <c r="AG120" s="141">
        <v>11033680</v>
      </c>
      <c r="AH120" s="141">
        <v>-8183000</v>
      </c>
      <c r="AI120" s="141">
        <v>0</v>
      </c>
      <c r="AJ120" s="141">
        <v>-8183000</v>
      </c>
      <c r="AK120" s="141">
        <v>0</v>
      </c>
      <c r="AL120" s="141">
        <v>0</v>
      </c>
      <c r="AM120" s="141">
        <v>0</v>
      </c>
      <c r="AN120" s="141">
        <v>3480000</v>
      </c>
      <c r="AO120" s="141">
        <v>0</v>
      </c>
      <c r="AP120" s="141">
        <v>3480000</v>
      </c>
      <c r="AQ120" s="141">
        <v>-4703000</v>
      </c>
      <c r="AR120" s="141">
        <v>0</v>
      </c>
      <c r="AS120" s="141">
        <v>-4703000</v>
      </c>
      <c r="AT120" s="141">
        <v>-14500000</v>
      </c>
      <c r="AU120" s="141">
        <v>0</v>
      </c>
      <c r="AV120" s="141">
        <v>-14500000</v>
      </c>
      <c r="AW120" s="141">
        <v>0</v>
      </c>
      <c r="AX120" s="141">
        <v>0</v>
      </c>
      <c r="AY120" s="141">
        <v>0</v>
      </c>
      <c r="AZ120" s="141">
        <v>0</v>
      </c>
      <c r="BA120" s="141">
        <v>0</v>
      </c>
      <c r="BB120" s="141">
        <v>0</v>
      </c>
      <c r="BC120" s="141">
        <v>-19203000</v>
      </c>
      <c r="BD120" s="141">
        <v>0</v>
      </c>
      <c r="BE120" s="141">
        <v>0</v>
      </c>
      <c r="BF120" s="141">
        <v>0</v>
      </c>
      <c r="BG120" s="141">
        <v>-19203000</v>
      </c>
      <c r="BH120" s="141">
        <v>0</v>
      </c>
      <c r="BI120" s="141">
        <v>-19203000</v>
      </c>
      <c r="BJ120" s="141">
        <v>0</v>
      </c>
      <c r="BK120" s="141">
        <v>0</v>
      </c>
      <c r="BL120" s="141">
        <v>0</v>
      </c>
      <c r="BM120" s="141">
        <v>-3580000</v>
      </c>
      <c r="BN120" s="141">
        <v>0</v>
      </c>
      <c r="BO120" s="141">
        <v>-3580000</v>
      </c>
      <c r="BP120" s="141">
        <v>-3580000</v>
      </c>
      <c r="BQ120" s="141">
        <v>0</v>
      </c>
      <c r="BR120" s="141">
        <v>0</v>
      </c>
      <c r="BS120" s="141">
        <v>0</v>
      </c>
      <c r="BT120" s="141">
        <v>-3580000</v>
      </c>
      <c r="BU120" s="141">
        <v>0</v>
      </c>
      <c r="BV120" s="141">
        <v>-3580000</v>
      </c>
      <c r="BW120" s="141">
        <v>-400000</v>
      </c>
      <c r="BX120" s="141">
        <v>0</v>
      </c>
      <c r="BY120" s="141">
        <v>-400000</v>
      </c>
      <c r="BZ120" s="141">
        <v>0</v>
      </c>
      <c r="CA120" s="141">
        <v>0</v>
      </c>
      <c r="CB120" s="141">
        <v>0</v>
      </c>
      <c r="CC120" s="141">
        <v>0</v>
      </c>
      <c r="CD120" s="141">
        <v>0</v>
      </c>
      <c r="CE120" s="141">
        <v>0</v>
      </c>
      <c r="CF120" s="141">
        <v>0</v>
      </c>
      <c r="CG120" s="141">
        <v>0</v>
      </c>
      <c r="CH120" s="141">
        <v>0</v>
      </c>
      <c r="CI120" s="141">
        <v>0</v>
      </c>
      <c r="CJ120" s="141">
        <v>0</v>
      </c>
      <c r="CK120" s="141">
        <v>0</v>
      </c>
      <c r="CL120" s="141">
        <v>0</v>
      </c>
      <c r="CM120" s="141">
        <v>0</v>
      </c>
      <c r="CN120" s="141">
        <v>0</v>
      </c>
      <c r="CO120" s="141">
        <v>0</v>
      </c>
      <c r="CP120" s="141">
        <v>0</v>
      </c>
      <c r="CQ120" s="141">
        <v>-400000</v>
      </c>
      <c r="CR120" s="141">
        <v>0</v>
      </c>
      <c r="CS120" s="141">
        <v>0</v>
      </c>
      <c r="CT120" s="141">
        <v>0</v>
      </c>
      <c r="CU120" s="141">
        <v>-400000</v>
      </c>
      <c r="CV120" s="141">
        <v>0</v>
      </c>
      <c r="CW120" s="141">
        <v>-400000</v>
      </c>
      <c r="CX120" s="141">
        <v>0</v>
      </c>
      <c r="CY120" s="141">
        <v>0</v>
      </c>
      <c r="CZ120" s="141">
        <v>0</v>
      </c>
      <c r="DA120" s="141">
        <v>0</v>
      </c>
      <c r="DB120" s="141">
        <v>0</v>
      </c>
      <c r="DC120" s="141">
        <v>0</v>
      </c>
      <c r="DD120" s="141">
        <v>-1300000</v>
      </c>
      <c r="DE120" s="141">
        <v>0</v>
      </c>
      <c r="DF120" s="141">
        <v>-1300000</v>
      </c>
      <c r="DG120" s="141">
        <v>-829000</v>
      </c>
      <c r="DH120" s="141">
        <v>0</v>
      </c>
      <c r="DI120" s="141">
        <v>-829000</v>
      </c>
      <c r="DJ120" s="141">
        <v>0</v>
      </c>
      <c r="DK120" s="141">
        <v>0</v>
      </c>
      <c r="DL120" s="141">
        <v>0</v>
      </c>
      <c r="DM120" s="141">
        <v>-6700000</v>
      </c>
      <c r="DN120" s="141">
        <v>0</v>
      </c>
      <c r="DO120" s="141">
        <v>-6700000</v>
      </c>
      <c r="DP120" s="141">
        <v>-8829000</v>
      </c>
      <c r="DQ120" s="141">
        <v>0</v>
      </c>
      <c r="DR120" s="141">
        <v>0</v>
      </c>
      <c r="DS120" s="141">
        <v>0</v>
      </c>
      <c r="DT120" s="141">
        <v>-8829000</v>
      </c>
      <c r="DU120" s="141">
        <v>0</v>
      </c>
      <c r="DV120" s="141">
        <v>-8829000</v>
      </c>
      <c r="DW120" s="856">
        <v>129304041</v>
      </c>
      <c r="DX120" s="856">
        <v>0</v>
      </c>
      <c r="DY120" s="857">
        <v>129304041</v>
      </c>
      <c r="DZ120" t="s">
        <v>1686</v>
      </c>
    </row>
    <row r="121" spans="1:130" ht="12.75" x14ac:dyDescent="0.2">
      <c r="A121" s="764">
        <v>114</v>
      </c>
      <c r="B121" s="765" t="s">
        <v>114</v>
      </c>
      <c r="C121" s="766" t="s">
        <v>529</v>
      </c>
      <c r="D121" s="767" t="s">
        <v>1219</v>
      </c>
      <c r="E121" s="768" t="s">
        <v>548</v>
      </c>
      <c r="F121" s="867">
        <v>43481</v>
      </c>
      <c r="G121" s="141">
        <v>126853349</v>
      </c>
      <c r="H121" s="141">
        <v>668000</v>
      </c>
      <c r="I121" s="141">
        <v>127521349</v>
      </c>
      <c r="J121" s="141">
        <v>49.1</v>
      </c>
      <c r="K121" s="141">
        <v>62284994</v>
      </c>
      <c r="L121" s="141">
        <v>327988</v>
      </c>
      <c r="M121" s="141">
        <v>-1000000</v>
      </c>
      <c r="N121" s="141">
        <v>0</v>
      </c>
      <c r="O121" s="141">
        <v>61284994</v>
      </c>
      <c r="P121" s="141">
        <v>327988</v>
      </c>
      <c r="Q121" s="141">
        <v>61612982</v>
      </c>
      <c r="R121" s="141">
        <v>-264811</v>
      </c>
      <c r="S121" s="141">
        <v>0</v>
      </c>
      <c r="T121" s="141">
        <v>-264811</v>
      </c>
      <c r="U121" s="141">
        <v>2141597</v>
      </c>
      <c r="V121" s="141">
        <v>0</v>
      </c>
      <c r="W121" s="141">
        <v>2141597</v>
      </c>
      <c r="X121" s="141">
        <v>1876786</v>
      </c>
      <c r="Y121" s="141">
        <v>0</v>
      </c>
      <c r="Z121" s="141">
        <v>0</v>
      </c>
      <c r="AA121" s="141">
        <v>0</v>
      </c>
      <c r="AB121" s="141">
        <v>1876786</v>
      </c>
      <c r="AC121" s="141">
        <v>0</v>
      </c>
      <c r="AD121" s="141">
        <v>1876786</v>
      </c>
      <c r="AE121" s="141">
        <v>-1876786</v>
      </c>
      <c r="AF121" s="141">
        <v>0</v>
      </c>
      <c r="AG121" s="141">
        <v>-1876786</v>
      </c>
      <c r="AH121" s="141">
        <v>-3149636</v>
      </c>
      <c r="AI121" s="141">
        <v>0</v>
      </c>
      <c r="AJ121" s="141">
        <v>-3149636</v>
      </c>
      <c r="AK121" s="141">
        <v>-22339</v>
      </c>
      <c r="AL121" s="141">
        <v>0</v>
      </c>
      <c r="AM121" s="141">
        <v>-22339</v>
      </c>
      <c r="AN121" s="141">
        <v>1259171</v>
      </c>
      <c r="AO121" s="141">
        <v>1372</v>
      </c>
      <c r="AP121" s="141">
        <v>1260543</v>
      </c>
      <c r="AQ121" s="141">
        <v>-1890465</v>
      </c>
      <c r="AR121" s="141">
        <v>1372</v>
      </c>
      <c r="AS121" s="141">
        <v>-1889093</v>
      </c>
      <c r="AT121" s="141">
        <v>-2305249</v>
      </c>
      <c r="AU121" s="141">
        <v>0</v>
      </c>
      <c r="AV121" s="141">
        <v>-2305249</v>
      </c>
      <c r="AW121" s="141">
        <v>-97978</v>
      </c>
      <c r="AX121" s="141">
        <v>0</v>
      </c>
      <c r="AY121" s="141">
        <v>-97978</v>
      </c>
      <c r="AZ121" s="141">
        <v>0</v>
      </c>
      <c r="BA121" s="141">
        <v>0</v>
      </c>
      <c r="BB121" s="141">
        <v>0</v>
      </c>
      <c r="BC121" s="141">
        <v>-4293692</v>
      </c>
      <c r="BD121" s="141">
        <v>1372</v>
      </c>
      <c r="BE121" s="141">
        <v>0</v>
      </c>
      <c r="BF121" s="141">
        <v>0</v>
      </c>
      <c r="BG121" s="141">
        <v>-4293692</v>
      </c>
      <c r="BH121" s="141">
        <v>1372</v>
      </c>
      <c r="BI121" s="141">
        <v>-4292320</v>
      </c>
      <c r="BJ121" s="141">
        <v>0</v>
      </c>
      <c r="BK121" s="141">
        <v>0</v>
      </c>
      <c r="BL121" s="141">
        <v>0</v>
      </c>
      <c r="BM121" s="141">
        <v>-2011849</v>
      </c>
      <c r="BN121" s="141">
        <v>0</v>
      </c>
      <c r="BO121" s="141">
        <v>-2011849</v>
      </c>
      <c r="BP121" s="141">
        <v>-2011849</v>
      </c>
      <c r="BQ121" s="141">
        <v>0</v>
      </c>
      <c r="BR121" s="141">
        <v>0</v>
      </c>
      <c r="BS121" s="141">
        <v>0</v>
      </c>
      <c r="BT121" s="141">
        <v>-2011849</v>
      </c>
      <c r="BU121" s="141">
        <v>0</v>
      </c>
      <c r="BV121" s="141">
        <v>-2011849</v>
      </c>
      <c r="BW121" s="141">
        <v>-60986</v>
      </c>
      <c r="BX121" s="141">
        <v>0</v>
      </c>
      <c r="BY121" s="141">
        <v>-60986</v>
      </c>
      <c r="BZ121" s="141">
        <v>-66114</v>
      </c>
      <c r="CA121" s="141">
        <v>0</v>
      </c>
      <c r="CB121" s="141">
        <v>-66114</v>
      </c>
      <c r="CC121" s="141">
        <v>-13381</v>
      </c>
      <c r="CD121" s="141">
        <v>0</v>
      </c>
      <c r="CE121" s="141">
        <v>-13381</v>
      </c>
      <c r="CF121" s="141">
        <v>0</v>
      </c>
      <c r="CG121" s="141">
        <v>0</v>
      </c>
      <c r="CH121" s="141">
        <v>0</v>
      </c>
      <c r="CI121" s="141">
        <v>0</v>
      </c>
      <c r="CJ121" s="141">
        <v>0</v>
      </c>
      <c r="CK121" s="141">
        <v>0</v>
      </c>
      <c r="CL121" s="141">
        <v>-32283</v>
      </c>
      <c r="CM121" s="141">
        <v>-283820</v>
      </c>
      <c r="CN121" s="141">
        <v>-316103</v>
      </c>
      <c r="CO121" s="141">
        <v>-283820</v>
      </c>
      <c r="CP121" s="141">
        <v>-32283</v>
      </c>
      <c r="CQ121" s="141">
        <v>-172764</v>
      </c>
      <c r="CR121" s="141">
        <v>-283820</v>
      </c>
      <c r="CS121" s="141">
        <v>0</v>
      </c>
      <c r="CT121" s="141">
        <v>0</v>
      </c>
      <c r="CU121" s="141">
        <v>-172764</v>
      </c>
      <c r="CV121" s="141">
        <v>-283820</v>
      </c>
      <c r="CW121" s="141">
        <v>-456584</v>
      </c>
      <c r="CX121" s="141">
        <v>0</v>
      </c>
      <c r="CY121" s="141">
        <v>0</v>
      </c>
      <c r="CZ121" s="141">
        <v>0</v>
      </c>
      <c r="DA121" s="141">
        <v>0</v>
      </c>
      <c r="DB121" s="141">
        <v>0</v>
      </c>
      <c r="DC121" s="141">
        <v>0</v>
      </c>
      <c r="DD121" s="141">
        <v>-7959</v>
      </c>
      <c r="DE121" s="141">
        <v>0</v>
      </c>
      <c r="DF121" s="141">
        <v>-7959</v>
      </c>
      <c r="DG121" s="141">
        <v>-33000</v>
      </c>
      <c r="DH121" s="141">
        <v>0</v>
      </c>
      <c r="DI121" s="141">
        <v>-33000</v>
      </c>
      <c r="DJ121" s="141">
        <v>0</v>
      </c>
      <c r="DK121" s="141">
        <v>0</v>
      </c>
      <c r="DL121" s="141">
        <v>0</v>
      </c>
      <c r="DM121" s="141">
        <v>-487518</v>
      </c>
      <c r="DN121" s="141">
        <v>0</v>
      </c>
      <c r="DO121" s="141">
        <v>-487518</v>
      </c>
      <c r="DP121" s="141">
        <v>-528477</v>
      </c>
      <c r="DQ121" s="141">
        <v>0</v>
      </c>
      <c r="DR121" s="141">
        <v>0</v>
      </c>
      <c r="DS121" s="141">
        <v>0</v>
      </c>
      <c r="DT121" s="141">
        <v>-528477</v>
      </c>
      <c r="DU121" s="141">
        <v>0</v>
      </c>
      <c r="DV121" s="141">
        <v>-528477</v>
      </c>
      <c r="DW121" s="856">
        <v>56154998</v>
      </c>
      <c r="DX121" s="856">
        <v>45540</v>
      </c>
      <c r="DY121" s="857">
        <v>56200538</v>
      </c>
      <c r="DZ121" t="s">
        <v>1687</v>
      </c>
    </row>
    <row r="122" spans="1:130" ht="12.75" x14ac:dyDescent="0.2">
      <c r="A122" s="764">
        <v>115</v>
      </c>
      <c r="B122" s="765" t="s">
        <v>116</v>
      </c>
      <c r="C122" s="766" t="s">
        <v>1217</v>
      </c>
      <c r="D122" s="767" t="s">
        <v>1225</v>
      </c>
      <c r="E122" s="768" t="s">
        <v>115</v>
      </c>
      <c r="F122" s="867">
        <v>43469</v>
      </c>
      <c r="G122" s="141">
        <v>73611806</v>
      </c>
      <c r="H122" s="141">
        <v>0</v>
      </c>
      <c r="I122" s="141">
        <v>73611806</v>
      </c>
      <c r="J122" s="141">
        <v>49.1</v>
      </c>
      <c r="K122" s="141">
        <v>36143397</v>
      </c>
      <c r="L122" s="141">
        <v>0</v>
      </c>
      <c r="M122" s="141">
        <v>0</v>
      </c>
      <c r="N122" s="141">
        <v>0</v>
      </c>
      <c r="O122" s="141">
        <v>36143397</v>
      </c>
      <c r="P122" s="141">
        <v>0</v>
      </c>
      <c r="Q122" s="141">
        <v>36143397</v>
      </c>
      <c r="R122" s="141">
        <v>-487674</v>
      </c>
      <c r="S122" s="141">
        <v>0</v>
      </c>
      <c r="T122" s="141">
        <v>-487674</v>
      </c>
      <c r="U122" s="141">
        <v>269585</v>
      </c>
      <c r="V122" s="141">
        <v>0</v>
      </c>
      <c r="W122" s="141">
        <v>269585</v>
      </c>
      <c r="X122" s="141">
        <v>-218089</v>
      </c>
      <c r="Y122" s="141">
        <v>0</v>
      </c>
      <c r="Z122" s="141">
        <v>0</v>
      </c>
      <c r="AA122" s="141">
        <v>0</v>
      </c>
      <c r="AB122" s="141">
        <v>-218089</v>
      </c>
      <c r="AC122" s="141">
        <v>0</v>
      </c>
      <c r="AD122" s="141">
        <v>-218089</v>
      </c>
      <c r="AE122" s="141">
        <v>218089</v>
      </c>
      <c r="AF122" s="141">
        <v>0</v>
      </c>
      <c r="AG122" s="141">
        <v>218089</v>
      </c>
      <c r="AH122" s="141">
        <v>-4806128</v>
      </c>
      <c r="AI122" s="141">
        <v>0</v>
      </c>
      <c r="AJ122" s="141">
        <v>-4806128</v>
      </c>
      <c r="AK122" s="141">
        <v>-24715</v>
      </c>
      <c r="AL122" s="141">
        <v>0</v>
      </c>
      <c r="AM122" s="141">
        <v>-24715</v>
      </c>
      <c r="AN122" s="141">
        <v>545639</v>
      </c>
      <c r="AO122" s="141">
        <v>0</v>
      </c>
      <c r="AP122" s="141">
        <v>545639</v>
      </c>
      <c r="AQ122" s="141">
        <v>-4260489</v>
      </c>
      <c r="AR122" s="141">
        <v>0</v>
      </c>
      <c r="AS122" s="141">
        <v>-4260489</v>
      </c>
      <c r="AT122" s="141">
        <v>-1246219</v>
      </c>
      <c r="AU122" s="141">
        <v>0</v>
      </c>
      <c r="AV122" s="141">
        <v>-1246219</v>
      </c>
      <c r="AW122" s="141">
        <v>-104227</v>
      </c>
      <c r="AX122" s="141">
        <v>0</v>
      </c>
      <c r="AY122" s="141">
        <v>-104227</v>
      </c>
      <c r="AZ122" s="141">
        <v>-58389</v>
      </c>
      <c r="BA122" s="141">
        <v>0</v>
      </c>
      <c r="BB122" s="141">
        <v>-58389</v>
      </c>
      <c r="BC122" s="141">
        <v>-5669324</v>
      </c>
      <c r="BD122" s="141">
        <v>0</v>
      </c>
      <c r="BE122" s="141">
        <v>0</v>
      </c>
      <c r="BF122" s="141">
        <v>0</v>
      </c>
      <c r="BG122" s="141">
        <v>-5669324</v>
      </c>
      <c r="BH122" s="141">
        <v>0</v>
      </c>
      <c r="BI122" s="141">
        <v>-5669324</v>
      </c>
      <c r="BJ122" s="141">
        <v>-11000</v>
      </c>
      <c r="BK122" s="141">
        <v>0</v>
      </c>
      <c r="BL122" s="141">
        <v>-11000</v>
      </c>
      <c r="BM122" s="141">
        <v>-650000</v>
      </c>
      <c r="BN122" s="141">
        <v>0</v>
      </c>
      <c r="BO122" s="141">
        <v>-650000</v>
      </c>
      <c r="BP122" s="141">
        <v>-661000</v>
      </c>
      <c r="BQ122" s="141">
        <v>0</v>
      </c>
      <c r="BR122" s="141">
        <v>0</v>
      </c>
      <c r="BS122" s="141">
        <v>0</v>
      </c>
      <c r="BT122" s="141">
        <v>-661000</v>
      </c>
      <c r="BU122" s="141">
        <v>0</v>
      </c>
      <c r="BV122" s="141">
        <v>-661000</v>
      </c>
      <c r="BW122" s="141">
        <v>-68859</v>
      </c>
      <c r="BX122" s="141">
        <v>0</v>
      </c>
      <c r="BY122" s="141">
        <v>-68859</v>
      </c>
      <c r="BZ122" s="141">
        <v>-13544</v>
      </c>
      <c r="CA122" s="141">
        <v>0</v>
      </c>
      <c r="CB122" s="141">
        <v>-13544</v>
      </c>
      <c r="CC122" s="141">
        <v>-1001</v>
      </c>
      <c r="CD122" s="141">
        <v>0</v>
      </c>
      <c r="CE122" s="141">
        <v>-1001</v>
      </c>
      <c r="CF122" s="141">
        <v>0</v>
      </c>
      <c r="CG122" s="141">
        <v>0</v>
      </c>
      <c r="CH122" s="141">
        <v>0</v>
      </c>
      <c r="CI122" s="141">
        <v>0</v>
      </c>
      <c r="CJ122" s="141">
        <v>0</v>
      </c>
      <c r="CK122" s="141">
        <v>0</v>
      </c>
      <c r="CL122" s="141">
        <v>0</v>
      </c>
      <c r="CM122" s="141">
        <v>0</v>
      </c>
      <c r="CN122" s="141">
        <v>0</v>
      </c>
      <c r="CO122" s="141">
        <v>0</v>
      </c>
      <c r="CP122" s="141">
        <v>0</v>
      </c>
      <c r="CQ122" s="141">
        <v>-83404</v>
      </c>
      <c r="CR122" s="141">
        <v>0</v>
      </c>
      <c r="CS122" s="141">
        <v>0</v>
      </c>
      <c r="CT122" s="141">
        <v>0</v>
      </c>
      <c r="CU122" s="141">
        <v>-83404</v>
      </c>
      <c r="CV122" s="141">
        <v>0</v>
      </c>
      <c r="CW122" s="141">
        <v>-83404</v>
      </c>
      <c r="CX122" s="141">
        <v>-58389</v>
      </c>
      <c r="CY122" s="141">
        <v>0</v>
      </c>
      <c r="CZ122" s="141">
        <v>-58389</v>
      </c>
      <c r="DA122" s="141">
        <v>0</v>
      </c>
      <c r="DB122" s="141">
        <v>0</v>
      </c>
      <c r="DC122" s="141">
        <v>0</v>
      </c>
      <c r="DD122" s="141">
        <v>-33418</v>
      </c>
      <c r="DE122" s="141">
        <v>0</v>
      </c>
      <c r="DF122" s="141">
        <v>-33418</v>
      </c>
      <c r="DG122" s="141">
        <v>-47875</v>
      </c>
      <c r="DH122" s="141">
        <v>0</v>
      </c>
      <c r="DI122" s="141">
        <v>-47875</v>
      </c>
      <c r="DJ122" s="141">
        <v>-4812</v>
      </c>
      <c r="DK122" s="141">
        <v>0</v>
      </c>
      <c r="DL122" s="141">
        <v>-4812</v>
      </c>
      <c r="DM122" s="141">
        <v>-774911</v>
      </c>
      <c r="DN122" s="141">
        <v>0</v>
      </c>
      <c r="DO122" s="141">
        <v>-774911</v>
      </c>
      <c r="DP122" s="141">
        <v>-919405</v>
      </c>
      <c r="DQ122" s="141">
        <v>0</v>
      </c>
      <c r="DR122" s="141">
        <v>0</v>
      </c>
      <c r="DS122" s="141">
        <v>0</v>
      </c>
      <c r="DT122" s="141">
        <v>-919405</v>
      </c>
      <c r="DU122" s="141">
        <v>0</v>
      </c>
      <c r="DV122" s="141">
        <v>-919405</v>
      </c>
      <c r="DW122" s="856">
        <v>28592175</v>
      </c>
      <c r="DX122" s="856">
        <v>0</v>
      </c>
      <c r="DY122" s="857">
        <v>28592175</v>
      </c>
      <c r="DZ122" t="s">
        <v>1688</v>
      </c>
    </row>
    <row r="123" spans="1:130" ht="12.75" x14ac:dyDescent="0.2">
      <c r="A123" s="764">
        <v>116</v>
      </c>
      <c r="B123" s="765" t="s">
        <v>118</v>
      </c>
      <c r="C123" s="766" t="s">
        <v>1228</v>
      </c>
      <c r="D123" s="767" t="s">
        <v>1223</v>
      </c>
      <c r="E123" s="768" t="s">
        <v>117</v>
      </c>
      <c r="F123" s="867">
        <v>43465</v>
      </c>
      <c r="G123" s="141">
        <v>572339519</v>
      </c>
      <c r="H123" s="141">
        <v>0</v>
      </c>
      <c r="I123" s="141">
        <v>572339519</v>
      </c>
      <c r="J123" s="141">
        <v>49.1</v>
      </c>
      <c r="K123" s="141">
        <v>281018704</v>
      </c>
      <c r="L123" s="141">
        <v>0</v>
      </c>
      <c r="M123" s="141">
        <v>2612140</v>
      </c>
      <c r="N123" s="141">
        <v>0</v>
      </c>
      <c r="O123" s="141">
        <v>283630844</v>
      </c>
      <c r="P123" s="141">
        <v>0</v>
      </c>
      <c r="Q123" s="141">
        <v>283630844</v>
      </c>
      <c r="R123" s="141">
        <v>-3247752</v>
      </c>
      <c r="S123" s="141">
        <v>0</v>
      </c>
      <c r="T123" s="141">
        <v>-3247752</v>
      </c>
      <c r="U123" s="141">
        <v>433293</v>
      </c>
      <c r="V123" s="141">
        <v>0</v>
      </c>
      <c r="W123" s="141">
        <v>433293</v>
      </c>
      <c r="X123" s="141">
        <v>-2814459</v>
      </c>
      <c r="Y123" s="141">
        <v>0</v>
      </c>
      <c r="Z123" s="141">
        <v>0</v>
      </c>
      <c r="AA123" s="141">
        <v>0</v>
      </c>
      <c r="AB123" s="141">
        <v>-2814459</v>
      </c>
      <c r="AC123" s="141">
        <v>0</v>
      </c>
      <c r="AD123" s="141">
        <v>-2814459</v>
      </c>
      <c r="AE123" s="141">
        <v>2814459</v>
      </c>
      <c r="AF123" s="141">
        <v>0</v>
      </c>
      <c r="AG123" s="141">
        <v>2814459</v>
      </c>
      <c r="AH123" s="141">
        <v>-5078087</v>
      </c>
      <c r="AI123" s="141">
        <v>0</v>
      </c>
      <c r="AJ123" s="141">
        <v>-5078087</v>
      </c>
      <c r="AK123" s="141">
        <v>-9441</v>
      </c>
      <c r="AL123" s="141">
        <v>0</v>
      </c>
      <c r="AM123" s="141">
        <v>-9441</v>
      </c>
      <c r="AN123" s="141">
        <v>6323305</v>
      </c>
      <c r="AO123" s="141">
        <v>0</v>
      </c>
      <c r="AP123" s="141">
        <v>6323305</v>
      </c>
      <c r="AQ123" s="141">
        <v>1245218</v>
      </c>
      <c r="AR123" s="141">
        <v>0</v>
      </c>
      <c r="AS123" s="141">
        <v>1245218</v>
      </c>
      <c r="AT123" s="141">
        <v>-11959404</v>
      </c>
      <c r="AU123" s="141">
        <v>0</v>
      </c>
      <c r="AV123" s="141">
        <v>-11959404</v>
      </c>
      <c r="AW123" s="141">
        <v>0</v>
      </c>
      <c r="AX123" s="141">
        <v>0</v>
      </c>
      <c r="AY123" s="141">
        <v>0</v>
      </c>
      <c r="AZ123" s="141">
        <v>0</v>
      </c>
      <c r="BA123" s="141">
        <v>0</v>
      </c>
      <c r="BB123" s="141">
        <v>0</v>
      </c>
      <c r="BC123" s="141">
        <v>-10714186</v>
      </c>
      <c r="BD123" s="141">
        <v>0</v>
      </c>
      <c r="BE123" s="141">
        <v>0</v>
      </c>
      <c r="BF123" s="141">
        <v>0</v>
      </c>
      <c r="BG123" s="141">
        <v>-10714186</v>
      </c>
      <c r="BH123" s="141">
        <v>0</v>
      </c>
      <c r="BI123" s="141">
        <v>-10714186</v>
      </c>
      <c r="BJ123" s="141">
        <v>0</v>
      </c>
      <c r="BK123" s="141">
        <v>0</v>
      </c>
      <c r="BL123" s="141">
        <v>0</v>
      </c>
      <c r="BM123" s="141">
        <v>-8620366</v>
      </c>
      <c r="BN123" s="141">
        <v>0</v>
      </c>
      <c r="BO123" s="141">
        <v>-8620366</v>
      </c>
      <c r="BP123" s="141">
        <v>-8620366</v>
      </c>
      <c r="BQ123" s="141">
        <v>0</v>
      </c>
      <c r="BR123" s="141">
        <v>0</v>
      </c>
      <c r="BS123" s="141">
        <v>0</v>
      </c>
      <c r="BT123" s="141">
        <v>-8620366</v>
      </c>
      <c r="BU123" s="141">
        <v>0</v>
      </c>
      <c r="BV123" s="141">
        <v>-8620366</v>
      </c>
      <c r="BW123" s="141">
        <v>-87178</v>
      </c>
      <c r="BX123" s="141">
        <v>0</v>
      </c>
      <c r="BY123" s="141">
        <v>-87178</v>
      </c>
      <c r="BZ123" s="141">
        <v>-86718</v>
      </c>
      <c r="CA123" s="141">
        <v>0</v>
      </c>
      <c r="CB123" s="141">
        <v>-86718</v>
      </c>
      <c r="CC123" s="141">
        <v>0</v>
      </c>
      <c r="CD123" s="141">
        <v>0</v>
      </c>
      <c r="CE123" s="141">
        <v>0</v>
      </c>
      <c r="CF123" s="141">
        <v>0</v>
      </c>
      <c r="CG123" s="141">
        <v>0</v>
      </c>
      <c r="CH123" s="141">
        <v>0</v>
      </c>
      <c r="CI123" s="141">
        <v>0</v>
      </c>
      <c r="CJ123" s="141">
        <v>0</v>
      </c>
      <c r="CK123" s="141">
        <v>0</v>
      </c>
      <c r="CL123" s="141">
        <v>0</v>
      </c>
      <c r="CM123" s="141">
        <v>0</v>
      </c>
      <c r="CN123" s="141">
        <v>0</v>
      </c>
      <c r="CO123" s="141">
        <v>0</v>
      </c>
      <c r="CP123" s="141">
        <v>0</v>
      </c>
      <c r="CQ123" s="141">
        <v>-173896</v>
      </c>
      <c r="CR123" s="141">
        <v>0</v>
      </c>
      <c r="CS123" s="141">
        <v>0</v>
      </c>
      <c r="CT123" s="141">
        <v>0</v>
      </c>
      <c r="CU123" s="141">
        <v>-173896</v>
      </c>
      <c r="CV123" s="141">
        <v>0</v>
      </c>
      <c r="CW123" s="141">
        <v>-173896</v>
      </c>
      <c r="CX123" s="141">
        <v>0</v>
      </c>
      <c r="CY123" s="141">
        <v>0</v>
      </c>
      <c r="CZ123" s="141">
        <v>0</v>
      </c>
      <c r="DA123" s="141">
        <v>0</v>
      </c>
      <c r="DB123" s="141">
        <v>0</v>
      </c>
      <c r="DC123" s="141">
        <v>0</v>
      </c>
      <c r="DD123" s="141">
        <v>-41505</v>
      </c>
      <c r="DE123" s="141">
        <v>0</v>
      </c>
      <c r="DF123" s="141">
        <v>-41505</v>
      </c>
      <c r="DG123" s="141">
        <v>-477000</v>
      </c>
      <c r="DH123" s="141">
        <v>0</v>
      </c>
      <c r="DI123" s="141">
        <v>-477000</v>
      </c>
      <c r="DJ123" s="141">
        <v>0</v>
      </c>
      <c r="DK123" s="141">
        <v>0</v>
      </c>
      <c r="DL123" s="141">
        <v>0</v>
      </c>
      <c r="DM123" s="141">
        <v>-4675837</v>
      </c>
      <c r="DN123" s="141">
        <v>0</v>
      </c>
      <c r="DO123" s="141">
        <v>-4675837</v>
      </c>
      <c r="DP123" s="141">
        <v>-5194342</v>
      </c>
      <c r="DQ123" s="141">
        <v>0</v>
      </c>
      <c r="DR123" s="141">
        <v>0</v>
      </c>
      <c r="DS123" s="141">
        <v>0</v>
      </c>
      <c r="DT123" s="141">
        <v>-5194342</v>
      </c>
      <c r="DU123" s="141">
        <v>0</v>
      </c>
      <c r="DV123" s="141">
        <v>-5194342</v>
      </c>
      <c r="DW123" s="856">
        <v>256113595</v>
      </c>
      <c r="DX123" s="856">
        <v>0</v>
      </c>
      <c r="DY123" s="857">
        <v>256113595</v>
      </c>
      <c r="DZ123" t="s">
        <v>1689</v>
      </c>
    </row>
    <row r="124" spans="1:130" ht="12.75" x14ac:dyDescent="0.2">
      <c r="A124" s="764">
        <v>117</v>
      </c>
      <c r="B124" s="765" t="s">
        <v>120</v>
      </c>
      <c r="C124" s="766" t="s">
        <v>1217</v>
      </c>
      <c r="D124" s="767" t="s">
        <v>1220</v>
      </c>
      <c r="E124" s="768" t="s">
        <v>119</v>
      </c>
      <c r="F124" s="867">
        <v>43479</v>
      </c>
      <c r="G124" s="141">
        <v>106307722</v>
      </c>
      <c r="H124" s="141">
        <v>0</v>
      </c>
      <c r="I124" s="141">
        <v>106307722</v>
      </c>
      <c r="J124" s="141">
        <v>49.1</v>
      </c>
      <c r="K124" s="141">
        <v>52197092</v>
      </c>
      <c r="L124" s="141">
        <v>0</v>
      </c>
      <c r="M124" s="141">
        <v>103636</v>
      </c>
      <c r="N124" s="141">
        <v>0</v>
      </c>
      <c r="O124" s="141">
        <v>52300728</v>
      </c>
      <c r="P124" s="141">
        <v>0</v>
      </c>
      <c r="Q124" s="141">
        <v>52300728</v>
      </c>
      <c r="R124" s="141">
        <v>-799689</v>
      </c>
      <c r="S124" s="141">
        <v>0</v>
      </c>
      <c r="T124" s="141">
        <v>-799689</v>
      </c>
      <c r="U124" s="141">
        <v>39470</v>
      </c>
      <c r="V124" s="141">
        <v>0</v>
      </c>
      <c r="W124" s="141">
        <v>39470</v>
      </c>
      <c r="X124" s="141">
        <v>-760219</v>
      </c>
      <c r="Y124" s="141">
        <v>0</v>
      </c>
      <c r="Z124" s="141">
        <v>0</v>
      </c>
      <c r="AA124" s="141">
        <v>0</v>
      </c>
      <c r="AB124" s="141">
        <v>-760219</v>
      </c>
      <c r="AC124" s="141">
        <v>0</v>
      </c>
      <c r="AD124" s="141">
        <v>-760219</v>
      </c>
      <c r="AE124" s="141">
        <v>760219</v>
      </c>
      <c r="AF124" s="141">
        <v>0</v>
      </c>
      <c r="AG124" s="141">
        <v>760219</v>
      </c>
      <c r="AH124" s="141">
        <v>-3069722</v>
      </c>
      <c r="AI124" s="141">
        <v>0</v>
      </c>
      <c r="AJ124" s="141">
        <v>-3069722</v>
      </c>
      <c r="AK124" s="141">
        <v>-4909</v>
      </c>
      <c r="AL124" s="141">
        <v>0</v>
      </c>
      <c r="AM124" s="141">
        <v>-4909</v>
      </c>
      <c r="AN124" s="141">
        <v>1021146</v>
      </c>
      <c r="AO124" s="141">
        <v>0</v>
      </c>
      <c r="AP124" s="141">
        <v>1021146</v>
      </c>
      <c r="AQ124" s="141">
        <v>-2048576</v>
      </c>
      <c r="AR124" s="141">
        <v>0</v>
      </c>
      <c r="AS124" s="141">
        <v>-2048576</v>
      </c>
      <c r="AT124" s="141">
        <v>-2170100</v>
      </c>
      <c r="AU124" s="141">
        <v>0</v>
      </c>
      <c r="AV124" s="141">
        <v>-2170100</v>
      </c>
      <c r="AW124" s="141">
        <v>-44249</v>
      </c>
      <c r="AX124" s="141">
        <v>0</v>
      </c>
      <c r="AY124" s="141">
        <v>-44249</v>
      </c>
      <c r="AZ124" s="141">
        <v>-20494</v>
      </c>
      <c r="BA124" s="141">
        <v>0</v>
      </c>
      <c r="BB124" s="141">
        <v>-20494</v>
      </c>
      <c r="BC124" s="141">
        <v>-4283419</v>
      </c>
      <c r="BD124" s="141">
        <v>0</v>
      </c>
      <c r="BE124" s="141">
        <v>0</v>
      </c>
      <c r="BF124" s="141">
        <v>0</v>
      </c>
      <c r="BG124" s="141">
        <v>-4283419</v>
      </c>
      <c r="BH124" s="141">
        <v>0</v>
      </c>
      <c r="BI124" s="141">
        <v>-4283419</v>
      </c>
      <c r="BJ124" s="141">
        <v>-206000</v>
      </c>
      <c r="BK124" s="141">
        <v>0</v>
      </c>
      <c r="BL124" s="141">
        <v>-206000</v>
      </c>
      <c r="BM124" s="141">
        <v>-473410</v>
      </c>
      <c r="BN124" s="141">
        <v>0</v>
      </c>
      <c r="BO124" s="141">
        <v>-473410</v>
      </c>
      <c r="BP124" s="141">
        <v>-679410</v>
      </c>
      <c r="BQ124" s="141">
        <v>0</v>
      </c>
      <c r="BR124" s="141">
        <v>-580000</v>
      </c>
      <c r="BS124" s="141">
        <v>0</v>
      </c>
      <c r="BT124" s="141">
        <v>-1259410</v>
      </c>
      <c r="BU124" s="141">
        <v>0</v>
      </c>
      <c r="BV124" s="141">
        <v>-1259410</v>
      </c>
      <c r="BW124" s="141">
        <v>-29921</v>
      </c>
      <c r="BX124" s="141">
        <v>0</v>
      </c>
      <c r="BY124" s="141">
        <v>-29921</v>
      </c>
      <c r="BZ124" s="141">
        <v>-35068</v>
      </c>
      <c r="CA124" s="141">
        <v>0</v>
      </c>
      <c r="CB124" s="141">
        <v>-35068</v>
      </c>
      <c r="CC124" s="141">
        <v>-11062</v>
      </c>
      <c r="CD124" s="141">
        <v>0</v>
      </c>
      <c r="CE124" s="141">
        <v>-11062</v>
      </c>
      <c r="CF124" s="141">
        <v>0</v>
      </c>
      <c r="CG124" s="141">
        <v>0</v>
      </c>
      <c r="CH124" s="141">
        <v>0</v>
      </c>
      <c r="CI124" s="141">
        <v>-3314</v>
      </c>
      <c r="CJ124" s="141">
        <v>0</v>
      </c>
      <c r="CK124" s="141">
        <v>-3314</v>
      </c>
      <c r="CL124" s="141">
        <v>0</v>
      </c>
      <c r="CM124" s="141">
        <v>0</v>
      </c>
      <c r="CN124" s="141">
        <v>0</v>
      </c>
      <c r="CO124" s="141">
        <v>0</v>
      </c>
      <c r="CP124" s="141">
        <v>0</v>
      </c>
      <c r="CQ124" s="141">
        <v>-79365</v>
      </c>
      <c r="CR124" s="141">
        <v>0</v>
      </c>
      <c r="CS124" s="141">
        <v>0</v>
      </c>
      <c r="CT124" s="141">
        <v>0</v>
      </c>
      <c r="CU124" s="141">
        <v>-79365</v>
      </c>
      <c r="CV124" s="141">
        <v>0</v>
      </c>
      <c r="CW124" s="141">
        <v>-79365</v>
      </c>
      <c r="CX124" s="141">
        <v>-20493</v>
      </c>
      <c r="CY124" s="141">
        <v>0</v>
      </c>
      <c r="CZ124" s="141">
        <v>-20493</v>
      </c>
      <c r="DA124" s="141">
        <v>0</v>
      </c>
      <c r="DB124" s="141">
        <v>0</v>
      </c>
      <c r="DC124" s="141">
        <v>0</v>
      </c>
      <c r="DD124" s="141">
        <v>-41231</v>
      </c>
      <c r="DE124" s="141">
        <v>0</v>
      </c>
      <c r="DF124" s="141">
        <v>-41231</v>
      </c>
      <c r="DG124" s="141">
        <v>-74062</v>
      </c>
      <c r="DH124" s="141">
        <v>0</v>
      </c>
      <c r="DI124" s="141">
        <v>-74062</v>
      </c>
      <c r="DJ124" s="141">
        <v>0</v>
      </c>
      <c r="DK124" s="141">
        <v>0</v>
      </c>
      <c r="DL124" s="141">
        <v>0</v>
      </c>
      <c r="DM124" s="141">
        <v>-656496</v>
      </c>
      <c r="DN124" s="141">
        <v>0</v>
      </c>
      <c r="DO124" s="141">
        <v>-656496</v>
      </c>
      <c r="DP124" s="141">
        <v>-792282</v>
      </c>
      <c r="DQ124" s="141">
        <v>0</v>
      </c>
      <c r="DR124" s="141">
        <v>0</v>
      </c>
      <c r="DS124" s="141">
        <v>0</v>
      </c>
      <c r="DT124" s="141">
        <v>-792282</v>
      </c>
      <c r="DU124" s="141">
        <v>0</v>
      </c>
      <c r="DV124" s="141">
        <v>-792282</v>
      </c>
      <c r="DW124" s="856">
        <v>45126033</v>
      </c>
      <c r="DX124" s="856">
        <v>0</v>
      </c>
      <c r="DY124" s="857">
        <v>45126033</v>
      </c>
      <c r="DZ124" t="s">
        <v>1690</v>
      </c>
    </row>
    <row r="125" spans="1:130" ht="12.75" x14ac:dyDescent="0.2">
      <c r="A125" s="764">
        <v>118</v>
      </c>
      <c r="B125" s="765" t="s">
        <v>122</v>
      </c>
      <c r="C125" s="766" t="s">
        <v>1222</v>
      </c>
      <c r="D125" s="767" t="s">
        <v>1223</v>
      </c>
      <c r="E125" s="768" t="s">
        <v>121</v>
      </c>
      <c r="F125" s="867">
        <v>43468</v>
      </c>
      <c r="G125" s="141">
        <v>194819285</v>
      </c>
      <c r="H125" s="141">
        <v>0</v>
      </c>
      <c r="I125" s="141">
        <v>194819285</v>
      </c>
      <c r="J125" s="141">
        <v>49.1</v>
      </c>
      <c r="K125" s="141">
        <v>95656269</v>
      </c>
      <c r="L125" s="141">
        <v>0</v>
      </c>
      <c r="M125" s="141">
        <v>2000000</v>
      </c>
      <c r="N125" s="141">
        <v>0</v>
      </c>
      <c r="O125" s="141">
        <v>97656269</v>
      </c>
      <c r="P125" s="141">
        <v>0</v>
      </c>
      <c r="Q125" s="141">
        <v>97656269</v>
      </c>
      <c r="R125" s="141">
        <v>-2846589</v>
      </c>
      <c r="S125" s="141">
        <v>0</v>
      </c>
      <c r="T125" s="141">
        <v>-2846589</v>
      </c>
      <c r="U125" s="141">
        <v>507603</v>
      </c>
      <c r="V125" s="141">
        <v>0</v>
      </c>
      <c r="W125" s="141">
        <v>507603</v>
      </c>
      <c r="X125" s="141">
        <v>-2338986</v>
      </c>
      <c r="Y125" s="141">
        <v>0</v>
      </c>
      <c r="Z125" s="141">
        <v>0</v>
      </c>
      <c r="AA125" s="141">
        <v>0</v>
      </c>
      <c r="AB125" s="141">
        <v>-2338986</v>
      </c>
      <c r="AC125" s="141">
        <v>0</v>
      </c>
      <c r="AD125" s="141">
        <v>-2338986</v>
      </c>
      <c r="AE125" s="141">
        <v>2338986</v>
      </c>
      <c r="AF125" s="141">
        <v>0</v>
      </c>
      <c r="AG125" s="141">
        <v>2338986</v>
      </c>
      <c r="AH125" s="141">
        <v>-8534489</v>
      </c>
      <c r="AI125" s="141">
        <v>0</v>
      </c>
      <c r="AJ125" s="141">
        <v>-8534489</v>
      </c>
      <c r="AK125" s="141">
        <v>-10567</v>
      </c>
      <c r="AL125" s="141">
        <v>0</v>
      </c>
      <c r="AM125" s="141">
        <v>-10567</v>
      </c>
      <c r="AN125" s="141">
        <v>1563567</v>
      </c>
      <c r="AO125" s="141">
        <v>0</v>
      </c>
      <c r="AP125" s="141">
        <v>1563567</v>
      </c>
      <c r="AQ125" s="141">
        <v>-6970922</v>
      </c>
      <c r="AR125" s="141">
        <v>0</v>
      </c>
      <c r="AS125" s="141">
        <v>-6970922</v>
      </c>
      <c r="AT125" s="141">
        <v>-7145327</v>
      </c>
      <c r="AU125" s="141">
        <v>0</v>
      </c>
      <c r="AV125" s="141">
        <v>-7145327</v>
      </c>
      <c r="AW125" s="141">
        <v>-35369</v>
      </c>
      <c r="AX125" s="141">
        <v>0</v>
      </c>
      <c r="AY125" s="141">
        <v>-35369</v>
      </c>
      <c r="AZ125" s="141">
        <v>0</v>
      </c>
      <c r="BA125" s="141">
        <v>0</v>
      </c>
      <c r="BB125" s="141">
        <v>0</v>
      </c>
      <c r="BC125" s="141">
        <v>-14151618</v>
      </c>
      <c r="BD125" s="141">
        <v>0</v>
      </c>
      <c r="BE125" s="141">
        <v>0</v>
      </c>
      <c r="BF125" s="141">
        <v>0</v>
      </c>
      <c r="BG125" s="141">
        <v>-14151618</v>
      </c>
      <c r="BH125" s="141">
        <v>0</v>
      </c>
      <c r="BI125" s="141">
        <v>-14151618</v>
      </c>
      <c r="BJ125" s="141">
        <v>0</v>
      </c>
      <c r="BK125" s="141">
        <v>0</v>
      </c>
      <c r="BL125" s="141">
        <v>0</v>
      </c>
      <c r="BM125" s="141">
        <v>-861753</v>
      </c>
      <c r="BN125" s="141">
        <v>0</v>
      </c>
      <c r="BO125" s="141">
        <v>-861753</v>
      </c>
      <c r="BP125" s="141">
        <v>-861753</v>
      </c>
      <c r="BQ125" s="141">
        <v>0</v>
      </c>
      <c r="BR125" s="141">
        <v>0</v>
      </c>
      <c r="BS125" s="141">
        <v>0</v>
      </c>
      <c r="BT125" s="141">
        <v>-861753</v>
      </c>
      <c r="BU125" s="141">
        <v>0</v>
      </c>
      <c r="BV125" s="141">
        <v>-861753</v>
      </c>
      <c r="BW125" s="141">
        <v>-351088</v>
      </c>
      <c r="BX125" s="141">
        <v>0</v>
      </c>
      <c r="BY125" s="141">
        <v>-351088</v>
      </c>
      <c r="BZ125" s="141">
        <v>-253542</v>
      </c>
      <c r="CA125" s="141">
        <v>0</v>
      </c>
      <c r="CB125" s="141">
        <v>-253542</v>
      </c>
      <c r="CC125" s="141">
        <v>0</v>
      </c>
      <c r="CD125" s="141">
        <v>0</v>
      </c>
      <c r="CE125" s="141">
        <v>0</v>
      </c>
      <c r="CF125" s="141">
        <v>0</v>
      </c>
      <c r="CG125" s="141">
        <v>0</v>
      </c>
      <c r="CH125" s="141">
        <v>0</v>
      </c>
      <c r="CI125" s="141">
        <v>0</v>
      </c>
      <c r="CJ125" s="141">
        <v>0</v>
      </c>
      <c r="CK125" s="141">
        <v>0</v>
      </c>
      <c r="CL125" s="141">
        <v>0</v>
      </c>
      <c r="CM125" s="141">
        <v>0</v>
      </c>
      <c r="CN125" s="141">
        <v>0</v>
      </c>
      <c r="CO125" s="141">
        <v>0</v>
      </c>
      <c r="CP125" s="141">
        <v>0</v>
      </c>
      <c r="CQ125" s="141">
        <v>-604630</v>
      </c>
      <c r="CR125" s="141">
        <v>0</v>
      </c>
      <c r="CS125" s="141">
        <v>0</v>
      </c>
      <c r="CT125" s="141">
        <v>0</v>
      </c>
      <c r="CU125" s="141">
        <v>-604630</v>
      </c>
      <c r="CV125" s="141">
        <v>0</v>
      </c>
      <c r="CW125" s="141">
        <v>-604630</v>
      </c>
      <c r="CX125" s="141">
        <v>0</v>
      </c>
      <c r="CY125" s="141">
        <v>0</v>
      </c>
      <c r="CZ125" s="141">
        <v>0</v>
      </c>
      <c r="DA125" s="141">
        <v>0</v>
      </c>
      <c r="DB125" s="141">
        <v>0</v>
      </c>
      <c r="DC125" s="141">
        <v>0</v>
      </c>
      <c r="DD125" s="141">
        <v>-67272</v>
      </c>
      <c r="DE125" s="141">
        <v>0</v>
      </c>
      <c r="DF125" s="141">
        <v>-67272</v>
      </c>
      <c r="DG125" s="141">
        <v>0</v>
      </c>
      <c r="DH125" s="141">
        <v>0</v>
      </c>
      <c r="DI125" s="141">
        <v>0</v>
      </c>
      <c r="DJ125" s="141">
        <v>0</v>
      </c>
      <c r="DK125" s="141">
        <v>0</v>
      </c>
      <c r="DL125" s="141">
        <v>0</v>
      </c>
      <c r="DM125" s="141">
        <v>-3995664</v>
      </c>
      <c r="DN125" s="141">
        <v>0</v>
      </c>
      <c r="DO125" s="141">
        <v>-3995664</v>
      </c>
      <c r="DP125" s="141">
        <v>-4062936</v>
      </c>
      <c r="DQ125" s="141">
        <v>0</v>
      </c>
      <c r="DR125" s="141">
        <v>0</v>
      </c>
      <c r="DS125" s="141">
        <v>0</v>
      </c>
      <c r="DT125" s="141">
        <v>-4062936</v>
      </c>
      <c r="DU125" s="141">
        <v>0</v>
      </c>
      <c r="DV125" s="141">
        <v>-4062936</v>
      </c>
      <c r="DW125" s="856">
        <v>75636346</v>
      </c>
      <c r="DX125" s="856">
        <v>0</v>
      </c>
      <c r="DY125" s="857">
        <v>75636346</v>
      </c>
      <c r="DZ125" t="s">
        <v>1691</v>
      </c>
    </row>
    <row r="126" spans="1:130" ht="12.75" x14ac:dyDescent="0.2">
      <c r="A126" s="764">
        <v>119</v>
      </c>
      <c r="B126" s="765" t="s">
        <v>124</v>
      </c>
      <c r="C126" s="766" t="s">
        <v>1217</v>
      </c>
      <c r="D126" s="767" t="s">
        <v>1221</v>
      </c>
      <c r="E126" s="768" t="s">
        <v>123</v>
      </c>
      <c r="F126" s="867">
        <v>43483</v>
      </c>
      <c r="G126" s="141">
        <v>100597080</v>
      </c>
      <c r="H126" s="141">
        <v>9754200</v>
      </c>
      <c r="I126" s="141">
        <v>110351280</v>
      </c>
      <c r="J126" s="141">
        <v>49.1</v>
      </c>
      <c r="K126" s="141">
        <v>49393166</v>
      </c>
      <c r="L126" s="141">
        <v>4789312</v>
      </c>
      <c r="M126" s="141">
        <v>0</v>
      </c>
      <c r="N126" s="141">
        <v>0</v>
      </c>
      <c r="O126" s="141">
        <v>49393166</v>
      </c>
      <c r="P126" s="141">
        <v>4789312</v>
      </c>
      <c r="Q126" s="141">
        <v>54182478</v>
      </c>
      <c r="R126" s="141">
        <v>-132028</v>
      </c>
      <c r="S126" s="141">
        <v>-1604</v>
      </c>
      <c r="T126" s="141">
        <v>-133632</v>
      </c>
      <c r="U126" s="141">
        <v>375087</v>
      </c>
      <c r="V126" s="141">
        <v>0</v>
      </c>
      <c r="W126" s="141">
        <v>375087</v>
      </c>
      <c r="X126" s="141">
        <v>243059</v>
      </c>
      <c r="Y126" s="141">
        <v>-1604</v>
      </c>
      <c r="Z126" s="141">
        <v>0</v>
      </c>
      <c r="AA126" s="141">
        <v>0</v>
      </c>
      <c r="AB126" s="141">
        <v>243059</v>
      </c>
      <c r="AC126" s="141">
        <v>-1604</v>
      </c>
      <c r="AD126" s="141">
        <v>241455</v>
      </c>
      <c r="AE126" s="141">
        <v>-243059</v>
      </c>
      <c r="AF126" s="141">
        <v>1604</v>
      </c>
      <c r="AG126" s="141">
        <v>-241455</v>
      </c>
      <c r="AH126" s="141">
        <v>-1783299</v>
      </c>
      <c r="AI126" s="141">
        <v>-104046</v>
      </c>
      <c r="AJ126" s="141">
        <v>-1887345</v>
      </c>
      <c r="AK126" s="141">
        <v>0</v>
      </c>
      <c r="AL126" s="141">
        <v>0</v>
      </c>
      <c r="AM126" s="141">
        <v>0</v>
      </c>
      <c r="AN126" s="141">
        <v>1044404</v>
      </c>
      <c r="AO126" s="141">
        <v>105247</v>
      </c>
      <c r="AP126" s="141">
        <v>1149651</v>
      </c>
      <c r="AQ126" s="141">
        <v>-738895</v>
      </c>
      <c r="AR126" s="141">
        <v>1201</v>
      </c>
      <c r="AS126" s="141">
        <v>-737694</v>
      </c>
      <c r="AT126" s="141">
        <v>-2963359</v>
      </c>
      <c r="AU126" s="141">
        <v>0</v>
      </c>
      <c r="AV126" s="141">
        <v>-2963359</v>
      </c>
      <c r="AW126" s="141">
        <v>-70459</v>
      </c>
      <c r="AX126" s="141">
        <v>0</v>
      </c>
      <c r="AY126" s="141">
        <v>-70459</v>
      </c>
      <c r="AZ126" s="141">
        <v>0</v>
      </c>
      <c r="BA126" s="141">
        <v>0</v>
      </c>
      <c r="BB126" s="141">
        <v>0</v>
      </c>
      <c r="BC126" s="141">
        <v>-3772713</v>
      </c>
      <c r="BD126" s="141">
        <v>1201</v>
      </c>
      <c r="BE126" s="141">
        <v>0</v>
      </c>
      <c r="BF126" s="141">
        <v>0</v>
      </c>
      <c r="BG126" s="141">
        <v>-3772713</v>
      </c>
      <c r="BH126" s="141">
        <v>1201</v>
      </c>
      <c r="BI126" s="141">
        <v>-3771512</v>
      </c>
      <c r="BJ126" s="141">
        <v>0</v>
      </c>
      <c r="BK126" s="141">
        <v>0</v>
      </c>
      <c r="BL126" s="141">
        <v>0</v>
      </c>
      <c r="BM126" s="141">
        <v>-948504</v>
      </c>
      <c r="BN126" s="141">
        <v>-43596</v>
      </c>
      <c r="BO126" s="141">
        <v>-992100</v>
      </c>
      <c r="BP126" s="141">
        <v>-948504</v>
      </c>
      <c r="BQ126" s="141">
        <v>-43596</v>
      </c>
      <c r="BR126" s="141">
        <v>0</v>
      </c>
      <c r="BS126" s="141">
        <v>0</v>
      </c>
      <c r="BT126" s="141">
        <v>-948504</v>
      </c>
      <c r="BU126" s="141">
        <v>-43596</v>
      </c>
      <c r="BV126" s="141">
        <v>-992100</v>
      </c>
      <c r="BW126" s="141">
        <v>-43201</v>
      </c>
      <c r="BX126" s="141">
        <v>0</v>
      </c>
      <c r="BY126" s="141">
        <v>-43201</v>
      </c>
      <c r="BZ126" s="141">
        <v>0</v>
      </c>
      <c r="CA126" s="141">
        <v>0</v>
      </c>
      <c r="CB126" s="141">
        <v>0</v>
      </c>
      <c r="CC126" s="141">
        <v>0</v>
      </c>
      <c r="CD126" s="141">
        <v>0</v>
      </c>
      <c r="CE126" s="141">
        <v>0</v>
      </c>
      <c r="CF126" s="141">
        <v>0</v>
      </c>
      <c r="CG126" s="141">
        <v>0</v>
      </c>
      <c r="CH126" s="141">
        <v>0</v>
      </c>
      <c r="CI126" s="141">
        <v>0</v>
      </c>
      <c r="CJ126" s="141">
        <v>0</v>
      </c>
      <c r="CK126" s="141">
        <v>0</v>
      </c>
      <c r="CL126" s="141">
        <v>0</v>
      </c>
      <c r="CM126" s="141">
        <v>-121832</v>
      </c>
      <c r="CN126" s="141">
        <v>-121832</v>
      </c>
      <c r="CO126" s="141">
        <v>0</v>
      </c>
      <c r="CP126" s="141">
        <v>0</v>
      </c>
      <c r="CQ126" s="141">
        <v>-43201</v>
      </c>
      <c r="CR126" s="141">
        <v>-121832</v>
      </c>
      <c r="CS126" s="141">
        <v>0</v>
      </c>
      <c r="CT126" s="141">
        <v>0</v>
      </c>
      <c r="CU126" s="141">
        <v>-43201</v>
      </c>
      <c r="CV126" s="141">
        <v>-121832</v>
      </c>
      <c r="CW126" s="141">
        <v>-165033</v>
      </c>
      <c r="CX126" s="141">
        <v>0</v>
      </c>
      <c r="CY126" s="141">
        <v>0</v>
      </c>
      <c r="CZ126" s="141">
        <v>0</v>
      </c>
      <c r="DA126" s="141">
        <v>0</v>
      </c>
      <c r="DB126" s="141">
        <v>0</v>
      </c>
      <c r="DC126" s="141">
        <v>0</v>
      </c>
      <c r="DD126" s="141">
        <v>-6367</v>
      </c>
      <c r="DE126" s="141">
        <v>-854</v>
      </c>
      <c r="DF126" s="141">
        <v>-7221</v>
      </c>
      <c r="DG126" s="141">
        <v>-16035</v>
      </c>
      <c r="DH126" s="141">
        <v>-1856</v>
      </c>
      <c r="DI126" s="141">
        <v>-17891</v>
      </c>
      <c r="DJ126" s="141">
        <v>0</v>
      </c>
      <c r="DK126" s="141">
        <v>0</v>
      </c>
      <c r="DL126" s="141">
        <v>0</v>
      </c>
      <c r="DM126" s="141">
        <v>-733000</v>
      </c>
      <c r="DN126" s="141">
        <v>0</v>
      </c>
      <c r="DO126" s="141">
        <v>-733000</v>
      </c>
      <c r="DP126" s="141">
        <v>-755402</v>
      </c>
      <c r="DQ126" s="141">
        <v>-2710</v>
      </c>
      <c r="DR126" s="141">
        <v>0</v>
      </c>
      <c r="DS126" s="141">
        <v>0</v>
      </c>
      <c r="DT126" s="141">
        <v>-755402</v>
      </c>
      <c r="DU126" s="141">
        <v>-2710</v>
      </c>
      <c r="DV126" s="141">
        <v>-758112</v>
      </c>
      <c r="DW126" s="856">
        <v>44116405</v>
      </c>
      <c r="DX126" s="856">
        <v>4620771</v>
      </c>
      <c r="DY126" s="857">
        <v>48737176</v>
      </c>
      <c r="DZ126" t="s">
        <v>1692</v>
      </c>
    </row>
    <row r="127" spans="1:130" ht="12.75" x14ac:dyDescent="0.2">
      <c r="A127" s="764">
        <v>120</v>
      </c>
      <c r="B127" s="765" t="s">
        <v>126</v>
      </c>
      <c r="C127" s="766" t="s">
        <v>1217</v>
      </c>
      <c r="D127" s="767" t="s">
        <v>1225</v>
      </c>
      <c r="E127" s="768" t="s">
        <v>125</v>
      </c>
      <c r="F127" s="867">
        <v>43465</v>
      </c>
      <c r="G127" s="141">
        <v>164899842</v>
      </c>
      <c r="H127" s="141">
        <v>0</v>
      </c>
      <c r="I127" s="141">
        <v>164899842</v>
      </c>
      <c r="J127" s="141">
        <v>49.1</v>
      </c>
      <c r="K127" s="141">
        <v>80965822</v>
      </c>
      <c r="L127" s="141">
        <v>0</v>
      </c>
      <c r="M127" s="141">
        <v>0</v>
      </c>
      <c r="N127" s="141">
        <v>0</v>
      </c>
      <c r="O127" s="141">
        <v>80965822</v>
      </c>
      <c r="P127" s="141">
        <v>0</v>
      </c>
      <c r="Q127" s="141">
        <v>80965822</v>
      </c>
      <c r="R127" s="141">
        <v>-732131</v>
      </c>
      <c r="S127" s="141">
        <v>0</v>
      </c>
      <c r="T127" s="141">
        <v>-732131</v>
      </c>
      <c r="U127" s="141">
        <v>508043</v>
      </c>
      <c r="V127" s="141">
        <v>0</v>
      </c>
      <c r="W127" s="141">
        <v>508043</v>
      </c>
      <c r="X127" s="141">
        <v>-224088</v>
      </c>
      <c r="Y127" s="141">
        <v>0</v>
      </c>
      <c r="Z127" s="141">
        <v>0</v>
      </c>
      <c r="AA127" s="141">
        <v>0</v>
      </c>
      <c r="AB127" s="141">
        <v>-224088</v>
      </c>
      <c r="AC127" s="141">
        <v>0</v>
      </c>
      <c r="AD127" s="141">
        <v>-224088</v>
      </c>
      <c r="AE127" s="141">
        <v>224088</v>
      </c>
      <c r="AF127" s="141">
        <v>0</v>
      </c>
      <c r="AG127" s="141">
        <v>224088</v>
      </c>
      <c r="AH127" s="141">
        <v>-7946080</v>
      </c>
      <c r="AI127" s="141">
        <v>0</v>
      </c>
      <c r="AJ127" s="141">
        <v>-7946080</v>
      </c>
      <c r="AK127" s="141">
        <v>-4969</v>
      </c>
      <c r="AL127" s="141">
        <v>0</v>
      </c>
      <c r="AM127" s="141">
        <v>-4969</v>
      </c>
      <c r="AN127" s="141">
        <v>1410924</v>
      </c>
      <c r="AO127" s="141">
        <v>0</v>
      </c>
      <c r="AP127" s="141">
        <v>1410924</v>
      </c>
      <c r="AQ127" s="141">
        <v>-6535156</v>
      </c>
      <c r="AR127" s="141">
        <v>0</v>
      </c>
      <c r="AS127" s="141">
        <v>-6535156</v>
      </c>
      <c r="AT127" s="141">
        <v>-3682517</v>
      </c>
      <c r="AU127" s="141">
        <v>0</v>
      </c>
      <c r="AV127" s="141">
        <v>-3682517</v>
      </c>
      <c r="AW127" s="141">
        <v>-122347</v>
      </c>
      <c r="AX127" s="141">
        <v>0</v>
      </c>
      <c r="AY127" s="141">
        <v>-122347</v>
      </c>
      <c r="AZ127" s="141">
        <v>-51693</v>
      </c>
      <c r="BA127" s="141">
        <v>0</v>
      </c>
      <c r="BB127" s="141">
        <v>-51693</v>
      </c>
      <c r="BC127" s="141">
        <v>-10391713</v>
      </c>
      <c r="BD127" s="141">
        <v>0</v>
      </c>
      <c r="BE127" s="141">
        <v>0</v>
      </c>
      <c r="BF127" s="141">
        <v>0</v>
      </c>
      <c r="BG127" s="141">
        <v>-10391713</v>
      </c>
      <c r="BH127" s="141">
        <v>0</v>
      </c>
      <c r="BI127" s="141">
        <v>-10391713</v>
      </c>
      <c r="BJ127" s="141">
        <v>0</v>
      </c>
      <c r="BK127" s="141">
        <v>0</v>
      </c>
      <c r="BL127" s="141">
        <v>0</v>
      </c>
      <c r="BM127" s="141">
        <v>-1850000</v>
      </c>
      <c r="BN127" s="141">
        <v>0</v>
      </c>
      <c r="BO127" s="141">
        <v>-1850000</v>
      </c>
      <c r="BP127" s="141">
        <v>-1850000</v>
      </c>
      <c r="BQ127" s="141">
        <v>0</v>
      </c>
      <c r="BR127" s="141">
        <v>0</v>
      </c>
      <c r="BS127" s="141">
        <v>0</v>
      </c>
      <c r="BT127" s="141">
        <v>-1850000</v>
      </c>
      <c r="BU127" s="141">
        <v>0</v>
      </c>
      <c r="BV127" s="141">
        <v>-1850000</v>
      </c>
      <c r="BW127" s="141">
        <v>-30445</v>
      </c>
      <c r="BX127" s="141">
        <v>0</v>
      </c>
      <c r="BY127" s="141">
        <v>-30445</v>
      </c>
      <c r="BZ127" s="141">
        <v>-10593</v>
      </c>
      <c r="CA127" s="141">
        <v>0</v>
      </c>
      <c r="CB127" s="141">
        <v>-10593</v>
      </c>
      <c r="CC127" s="141">
        <v>0</v>
      </c>
      <c r="CD127" s="141">
        <v>0</v>
      </c>
      <c r="CE127" s="141">
        <v>0</v>
      </c>
      <c r="CF127" s="141">
        <v>0</v>
      </c>
      <c r="CG127" s="141">
        <v>0</v>
      </c>
      <c r="CH127" s="141">
        <v>0</v>
      </c>
      <c r="CI127" s="141">
        <v>0</v>
      </c>
      <c r="CJ127" s="141">
        <v>0</v>
      </c>
      <c r="CK127" s="141">
        <v>0</v>
      </c>
      <c r="CL127" s="141">
        <v>-250000</v>
      </c>
      <c r="CM127" s="141">
        <v>0</v>
      </c>
      <c r="CN127" s="141">
        <v>-250000</v>
      </c>
      <c r="CO127" s="141">
        <v>0</v>
      </c>
      <c r="CP127" s="141">
        <v>0</v>
      </c>
      <c r="CQ127" s="141">
        <v>-291038</v>
      </c>
      <c r="CR127" s="141">
        <v>0</v>
      </c>
      <c r="CS127" s="141">
        <v>0</v>
      </c>
      <c r="CT127" s="141">
        <v>0</v>
      </c>
      <c r="CU127" s="141">
        <v>-291038</v>
      </c>
      <c r="CV127" s="141">
        <v>0</v>
      </c>
      <c r="CW127" s="141">
        <v>-291038</v>
      </c>
      <c r="CX127" s="141">
        <v>-51693</v>
      </c>
      <c r="CY127" s="141">
        <v>0</v>
      </c>
      <c r="CZ127" s="141">
        <v>-51693</v>
      </c>
      <c r="DA127" s="141">
        <v>0</v>
      </c>
      <c r="DB127" s="141">
        <v>0</v>
      </c>
      <c r="DC127" s="141">
        <v>0</v>
      </c>
      <c r="DD127" s="141">
        <v>-51071</v>
      </c>
      <c r="DE127" s="141">
        <v>0</v>
      </c>
      <c r="DF127" s="141">
        <v>-51071</v>
      </c>
      <c r="DG127" s="141">
        <v>-78953</v>
      </c>
      <c r="DH127" s="141">
        <v>0</v>
      </c>
      <c r="DI127" s="141">
        <v>-78953</v>
      </c>
      <c r="DJ127" s="141">
        <v>0</v>
      </c>
      <c r="DK127" s="141">
        <v>0</v>
      </c>
      <c r="DL127" s="141">
        <v>0</v>
      </c>
      <c r="DM127" s="141">
        <v>-1992253</v>
      </c>
      <c r="DN127" s="141">
        <v>0</v>
      </c>
      <c r="DO127" s="141">
        <v>-1992253</v>
      </c>
      <c r="DP127" s="141">
        <v>-2173970</v>
      </c>
      <c r="DQ127" s="141">
        <v>0</v>
      </c>
      <c r="DR127" s="141">
        <v>0</v>
      </c>
      <c r="DS127" s="141">
        <v>0</v>
      </c>
      <c r="DT127" s="141">
        <v>-2173970</v>
      </c>
      <c r="DU127" s="141">
        <v>0</v>
      </c>
      <c r="DV127" s="141">
        <v>-2173970</v>
      </c>
      <c r="DW127" s="856">
        <v>66035013</v>
      </c>
      <c r="DX127" s="856">
        <v>0</v>
      </c>
      <c r="DY127" s="857">
        <v>66035013</v>
      </c>
      <c r="DZ127" t="s">
        <v>1693</v>
      </c>
    </row>
    <row r="128" spans="1:130" ht="12.75" x14ac:dyDescent="0.2">
      <c r="A128" s="764">
        <v>121</v>
      </c>
      <c r="B128" s="765" t="s">
        <v>128</v>
      </c>
      <c r="C128" s="766" t="s">
        <v>1222</v>
      </c>
      <c r="D128" s="767" t="s">
        <v>1223</v>
      </c>
      <c r="E128" s="768" t="s">
        <v>127</v>
      </c>
      <c r="F128" s="867">
        <v>43468</v>
      </c>
      <c r="G128" s="141">
        <v>140998304</v>
      </c>
      <c r="H128" s="141">
        <v>0</v>
      </c>
      <c r="I128" s="141">
        <v>140998304</v>
      </c>
      <c r="J128" s="141">
        <v>49.1</v>
      </c>
      <c r="K128" s="141">
        <v>69230167</v>
      </c>
      <c r="L128" s="141">
        <v>0</v>
      </c>
      <c r="M128" s="141">
        <v>-540000</v>
      </c>
      <c r="N128" s="141">
        <v>0</v>
      </c>
      <c r="O128" s="141">
        <v>68690167</v>
      </c>
      <c r="P128" s="141">
        <v>0</v>
      </c>
      <c r="Q128" s="141">
        <v>68690167</v>
      </c>
      <c r="R128" s="141">
        <v>-1100000</v>
      </c>
      <c r="S128" s="141">
        <v>0</v>
      </c>
      <c r="T128" s="141">
        <v>-1100000</v>
      </c>
      <c r="U128" s="141">
        <v>420000</v>
      </c>
      <c r="V128" s="141">
        <v>0</v>
      </c>
      <c r="W128" s="141">
        <v>420000</v>
      </c>
      <c r="X128" s="141">
        <v>-680000</v>
      </c>
      <c r="Y128" s="141">
        <v>0</v>
      </c>
      <c r="Z128" s="141">
        <v>0</v>
      </c>
      <c r="AA128" s="141">
        <v>0</v>
      </c>
      <c r="AB128" s="141">
        <v>-680000</v>
      </c>
      <c r="AC128" s="141">
        <v>0</v>
      </c>
      <c r="AD128" s="141">
        <v>-680000</v>
      </c>
      <c r="AE128" s="141">
        <v>680000</v>
      </c>
      <c r="AF128" s="141">
        <v>0</v>
      </c>
      <c r="AG128" s="141">
        <v>680000</v>
      </c>
      <c r="AH128" s="141">
        <v>-6000000</v>
      </c>
      <c r="AI128" s="141">
        <v>0</v>
      </c>
      <c r="AJ128" s="141">
        <v>-6000000</v>
      </c>
      <c r="AK128" s="141">
        <v>0</v>
      </c>
      <c r="AL128" s="141">
        <v>0</v>
      </c>
      <c r="AM128" s="141">
        <v>0</v>
      </c>
      <c r="AN128" s="141">
        <v>500000</v>
      </c>
      <c r="AO128" s="141">
        <v>0</v>
      </c>
      <c r="AP128" s="141">
        <v>500000</v>
      </c>
      <c r="AQ128" s="141">
        <v>-5500000</v>
      </c>
      <c r="AR128" s="141">
        <v>0</v>
      </c>
      <c r="AS128" s="141">
        <v>-5500000</v>
      </c>
      <c r="AT128" s="141">
        <v>-5700000</v>
      </c>
      <c r="AU128" s="141">
        <v>0</v>
      </c>
      <c r="AV128" s="141">
        <v>-5700000</v>
      </c>
      <c r="AW128" s="141">
        <v>-130000</v>
      </c>
      <c r="AX128" s="141">
        <v>0</v>
      </c>
      <c r="AY128" s="141">
        <v>-130000</v>
      </c>
      <c r="AZ128" s="141">
        <v>0</v>
      </c>
      <c r="BA128" s="141">
        <v>0</v>
      </c>
      <c r="BB128" s="141">
        <v>0</v>
      </c>
      <c r="BC128" s="141">
        <v>-11330000</v>
      </c>
      <c r="BD128" s="141">
        <v>0</v>
      </c>
      <c r="BE128" s="141">
        <v>0</v>
      </c>
      <c r="BF128" s="141">
        <v>0</v>
      </c>
      <c r="BG128" s="141">
        <v>-11330000</v>
      </c>
      <c r="BH128" s="141">
        <v>0</v>
      </c>
      <c r="BI128" s="141">
        <v>-11330000</v>
      </c>
      <c r="BJ128" s="141">
        <v>-100000</v>
      </c>
      <c r="BK128" s="141">
        <v>0</v>
      </c>
      <c r="BL128" s="141">
        <v>-100000</v>
      </c>
      <c r="BM128" s="141">
        <v>-1400000</v>
      </c>
      <c r="BN128" s="141">
        <v>0</v>
      </c>
      <c r="BO128" s="141">
        <v>-1400000</v>
      </c>
      <c r="BP128" s="141">
        <v>-1500000</v>
      </c>
      <c r="BQ128" s="141">
        <v>0</v>
      </c>
      <c r="BR128" s="141">
        <v>0</v>
      </c>
      <c r="BS128" s="141">
        <v>0</v>
      </c>
      <c r="BT128" s="141">
        <v>-1500000</v>
      </c>
      <c r="BU128" s="141">
        <v>0</v>
      </c>
      <c r="BV128" s="141">
        <v>-1500000</v>
      </c>
      <c r="BW128" s="141">
        <v>-25000</v>
      </c>
      <c r="BX128" s="141">
        <v>0</v>
      </c>
      <c r="BY128" s="141">
        <v>-25000</v>
      </c>
      <c r="BZ128" s="141">
        <v>-30000</v>
      </c>
      <c r="CA128" s="141">
        <v>0</v>
      </c>
      <c r="CB128" s="141">
        <v>-30000</v>
      </c>
      <c r="CC128" s="141">
        <v>-5000</v>
      </c>
      <c r="CD128" s="141">
        <v>0</v>
      </c>
      <c r="CE128" s="141">
        <v>-5000</v>
      </c>
      <c r="CF128" s="141">
        <v>0</v>
      </c>
      <c r="CG128" s="141">
        <v>0</v>
      </c>
      <c r="CH128" s="141">
        <v>0</v>
      </c>
      <c r="CI128" s="141">
        <v>0</v>
      </c>
      <c r="CJ128" s="141">
        <v>0</v>
      </c>
      <c r="CK128" s="141">
        <v>0</v>
      </c>
      <c r="CL128" s="141">
        <v>0</v>
      </c>
      <c r="CM128" s="141">
        <v>0</v>
      </c>
      <c r="CN128" s="141">
        <v>0</v>
      </c>
      <c r="CO128" s="141">
        <v>0</v>
      </c>
      <c r="CP128" s="141">
        <v>0</v>
      </c>
      <c r="CQ128" s="141">
        <v>-60000</v>
      </c>
      <c r="CR128" s="141">
        <v>0</v>
      </c>
      <c r="CS128" s="141">
        <v>0</v>
      </c>
      <c r="CT128" s="141">
        <v>0</v>
      </c>
      <c r="CU128" s="141">
        <v>-60000</v>
      </c>
      <c r="CV128" s="141">
        <v>0</v>
      </c>
      <c r="CW128" s="141">
        <v>-60000</v>
      </c>
      <c r="CX128" s="141">
        <v>0</v>
      </c>
      <c r="CY128" s="141">
        <v>0</v>
      </c>
      <c r="CZ128" s="141">
        <v>0</v>
      </c>
      <c r="DA128" s="141">
        <v>0</v>
      </c>
      <c r="DB128" s="141">
        <v>0</v>
      </c>
      <c r="DC128" s="141">
        <v>0</v>
      </c>
      <c r="DD128" s="141">
        <v>-100000</v>
      </c>
      <c r="DE128" s="141">
        <v>0</v>
      </c>
      <c r="DF128" s="141">
        <v>-100000</v>
      </c>
      <c r="DG128" s="141">
        <v>-150000</v>
      </c>
      <c r="DH128" s="141">
        <v>0</v>
      </c>
      <c r="DI128" s="141">
        <v>-150000</v>
      </c>
      <c r="DJ128" s="141">
        <v>0</v>
      </c>
      <c r="DK128" s="141">
        <v>0</v>
      </c>
      <c r="DL128" s="141">
        <v>0</v>
      </c>
      <c r="DM128" s="141">
        <v>-1330000</v>
      </c>
      <c r="DN128" s="141">
        <v>0</v>
      </c>
      <c r="DO128" s="141">
        <v>-1330000</v>
      </c>
      <c r="DP128" s="141">
        <v>-1580000</v>
      </c>
      <c r="DQ128" s="141">
        <v>0</v>
      </c>
      <c r="DR128" s="141">
        <v>0</v>
      </c>
      <c r="DS128" s="141">
        <v>0</v>
      </c>
      <c r="DT128" s="141">
        <v>-1580000</v>
      </c>
      <c r="DU128" s="141">
        <v>0</v>
      </c>
      <c r="DV128" s="141">
        <v>-1580000</v>
      </c>
      <c r="DW128" s="856">
        <v>53540167</v>
      </c>
      <c r="DX128" s="856">
        <v>0</v>
      </c>
      <c r="DY128" s="857">
        <v>53540167</v>
      </c>
      <c r="DZ128" t="s">
        <v>1694</v>
      </c>
    </row>
    <row r="129" spans="1:130" ht="12.75" x14ac:dyDescent="0.2">
      <c r="A129" s="764">
        <v>122</v>
      </c>
      <c r="B129" s="765" t="s">
        <v>130</v>
      </c>
      <c r="C129" s="766" t="s">
        <v>1217</v>
      </c>
      <c r="D129" s="767" t="s">
        <v>1218</v>
      </c>
      <c r="E129" s="768" t="s">
        <v>129</v>
      </c>
      <c r="F129" s="867">
        <v>43453</v>
      </c>
      <c r="G129" s="141">
        <v>75784778</v>
      </c>
      <c r="H129" s="141">
        <v>0</v>
      </c>
      <c r="I129" s="141">
        <v>75784778</v>
      </c>
      <c r="J129" s="141">
        <v>49.1</v>
      </c>
      <c r="K129" s="141">
        <v>37210326</v>
      </c>
      <c r="L129" s="141">
        <v>0</v>
      </c>
      <c r="M129" s="141">
        <v>0</v>
      </c>
      <c r="N129" s="141">
        <v>0</v>
      </c>
      <c r="O129" s="141">
        <v>37210326</v>
      </c>
      <c r="P129" s="141">
        <v>0</v>
      </c>
      <c r="Q129" s="141">
        <v>37210326</v>
      </c>
      <c r="R129" s="141">
        <v>-320654</v>
      </c>
      <c r="S129" s="141">
        <v>0</v>
      </c>
      <c r="T129" s="141">
        <v>-320654</v>
      </c>
      <c r="U129" s="141">
        <v>204313</v>
      </c>
      <c r="V129" s="141">
        <v>0</v>
      </c>
      <c r="W129" s="141">
        <v>204313</v>
      </c>
      <c r="X129" s="141">
        <v>-116341</v>
      </c>
      <c r="Y129" s="141">
        <v>0</v>
      </c>
      <c r="Z129" s="141">
        <v>0</v>
      </c>
      <c r="AA129" s="141">
        <v>0</v>
      </c>
      <c r="AB129" s="141">
        <v>-116341</v>
      </c>
      <c r="AC129" s="141">
        <v>0</v>
      </c>
      <c r="AD129" s="141">
        <v>-116341</v>
      </c>
      <c r="AE129" s="141">
        <v>116341</v>
      </c>
      <c r="AF129" s="141">
        <v>0</v>
      </c>
      <c r="AG129" s="141">
        <v>116341</v>
      </c>
      <c r="AH129" s="141">
        <v>-2278244</v>
      </c>
      <c r="AI129" s="141">
        <v>0</v>
      </c>
      <c r="AJ129" s="141">
        <v>-2278244</v>
      </c>
      <c r="AK129" s="141">
        <v>0</v>
      </c>
      <c r="AL129" s="141">
        <v>0</v>
      </c>
      <c r="AM129" s="141">
        <v>0</v>
      </c>
      <c r="AN129" s="141">
        <v>716342</v>
      </c>
      <c r="AO129" s="141">
        <v>0</v>
      </c>
      <c r="AP129" s="141">
        <v>716342</v>
      </c>
      <c r="AQ129" s="141">
        <v>-1561902</v>
      </c>
      <c r="AR129" s="141">
        <v>0</v>
      </c>
      <c r="AS129" s="141">
        <v>-1561902</v>
      </c>
      <c r="AT129" s="141">
        <v>-1920313</v>
      </c>
      <c r="AU129" s="141">
        <v>0</v>
      </c>
      <c r="AV129" s="141">
        <v>-1920313</v>
      </c>
      <c r="AW129" s="141">
        <v>-5766</v>
      </c>
      <c r="AX129" s="141">
        <v>0</v>
      </c>
      <c r="AY129" s="141">
        <v>-5766</v>
      </c>
      <c r="AZ129" s="141">
        <v>-2291</v>
      </c>
      <c r="BA129" s="141">
        <v>0</v>
      </c>
      <c r="BB129" s="141">
        <v>-2291</v>
      </c>
      <c r="BC129" s="141">
        <v>-3490272</v>
      </c>
      <c r="BD129" s="141">
        <v>0</v>
      </c>
      <c r="BE129" s="141">
        <v>0</v>
      </c>
      <c r="BF129" s="141">
        <v>0</v>
      </c>
      <c r="BG129" s="141">
        <v>-3490272</v>
      </c>
      <c r="BH129" s="141">
        <v>0</v>
      </c>
      <c r="BI129" s="141">
        <v>-3490272</v>
      </c>
      <c r="BJ129" s="141">
        <v>0</v>
      </c>
      <c r="BK129" s="141">
        <v>0</v>
      </c>
      <c r="BL129" s="141">
        <v>0</v>
      </c>
      <c r="BM129" s="141">
        <v>-1918924</v>
      </c>
      <c r="BN129" s="141">
        <v>0</v>
      </c>
      <c r="BO129" s="141">
        <v>-1918924</v>
      </c>
      <c r="BP129" s="141">
        <v>-1918924</v>
      </c>
      <c r="BQ129" s="141">
        <v>0</v>
      </c>
      <c r="BR129" s="141">
        <v>0</v>
      </c>
      <c r="BS129" s="141">
        <v>0</v>
      </c>
      <c r="BT129" s="141">
        <v>-1918924</v>
      </c>
      <c r="BU129" s="141">
        <v>0</v>
      </c>
      <c r="BV129" s="141">
        <v>-1918924</v>
      </c>
      <c r="BW129" s="141">
        <v>-127572</v>
      </c>
      <c r="BX129" s="141">
        <v>0</v>
      </c>
      <c r="BY129" s="141">
        <v>-127572</v>
      </c>
      <c r="BZ129" s="141">
        <v>-22701</v>
      </c>
      <c r="CA129" s="141">
        <v>0</v>
      </c>
      <c r="CB129" s="141">
        <v>-22701</v>
      </c>
      <c r="CC129" s="141">
        <v>-1441</v>
      </c>
      <c r="CD129" s="141">
        <v>0</v>
      </c>
      <c r="CE129" s="141">
        <v>-1441</v>
      </c>
      <c r="CF129" s="141">
        <v>0</v>
      </c>
      <c r="CG129" s="141">
        <v>0</v>
      </c>
      <c r="CH129" s="141">
        <v>0</v>
      </c>
      <c r="CI129" s="141">
        <v>0</v>
      </c>
      <c r="CJ129" s="141">
        <v>0</v>
      </c>
      <c r="CK129" s="141">
        <v>0</v>
      </c>
      <c r="CL129" s="141">
        <v>0</v>
      </c>
      <c r="CM129" s="141">
        <v>0</v>
      </c>
      <c r="CN129" s="141">
        <v>0</v>
      </c>
      <c r="CO129" s="141">
        <v>0</v>
      </c>
      <c r="CP129" s="141">
        <v>0</v>
      </c>
      <c r="CQ129" s="141">
        <v>-151714</v>
      </c>
      <c r="CR129" s="141">
        <v>0</v>
      </c>
      <c r="CS129" s="141">
        <v>0</v>
      </c>
      <c r="CT129" s="141">
        <v>0</v>
      </c>
      <c r="CU129" s="141">
        <v>-151714</v>
      </c>
      <c r="CV129" s="141">
        <v>0</v>
      </c>
      <c r="CW129" s="141">
        <v>-151714</v>
      </c>
      <c r="CX129" s="141">
        <v>-2291</v>
      </c>
      <c r="CY129" s="141">
        <v>0</v>
      </c>
      <c r="CZ129" s="141">
        <v>-2291</v>
      </c>
      <c r="DA129" s="141">
        <v>0</v>
      </c>
      <c r="DB129" s="141">
        <v>0</v>
      </c>
      <c r="DC129" s="141">
        <v>0</v>
      </c>
      <c r="DD129" s="141">
        <v>-17239</v>
      </c>
      <c r="DE129" s="141">
        <v>0</v>
      </c>
      <c r="DF129" s="141">
        <v>-17239</v>
      </c>
      <c r="DG129" s="141">
        <v>-40352</v>
      </c>
      <c r="DH129" s="141">
        <v>0</v>
      </c>
      <c r="DI129" s="141">
        <v>-40352</v>
      </c>
      <c r="DJ129" s="141">
        <v>0</v>
      </c>
      <c r="DK129" s="141">
        <v>0</v>
      </c>
      <c r="DL129" s="141">
        <v>0</v>
      </c>
      <c r="DM129" s="141">
        <v>-767334</v>
      </c>
      <c r="DN129" s="141">
        <v>0</v>
      </c>
      <c r="DO129" s="141">
        <v>-767334</v>
      </c>
      <c r="DP129" s="141">
        <v>-827216</v>
      </c>
      <c r="DQ129" s="141">
        <v>0</v>
      </c>
      <c r="DR129" s="141">
        <v>0</v>
      </c>
      <c r="DS129" s="141">
        <v>0</v>
      </c>
      <c r="DT129" s="141">
        <v>-827216</v>
      </c>
      <c r="DU129" s="141">
        <v>0</v>
      </c>
      <c r="DV129" s="141">
        <v>-827216</v>
      </c>
      <c r="DW129" s="856">
        <v>30705859</v>
      </c>
      <c r="DX129" s="856">
        <v>0</v>
      </c>
      <c r="DY129" s="857">
        <v>30705859</v>
      </c>
      <c r="DZ129" t="s">
        <v>1695</v>
      </c>
    </row>
    <row r="130" spans="1:130" ht="12.75" x14ac:dyDescent="0.2">
      <c r="A130" s="764">
        <v>123</v>
      </c>
      <c r="B130" s="765" t="s">
        <v>132</v>
      </c>
      <c r="C130" s="766" t="s">
        <v>529</v>
      </c>
      <c r="D130" s="767" t="s">
        <v>1229</v>
      </c>
      <c r="E130" s="768" t="s">
        <v>552</v>
      </c>
      <c r="F130" s="867">
        <v>43465</v>
      </c>
      <c r="G130" s="141">
        <v>78498935</v>
      </c>
      <c r="H130" s="141">
        <v>283950</v>
      </c>
      <c r="I130" s="141">
        <v>78782885</v>
      </c>
      <c r="J130" s="141">
        <v>49.1</v>
      </c>
      <c r="K130" s="141">
        <v>38542977</v>
      </c>
      <c r="L130" s="141">
        <v>139419</v>
      </c>
      <c r="M130" s="141">
        <v>169000</v>
      </c>
      <c r="N130" s="141">
        <v>0</v>
      </c>
      <c r="O130" s="141">
        <v>38711977</v>
      </c>
      <c r="P130" s="141">
        <v>139419</v>
      </c>
      <c r="Q130" s="141">
        <v>38851396</v>
      </c>
      <c r="R130" s="141">
        <v>-340892</v>
      </c>
      <c r="S130" s="141">
        <v>-854</v>
      </c>
      <c r="T130" s="141">
        <v>-341746</v>
      </c>
      <c r="U130" s="141">
        <v>990701</v>
      </c>
      <c r="V130" s="141">
        <v>0</v>
      </c>
      <c r="W130" s="141">
        <v>990701</v>
      </c>
      <c r="X130" s="141">
        <v>649809</v>
      </c>
      <c r="Y130" s="141">
        <v>-854</v>
      </c>
      <c r="Z130" s="141">
        <v>0</v>
      </c>
      <c r="AA130" s="141">
        <v>0</v>
      </c>
      <c r="AB130" s="141">
        <v>649809</v>
      </c>
      <c r="AC130" s="141">
        <v>-854</v>
      </c>
      <c r="AD130" s="141">
        <v>648955</v>
      </c>
      <c r="AE130" s="141">
        <v>-649809</v>
      </c>
      <c r="AF130" s="141">
        <v>854</v>
      </c>
      <c r="AG130" s="141">
        <v>-648955</v>
      </c>
      <c r="AH130" s="141">
        <v>-3030401</v>
      </c>
      <c r="AI130" s="141">
        <v>0</v>
      </c>
      <c r="AJ130" s="141">
        <v>-3030401</v>
      </c>
      <c r="AK130" s="141">
        <v>0</v>
      </c>
      <c r="AL130" s="141">
        <v>0</v>
      </c>
      <c r="AM130" s="141">
        <v>0</v>
      </c>
      <c r="AN130" s="141">
        <v>782181</v>
      </c>
      <c r="AO130" s="141">
        <v>2119</v>
      </c>
      <c r="AP130" s="141">
        <v>784300</v>
      </c>
      <c r="AQ130" s="141">
        <v>-2248220</v>
      </c>
      <c r="AR130" s="141">
        <v>2119</v>
      </c>
      <c r="AS130" s="141">
        <v>-2246101</v>
      </c>
      <c r="AT130" s="141">
        <v>-2490840</v>
      </c>
      <c r="AU130" s="141">
        <v>0</v>
      </c>
      <c r="AV130" s="141">
        <v>-2490840</v>
      </c>
      <c r="AW130" s="141">
        <v>-25112</v>
      </c>
      <c r="AX130" s="141">
        <v>0</v>
      </c>
      <c r="AY130" s="141">
        <v>-25112</v>
      </c>
      <c r="AZ130" s="141">
        <v>0</v>
      </c>
      <c r="BA130" s="141">
        <v>0</v>
      </c>
      <c r="BB130" s="141">
        <v>0</v>
      </c>
      <c r="BC130" s="141">
        <v>-4764172</v>
      </c>
      <c r="BD130" s="141">
        <v>2119</v>
      </c>
      <c r="BE130" s="141">
        <v>0</v>
      </c>
      <c r="BF130" s="141">
        <v>0</v>
      </c>
      <c r="BG130" s="141">
        <v>-4764172</v>
      </c>
      <c r="BH130" s="141">
        <v>2119</v>
      </c>
      <c r="BI130" s="141">
        <v>-4762053</v>
      </c>
      <c r="BJ130" s="141">
        <v>-30283</v>
      </c>
      <c r="BK130" s="141">
        <v>0</v>
      </c>
      <c r="BL130" s="141">
        <v>-30283</v>
      </c>
      <c r="BM130" s="141">
        <v>-946350</v>
      </c>
      <c r="BN130" s="141">
        <v>0</v>
      </c>
      <c r="BO130" s="141">
        <v>-946350</v>
      </c>
      <c r="BP130" s="141">
        <v>-976633</v>
      </c>
      <c r="BQ130" s="141">
        <v>0</v>
      </c>
      <c r="BR130" s="141">
        <v>0</v>
      </c>
      <c r="BS130" s="141">
        <v>0</v>
      </c>
      <c r="BT130" s="141">
        <v>-976633</v>
      </c>
      <c r="BU130" s="141">
        <v>0</v>
      </c>
      <c r="BV130" s="141">
        <v>-976633</v>
      </c>
      <c r="BW130" s="141">
        <v>-115000</v>
      </c>
      <c r="BX130" s="141">
        <v>0</v>
      </c>
      <c r="BY130" s="141">
        <v>-115000</v>
      </c>
      <c r="BZ130" s="141">
        <v>-29714</v>
      </c>
      <c r="CA130" s="141">
        <v>0</v>
      </c>
      <c r="CB130" s="141">
        <v>-29714</v>
      </c>
      <c r="CC130" s="141">
        <v>-1620</v>
      </c>
      <c r="CD130" s="141">
        <v>0</v>
      </c>
      <c r="CE130" s="141">
        <v>-1620</v>
      </c>
      <c r="CF130" s="141">
        <v>0</v>
      </c>
      <c r="CG130" s="141">
        <v>0</v>
      </c>
      <c r="CH130" s="141">
        <v>0</v>
      </c>
      <c r="CI130" s="141">
        <v>0</v>
      </c>
      <c r="CJ130" s="141">
        <v>0</v>
      </c>
      <c r="CK130" s="141">
        <v>0</v>
      </c>
      <c r="CL130" s="141">
        <v>0</v>
      </c>
      <c r="CM130" s="141">
        <v>-44097</v>
      </c>
      <c r="CN130" s="141">
        <v>-44097</v>
      </c>
      <c r="CO130" s="141">
        <v>-44097</v>
      </c>
      <c r="CP130" s="141">
        <v>0</v>
      </c>
      <c r="CQ130" s="141">
        <v>-146334</v>
      </c>
      <c r="CR130" s="141">
        <v>-44097</v>
      </c>
      <c r="CS130" s="141">
        <v>0</v>
      </c>
      <c r="CT130" s="141">
        <v>0</v>
      </c>
      <c r="CU130" s="141">
        <v>-146334</v>
      </c>
      <c r="CV130" s="141">
        <v>-44097</v>
      </c>
      <c r="CW130" s="141">
        <v>-190431</v>
      </c>
      <c r="CX130" s="141">
        <v>0</v>
      </c>
      <c r="CY130" s="141">
        <v>0</v>
      </c>
      <c r="CZ130" s="141">
        <v>0</v>
      </c>
      <c r="DA130" s="141">
        <v>-515</v>
      </c>
      <c r="DB130" s="141">
        <v>0</v>
      </c>
      <c r="DC130" s="141">
        <v>-515</v>
      </c>
      <c r="DD130" s="141">
        <v>-28052</v>
      </c>
      <c r="DE130" s="141">
        <v>0</v>
      </c>
      <c r="DF130" s="141">
        <v>-28052</v>
      </c>
      <c r="DG130" s="141">
        <v>-25000</v>
      </c>
      <c r="DH130" s="141">
        <v>0</v>
      </c>
      <c r="DI130" s="141">
        <v>-25000</v>
      </c>
      <c r="DJ130" s="141">
        <v>0</v>
      </c>
      <c r="DK130" s="141">
        <v>0</v>
      </c>
      <c r="DL130" s="141">
        <v>0</v>
      </c>
      <c r="DM130" s="141">
        <v>-837000</v>
      </c>
      <c r="DN130" s="141">
        <v>0</v>
      </c>
      <c r="DO130" s="141">
        <v>-837000</v>
      </c>
      <c r="DP130" s="141">
        <v>-890567</v>
      </c>
      <c r="DQ130" s="141">
        <v>0</v>
      </c>
      <c r="DR130" s="141">
        <v>0</v>
      </c>
      <c r="DS130" s="141">
        <v>0</v>
      </c>
      <c r="DT130" s="141">
        <v>-890567</v>
      </c>
      <c r="DU130" s="141">
        <v>0</v>
      </c>
      <c r="DV130" s="141">
        <v>-890567</v>
      </c>
      <c r="DW130" s="856">
        <v>32584080</v>
      </c>
      <c r="DX130" s="856">
        <v>96587</v>
      </c>
      <c r="DY130" s="857">
        <v>32680667</v>
      </c>
      <c r="DZ130" t="s">
        <v>1696</v>
      </c>
    </row>
    <row r="131" spans="1:130" ht="12.75" x14ac:dyDescent="0.2">
      <c r="A131" s="764">
        <v>124</v>
      </c>
      <c r="B131" s="765" t="s">
        <v>134</v>
      </c>
      <c r="C131" s="766" t="s">
        <v>1217</v>
      </c>
      <c r="D131" s="767" t="s">
        <v>1218</v>
      </c>
      <c r="E131" s="768" t="s">
        <v>133</v>
      </c>
      <c r="F131" s="867">
        <v>43474</v>
      </c>
      <c r="G131" s="141">
        <v>62755809</v>
      </c>
      <c r="H131" s="141">
        <v>0</v>
      </c>
      <c r="I131" s="141">
        <v>62755809</v>
      </c>
      <c r="J131" s="141">
        <v>49.1</v>
      </c>
      <c r="K131" s="141">
        <v>30813102</v>
      </c>
      <c r="L131" s="141">
        <v>0</v>
      </c>
      <c r="M131" s="141">
        <v>0</v>
      </c>
      <c r="N131" s="141">
        <v>0</v>
      </c>
      <c r="O131" s="141">
        <v>30813102</v>
      </c>
      <c r="P131" s="141">
        <v>0</v>
      </c>
      <c r="Q131" s="141">
        <v>30813102</v>
      </c>
      <c r="R131" s="141">
        <v>-752535</v>
      </c>
      <c r="S131" s="141">
        <v>0</v>
      </c>
      <c r="T131" s="141">
        <v>-752535</v>
      </c>
      <c r="U131" s="141">
        <v>846291</v>
      </c>
      <c r="V131" s="141">
        <v>0</v>
      </c>
      <c r="W131" s="141">
        <v>846291</v>
      </c>
      <c r="X131" s="141">
        <v>93756</v>
      </c>
      <c r="Y131" s="141">
        <v>0</v>
      </c>
      <c r="Z131" s="141">
        <v>0</v>
      </c>
      <c r="AA131" s="141">
        <v>0</v>
      </c>
      <c r="AB131" s="141">
        <v>93756</v>
      </c>
      <c r="AC131" s="141">
        <v>0</v>
      </c>
      <c r="AD131" s="141">
        <v>93756</v>
      </c>
      <c r="AE131" s="141">
        <v>-93756</v>
      </c>
      <c r="AF131" s="141">
        <v>0</v>
      </c>
      <c r="AG131" s="141">
        <v>-93756</v>
      </c>
      <c r="AH131" s="141">
        <v>-3466974</v>
      </c>
      <c r="AI131" s="141">
        <v>0</v>
      </c>
      <c r="AJ131" s="141">
        <v>-3466974</v>
      </c>
      <c r="AK131" s="141">
        <v>0</v>
      </c>
      <c r="AL131" s="141">
        <v>0</v>
      </c>
      <c r="AM131" s="141">
        <v>0</v>
      </c>
      <c r="AN131" s="141">
        <v>524750</v>
      </c>
      <c r="AO131" s="141">
        <v>0</v>
      </c>
      <c r="AP131" s="141">
        <v>524750</v>
      </c>
      <c r="AQ131" s="141">
        <v>-2942224</v>
      </c>
      <c r="AR131" s="141">
        <v>0</v>
      </c>
      <c r="AS131" s="141">
        <v>-2942224</v>
      </c>
      <c r="AT131" s="141">
        <v>-3356985</v>
      </c>
      <c r="AU131" s="141">
        <v>0</v>
      </c>
      <c r="AV131" s="141">
        <v>-3356985</v>
      </c>
      <c r="AW131" s="141">
        <v>-39844</v>
      </c>
      <c r="AX131" s="141">
        <v>0</v>
      </c>
      <c r="AY131" s="141">
        <v>-39844</v>
      </c>
      <c r="AZ131" s="141">
        <v>0</v>
      </c>
      <c r="BA131" s="141">
        <v>0</v>
      </c>
      <c r="BB131" s="141">
        <v>0</v>
      </c>
      <c r="BC131" s="141">
        <v>-6339053</v>
      </c>
      <c r="BD131" s="141">
        <v>0</v>
      </c>
      <c r="BE131" s="141">
        <v>0</v>
      </c>
      <c r="BF131" s="141">
        <v>0</v>
      </c>
      <c r="BG131" s="141">
        <v>-6339053</v>
      </c>
      <c r="BH131" s="141">
        <v>0</v>
      </c>
      <c r="BI131" s="141">
        <v>-6339053</v>
      </c>
      <c r="BJ131" s="141">
        <v>0</v>
      </c>
      <c r="BK131" s="141">
        <v>0</v>
      </c>
      <c r="BL131" s="141">
        <v>0</v>
      </c>
      <c r="BM131" s="141">
        <v>-547661</v>
      </c>
      <c r="BN131" s="141">
        <v>0</v>
      </c>
      <c r="BO131" s="141">
        <v>-547661</v>
      </c>
      <c r="BP131" s="141">
        <v>-547661</v>
      </c>
      <c r="BQ131" s="141">
        <v>0</v>
      </c>
      <c r="BR131" s="141">
        <v>0</v>
      </c>
      <c r="BS131" s="141">
        <v>0</v>
      </c>
      <c r="BT131" s="141">
        <v>-547661</v>
      </c>
      <c r="BU131" s="141">
        <v>0</v>
      </c>
      <c r="BV131" s="141">
        <v>-547661</v>
      </c>
      <c r="BW131" s="141">
        <v>-103406</v>
      </c>
      <c r="BX131" s="141">
        <v>0</v>
      </c>
      <c r="BY131" s="141">
        <v>-103406</v>
      </c>
      <c r="BZ131" s="141">
        <v>-44765</v>
      </c>
      <c r="CA131" s="141">
        <v>0</v>
      </c>
      <c r="CB131" s="141">
        <v>-44765</v>
      </c>
      <c r="CC131" s="141">
        <v>-554</v>
      </c>
      <c r="CD131" s="141">
        <v>0</v>
      </c>
      <c r="CE131" s="141">
        <v>-554</v>
      </c>
      <c r="CF131" s="141">
        <v>0</v>
      </c>
      <c r="CG131" s="141">
        <v>0</v>
      </c>
      <c r="CH131" s="141">
        <v>0</v>
      </c>
      <c r="CI131" s="141">
        <v>0</v>
      </c>
      <c r="CJ131" s="141">
        <v>0</v>
      </c>
      <c r="CK131" s="141">
        <v>0</v>
      </c>
      <c r="CL131" s="141">
        <v>0</v>
      </c>
      <c r="CM131" s="141">
        <v>0</v>
      </c>
      <c r="CN131" s="141">
        <v>0</v>
      </c>
      <c r="CO131" s="141">
        <v>0</v>
      </c>
      <c r="CP131" s="141">
        <v>0</v>
      </c>
      <c r="CQ131" s="141">
        <v>-148725</v>
      </c>
      <c r="CR131" s="141">
        <v>0</v>
      </c>
      <c r="CS131" s="141">
        <v>0</v>
      </c>
      <c r="CT131" s="141">
        <v>0</v>
      </c>
      <c r="CU131" s="141">
        <v>-148725</v>
      </c>
      <c r="CV131" s="141">
        <v>0</v>
      </c>
      <c r="CW131" s="141">
        <v>-148725</v>
      </c>
      <c r="CX131" s="141">
        <v>0</v>
      </c>
      <c r="CY131" s="141">
        <v>0</v>
      </c>
      <c r="CZ131" s="141">
        <v>0</v>
      </c>
      <c r="DA131" s="141">
        <v>0</v>
      </c>
      <c r="DB131" s="141">
        <v>0</v>
      </c>
      <c r="DC131" s="141">
        <v>0</v>
      </c>
      <c r="DD131" s="141">
        <v>-38958</v>
      </c>
      <c r="DE131" s="141">
        <v>0</v>
      </c>
      <c r="DF131" s="141">
        <v>-38958</v>
      </c>
      <c r="DG131" s="141">
        <v>-46040</v>
      </c>
      <c r="DH131" s="141">
        <v>0</v>
      </c>
      <c r="DI131" s="141">
        <v>-46040</v>
      </c>
      <c r="DJ131" s="141">
        <v>-36792</v>
      </c>
      <c r="DK131" s="141">
        <v>0</v>
      </c>
      <c r="DL131" s="141">
        <v>-36792</v>
      </c>
      <c r="DM131" s="141">
        <v>-663847</v>
      </c>
      <c r="DN131" s="141">
        <v>0</v>
      </c>
      <c r="DO131" s="141">
        <v>-663847</v>
      </c>
      <c r="DP131" s="141">
        <v>-785637</v>
      </c>
      <c r="DQ131" s="141">
        <v>0</v>
      </c>
      <c r="DR131" s="141">
        <v>0</v>
      </c>
      <c r="DS131" s="141">
        <v>0</v>
      </c>
      <c r="DT131" s="141">
        <v>-785637</v>
      </c>
      <c r="DU131" s="141">
        <v>0</v>
      </c>
      <c r="DV131" s="141">
        <v>-785637</v>
      </c>
      <c r="DW131" s="856">
        <v>23085782</v>
      </c>
      <c r="DX131" s="856">
        <v>0</v>
      </c>
      <c r="DY131" s="857">
        <v>23085782</v>
      </c>
      <c r="DZ131" t="s">
        <v>1697</v>
      </c>
    </row>
    <row r="132" spans="1:130" ht="12.75" x14ac:dyDescent="0.2">
      <c r="A132" s="764">
        <v>125</v>
      </c>
      <c r="B132" s="765" t="s">
        <v>136</v>
      </c>
      <c r="C132" s="766" t="s">
        <v>1217</v>
      </c>
      <c r="D132" s="767" t="s">
        <v>1218</v>
      </c>
      <c r="E132" s="768" t="s">
        <v>135</v>
      </c>
      <c r="F132" s="867">
        <v>43453</v>
      </c>
      <c r="G132" s="141">
        <v>84961513</v>
      </c>
      <c r="H132" s="141">
        <v>0</v>
      </c>
      <c r="I132" s="141">
        <v>84961513</v>
      </c>
      <c r="J132" s="141">
        <v>49.1</v>
      </c>
      <c r="K132" s="141">
        <v>41716103</v>
      </c>
      <c r="L132" s="141">
        <v>0</v>
      </c>
      <c r="M132" s="141">
        <v>0</v>
      </c>
      <c r="N132" s="141">
        <v>0</v>
      </c>
      <c r="O132" s="141">
        <v>41716103</v>
      </c>
      <c r="P132" s="141">
        <v>0</v>
      </c>
      <c r="Q132" s="141">
        <v>41716103</v>
      </c>
      <c r="R132" s="141">
        <v>-281972</v>
      </c>
      <c r="S132" s="141">
        <v>0</v>
      </c>
      <c r="T132" s="141">
        <v>-281972</v>
      </c>
      <c r="U132" s="141">
        <v>852206</v>
      </c>
      <c r="V132" s="141">
        <v>0</v>
      </c>
      <c r="W132" s="141">
        <v>852206</v>
      </c>
      <c r="X132" s="141">
        <v>570234</v>
      </c>
      <c r="Y132" s="141">
        <v>0</v>
      </c>
      <c r="Z132" s="141">
        <v>0</v>
      </c>
      <c r="AA132" s="141">
        <v>0</v>
      </c>
      <c r="AB132" s="141">
        <v>570234</v>
      </c>
      <c r="AC132" s="141">
        <v>0</v>
      </c>
      <c r="AD132" s="141">
        <v>570234</v>
      </c>
      <c r="AE132" s="141">
        <v>-570234</v>
      </c>
      <c r="AF132" s="141">
        <v>0</v>
      </c>
      <c r="AG132" s="141">
        <v>-570234</v>
      </c>
      <c r="AH132" s="141">
        <v>-3336168</v>
      </c>
      <c r="AI132" s="141">
        <v>0</v>
      </c>
      <c r="AJ132" s="141">
        <v>-3336168</v>
      </c>
      <c r="AK132" s="141">
        <v>-4272</v>
      </c>
      <c r="AL132" s="141">
        <v>0</v>
      </c>
      <c r="AM132" s="141">
        <v>-4272</v>
      </c>
      <c r="AN132" s="141">
        <v>765892</v>
      </c>
      <c r="AO132" s="141">
        <v>0</v>
      </c>
      <c r="AP132" s="141">
        <v>765892</v>
      </c>
      <c r="AQ132" s="141">
        <v>-2570276</v>
      </c>
      <c r="AR132" s="141">
        <v>0</v>
      </c>
      <c r="AS132" s="141">
        <v>-2570276</v>
      </c>
      <c r="AT132" s="141">
        <v>-2203408</v>
      </c>
      <c r="AU132" s="141">
        <v>0</v>
      </c>
      <c r="AV132" s="141">
        <v>-2203408</v>
      </c>
      <c r="AW132" s="141">
        <v>-13033</v>
      </c>
      <c r="AX132" s="141">
        <v>0</v>
      </c>
      <c r="AY132" s="141">
        <v>-13033</v>
      </c>
      <c r="AZ132" s="141">
        <v>-2392</v>
      </c>
      <c r="BA132" s="141">
        <v>0</v>
      </c>
      <c r="BB132" s="141">
        <v>-2392</v>
      </c>
      <c r="BC132" s="141">
        <v>-4789109</v>
      </c>
      <c r="BD132" s="141">
        <v>0</v>
      </c>
      <c r="BE132" s="141">
        <v>0</v>
      </c>
      <c r="BF132" s="141">
        <v>0</v>
      </c>
      <c r="BG132" s="141">
        <v>-4789109</v>
      </c>
      <c r="BH132" s="141">
        <v>0</v>
      </c>
      <c r="BI132" s="141">
        <v>-4789109</v>
      </c>
      <c r="BJ132" s="141">
        <v>0</v>
      </c>
      <c r="BK132" s="141">
        <v>0</v>
      </c>
      <c r="BL132" s="141">
        <v>0</v>
      </c>
      <c r="BM132" s="141">
        <v>-845163</v>
      </c>
      <c r="BN132" s="141">
        <v>0</v>
      </c>
      <c r="BO132" s="141">
        <v>-845163</v>
      </c>
      <c r="BP132" s="141">
        <v>-845163</v>
      </c>
      <c r="BQ132" s="141">
        <v>0</v>
      </c>
      <c r="BR132" s="141">
        <v>0</v>
      </c>
      <c r="BS132" s="141">
        <v>0</v>
      </c>
      <c r="BT132" s="141">
        <v>-845163</v>
      </c>
      <c r="BU132" s="141">
        <v>0</v>
      </c>
      <c r="BV132" s="141">
        <v>-845163</v>
      </c>
      <c r="BW132" s="141">
        <v>-117182</v>
      </c>
      <c r="BX132" s="141">
        <v>0</v>
      </c>
      <c r="BY132" s="141">
        <v>-117182</v>
      </c>
      <c r="BZ132" s="141">
        <v>-72584</v>
      </c>
      <c r="CA132" s="141">
        <v>0</v>
      </c>
      <c r="CB132" s="141">
        <v>-72584</v>
      </c>
      <c r="CC132" s="141">
        <v>-1164</v>
      </c>
      <c r="CD132" s="141">
        <v>0</v>
      </c>
      <c r="CE132" s="141">
        <v>-1164</v>
      </c>
      <c r="CF132" s="141">
        <v>0</v>
      </c>
      <c r="CG132" s="141">
        <v>0</v>
      </c>
      <c r="CH132" s="141">
        <v>0</v>
      </c>
      <c r="CI132" s="141">
        <v>0</v>
      </c>
      <c r="CJ132" s="141">
        <v>0</v>
      </c>
      <c r="CK132" s="141">
        <v>0</v>
      </c>
      <c r="CL132" s="141">
        <v>0</v>
      </c>
      <c r="CM132" s="141">
        <v>0</v>
      </c>
      <c r="CN132" s="141">
        <v>0</v>
      </c>
      <c r="CO132" s="141">
        <v>0</v>
      </c>
      <c r="CP132" s="141">
        <v>0</v>
      </c>
      <c r="CQ132" s="141">
        <v>-190930</v>
      </c>
      <c r="CR132" s="141">
        <v>0</v>
      </c>
      <c r="CS132" s="141">
        <v>0</v>
      </c>
      <c r="CT132" s="141">
        <v>0</v>
      </c>
      <c r="CU132" s="141">
        <v>-190930</v>
      </c>
      <c r="CV132" s="141">
        <v>0</v>
      </c>
      <c r="CW132" s="141">
        <v>-190930</v>
      </c>
      <c r="CX132" s="141">
        <v>-2302</v>
      </c>
      <c r="CY132" s="141">
        <v>0</v>
      </c>
      <c r="CZ132" s="141">
        <v>-2302</v>
      </c>
      <c r="DA132" s="141">
        <v>0</v>
      </c>
      <c r="DB132" s="141">
        <v>0</v>
      </c>
      <c r="DC132" s="141">
        <v>0</v>
      </c>
      <c r="DD132" s="141">
        <v>-3793</v>
      </c>
      <c r="DE132" s="141">
        <v>0</v>
      </c>
      <c r="DF132" s="141">
        <v>-3793</v>
      </c>
      <c r="DG132" s="141">
        <v>-34960</v>
      </c>
      <c r="DH132" s="141">
        <v>0</v>
      </c>
      <c r="DI132" s="141">
        <v>-34960</v>
      </c>
      <c r="DJ132" s="141">
        <v>0</v>
      </c>
      <c r="DK132" s="141">
        <v>0</v>
      </c>
      <c r="DL132" s="141">
        <v>0</v>
      </c>
      <c r="DM132" s="141">
        <v>-733213</v>
      </c>
      <c r="DN132" s="141">
        <v>0</v>
      </c>
      <c r="DO132" s="141">
        <v>-733213</v>
      </c>
      <c r="DP132" s="141">
        <v>-774268</v>
      </c>
      <c r="DQ132" s="141">
        <v>0</v>
      </c>
      <c r="DR132" s="141">
        <v>0</v>
      </c>
      <c r="DS132" s="141">
        <v>0</v>
      </c>
      <c r="DT132" s="141">
        <v>-774268</v>
      </c>
      <c r="DU132" s="141">
        <v>0</v>
      </c>
      <c r="DV132" s="141">
        <v>-774268</v>
      </c>
      <c r="DW132" s="856">
        <v>35686867</v>
      </c>
      <c r="DX132" s="856">
        <v>0</v>
      </c>
      <c r="DY132" s="857">
        <v>35686867</v>
      </c>
      <c r="DZ132" t="s">
        <v>1698</v>
      </c>
    </row>
    <row r="133" spans="1:130" ht="12.75" x14ac:dyDescent="0.2">
      <c r="A133" s="764">
        <v>126</v>
      </c>
      <c r="B133" s="765" t="s">
        <v>138</v>
      </c>
      <c r="C133" s="766" t="s">
        <v>1222</v>
      </c>
      <c r="D133" s="767" t="s">
        <v>1223</v>
      </c>
      <c r="E133" s="768" t="s">
        <v>137</v>
      </c>
      <c r="F133" s="867">
        <v>43465</v>
      </c>
      <c r="G133" s="141">
        <v>205150352</v>
      </c>
      <c r="H133" s="141">
        <v>0</v>
      </c>
      <c r="I133" s="141">
        <v>205150352</v>
      </c>
      <c r="J133" s="141">
        <v>49.1</v>
      </c>
      <c r="K133" s="141">
        <v>100728823</v>
      </c>
      <c r="L133" s="141">
        <v>0</v>
      </c>
      <c r="M133" s="141">
        <v>0</v>
      </c>
      <c r="N133" s="141">
        <v>0</v>
      </c>
      <c r="O133" s="141">
        <v>100728823</v>
      </c>
      <c r="P133" s="141">
        <v>0</v>
      </c>
      <c r="Q133" s="141">
        <v>100728823</v>
      </c>
      <c r="R133" s="141">
        <v>-1805249</v>
      </c>
      <c r="S133" s="141">
        <v>0</v>
      </c>
      <c r="T133" s="141">
        <v>-1805249</v>
      </c>
      <c r="U133" s="141">
        <v>884468</v>
      </c>
      <c r="V133" s="141">
        <v>0</v>
      </c>
      <c r="W133" s="141">
        <v>884468</v>
      </c>
      <c r="X133" s="141">
        <v>-920781</v>
      </c>
      <c r="Y133" s="141">
        <v>0</v>
      </c>
      <c r="Z133" s="141">
        <v>0</v>
      </c>
      <c r="AA133" s="141">
        <v>0</v>
      </c>
      <c r="AB133" s="141">
        <v>-920781</v>
      </c>
      <c r="AC133" s="141">
        <v>0</v>
      </c>
      <c r="AD133" s="141">
        <v>-920781</v>
      </c>
      <c r="AE133" s="141">
        <v>920781</v>
      </c>
      <c r="AF133" s="141">
        <v>0</v>
      </c>
      <c r="AG133" s="141">
        <v>920781</v>
      </c>
      <c r="AH133" s="141">
        <v>-6589882</v>
      </c>
      <c r="AI133" s="141">
        <v>0</v>
      </c>
      <c r="AJ133" s="141">
        <v>-6589882</v>
      </c>
      <c r="AK133" s="141">
        <v>0</v>
      </c>
      <c r="AL133" s="141">
        <v>0</v>
      </c>
      <c r="AM133" s="141">
        <v>0</v>
      </c>
      <c r="AN133" s="141">
        <v>1894539</v>
      </c>
      <c r="AO133" s="141">
        <v>0</v>
      </c>
      <c r="AP133" s="141">
        <v>1894539</v>
      </c>
      <c r="AQ133" s="141">
        <v>-4695343</v>
      </c>
      <c r="AR133" s="141">
        <v>0</v>
      </c>
      <c r="AS133" s="141">
        <v>-4695343</v>
      </c>
      <c r="AT133" s="141">
        <v>-6192732</v>
      </c>
      <c r="AU133" s="141">
        <v>0</v>
      </c>
      <c r="AV133" s="141">
        <v>-6192732</v>
      </c>
      <c r="AW133" s="141">
        <v>0</v>
      </c>
      <c r="AX133" s="141">
        <v>0</v>
      </c>
      <c r="AY133" s="141">
        <v>0</v>
      </c>
      <c r="AZ133" s="141">
        <v>0</v>
      </c>
      <c r="BA133" s="141">
        <v>0</v>
      </c>
      <c r="BB133" s="141">
        <v>0</v>
      </c>
      <c r="BC133" s="141">
        <v>-10888075</v>
      </c>
      <c r="BD133" s="141">
        <v>0</v>
      </c>
      <c r="BE133" s="141">
        <v>0</v>
      </c>
      <c r="BF133" s="141">
        <v>0</v>
      </c>
      <c r="BG133" s="141">
        <v>-10888075</v>
      </c>
      <c r="BH133" s="141">
        <v>0</v>
      </c>
      <c r="BI133" s="141">
        <v>-10888075</v>
      </c>
      <c r="BJ133" s="141">
        <v>0</v>
      </c>
      <c r="BK133" s="141">
        <v>0</v>
      </c>
      <c r="BL133" s="141">
        <v>0</v>
      </c>
      <c r="BM133" s="141">
        <v>-2030396</v>
      </c>
      <c r="BN133" s="141">
        <v>0</v>
      </c>
      <c r="BO133" s="141">
        <v>-2030396</v>
      </c>
      <c r="BP133" s="141">
        <v>-2030396</v>
      </c>
      <c r="BQ133" s="141">
        <v>0</v>
      </c>
      <c r="BR133" s="141">
        <v>0</v>
      </c>
      <c r="BS133" s="141">
        <v>0</v>
      </c>
      <c r="BT133" s="141">
        <v>-2030396</v>
      </c>
      <c r="BU133" s="141">
        <v>0</v>
      </c>
      <c r="BV133" s="141">
        <v>-2030396</v>
      </c>
      <c r="BW133" s="141">
        <v>-287057</v>
      </c>
      <c r="BX133" s="141">
        <v>0</v>
      </c>
      <c r="BY133" s="141">
        <v>-287057</v>
      </c>
      <c r="BZ133" s="141">
        <v>-12969</v>
      </c>
      <c r="CA133" s="141">
        <v>0</v>
      </c>
      <c r="CB133" s="141">
        <v>-12969</v>
      </c>
      <c r="CC133" s="141">
        <v>0</v>
      </c>
      <c r="CD133" s="141">
        <v>0</v>
      </c>
      <c r="CE133" s="141">
        <v>0</v>
      </c>
      <c r="CF133" s="141">
        <v>0</v>
      </c>
      <c r="CG133" s="141">
        <v>0</v>
      </c>
      <c r="CH133" s="141">
        <v>0</v>
      </c>
      <c r="CI133" s="141">
        <v>0</v>
      </c>
      <c r="CJ133" s="141">
        <v>0</v>
      </c>
      <c r="CK133" s="141">
        <v>0</v>
      </c>
      <c r="CL133" s="141">
        <v>0</v>
      </c>
      <c r="CM133" s="141">
        <v>0</v>
      </c>
      <c r="CN133" s="141">
        <v>0</v>
      </c>
      <c r="CO133" s="141">
        <v>0</v>
      </c>
      <c r="CP133" s="141">
        <v>0</v>
      </c>
      <c r="CQ133" s="141">
        <v>-300026</v>
      </c>
      <c r="CR133" s="141">
        <v>0</v>
      </c>
      <c r="CS133" s="141">
        <v>0</v>
      </c>
      <c r="CT133" s="141">
        <v>0</v>
      </c>
      <c r="CU133" s="141">
        <v>-300026</v>
      </c>
      <c r="CV133" s="141">
        <v>0</v>
      </c>
      <c r="CW133" s="141">
        <v>-300026</v>
      </c>
      <c r="CX133" s="141">
        <v>0</v>
      </c>
      <c r="CY133" s="141">
        <v>0</v>
      </c>
      <c r="CZ133" s="141">
        <v>0</v>
      </c>
      <c r="DA133" s="141">
        <v>0</v>
      </c>
      <c r="DB133" s="141">
        <v>0</v>
      </c>
      <c r="DC133" s="141">
        <v>0</v>
      </c>
      <c r="DD133" s="141">
        <v>-104227</v>
      </c>
      <c r="DE133" s="141">
        <v>0</v>
      </c>
      <c r="DF133" s="141">
        <v>-104227</v>
      </c>
      <c r="DG133" s="141">
        <v>-197879</v>
      </c>
      <c r="DH133" s="141">
        <v>0</v>
      </c>
      <c r="DI133" s="141">
        <v>-197879</v>
      </c>
      <c r="DJ133" s="141">
        <v>0</v>
      </c>
      <c r="DK133" s="141">
        <v>0</v>
      </c>
      <c r="DL133" s="141">
        <v>0</v>
      </c>
      <c r="DM133" s="141">
        <v>-2961464</v>
      </c>
      <c r="DN133" s="141">
        <v>0</v>
      </c>
      <c r="DO133" s="141">
        <v>-2961464</v>
      </c>
      <c r="DP133" s="141">
        <v>-3263570</v>
      </c>
      <c r="DQ133" s="141">
        <v>0</v>
      </c>
      <c r="DR133" s="141">
        <v>0</v>
      </c>
      <c r="DS133" s="141">
        <v>0</v>
      </c>
      <c r="DT133" s="141">
        <v>-3263570</v>
      </c>
      <c r="DU133" s="141">
        <v>0</v>
      </c>
      <c r="DV133" s="141">
        <v>-3263570</v>
      </c>
      <c r="DW133" s="856">
        <v>83325975</v>
      </c>
      <c r="DX133" s="856">
        <v>0</v>
      </c>
      <c r="DY133" s="857">
        <v>83325975</v>
      </c>
      <c r="DZ133" t="s">
        <v>1699</v>
      </c>
    </row>
    <row r="134" spans="1:130" ht="12.75" x14ac:dyDescent="0.2">
      <c r="A134" s="764">
        <v>127</v>
      </c>
      <c r="B134" s="765" t="s">
        <v>140</v>
      </c>
      <c r="C134" s="766" t="s">
        <v>529</v>
      </c>
      <c r="D134" s="767" t="s">
        <v>1227</v>
      </c>
      <c r="E134" s="768" t="s">
        <v>581</v>
      </c>
      <c r="F134" s="867">
        <v>43466</v>
      </c>
      <c r="G134" s="141">
        <v>133170681</v>
      </c>
      <c r="H134" s="141">
        <v>1522650</v>
      </c>
      <c r="I134" s="141">
        <v>134693331</v>
      </c>
      <c r="J134" s="141">
        <v>49.1</v>
      </c>
      <c r="K134" s="141">
        <v>65386804</v>
      </c>
      <c r="L134" s="141">
        <v>747621</v>
      </c>
      <c r="M134" s="141">
        <v>0</v>
      </c>
      <c r="N134" s="141">
        <v>100000</v>
      </c>
      <c r="O134" s="141">
        <v>65386804</v>
      </c>
      <c r="P134" s="141">
        <v>847621</v>
      </c>
      <c r="Q134" s="141">
        <v>66234425</v>
      </c>
      <c r="R134" s="141">
        <v>-2275000</v>
      </c>
      <c r="S134" s="141">
        <v>0</v>
      </c>
      <c r="T134" s="141">
        <v>-2275000</v>
      </c>
      <c r="U134" s="141">
        <v>1515000</v>
      </c>
      <c r="V134" s="141">
        <v>0</v>
      </c>
      <c r="W134" s="141">
        <v>1515000</v>
      </c>
      <c r="X134" s="141">
        <v>-760000</v>
      </c>
      <c r="Y134" s="141">
        <v>0</v>
      </c>
      <c r="Z134" s="141">
        <v>0</v>
      </c>
      <c r="AA134" s="141">
        <v>0</v>
      </c>
      <c r="AB134" s="141">
        <v>-760000</v>
      </c>
      <c r="AC134" s="141">
        <v>0</v>
      </c>
      <c r="AD134" s="141">
        <v>-760000</v>
      </c>
      <c r="AE134" s="141">
        <v>760000</v>
      </c>
      <c r="AF134" s="141">
        <v>0</v>
      </c>
      <c r="AG134" s="141">
        <v>760000</v>
      </c>
      <c r="AH134" s="141">
        <v>-8615703</v>
      </c>
      <c r="AI134" s="141">
        <v>-84616</v>
      </c>
      <c r="AJ134" s="141">
        <v>-8700319</v>
      </c>
      <c r="AK134" s="141">
        <v>0</v>
      </c>
      <c r="AL134" s="141">
        <v>0</v>
      </c>
      <c r="AM134" s="141">
        <v>0</v>
      </c>
      <c r="AN134" s="141">
        <v>1034352</v>
      </c>
      <c r="AO134" s="141">
        <v>9417</v>
      </c>
      <c r="AP134" s="141">
        <v>1043769</v>
      </c>
      <c r="AQ134" s="141">
        <v>-7581351</v>
      </c>
      <c r="AR134" s="141">
        <v>-75199</v>
      </c>
      <c r="AS134" s="141">
        <v>-7656550</v>
      </c>
      <c r="AT134" s="141">
        <v>-4622272</v>
      </c>
      <c r="AU134" s="141">
        <v>0</v>
      </c>
      <c r="AV134" s="141">
        <v>-4622272</v>
      </c>
      <c r="AW134" s="141">
        <v>-93781</v>
      </c>
      <c r="AX134" s="141">
        <v>0</v>
      </c>
      <c r="AY134" s="141">
        <v>-93781</v>
      </c>
      <c r="AZ134" s="141">
        <v>-81845</v>
      </c>
      <c r="BA134" s="141">
        <v>0</v>
      </c>
      <c r="BB134" s="141">
        <v>-81845</v>
      </c>
      <c r="BC134" s="141">
        <v>-12379249</v>
      </c>
      <c r="BD134" s="141">
        <v>-75199</v>
      </c>
      <c r="BE134" s="141">
        <v>0</v>
      </c>
      <c r="BF134" s="141">
        <v>0</v>
      </c>
      <c r="BG134" s="141">
        <v>-12379249</v>
      </c>
      <c r="BH134" s="141">
        <v>-75199</v>
      </c>
      <c r="BI134" s="141">
        <v>-12454448</v>
      </c>
      <c r="BJ134" s="141">
        <v>-1347</v>
      </c>
      <c r="BK134" s="141">
        <v>0</v>
      </c>
      <c r="BL134" s="141">
        <v>-1347</v>
      </c>
      <c r="BM134" s="141">
        <v>-1774500</v>
      </c>
      <c r="BN134" s="141">
        <v>-4000</v>
      </c>
      <c r="BO134" s="141">
        <v>-1778500</v>
      </c>
      <c r="BP134" s="141">
        <v>-1775847</v>
      </c>
      <c r="BQ134" s="141">
        <v>-4000</v>
      </c>
      <c r="BR134" s="141">
        <v>0</v>
      </c>
      <c r="BS134" s="141">
        <v>0</v>
      </c>
      <c r="BT134" s="141">
        <v>-1775847</v>
      </c>
      <c r="BU134" s="141">
        <v>-4000</v>
      </c>
      <c r="BV134" s="141">
        <v>-1779847</v>
      </c>
      <c r="BW134" s="141">
        <v>-376795</v>
      </c>
      <c r="BX134" s="141">
        <v>0</v>
      </c>
      <c r="BY134" s="141">
        <v>-376795</v>
      </c>
      <c r="BZ134" s="141">
        <v>-102000</v>
      </c>
      <c r="CA134" s="141">
        <v>0</v>
      </c>
      <c r="CB134" s="141">
        <v>-102000</v>
      </c>
      <c r="CC134" s="141">
        <v>-14486</v>
      </c>
      <c r="CD134" s="141">
        <v>0</v>
      </c>
      <c r="CE134" s="141">
        <v>-14486</v>
      </c>
      <c r="CF134" s="141">
        <v>0</v>
      </c>
      <c r="CG134" s="141">
        <v>0</v>
      </c>
      <c r="CH134" s="141">
        <v>0</v>
      </c>
      <c r="CI134" s="141">
        <v>0</v>
      </c>
      <c r="CJ134" s="141">
        <v>0</v>
      </c>
      <c r="CK134" s="141">
        <v>0</v>
      </c>
      <c r="CL134" s="141">
        <v>0</v>
      </c>
      <c r="CM134" s="141">
        <v>-340840</v>
      </c>
      <c r="CN134" s="141">
        <v>-340840</v>
      </c>
      <c r="CO134" s="141">
        <v>-340840</v>
      </c>
      <c r="CP134" s="141">
        <v>0</v>
      </c>
      <c r="CQ134" s="141">
        <v>-493281</v>
      </c>
      <c r="CR134" s="141">
        <v>-340840</v>
      </c>
      <c r="CS134" s="141">
        <v>0</v>
      </c>
      <c r="CT134" s="141">
        <v>0</v>
      </c>
      <c r="CU134" s="141">
        <v>-493281</v>
      </c>
      <c r="CV134" s="141">
        <v>-340840</v>
      </c>
      <c r="CW134" s="141">
        <v>-834121</v>
      </c>
      <c r="CX134" s="141">
        <v>-81844</v>
      </c>
      <c r="CY134" s="141">
        <v>0</v>
      </c>
      <c r="CZ134" s="141">
        <v>-81844</v>
      </c>
      <c r="DA134" s="141">
        <v>-1500</v>
      </c>
      <c r="DB134" s="141">
        <v>0</v>
      </c>
      <c r="DC134" s="141">
        <v>-1500</v>
      </c>
      <c r="DD134" s="141">
        <v>-100000</v>
      </c>
      <c r="DE134" s="141">
        <v>0</v>
      </c>
      <c r="DF134" s="141">
        <v>-100000</v>
      </c>
      <c r="DG134" s="141">
        <v>-80000</v>
      </c>
      <c r="DH134" s="141">
        <v>0</v>
      </c>
      <c r="DI134" s="141">
        <v>-80000</v>
      </c>
      <c r="DJ134" s="141">
        <v>0</v>
      </c>
      <c r="DK134" s="141">
        <v>0</v>
      </c>
      <c r="DL134" s="141">
        <v>0</v>
      </c>
      <c r="DM134" s="141">
        <v>-1694933</v>
      </c>
      <c r="DN134" s="141">
        <v>0</v>
      </c>
      <c r="DO134" s="141">
        <v>-1694933</v>
      </c>
      <c r="DP134" s="141">
        <v>-1958277</v>
      </c>
      <c r="DQ134" s="141">
        <v>0</v>
      </c>
      <c r="DR134" s="141">
        <v>0</v>
      </c>
      <c r="DS134" s="141">
        <v>0</v>
      </c>
      <c r="DT134" s="141">
        <v>-1958277</v>
      </c>
      <c r="DU134" s="141">
        <v>0</v>
      </c>
      <c r="DV134" s="141">
        <v>-1958277</v>
      </c>
      <c r="DW134" s="856">
        <v>48020150</v>
      </c>
      <c r="DX134" s="856">
        <v>427582</v>
      </c>
      <c r="DY134" s="857">
        <v>48447732</v>
      </c>
      <c r="DZ134" t="s">
        <v>1700</v>
      </c>
    </row>
    <row r="135" spans="1:130" ht="12.75" x14ac:dyDescent="0.2">
      <c r="A135" s="764">
        <v>128</v>
      </c>
      <c r="B135" s="765" t="s">
        <v>142</v>
      </c>
      <c r="C135" s="766" t="s">
        <v>1217</v>
      </c>
      <c r="D135" s="767" t="s">
        <v>1221</v>
      </c>
      <c r="E135" s="768" t="s">
        <v>141</v>
      </c>
      <c r="F135" s="867">
        <v>43465</v>
      </c>
      <c r="G135" s="141">
        <v>118022101</v>
      </c>
      <c r="H135" s="141">
        <v>0</v>
      </c>
      <c r="I135" s="141">
        <v>118022101</v>
      </c>
      <c r="J135" s="141">
        <v>49.1</v>
      </c>
      <c r="K135" s="141">
        <v>57948852</v>
      </c>
      <c r="L135" s="141">
        <v>0</v>
      </c>
      <c r="M135" s="141">
        <v>0</v>
      </c>
      <c r="N135" s="141">
        <v>0</v>
      </c>
      <c r="O135" s="141">
        <v>57948852</v>
      </c>
      <c r="P135" s="141">
        <v>0</v>
      </c>
      <c r="Q135" s="141">
        <v>57948852</v>
      </c>
      <c r="R135" s="141">
        <v>-263324.82</v>
      </c>
      <c r="S135" s="141">
        <v>0</v>
      </c>
      <c r="T135" s="141">
        <v>-263324.82</v>
      </c>
      <c r="U135" s="141">
        <v>335312.32</v>
      </c>
      <c r="V135" s="141">
        <v>0</v>
      </c>
      <c r="W135" s="141">
        <v>335312.32</v>
      </c>
      <c r="X135" s="141">
        <v>71987.5</v>
      </c>
      <c r="Y135" s="141">
        <v>0</v>
      </c>
      <c r="Z135" s="141">
        <v>0</v>
      </c>
      <c r="AA135" s="141">
        <v>0</v>
      </c>
      <c r="AB135" s="141">
        <v>71987.5</v>
      </c>
      <c r="AC135" s="141">
        <v>0</v>
      </c>
      <c r="AD135" s="141">
        <v>71987.5</v>
      </c>
      <c r="AE135" s="141">
        <v>-71987.5</v>
      </c>
      <c r="AF135" s="141">
        <v>0</v>
      </c>
      <c r="AG135" s="141">
        <v>-71987.5</v>
      </c>
      <c r="AH135" s="141">
        <v>-3117094</v>
      </c>
      <c r="AI135" s="141">
        <v>0</v>
      </c>
      <c r="AJ135" s="141">
        <v>-3117094</v>
      </c>
      <c r="AK135" s="141">
        <v>0</v>
      </c>
      <c r="AL135" s="141">
        <v>0</v>
      </c>
      <c r="AM135" s="141">
        <v>0</v>
      </c>
      <c r="AN135" s="141">
        <v>1119822</v>
      </c>
      <c r="AO135" s="141">
        <v>0</v>
      </c>
      <c r="AP135" s="141">
        <v>1119822</v>
      </c>
      <c r="AQ135" s="141">
        <v>-1997272</v>
      </c>
      <c r="AR135" s="141">
        <v>0</v>
      </c>
      <c r="AS135" s="141">
        <v>-1997272</v>
      </c>
      <c r="AT135" s="141">
        <v>-4956806</v>
      </c>
      <c r="AU135" s="141">
        <v>0</v>
      </c>
      <c r="AV135" s="141">
        <v>-4956806</v>
      </c>
      <c r="AW135" s="141">
        <v>-21091</v>
      </c>
      <c r="AX135" s="141">
        <v>0</v>
      </c>
      <c r="AY135" s="141">
        <v>-21091</v>
      </c>
      <c r="AZ135" s="141">
        <v>0</v>
      </c>
      <c r="BA135" s="141">
        <v>0</v>
      </c>
      <c r="BB135" s="141">
        <v>0</v>
      </c>
      <c r="BC135" s="141">
        <v>-6975169</v>
      </c>
      <c r="BD135" s="141">
        <v>0</v>
      </c>
      <c r="BE135" s="141">
        <v>0</v>
      </c>
      <c r="BF135" s="141">
        <v>0</v>
      </c>
      <c r="BG135" s="141">
        <v>-6975169</v>
      </c>
      <c r="BH135" s="141">
        <v>0</v>
      </c>
      <c r="BI135" s="141">
        <v>-6975169</v>
      </c>
      <c r="BJ135" s="141">
        <v>0</v>
      </c>
      <c r="BK135" s="141">
        <v>0</v>
      </c>
      <c r="BL135" s="141">
        <v>0</v>
      </c>
      <c r="BM135" s="141">
        <v>-396071</v>
      </c>
      <c r="BN135" s="141">
        <v>0</v>
      </c>
      <c r="BO135" s="141">
        <v>-396071</v>
      </c>
      <c r="BP135" s="141">
        <v>-396071</v>
      </c>
      <c r="BQ135" s="141">
        <v>0</v>
      </c>
      <c r="BR135" s="141">
        <v>-334674</v>
      </c>
      <c r="BS135" s="141">
        <v>0</v>
      </c>
      <c r="BT135" s="141">
        <v>-730745</v>
      </c>
      <c r="BU135" s="141">
        <v>0</v>
      </c>
      <c r="BV135" s="141">
        <v>-730745</v>
      </c>
      <c r="BW135" s="141">
        <v>-89500</v>
      </c>
      <c r="BX135" s="141">
        <v>0</v>
      </c>
      <c r="BY135" s="141">
        <v>-89500</v>
      </c>
      <c r="BZ135" s="141">
        <v>-36921.43</v>
      </c>
      <c r="CA135" s="141">
        <v>0</v>
      </c>
      <c r="CB135" s="141">
        <v>-36921.43</v>
      </c>
      <c r="CC135" s="141">
        <v>-17906</v>
      </c>
      <c r="CD135" s="141">
        <v>0</v>
      </c>
      <c r="CE135" s="141">
        <v>-17906</v>
      </c>
      <c r="CF135" s="141">
        <v>0</v>
      </c>
      <c r="CG135" s="141">
        <v>0</v>
      </c>
      <c r="CH135" s="141">
        <v>0</v>
      </c>
      <c r="CI135" s="141">
        <v>0</v>
      </c>
      <c r="CJ135" s="141">
        <v>0</v>
      </c>
      <c r="CK135" s="141">
        <v>0</v>
      </c>
      <c r="CL135" s="141">
        <v>0</v>
      </c>
      <c r="CM135" s="141">
        <v>0</v>
      </c>
      <c r="CN135" s="141">
        <v>0</v>
      </c>
      <c r="CO135" s="141">
        <v>0</v>
      </c>
      <c r="CP135" s="141">
        <v>0</v>
      </c>
      <c r="CQ135" s="141">
        <v>-144327.43</v>
      </c>
      <c r="CR135" s="141">
        <v>0</v>
      </c>
      <c r="CS135" s="141">
        <v>0</v>
      </c>
      <c r="CT135" s="141">
        <v>0</v>
      </c>
      <c r="CU135" s="141">
        <v>-144327.43</v>
      </c>
      <c r="CV135" s="141">
        <v>0</v>
      </c>
      <c r="CW135" s="141">
        <v>-144327.43</v>
      </c>
      <c r="CX135" s="141">
        <v>0</v>
      </c>
      <c r="CY135" s="141">
        <v>0</v>
      </c>
      <c r="CZ135" s="141">
        <v>0</v>
      </c>
      <c r="DA135" s="141">
        <v>0</v>
      </c>
      <c r="DB135" s="141">
        <v>0</v>
      </c>
      <c r="DC135" s="141">
        <v>0</v>
      </c>
      <c r="DD135" s="141">
        <v>-9012.74</v>
      </c>
      <c r="DE135" s="141">
        <v>0</v>
      </c>
      <c r="DF135" s="141">
        <v>-9012.74</v>
      </c>
      <c r="DG135" s="141">
        <v>-44000</v>
      </c>
      <c r="DH135" s="141">
        <v>0</v>
      </c>
      <c r="DI135" s="141">
        <v>-44000</v>
      </c>
      <c r="DJ135" s="141">
        <v>-9012.74</v>
      </c>
      <c r="DK135" s="141">
        <v>0</v>
      </c>
      <c r="DL135" s="141">
        <v>-9012.74</v>
      </c>
      <c r="DM135" s="141">
        <v>-907162</v>
      </c>
      <c r="DN135" s="141">
        <v>0</v>
      </c>
      <c r="DO135" s="141">
        <v>-907162</v>
      </c>
      <c r="DP135" s="141">
        <v>-969187.48</v>
      </c>
      <c r="DQ135" s="141">
        <v>0</v>
      </c>
      <c r="DR135" s="141">
        <v>0</v>
      </c>
      <c r="DS135" s="141">
        <v>0</v>
      </c>
      <c r="DT135" s="141">
        <v>-969187.48</v>
      </c>
      <c r="DU135" s="141">
        <v>0</v>
      </c>
      <c r="DV135" s="141">
        <v>-969187.48</v>
      </c>
      <c r="DW135" s="856">
        <v>49201410.590000004</v>
      </c>
      <c r="DX135" s="856">
        <v>0</v>
      </c>
      <c r="DY135" s="857">
        <v>49201410.590000004</v>
      </c>
      <c r="DZ135" t="s">
        <v>1701</v>
      </c>
    </row>
    <row r="136" spans="1:130" ht="12.75" x14ac:dyDescent="0.2">
      <c r="A136" s="764">
        <v>129</v>
      </c>
      <c r="B136" s="765" t="s">
        <v>144</v>
      </c>
      <c r="C136" s="766" t="s">
        <v>1217</v>
      </c>
      <c r="D136" s="767" t="s">
        <v>1220</v>
      </c>
      <c r="E136" s="768" t="s">
        <v>143</v>
      </c>
      <c r="F136" s="867">
        <v>43481</v>
      </c>
      <c r="G136" s="141">
        <v>70026494</v>
      </c>
      <c r="H136" s="141">
        <v>0</v>
      </c>
      <c r="I136" s="141">
        <v>70026494</v>
      </c>
      <c r="J136" s="141">
        <v>49.1</v>
      </c>
      <c r="K136" s="141">
        <v>34383009</v>
      </c>
      <c r="L136" s="141">
        <v>0</v>
      </c>
      <c r="M136" s="141">
        <v>0</v>
      </c>
      <c r="N136" s="141">
        <v>0</v>
      </c>
      <c r="O136" s="141">
        <v>34383009</v>
      </c>
      <c r="P136" s="141">
        <v>0</v>
      </c>
      <c r="Q136" s="141">
        <v>34383009</v>
      </c>
      <c r="R136" s="141">
        <v>-867116</v>
      </c>
      <c r="S136" s="141">
        <v>0</v>
      </c>
      <c r="T136" s="141">
        <v>-867116</v>
      </c>
      <c r="U136" s="141">
        <v>43166</v>
      </c>
      <c r="V136" s="141">
        <v>0</v>
      </c>
      <c r="W136" s="141">
        <v>43166</v>
      </c>
      <c r="X136" s="141">
        <v>-823950</v>
      </c>
      <c r="Y136" s="141">
        <v>0</v>
      </c>
      <c r="Z136" s="141">
        <v>0</v>
      </c>
      <c r="AA136" s="141">
        <v>0</v>
      </c>
      <c r="AB136" s="141">
        <v>-823950</v>
      </c>
      <c r="AC136" s="141">
        <v>0</v>
      </c>
      <c r="AD136" s="141">
        <v>-823950</v>
      </c>
      <c r="AE136" s="141">
        <v>823950</v>
      </c>
      <c r="AF136" s="141">
        <v>0</v>
      </c>
      <c r="AG136" s="141">
        <v>823950</v>
      </c>
      <c r="AH136" s="141">
        <v>-4157972</v>
      </c>
      <c r="AI136" s="141">
        <v>0</v>
      </c>
      <c r="AJ136" s="141">
        <v>-4157972</v>
      </c>
      <c r="AK136" s="141">
        <v>0</v>
      </c>
      <c r="AL136" s="141">
        <v>0</v>
      </c>
      <c r="AM136" s="141">
        <v>0</v>
      </c>
      <c r="AN136" s="141">
        <v>565161</v>
      </c>
      <c r="AO136" s="141">
        <v>0</v>
      </c>
      <c r="AP136" s="141">
        <v>565161</v>
      </c>
      <c r="AQ136" s="141">
        <v>-3592811</v>
      </c>
      <c r="AR136" s="141">
        <v>0</v>
      </c>
      <c r="AS136" s="141">
        <v>-3592811</v>
      </c>
      <c r="AT136" s="141">
        <v>-1238364</v>
      </c>
      <c r="AU136" s="141">
        <v>0</v>
      </c>
      <c r="AV136" s="141">
        <v>-1238364</v>
      </c>
      <c r="AW136" s="141">
        <v>-83472</v>
      </c>
      <c r="AX136" s="141">
        <v>0</v>
      </c>
      <c r="AY136" s="141">
        <v>-83472</v>
      </c>
      <c r="AZ136" s="141">
        <v>-10337</v>
      </c>
      <c r="BA136" s="141">
        <v>0</v>
      </c>
      <c r="BB136" s="141">
        <v>-10337</v>
      </c>
      <c r="BC136" s="141">
        <v>-4924984</v>
      </c>
      <c r="BD136" s="141">
        <v>0</v>
      </c>
      <c r="BE136" s="141">
        <v>0</v>
      </c>
      <c r="BF136" s="141">
        <v>0</v>
      </c>
      <c r="BG136" s="141">
        <v>-4924984</v>
      </c>
      <c r="BH136" s="141">
        <v>0</v>
      </c>
      <c r="BI136" s="141">
        <v>-4924984</v>
      </c>
      <c r="BJ136" s="141">
        <v>-8273</v>
      </c>
      <c r="BK136" s="141">
        <v>0</v>
      </c>
      <c r="BL136" s="141">
        <v>-8273</v>
      </c>
      <c r="BM136" s="141">
        <v>-458031</v>
      </c>
      <c r="BN136" s="141">
        <v>0</v>
      </c>
      <c r="BO136" s="141">
        <v>-458031</v>
      </c>
      <c r="BP136" s="141">
        <v>-466304</v>
      </c>
      <c r="BQ136" s="141">
        <v>0</v>
      </c>
      <c r="BR136" s="141">
        <v>0</v>
      </c>
      <c r="BS136" s="141">
        <v>0</v>
      </c>
      <c r="BT136" s="141">
        <v>-466304</v>
      </c>
      <c r="BU136" s="141">
        <v>0</v>
      </c>
      <c r="BV136" s="141">
        <v>-466304</v>
      </c>
      <c r="BW136" s="141">
        <v>-39018</v>
      </c>
      <c r="BX136" s="141">
        <v>0</v>
      </c>
      <c r="BY136" s="141">
        <v>-39018</v>
      </c>
      <c r="BZ136" s="141">
        <v>-92402</v>
      </c>
      <c r="CA136" s="141">
        <v>0</v>
      </c>
      <c r="CB136" s="141">
        <v>-92402</v>
      </c>
      <c r="CC136" s="141">
        <v>-447</v>
      </c>
      <c r="CD136" s="141">
        <v>0</v>
      </c>
      <c r="CE136" s="141">
        <v>-447</v>
      </c>
      <c r="CF136" s="141">
        <v>-3268</v>
      </c>
      <c r="CG136" s="141">
        <v>0</v>
      </c>
      <c r="CH136" s="141">
        <v>-3268</v>
      </c>
      <c r="CI136" s="141">
        <v>0</v>
      </c>
      <c r="CJ136" s="141">
        <v>0</v>
      </c>
      <c r="CK136" s="141">
        <v>0</v>
      </c>
      <c r="CL136" s="141">
        <v>0</v>
      </c>
      <c r="CM136" s="141">
        <v>0</v>
      </c>
      <c r="CN136" s="141">
        <v>0</v>
      </c>
      <c r="CO136" s="141">
        <v>0</v>
      </c>
      <c r="CP136" s="141">
        <v>0</v>
      </c>
      <c r="CQ136" s="141">
        <v>-135135</v>
      </c>
      <c r="CR136" s="141">
        <v>0</v>
      </c>
      <c r="CS136" s="141">
        <v>0</v>
      </c>
      <c r="CT136" s="141">
        <v>0</v>
      </c>
      <c r="CU136" s="141">
        <v>-135135</v>
      </c>
      <c r="CV136" s="141">
        <v>0</v>
      </c>
      <c r="CW136" s="141">
        <v>-135135</v>
      </c>
      <c r="CX136" s="141">
        <v>-9807</v>
      </c>
      <c r="CY136" s="141">
        <v>0</v>
      </c>
      <c r="CZ136" s="141">
        <v>-9807</v>
      </c>
      <c r="DA136" s="141">
        <v>0</v>
      </c>
      <c r="DB136" s="141">
        <v>0</v>
      </c>
      <c r="DC136" s="141">
        <v>0</v>
      </c>
      <c r="DD136" s="141">
        <v>-51853</v>
      </c>
      <c r="DE136" s="141">
        <v>0</v>
      </c>
      <c r="DF136" s="141">
        <v>-51853</v>
      </c>
      <c r="DG136" s="141">
        <v>-71773</v>
      </c>
      <c r="DH136" s="141">
        <v>0</v>
      </c>
      <c r="DI136" s="141">
        <v>-71773</v>
      </c>
      <c r="DJ136" s="141">
        <v>0</v>
      </c>
      <c r="DK136" s="141">
        <v>0</v>
      </c>
      <c r="DL136" s="141">
        <v>0</v>
      </c>
      <c r="DM136" s="141">
        <v>-1624607</v>
      </c>
      <c r="DN136" s="141">
        <v>0</v>
      </c>
      <c r="DO136" s="141">
        <v>-1624607</v>
      </c>
      <c r="DP136" s="141">
        <v>-1758040</v>
      </c>
      <c r="DQ136" s="141">
        <v>0</v>
      </c>
      <c r="DR136" s="141">
        <v>0</v>
      </c>
      <c r="DS136" s="141">
        <v>0</v>
      </c>
      <c r="DT136" s="141">
        <v>-1758040</v>
      </c>
      <c r="DU136" s="141">
        <v>0</v>
      </c>
      <c r="DV136" s="141">
        <v>-1758040</v>
      </c>
      <c r="DW136" s="856">
        <v>26274596</v>
      </c>
      <c r="DX136" s="856">
        <v>0</v>
      </c>
      <c r="DY136" s="857">
        <v>26274596</v>
      </c>
      <c r="DZ136" t="s">
        <v>1702</v>
      </c>
    </row>
    <row r="137" spans="1:130" ht="12.75" x14ac:dyDescent="0.2">
      <c r="A137" s="764">
        <v>130</v>
      </c>
      <c r="B137" s="765" t="s">
        <v>146</v>
      </c>
      <c r="C137" s="766" t="s">
        <v>1222</v>
      </c>
      <c r="D137" s="767" t="s">
        <v>1223</v>
      </c>
      <c r="E137" s="768" t="s">
        <v>145</v>
      </c>
      <c r="F137" s="867">
        <v>43453</v>
      </c>
      <c r="G137" s="141">
        <v>815337026</v>
      </c>
      <c r="H137" s="141">
        <v>0</v>
      </c>
      <c r="I137" s="141">
        <v>815337026</v>
      </c>
      <c r="J137" s="141">
        <v>49.1</v>
      </c>
      <c r="K137" s="141">
        <v>400330480</v>
      </c>
      <c r="L137" s="141">
        <v>0</v>
      </c>
      <c r="M137" s="141">
        <v>2048079</v>
      </c>
      <c r="N137" s="141">
        <v>0</v>
      </c>
      <c r="O137" s="141">
        <v>402378559</v>
      </c>
      <c r="P137" s="141">
        <v>0</v>
      </c>
      <c r="Q137" s="141">
        <v>402378559</v>
      </c>
      <c r="R137" s="141">
        <v>-7367000</v>
      </c>
      <c r="S137" s="141">
        <v>0</v>
      </c>
      <c r="T137" s="141">
        <v>-7367000</v>
      </c>
      <c r="U137" s="141">
        <v>22397000</v>
      </c>
      <c r="V137" s="141">
        <v>0</v>
      </c>
      <c r="W137" s="141">
        <v>22397000</v>
      </c>
      <c r="X137" s="141">
        <v>15030000</v>
      </c>
      <c r="Y137" s="141">
        <v>0</v>
      </c>
      <c r="Z137" s="141">
        <v>0</v>
      </c>
      <c r="AA137" s="141">
        <v>0</v>
      </c>
      <c r="AB137" s="141">
        <v>15030000</v>
      </c>
      <c r="AC137" s="141">
        <v>0</v>
      </c>
      <c r="AD137" s="141">
        <v>15030000</v>
      </c>
      <c r="AE137" s="141">
        <v>-15030000</v>
      </c>
      <c r="AF137" s="141">
        <v>0</v>
      </c>
      <c r="AG137" s="141">
        <v>-15030000</v>
      </c>
      <c r="AH137" s="141">
        <v>-6501000</v>
      </c>
      <c r="AI137" s="141">
        <v>0</v>
      </c>
      <c r="AJ137" s="141">
        <v>-6501000</v>
      </c>
      <c r="AK137" s="141">
        <v>0</v>
      </c>
      <c r="AL137" s="141">
        <v>0</v>
      </c>
      <c r="AM137" s="141">
        <v>0</v>
      </c>
      <c r="AN137" s="141">
        <v>9859000</v>
      </c>
      <c r="AO137" s="141">
        <v>0</v>
      </c>
      <c r="AP137" s="141">
        <v>9859000</v>
      </c>
      <c r="AQ137" s="141">
        <v>3358000</v>
      </c>
      <c r="AR137" s="141">
        <v>0</v>
      </c>
      <c r="AS137" s="141">
        <v>3358000</v>
      </c>
      <c r="AT137" s="141">
        <v>-10592000</v>
      </c>
      <c r="AU137" s="141">
        <v>0</v>
      </c>
      <c r="AV137" s="141">
        <v>-10592000</v>
      </c>
      <c r="AW137" s="141">
        <v>-74000</v>
      </c>
      <c r="AX137" s="141">
        <v>0</v>
      </c>
      <c r="AY137" s="141">
        <v>-74000</v>
      </c>
      <c r="AZ137" s="141">
        <v>0</v>
      </c>
      <c r="BA137" s="141">
        <v>0</v>
      </c>
      <c r="BB137" s="141">
        <v>0</v>
      </c>
      <c r="BC137" s="141">
        <v>-7308000</v>
      </c>
      <c r="BD137" s="141">
        <v>0</v>
      </c>
      <c r="BE137" s="141">
        <v>-392000</v>
      </c>
      <c r="BF137" s="141">
        <v>0</v>
      </c>
      <c r="BG137" s="141">
        <v>-7700000</v>
      </c>
      <c r="BH137" s="141">
        <v>0</v>
      </c>
      <c r="BI137" s="141">
        <v>-7700000</v>
      </c>
      <c r="BJ137" s="141">
        <v>-75000</v>
      </c>
      <c r="BK137" s="141">
        <v>0</v>
      </c>
      <c r="BL137" s="141">
        <v>-75000</v>
      </c>
      <c r="BM137" s="141">
        <v>-11911000</v>
      </c>
      <c r="BN137" s="141">
        <v>0</v>
      </c>
      <c r="BO137" s="141">
        <v>-11911000</v>
      </c>
      <c r="BP137" s="141">
        <v>-11986000</v>
      </c>
      <c r="BQ137" s="141">
        <v>0</v>
      </c>
      <c r="BR137" s="141">
        <v>-2989000</v>
      </c>
      <c r="BS137" s="141">
        <v>0</v>
      </c>
      <c r="BT137" s="141">
        <v>-14975000</v>
      </c>
      <c r="BU137" s="141">
        <v>0</v>
      </c>
      <c r="BV137" s="141">
        <v>-14975000</v>
      </c>
      <c r="BW137" s="141">
        <v>-244000</v>
      </c>
      <c r="BX137" s="141">
        <v>0</v>
      </c>
      <c r="BY137" s="141">
        <v>-244000</v>
      </c>
      <c r="BZ137" s="141">
        <v>0</v>
      </c>
      <c r="CA137" s="141">
        <v>0</v>
      </c>
      <c r="CB137" s="141">
        <v>0</v>
      </c>
      <c r="CC137" s="141">
        <v>0</v>
      </c>
      <c r="CD137" s="141">
        <v>0</v>
      </c>
      <c r="CE137" s="141">
        <v>0</v>
      </c>
      <c r="CF137" s="141">
        <v>0</v>
      </c>
      <c r="CG137" s="141">
        <v>0</v>
      </c>
      <c r="CH137" s="141">
        <v>0</v>
      </c>
      <c r="CI137" s="141">
        <v>0</v>
      </c>
      <c r="CJ137" s="141">
        <v>0</v>
      </c>
      <c r="CK137" s="141">
        <v>0</v>
      </c>
      <c r="CL137" s="141">
        <v>0</v>
      </c>
      <c r="CM137" s="141">
        <v>0</v>
      </c>
      <c r="CN137" s="141">
        <v>0</v>
      </c>
      <c r="CO137" s="141">
        <v>0</v>
      </c>
      <c r="CP137" s="141">
        <v>0</v>
      </c>
      <c r="CQ137" s="141">
        <v>-244000</v>
      </c>
      <c r="CR137" s="141">
        <v>0</v>
      </c>
      <c r="CS137" s="141">
        <v>-6000</v>
      </c>
      <c r="CT137" s="141">
        <v>0</v>
      </c>
      <c r="CU137" s="141">
        <v>-250000</v>
      </c>
      <c r="CV137" s="141">
        <v>0</v>
      </c>
      <c r="CW137" s="141">
        <v>-250000</v>
      </c>
      <c r="CX137" s="141">
        <v>0</v>
      </c>
      <c r="CY137" s="141">
        <v>0</v>
      </c>
      <c r="CZ137" s="141">
        <v>0</v>
      </c>
      <c r="DA137" s="141">
        <v>0</v>
      </c>
      <c r="DB137" s="141">
        <v>0</v>
      </c>
      <c r="DC137" s="141">
        <v>0</v>
      </c>
      <c r="DD137" s="141">
        <v>-37000</v>
      </c>
      <c r="DE137" s="141">
        <v>0</v>
      </c>
      <c r="DF137" s="141">
        <v>-37000</v>
      </c>
      <c r="DG137" s="141">
        <v>-169827</v>
      </c>
      <c r="DH137" s="141">
        <v>0</v>
      </c>
      <c r="DI137" s="141">
        <v>-169827</v>
      </c>
      <c r="DJ137" s="141">
        <v>0</v>
      </c>
      <c r="DK137" s="141">
        <v>0</v>
      </c>
      <c r="DL137" s="141">
        <v>0</v>
      </c>
      <c r="DM137" s="141">
        <v>-1500000</v>
      </c>
      <c r="DN137" s="141">
        <v>0</v>
      </c>
      <c r="DO137" s="141">
        <v>-1500000</v>
      </c>
      <c r="DP137" s="141">
        <v>-1706827</v>
      </c>
      <c r="DQ137" s="141">
        <v>0</v>
      </c>
      <c r="DR137" s="141">
        <v>0</v>
      </c>
      <c r="DS137" s="141">
        <v>0</v>
      </c>
      <c r="DT137" s="141">
        <v>-1706827</v>
      </c>
      <c r="DU137" s="141">
        <v>0</v>
      </c>
      <c r="DV137" s="141">
        <v>-1706827</v>
      </c>
      <c r="DW137" s="856">
        <v>392776732</v>
      </c>
      <c r="DX137" s="856">
        <v>0</v>
      </c>
      <c r="DY137" s="857">
        <v>392776732</v>
      </c>
      <c r="DZ137" t="s">
        <v>1703</v>
      </c>
    </row>
    <row r="138" spans="1:130" ht="12.75" x14ac:dyDescent="0.2">
      <c r="A138" s="764">
        <v>131</v>
      </c>
      <c r="B138" s="765" t="s">
        <v>148</v>
      </c>
      <c r="C138" s="766" t="s">
        <v>1217</v>
      </c>
      <c r="D138" s="767" t="s">
        <v>1220</v>
      </c>
      <c r="E138" s="768" t="s">
        <v>147</v>
      </c>
      <c r="F138" s="867">
        <v>43479</v>
      </c>
      <c r="G138" s="141">
        <v>82484744</v>
      </c>
      <c r="H138" s="141">
        <v>2534400</v>
      </c>
      <c r="I138" s="141">
        <v>85019144</v>
      </c>
      <c r="J138" s="141">
        <v>49.1</v>
      </c>
      <c r="K138" s="141">
        <v>40500009</v>
      </c>
      <c r="L138" s="141">
        <v>1244390</v>
      </c>
      <c r="M138" s="141">
        <v>303560</v>
      </c>
      <c r="N138" s="141">
        <v>0</v>
      </c>
      <c r="O138" s="141">
        <v>40803569</v>
      </c>
      <c r="P138" s="141">
        <v>1244390</v>
      </c>
      <c r="Q138" s="141">
        <v>42047959</v>
      </c>
      <c r="R138" s="141">
        <v>-588407</v>
      </c>
      <c r="S138" s="141">
        <v>-510</v>
      </c>
      <c r="T138" s="141">
        <v>-588917</v>
      </c>
      <c r="U138" s="141">
        <v>50149</v>
      </c>
      <c r="V138" s="141">
        <v>0</v>
      </c>
      <c r="W138" s="141">
        <v>50149</v>
      </c>
      <c r="X138" s="141">
        <v>-538258</v>
      </c>
      <c r="Y138" s="141">
        <v>-510</v>
      </c>
      <c r="Z138" s="141">
        <v>0</v>
      </c>
      <c r="AA138" s="141">
        <v>0</v>
      </c>
      <c r="AB138" s="141">
        <v>-538258</v>
      </c>
      <c r="AC138" s="141">
        <v>-510</v>
      </c>
      <c r="AD138" s="141">
        <v>-538768</v>
      </c>
      <c r="AE138" s="141">
        <v>538258</v>
      </c>
      <c r="AF138" s="141">
        <v>510</v>
      </c>
      <c r="AG138" s="141">
        <v>538768</v>
      </c>
      <c r="AH138" s="141">
        <v>-3991670</v>
      </c>
      <c r="AI138" s="141">
        <v>0</v>
      </c>
      <c r="AJ138" s="141">
        <v>-3991670</v>
      </c>
      <c r="AK138" s="141">
        <v>-7201</v>
      </c>
      <c r="AL138" s="141">
        <v>0</v>
      </c>
      <c r="AM138" s="141">
        <v>-7201</v>
      </c>
      <c r="AN138" s="141">
        <v>725673</v>
      </c>
      <c r="AO138" s="141">
        <v>28704</v>
      </c>
      <c r="AP138" s="141">
        <v>754377</v>
      </c>
      <c r="AQ138" s="141">
        <v>-3265997</v>
      </c>
      <c r="AR138" s="141">
        <v>28704</v>
      </c>
      <c r="AS138" s="141">
        <v>-3237293</v>
      </c>
      <c r="AT138" s="141">
        <v>-2564925</v>
      </c>
      <c r="AU138" s="141">
        <v>0</v>
      </c>
      <c r="AV138" s="141">
        <v>-2564925</v>
      </c>
      <c r="AW138" s="141">
        <v>-6290</v>
      </c>
      <c r="AX138" s="141">
        <v>0</v>
      </c>
      <c r="AY138" s="141">
        <v>-6290</v>
      </c>
      <c r="AZ138" s="141">
        <v>-5947</v>
      </c>
      <c r="BA138" s="141">
        <v>0</v>
      </c>
      <c r="BB138" s="141">
        <v>-5947</v>
      </c>
      <c r="BC138" s="141">
        <v>-5843159</v>
      </c>
      <c r="BD138" s="141">
        <v>28704</v>
      </c>
      <c r="BE138" s="141">
        <v>-48384</v>
      </c>
      <c r="BF138" s="141">
        <v>0</v>
      </c>
      <c r="BG138" s="141">
        <v>-5891543</v>
      </c>
      <c r="BH138" s="141">
        <v>28704</v>
      </c>
      <c r="BI138" s="141">
        <v>-5862839</v>
      </c>
      <c r="BJ138" s="141">
        <v>-50000</v>
      </c>
      <c r="BK138" s="141">
        <v>0</v>
      </c>
      <c r="BL138" s="141">
        <v>-50000</v>
      </c>
      <c r="BM138" s="141">
        <v>-329995</v>
      </c>
      <c r="BN138" s="141">
        <v>0</v>
      </c>
      <c r="BO138" s="141">
        <v>-329995</v>
      </c>
      <c r="BP138" s="141">
        <v>-379995</v>
      </c>
      <c r="BQ138" s="141">
        <v>0</v>
      </c>
      <c r="BR138" s="141">
        <v>-100000</v>
      </c>
      <c r="BS138" s="141">
        <v>0</v>
      </c>
      <c r="BT138" s="141">
        <v>-479995</v>
      </c>
      <c r="BU138" s="141">
        <v>0</v>
      </c>
      <c r="BV138" s="141">
        <v>-479995</v>
      </c>
      <c r="BW138" s="141">
        <v>-66698</v>
      </c>
      <c r="BX138" s="141">
        <v>0</v>
      </c>
      <c r="BY138" s="141">
        <v>-66698</v>
      </c>
      <c r="BZ138" s="141">
        <v>-83377</v>
      </c>
      <c r="CA138" s="141">
        <v>0</v>
      </c>
      <c r="CB138" s="141">
        <v>-83377</v>
      </c>
      <c r="CC138" s="141">
        <v>-1572</v>
      </c>
      <c r="CD138" s="141">
        <v>0</v>
      </c>
      <c r="CE138" s="141">
        <v>-1572</v>
      </c>
      <c r="CF138" s="141">
        <v>0</v>
      </c>
      <c r="CG138" s="141">
        <v>0</v>
      </c>
      <c r="CH138" s="141">
        <v>0</v>
      </c>
      <c r="CI138" s="141">
        <v>0</v>
      </c>
      <c r="CJ138" s="141">
        <v>0</v>
      </c>
      <c r="CK138" s="141">
        <v>0</v>
      </c>
      <c r="CL138" s="141">
        <v>0</v>
      </c>
      <c r="CM138" s="141">
        <v>-193704</v>
      </c>
      <c r="CN138" s="141">
        <v>-193704</v>
      </c>
      <c r="CO138" s="141">
        <v>-193704</v>
      </c>
      <c r="CP138" s="141">
        <v>0</v>
      </c>
      <c r="CQ138" s="141">
        <v>-151647</v>
      </c>
      <c r="CR138" s="141">
        <v>-193704</v>
      </c>
      <c r="CS138" s="141">
        <v>0</v>
      </c>
      <c r="CT138" s="141">
        <v>0</v>
      </c>
      <c r="CU138" s="141">
        <v>-151647</v>
      </c>
      <c r="CV138" s="141">
        <v>-193704</v>
      </c>
      <c r="CW138" s="141">
        <v>-345351</v>
      </c>
      <c r="CX138" s="141">
        <v>-3626</v>
      </c>
      <c r="CY138" s="141">
        <v>0</v>
      </c>
      <c r="CZ138" s="141">
        <v>-3626</v>
      </c>
      <c r="DA138" s="141">
        <v>-581</v>
      </c>
      <c r="DB138" s="141">
        <v>0</v>
      </c>
      <c r="DC138" s="141">
        <v>-581</v>
      </c>
      <c r="DD138" s="141">
        <v>-47068</v>
      </c>
      <c r="DE138" s="141">
        <v>0</v>
      </c>
      <c r="DF138" s="141">
        <v>-47068</v>
      </c>
      <c r="DG138" s="141">
        <v>-55801</v>
      </c>
      <c r="DH138" s="141">
        <v>0</v>
      </c>
      <c r="DI138" s="141">
        <v>-55801</v>
      </c>
      <c r="DJ138" s="141">
        <v>0</v>
      </c>
      <c r="DK138" s="141">
        <v>0</v>
      </c>
      <c r="DL138" s="141">
        <v>0</v>
      </c>
      <c r="DM138" s="141">
        <v>-504734</v>
      </c>
      <c r="DN138" s="141">
        <v>0</v>
      </c>
      <c r="DO138" s="141">
        <v>-504734</v>
      </c>
      <c r="DP138" s="141">
        <v>-611810</v>
      </c>
      <c r="DQ138" s="141">
        <v>0</v>
      </c>
      <c r="DR138" s="141">
        <v>0</v>
      </c>
      <c r="DS138" s="141">
        <v>0</v>
      </c>
      <c r="DT138" s="141">
        <v>-611810</v>
      </c>
      <c r="DU138" s="141">
        <v>0</v>
      </c>
      <c r="DV138" s="141">
        <v>-611810</v>
      </c>
      <c r="DW138" s="856">
        <v>33130316</v>
      </c>
      <c r="DX138" s="856">
        <v>1078880</v>
      </c>
      <c r="DY138" s="857">
        <v>34209196</v>
      </c>
      <c r="DZ138" t="s">
        <v>1704</v>
      </c>
    </row>
    <row r="139" spans="1:130" ht="12.75" x14ac:dyDescent="0.2">
      <c r="A139" s="764">
        <v>132</v>
      </c>
      <c r="B139" s="765" t="s">
        <v>150</v>
      </c>
      <c r="C139" s="766" t="s">
        <v>1217</v>
      </c>
      <c r="D139" s="767" t="s">
        <v>1218</v>
      </c>
      <c r="E139" s="768" t="s">
        <v>149</v>
      </c>
      <c r="F139" s="867">
        <v>43460</v>
      </c>
      <c r="G139" s="141">
        <v>112883726</v>
      </c>
      <c r="H139" s="141">
        <v>0</v>
      </c>
      <c r="I139" s="141">
        <v>112883726</v>
      </c>
      <c r="J139" s="141">
        <v>49.1</v>
      </c>
      <c r="K139" s="141">
        <v>55425909</v>
      </c>
      <c r="L139" s="141">
        <v>0</v>
      </c>
      <c r="M139" s="141">
        <v>183780</v>
      </c>
      <c r="N139" s="141">
        <v>0</v>
      </c>
      <c r="O139" s="141">
        <v>55609689</v>
      </c>
      <c r="P139" s="141">
        <v>0</v>
      </c>
      <c r="Q139" s="141">
        <v>55609689</v>
      </c>
      <c r="R139" s="141">
        <v>-712900</v>
      </c>
      <c r="S139" s="141">
        <v>0</v>
      </c>
      <c r="T139" s="141">
        <v>-712900</v>
      </c>
      <c r="U139" s="141">
        <v>220771</v>
      </c>
      <c r="V139" s="141">
        <v>0</v>
      </c>
      <c r="W139" s="141">
        <v>220771</v>
      </c>
      <c r="X139" s="141">
        <v>-492129</v>
      </c>
      <c r="Y139" s="141">
        <v>0</v>
      </c>
      <c r="Z139" s="141">
        <v>0</v>
      </c>
      <c r="AA139" s="141">
        <v>0</v>
      </c>
      <c r="AB139" s="141">
        <v>-492129</v>
      </c>
      <c r="AC139" s="141">
        <v>0</v>
      </c>
      <c r="AD139" s="141">
        <v>-492129</v>
      </c>
      <c r="AE139" s="141">
        <v>492129</v>
      </c>
      <c r="AF139" s="141">
        <v>0</v>
      </c>
      <c r="AG139" s="141">
        <v>492129</v>
      </c>
      <c r="AH139" s="141">
        <v>-5025114</v>
      </c>
      <c r="AI139" s="141">
        <v>0</v>
      </c>
      <c r="AJ139" s="141">
        <v>-5025114</v>
      </c>
      <c r="AK139" s="141">
        <v>0</v>
      </c>
      <c r="AL139" s="141">
        <v>0</v>
      </c>
      <c r="AM139" s="141">
        <v>0</v>
      </c>
      <c r="AN139" s="141">
        <v>917361</v>
      </c>
      <c r="AO139" s="141">
        <v>0</v>
      </c>
      <c r="AP139" s="141">
        <v>917361</v>
      </c>
      <c r="AQ139" s="141">
        <v>-4107753</v>
      </c>
      <c r="AR139" s="141">
        <v>0</v>
      </c>
      <c r="AS139" s="141">
        <v>-4107753</v>
      </c>
      <c r="AT139" s="141">
        <v>-3495232</v>
      </c>
      <c r="AU139" s="141">
        <v>0</v>
      </c>
      <c r="AV139" s="141">
        <v>-3495232</v>
      </c>
      <c r="AW139" s="141">
        <v>-61096</v>
      </c>
      <c r="AX139" s="141">
        <v>0</v>
      </c>
      <c r="AY139" s="141">
        <v>-61096</v>
      </c>
      <c r="AZ139" s="141">
        <v>-9480</v>
      </c>
      <c r="BA139" s="141">
        <v>0</v>
      </c>
      <c r="BB139" s="141">
        <v>-9480</v>
      </c>
      <c r="BC139" s="141">
        <v>-7673561</v>
      </c>
      <c r="BD139" s="141">
        <v>0</v>
      </c>
      <c r="BE139" s="141">
        <v>5401</v>
      </c>
      <c r="BF139" s="141">
        <v>0</v>
      </c>
      <c r="BG139" s="141">
        <v>-7668160</v>
      </c>
      <c r="BH139" s="141">
        <v>0</v>
      </c>
      <c r="BI139" s="141">
        <v>-7668160</v>
      </c>
      <c r="BJ139" s="141">
        <v>0</v>
      </c>
      <c r="BK139" s="141">
        <v>0</v>
      </c>
      <c r="BL139" s="141">
        <v>0</v>
      </c>
      <c r="BM139" s="141">
        <v>-765095</v>
      </c>
      <c r="BN139" s="141">
        <v>0</v>
      </c>
      <c r="BO139" s="141">
        <v>-765095</v>
      </c>
      <c r="BP139" s="141">
        <v>-765095</v>
      </c>
      <c r="BQ139" s="141">
        <v>0</v>
      </c>
      <c r="BR139" s="141">
        <v>0</v>
      </c>
      <c r="BS139" s="141">
        <v>0</v>
      </c>
      <c r="BT139" s="141">
        <v>-765095</v>
      </c>
      <c r="BU139" s="141">
        <v>0</v>
      </c>
      <c r="BV139" s="141">
        <v>-765095</v>
      </c>
      <c r="BW139" s="141">
        <v>-55465</v>
      </c>
      <c r="BX139" s="141">
        <v>0</v>
      </c>
      <c r="BY139" s="141">
        <v>-55465</v>
      </c>
      <c r="BZ139" s="141">
        <v>-466811</v>
      </c>
      <c r="CA139" s="141">
        <v>0</v>
      </c>
      <c r="CB139" s="141">
        <v>-466811</v>
      </c>
      <c r="CC139" s="141">
        <v>-2752</v>
      </c>
      <c r="CD139" s="141">
        <v>0</v>
      </c>
      <c r="CE139" s="141">
        <v>-2752</v>
      </c>
      <c r="CF139" s="141">
        <v>0</v>
      </c>
      <c r="CG139" s="141">
        <v>0</v>
      </c>
      <c r="CH139" s="141">
        <v>0</v>
      </c>
      <c r="CI139" s="141">
        <v>0</v>
      </c>
      <c r="CJ139" s="141">
        <v>0</v>
      </c>
      <c r="CK139" s="141">
        <v>0</v>
      </c>
      <c r="CL139" s="141">
        <v>0</v>
      </c>
      <c r="CM139" s="141">
        <v>0</v>
      </c>
      <c r="CN139" s="141">
        <v>0</v>
      </c>
      <c r="CO139" s="141">
        <v>0</v>
      </c>
      <c r="CP139" s="141">
        <v>0</v>
      </c>
      <c r="CQ139" s="141">
        <v>-525028</v>
      </c>
      <c r="CR139" s="141">
        <v>0</v>
      </c>
      <c r="CS139" s="141">
        <v>0</v>
      </c>
      <c r="CT139" s="141">
        <v>0</v>
      </c>
      <c r="CU139" s="141">
        <v>-525028</v>
      </c>
      <c r="CV139" s="141">
        <v>0</v>
      </c>
      <c r="CW139" s="141">
        <v>-525028</v>
      </c>
      <c r="CX139" s="141">
        <v>-9480</v>
      </c>
      <c r="CY139" s="141">
        <v>0</v>
      </c>
      <c r="CZ139" s="141">
        <v>-9480</v>
      </c>
      <c r="DA139" s="141">
        <v>0</v>
      </c>
      <c r="DB139" s="141">
        <v>0</v>
      </c>
      <c r="DC139" s="141">
        <v>0</v>
      </c>
      <c r="DD139" s="141">
        <v>-37175</v>
      </c>
      <c r="DE139" s="141">
        <v>0</v>
      </c>
      <c r="DF139" s="141">
        <v>-37175</v>
      </c>
      <c r="DG139" s="141">
        <v>-87078</v>
      </c>
      <c r="DH139" s="141">
        <v>0</v>
      </c>
      <c r="DI139" s="141">
        <v>-87078</v>
      </c>
      <c r="DJ139" s="141">
        <v>0</v>
      </c>
      <c r="DK139" s="141">
        <v>0</v>
      </c>
      <c r="DL139" s="141">
        <v>0</v>
      </c>
      <c r="DM139" s="141">
        <v>-713809</v>
      </c>
      <c r="DN139" s="141">
        <v>0</v>
      </c>
      <c r="DO139" s="141">
        <v>-713809</v>
      </c>
      <c r="DP139" s="141">
        <v>-847542</v>
      </c>
      <c r="DQ139" s="141">
        <v>0</v>
      </c>
      <c r="DR139" s="141">
        <v>0</v>
      </c>
      <c r="DS139" s="141">
        <v>0</v>
      </c>
      <c r="DT139" s="141">
        <v>-847542</v>
      </c>
      <c r="DU139" s="141">
        <v>0</v>
      </c>
      <c r="DV139" s="141">
        <v>-847542</v>
      </c>
      <c r="DW139" s="856">
        <v>45311735</v>
      </c>
      <c r="DX139" s="856">
        <v>0</v>
      </c>
      <c r="DY139" s="857">
        <v>45311735</v>
      </c>
      <c r="DZ139" t="s">
        <v>1705</v>
      </c>
    </row>
    <row r="140" spans="1:130" ht="12.75" x14ac:dyDescent="0.2">
      <c r="A140" s="764">
        <v>133</v>
      </c>
      <c r="B140" s="765" t="s">
        <v>152</v>
      </c>
      <c r="C140" s="766" t="s">
        <v>1222</v>
      </c>
      <c r="D140" s="767" t="s">
        <v>1223</v>
      </c>
      <c r="E140" s="768" t="s">
        <v>151</v>
      </c>
      <c r="F140" s="867">
        <v>43471</v>
      </c>
      <c r="G140" s="141">
        <v>459272213</v>
      </c>
      <c r="H140" s="141">
        <v>0</v>
      </c>
      <c r="I140" s="141">
        <v>459272213</v>
      </c>
      <c r="J140" s="141">
        <v>49.1</v>
      </c>
      <c r="K140" s="141">
        <v>225502657</v>
      </c>
      <c r="L140" s="141">
        <v>0</v>
      </c>
      <c r="M140" s="141">
        <v>0</v>
      </c>
      <c r="N140" s="141">
        <v>0</v>
      </c>
      <c r="O140" s="141">
        <v>225502657</v>
      </c>
      <c r="P140" s="141">
        <v>0</v>
      </c>
      <c r="Q140" s="141">
        <v>225502657</v>
      </c>
      <c r="R140" s="141">
        <v>-2305078</v>
      </c>
      <c r="S140" s="141">
        <v>0</v>
      </c>
      <c r="T140" s="141">
        <v>-2305078</v>
      </c>
      <c r="U140" s="141">
        <v>1236773</v>
      </c>
      <c r="V140" s="141">
        <v>0</v>
      </c>
      <c r="W140" s="141">
        <v>1236773</v>
      </c>
      <c r="X140" s="141">
        <v>-1068305</v>
      </c>
      <c r="Y140" s="141">
        <v>0</v>
      </c>
      <c r="Z140" s="141">
        <v>0</v>
      </c>
      <c r="AA140" s="141">
        <v>0</v>
      </c>
      <c r="AB140" s="141">
        <v>-1068305</v>
      </c>
      <c r="AC140" s="141">
        <v>0</v>
      </c>
      <c r="AD140" s="141">
        <v>-1068305</v>
      </c>
      <c r="AE140" s="141">
        <v>1068305</v>
      </c>
      <c r="AF140" s="141">
        <v>0</v>
      </c>
      <c r="AG140" s="141">
        <v>1068305</v>
      </c>
      <c r="AH140" s="141">
        <v>-5534450</v>
      </c>
      <c r="AI140" s="141">
        <v>0</v>
      </c>
      <c r="AJ140" s="141">
        <v>-5534450</v>
      </c>
      <c r="AK140" s="141">
        <v>0</v>
      </c>
      <c r="AL140" s="141">
        <v>0</v>
      </c>
      <c r="AM140" s="141">
        <v>0</v>
      </c>
      <c r="AN140" s="141">
        <v>5103723</v>
      </c>
      <c r="AO140" s="141">
        <v>0</v>
      </c>
      <c r="AP140" s="141">
        <v>5103723</v>
      </c>
      <c r="AQ140" s="141">
        <v>-430727</v>
      </c>
      <c r="AR140" s="141">
        <v>0</v>
      </c>
      <c r="AS140" s="141">
        <v>-430727</v>
      </c>
      <c r="AT140" s="141">
        <v>-6638495</v>
      </c>
      <c r="AU140" s="141">
        <v>0</v>
      </c>
      <c r="AV140" s="141">
        <v>-6638495</v>
      </c>
      <c r="AW140" s="141">
        <v>-55747</v>
      </c>
      <c r="AX140" s="141">
        <v>0</v>
      </c>
      <c r="AY140" s="141">
        <v>-55747</v>
      </c>
      <c r="AZ140" s="141">
        <v>0</v>
      </c>
      <c r="BA140" s="141">
        <v>0</v>
      </c>
      <c r="BB140" s="141">
        <v>0</v>
      </c>
      <c r="BC140" s="141">
        <v>-7124969</v>
      </c>
      <c r="BD140" s="141">
        <v>0</v>
      </c>
      <c r="BE140" s="141">
        <v>0</v>
      </c>
      <c r="BF140" s="141">
        <v>0</v>
      </c>
      <c r="BG140" s="141">
        <v>-7124969</v>
      </c>
      <c r="BH140" s="141">
        <v>0</v>
      </c>
      <c r="BI140" s="141">
        <v>-7124969</v>
      </c>
      <c r="BJ140" s="141">
        <v>0</v>
      </c>
      <c r="BK140" s="141">
        <v>0</v>
      </c>
      <c r="BL140" s="141">
        <v>0</v>
      </c>
      <c r="BM140" s="141">
        <v>-6594506</v>
      </c>
      <c r="BN140" s="141">
        <v>0</v>
      </c>
      <c r="BO140" s="141">
        <v>-6594506</v>
      </c>
      <c r="BP140" s="141">
        <v>-6594506</v>
      </c>
      <c r="BQ140" s="141">
        <v>0</v>
      </c>
      <c r="BR140" s="141">
        <v>0</v>
      </c>
      <c r="BS140" s="141">
        <v>0</v>
      </c>
      <c r="BT140" s="141">
        <v>-6594506</v>
      </c>
      <c r="BU140" s="141">
        <v>0</v>
      </c>
      <c r="BV140" s="141">
        <v>-6594506</v>
      </c>
      <c r="BW140" s="141">
        <v>-326865</v>
      </c>
      <c r="BX140" s="141">
        <v>0</v>
      </c>
      <c r="BY140" s="141">
        <v>-326865</v>
      </c>
      <c r="BZ140" s="141">
        <v>-137592</v>
      </c>
      <c r="CA140" s="141">
        <v>0</v>
      </c>
      <c r="CB140" s="141">
        <v>-137592</v>
      </c>
      <c r="CC140" s="141">
        <v>-2057</v>
      </c>
      <c r="CD140" s="141">
        <v>0</v>
      </c>
      <c r="CE140" s="141">
        <v>-2057</v>
      </c>
      <c r="CF140" s="141">
        <v>0</v>
      </c>
      <c r="CG140" s="141">
        <v>0</v>
      </c>
      <c r="CH140" s="141">
        <v>0</v>
      </c>
      <c r="CI140" s="141">
        <v>0</v>
      </c>
      <c r="CJ140" s="141">
        <v>0</v>
      </c>
      <c r="CK140" s="141">
        <v>0</v>
      </c>
      <c r="CL140" s="141">
        <v>0</v>
      </c>
      <c r="CM140" s="141">
        <v>0</v>
      </c>
      <c r="CN140" s="141">
        <v>0</v>
      </c>
      <c r="CO140" s="141">
        <v>0</v>
      </c>
      <c r="CP140" s="141">
        <v>0</v>
      </c>
      <c r="CQ140" s="141">
        <v>-466514</v>
      </c>
      <c r="CR140" s="141">
        <v>0</v>
      </c>
      <c r="CS140" s="141">
        <v>0</v>
      </c>
      <c r="CT140" s="141">
        <v>0</v>
      </c>
      <c r="CU140" s="141">
        <v>-466514</v>
      </c>
      <c r="CV140" s="141">
        <v>0</v>
      </c>
      <c r="CW140" s="141">
        <v>-466514</v>
      </c>
      <c r="CX140" s="141">
        <v>0</v>
      </c>
      <c r="CY140" s="141">
        <v>0</v>
      </c>
      <c r="CZ140" s="141">
        <v>0</v>
      </c>
      <c r="DA140" s="141">
        <v>0</v>
      </c>
      <c r="DB140" s="141">
        <v>0</v>
      </c>
      <c r="DC140" s="141">
        <v>0</v>
      </c>
      <c r="DD140" s="141">
        <v>-20830</v>
      </c>
      <c r="DE140" s="141">
        <v>0</v>
      </c>
      <c r="DF140" s="141">
        <v>-20830</v>
      </c>
      <c r="DG140" s="141">
        <v>-285579</v>
      </c>
      <c r="DH140" s="141">
        <v>0</v>
      </c>
      <c r="DI140" s="141">
        <v>-285579</v>
      </c>
      <c r="DJ140" s="141">
        <v>0</v>
      </c>
      <c r="DK140" s="141">
        <v>0</v>
      </c>
      <c r="DL140" s="141">
        <v>0</v>
      </c>
      <c r="DM140" s="141">
        <v>-3028169</v>
      </c>
      <c r="DN140" s="141">
        <v>0</v>
      </c>
      <c r="DO140" s="141">
        <v>-3028169</v>
      </c>
      <c r="DP140" s="141">
        <v>-3334578</v>
      </c>
      <c r="DQ140" s="141">
        <v>0</v>
      </c>
      <c r="DR140" s="141">
        <v>0</v>
      </c>
      <c r="DS140" s="141">
        <v>0</v>
      </c>
      <c r="DT140" s="141">
        <v>-3334578</v>
      </c>
      <c r="DU140" s="141">
        <v>0</v>
      </c>
      <c r="DV140" s="141">
        <v>-3334578</v>
      </c>
      <c r="DW140" s="856">
        <v>206913785</v>
      </c>
      <c r="DX140" s="856">
        <v>0</v>
      </c>
      <c r="DY140" s="857">
        <v>206913785</v>
      </c>
      <c r="DZ140" t="s">
        <v>1706</v>
      </c>
    </row>
    <row r="141" spans="1:130" ht="12.75" x14ac:dyDescent="0.2">
      <c r="A141" s="764">
        <v>134</v>
      </c>
      <c r="B141" s="765" t="s">
        <v>154</v>
      </c>
      <c r="C141" s="766" t="s">
        <v>1217</v>
      </c>
      <c r="D141" s="767" t="s">
        <v>1221</v>
      </c>
      <c r="E141" s="768" t="s">
        <v>153</v>
      </c>
      <c r="F141" s="867">
        <v>43483</v>
      </c>
      <c r="G141" s="141">
        <v>145719154</v>
      </c>
      <c r="H141" s="141">
        <v>3358300</v>
      </c>
      <c r="I141" s="141">
        <v>149077454</v>
      </c>
      <c r="J141" s="141">
        <v>49.1</v>
      </c>
      <c r="K141" s="141">
        <v>71548105</v>
      </c>
      <c r="L141" s="141">
        <v>1648925</v>
      </c>
      <c r="M141" s="141">
        <v>0</v>
      </c>
      <c r="N141" s="141">
        <v>750960</v>
      </c>
      <c r="O141" s="141">
        <v>71548105</v>
      </c>
      <c r="P141" s="141">
        <v>2399885</v>
      </c>
      <c r="Q141" s="141">
        <v>73947990</v>
      </c>
      <c r="R141" s="141">
        <v>-408786</v>
      </c>
      <c r="S141" s="141">
        <v>-10497</v>
      </c>
      <c r="T141" s="141">
        <v>-419283</v>
      </c>
      <c r="U141" s="141">
        <v>851119</v>
      </c>
      <c r="V141" s="141">
        <v>0</v>
      </c>
      <c r="W141" s="141">
        <v>851119</v>
      </c>
      <c r="X141" s="141">
        <v>442333</v>
      </c>
      <c r="Y141" s="141">
        <v>-10497</v>
      </c>
      <c r="Z141" s="141">
        <v>0</v>
      </c>
      <c r="AA141" s="141">
        <v>0</v>
      </c>
      <c r="AB141" s="141">
        <v>442333</v>
      </c>
      <c r="AC141" s="141">
        <v>-10497</v>
      </c>
      <c r="AD141" s="141">
        <v>431836</v>
      </c>
      <c r="AE141" s="141">
        <v>-442333</v>
      </c>
      <c r="AF141" s="141">
        <v>10497</v>
      </c>
      <c r="AG141" s="141">
        <v>-431836</v>
      </c>
      <c r="AH141" s="141">
        <v>-5301658</v>
      </c>
      <c r="AI141" s="141">
        <v>-5709</v>
      </c>
      <c r="AJ141" s="141">
        <v>-5307367</v>
      </c>
      <c r="AK141" s="141">
        <v>-14485</v>
      </c>
      <c r="AL141" s="141">
        <v>0</v>
      </c>
      <c r="AM141" s="141">
        <v>-14485</v>
      </c>
      <c r="AN141" s="141">
        <v>1257857</v>
      </c>
      <c r="AO141" s="141">
        <v>37231</v>
      </c>
      <c r="AP141" s="141">
        <v>1295088</v>
      </c>
      <c r="AQ141" s="141">
        <v>-4043801</v>
      </c>
      <c r="AR141" s="141">
        <v>31522</v>
      </c>
      <c r="AS141" s="141">
        <v>-4012279</v>
      </c>
      <c r="AT141" s="141">
        <v>-3244001</v>
      </c>
      <c r="AU141" s="141">
        <v>-210349</v>
      </c>
      <c r="AV141" s="141">
        <v>-3454350</v>
      </c>
      <c r="AW141" s="141">
        <v>-232616</v>
      </c>
      <c r="AX141" s="141">
        <v>0</v>
      </c>
      <c r="AY141" s="141">
        <v>-232616</v>
      </c>
      <c r="AZ141" s="141">
        <v>-32710</v>
      </c>
      <c r="BA141" s="141">
        <v>0</v>
      </c>
      <c r="BB141" s="141">
        <v>-32710</v>
      </c>
      <c r="BC141" s="141">
        <v>-7553128</v>
      </c>
      <c r="BD141" s="141">
        <v>-178827</v>
      </c>
      <c r="BE141" s="141">
        <v>0</v>
      </c>
      <c r="BF141" s="141">
        <v>0</v>
      </c>
      <c r="BG141" s="141">
        <v>-7553128</v>
      </c>
      <c r="BH141" s="141">
        <v>-178827</v>
      </c>
      <c r="BI141" s="141">
        <v>-7731955</v>
      </c>
      <c r="BJ141" s="141">
        <v>0</v>
      </c>
      <c r="BK141" s="141">
        <v>0</v>
      </c>
      <c r="BL141" s="141">
        <v>0</v>
      </c>
      <c r="BM141" s="141">
        <v>-1389665</v>
      </c>
      <c r="BN141" s="141">
        <v>-52668</v>
      </c>
      <c r="BO141" s="141">
        <v>-1442333</v>
      </c>
      <c r="BP141" s="141">
        <v>-1389665</v>
      </c>
      <c r="BQ141" s="141">
        <v>-52668</v>
      </c>
      <c r="BR141" s="141">
        <v>0</v>
      </c>
      <c r="BS141" s="141">
        <v>0</v>
      </c>
      <c r="BT141" s="141">
        <v>-1389665</v>
      </c>
      <c r="BU141" s="141">
        <v>-52668</v>
      </c>
      <c r="BV141" s="141">
        <v>-1442333</v>
      </c>
      <c r="BW141" s="141">
        <v>-7248</v>
      </c>
      <c r="BX141" s="141">
        <v>0</v>
      </c>
      <c r="BY141" s="141">
        <v>-7248</v>
      </c>
      <c r="BZ141" s="141">
        <v>-27899</v>
      </c>
      <c r="CA141" s="141">
        <v>0</v>
      </c>
      <c r="CB141" s="141">
        <v>-27899</v>
      </c>
      <c r="CC141" s="141">
        <v>0</v>
      </c>
      <c r="CD141" s="141">
        <v>0</v>
      </c>
      <c r="CE141" s="141">
        <v>0</v>
      </c>
      <c r="CF141" s="141">
        <v>0</v>
      </c>
      <c r="CG141" s="141">
        <v>0</v>
      </c>
      <c r="CH141" s="141">
        <v>0</v>
      </c>
      <c r="CI141" s="141">
        <v>0</v>
      </c>
      <c r="CJ141" s="141">
        <v>0</v>
      </c>
      <c r="CK141" s="141">
        <v>0</v>
      </c>
      <c r="CL141" s="141">
        <v>0</v>
      </c>
      <c r="CM141" s="141">
        <v>-209234</v>
      </c>
      <c r="CN141" s="141">
        <v>-209234</v>
      </c>
      <c r="CO141" s="141">
        <v>-209234</v>
      </c>
      <c r="CP141" s="141">
        <v>0</v>
      </c>
      <c r="CQ141" s="141">
        <v>-35147</v>
      </c>
      <c r="CR141" s="141">
        <v>-209234</v>
      </c>
      <c r="CS141" s="141">
        <v>0</v>
      </c>
      <c r="CT141" s="141">
        <v>0</v>
      </c>
      <c r="CU141" s="141">
        <v>-35147</v>
      </c>
      <c r="CV141" s="141">
        <v>-209234</v>
      </c>
      <c r="CW141" s="141">
        <v>-244381</v>
      </c>
      <c r="CX141" s="141">
        <v>-32710</v>
      </c>
      <c r="CY141" s="141">
        <v>0</v>
      </c>
      <c r="CZ141" s="141">
        <v>-32710</v>
      </c>
      <c r="DA141" s="141">
        <v>0</v>
      </c>
      <c r="DB141" s="141">
        <v>0</v>
      </c>
      <c r="DC141" s="141">
        <v>0</v>
      </c>
      <c r="DD141" s="141">
        <v>-35202</v>
      </c>
      <c r="DE141" s="141">
        <v>0</v>
      </c>
      <c r="DF141" s="141">
        <v>-35202</v>
      </c>
      <c r="DG141" s="141">
        <v>-68999</v>
      </c>
      <c r="DH141" s="141">
        <v>0</v>
      </c>
      <c r="DI141" s="141">
        <v>-68999</v>
      </c>
      <c r="DJ141" s="141">
        <v>0</v>
      </c>
      <c r="DK141" s="141">
        <v>0</v>
      </c>
      <c r="DL141" s="141">
        <v>0</v>
      </c>
      <c r="DM141" s="141">
        <v>-1566010</v>
      </c>
      <c r="DN141" s="141">
        <v>0</v>
      </c>
      <c r="DO141" s="141">
        <v>-1566010</v>
      </c>
      <c r="DP141" s="141">
        <v>-1702921</v>
      </c>
      <c r="DQ141" s="141">
        <v>0</v>
      </c>
      <c r="DR141" s="141">
        <v>0</v>
      </c>
      <c r="DS141" s="141">
        <v>0</v>
      </c>
      <c r="DT141" s="141">
        <v>-1702921</v>
      </c>
      <c r="DU141" s="141">
        <v>0</v>
      </c>
      <c r="DV141" s="141">
        <v>-1702921</v>
      </c>
      <c r="DW141" s="856">
        <v>61309577</v>
      </c>
      <c r="DX141" s="856">
        <v>1948659</v>
      </c>
      <c r="DY141" s="857">
        <v>63258236</v>
      </c>
      <c r="DZ141" t="s">
        <v>1707</v>
      </c>
    </row>
    <row r="142" spans="1:130" ht="12.75" x14ac:dyDescent="0.2">
      <c r="A142" s="764">
        <v>135</v>
      </c>
      <c r="B142" s="765" t="s">
        <v>156</v>
      </c>
      <c r="C142" s="766" t="s">
        <v>1217</v>
      </c>
      <c r="D142" s="767" t="s">
        <v>1219</v>
      </c>
      <c r="E142" s="768" t="s">
        <v>155</v>
      </c>
      <c r="F142" s="867">
        <v>43465</v>
      </c>
      <c r="G142" s="141">
        <v>55843001</v>
      </c>
      <c r="H142" s="141">
        <v>0</v>
      </c>
      <c r="I142" s="141">
        <v>55843001</v>
      </c>
      <c r="J142" s="141">
        <v>49.1</v>
      </c>
      <c r="K142" s="141">
        <v>27418913</v>
      </c>
      <c r="L142" s="141">
        <v>0</v>
      </c>
      <c r="M142" s="141">
        <v>0</v>
      </c>
      <c r="N142" s="141">
        <v>0</v>
      </c>
      <c r="O142" s="141">
        <v>27418913</v>
      </c>
      <c r="P142" s="141">
        <v>0</v>
      </c>
      <c r="Q142" s="141">
        <v>27418913</v>
      </c>
      <c r="R142" s="141">
        <v>-315378</v>
      </c>
      <c r="S142" s="141">
        <v>0</v>
      </c>
      <c r="T142" s="141">
        <v>-315378</v>
      </c>
      <c r="U142" s="141">
        <v>1084588</v>
      </c>
      <c r="V142" s="141">
        <v>0</v>
      </c>
      <c r="W142" s="141">
        <v>1084588</v>
      </c>
      <c r="X142" s="141">
        <v>769210</v>
      </c>
      <c r="Y142" s="141">
        <v>0</v>
      </c>
      <c r="Z142" s="141">
        <v>0</v>
      </c>
      <c r="AA142" s="141">
        <v>0</v>
      </c>
      <c r="AB142" s="141">
        <v>769210</v>
      </c>
      <c r="AC142" s="141">
        <v>0</v>
      </c>
      <c r="AD142" s="141">
        <v>769210</v>
      </c>
      <c r="AE142" s="141">
        <v>-769210</v>
      </c>
      <c r="AF142" s="141">
        <v>0</v>
      </c>
      <c r="AG142" s="141">
        <v>-769210</v>
      </c>
      <c r="AH142" s="141">
        <v>-3847479</v>
      </c>
      <c r="AI142" s="141">
        <v>0</v>
      </c>
      <c r="AJ142" s="141">
        <v>-3847479</v>
      </c>
      <c r="AK142" s="141">
        <v>-1172</v>
      </c>
      <c r="AL142" s="141">
        <v>0</v>
      </c>
      <c r="AM142" s="141">
        <v>-1172</v>
      </c>
      <c r="AN142" s="141">
        <v>472002</v>
      </c>
      <c r="AO142" s="141">
        <v>0</v>
      </c>
      <c r="AP142" s="141">
        <v>472002</v>
      </c>
      <c r="AQ142" s="141">
        <v>-3375477</v>
      </c>
      <c r="AR142" s="141">
        <v>0</v>
      </c>
      <c r="AS142" s="141">
        <v>-3375477</v>
      </c>
      <c r="AT142" s="141">
        <v>-1417276</v>
      </c>
      <c r="AU142" s="141">
        <v>0</v>
      </c>
      <c r="AV142" s="141">
        <v>-1417276</v>
      </c>
      <c r="AW142" s="141">
        <v>-51764</v>
      </c>
      <c r="AX142" s="141">
        <v>0</v>
      </c>
      <c r="AY142" s="141">
        <v>-51764</v>
      </c>
      <c r="AZ142" s="141">
        <v>0</v>
      </c>
      <c r="BA142" s="141">
        <v>0</v>
      </c>
      <c r="BB142" s="141">
        <v>0</v>
      </c>
      <c r="BC142" s="141">
        <v>-4844517</v>
      </c>
      <c r="BD142" s="141">
        <v>0</v>
      </c>
      <c r="BE142" s="141">
        <v>-726678</v>
      </c>
      <c r="BF142" s="141">
        <v>0</v>
      </c>
      <c r="BG142" s="141">
        <v>-5571195</v>
      </c>
      <c r="BH142" s="141">
        <v>0</v>
      </c>
      <c r="BI142" s="141">
        <v>-5571195</v>
      </c>
      <c r="BJ142" s="141">
        <v>-349</v>
      </c>
      <c r="BK142" s="141">
        <v>0</v>
      </c>
      <c r="BL142" s="141">
        <v>-349</v>
      </c>
      <c r="BM142" s="141">
        <v>-1564787</v>
      </c>
      <c r="BN142" s="141">
        <v>0</v>
      </c>
      <c r="BO142" s="141">
        <v>-1564787</v>
      </c>
      <c r="BP142" s="141">
        <v>-1565136</v>
      </c>
      <c r="BQ142" s="141">
        <v>0</v>
      </c>
      <c r="BR142" s="141">
        <v>-750000</v>
      </c>
      <c r="BS142" s="141">
        <v>0</v>
      </c>
      <c r="BT142" s="141">
        <v>-2315136</v>
      </c>
      <c r="BU142" s="141">
        <v>0</v>
      </c>
      <c r="BV142" s="141">
        <v>-2315136</v>
      </c>
      <c r="BW142" s="141">
        <v>-120276</v>
      </c>
      <c r="BX142" s="141">
        <v>0</v>
      </c>
      <c r="BY142" s="141">
        <v>-120276</v>
      </c>
      <c r="BZ142" s="141">
        <v>-80999</v>
      </c>
      <c r="CA142" s="141">
        <v>0</v>
      </c>
      <c r="CB142" s="141">
        <v>-80999</v>
      </c>
      <c r="CC142" s="141">
        <v>0</v>
      </c>
      <c r="CD142" s="141">
        <v>0</v>
      </c>
      <c r="CE142" s="141">
        <v>0</v>
      </c>
      <c r="CF142" s="141">
        <v>0</v>
      </c>
      <c r="CG142" s="141">
        <v>0</v>
      </c>
      <c r="CH142" s="141">
        <v>0</v>
      </c>
      <c r="CI142" s="141">
        <v>0</v>
      </c>
      <c r="CJ142" s="141">
        <v>0</v>
      </c>
      <c r="CK142" s="141">
        <v>0</v>
      </c>
      <c r="CL142" s="141">
        <v>0</v>
      </c>
      <c r="CM142" s="141">
        <v>0</v>
      </c>
      <c r="CN142" s="141">
        <v>0</v>
      </c>
      <c r="CO142" s="141">
        <v>0</v>
      </c>
      <c r="CP142" s="141">
        <v>0</v>
      </c>
      <c r="CQ142" s="141">
        <v>-201275</v>
      </c>
      <c r="CR142" s="141">
        <v>0</v>
      </c>
      <c r="CS142" s="141">
        <v>-25000</v>
      </c>
      <c r="CT142" s="141">
        <v>0</v>
      </c>
      <c r="CU142" s="141">
        <v>-226275</v>
      </c>
      <c r="CV142" s="141">
        <v>0</v>
      </c>
      <c r="CW142" s="141">
        <v>-226275</v>
      </c>
      <c r="CX142" s="141">
        <v>0</v>
      </c>
      <c r="CY142" s="141">
        <v>0</v>
      </c>
      <c r="CZ142" s="141">
        <v>0</v>
      </c>
      <c r="DA142" s="141">
        <v>0</v>
      </c>
      <c r="DB142" s="141">
        <v>0</v>
      </c>
      <c r="DC142" s="141">
        <v>0</v>
      </c>
      <c r="DD142" s="141">
        <v>-7194</v>
      </c>
      <c r="DE142" s="141">
        <v>0</v>
      </c>
      <c r="DF142" s="141">
        <v>-7194</v>
      </c>
      <c r="DG142" s="141">
        <v>-15737</v>
      </c>
      <c r="DH142" s="141">
        <v>0</v>
      </c>
      <c r="DI142" s="141">
        <v>-15737</v>
      </c>
      <c r="DJ142" s="141">
        <v>0</v>
      </c>
      <c r="DK142" s="141">
        <v>0</v>
      </c>
      <c r="DL142" s="141">
        <v>0</v>
      </c>
      <c r="DM142" s="141">
        <v>-512000</v>
      </c>
      <c r="DN142" s="141">
        <v>0</v>
      </c>
      <c r="DO142" s="141">
        <v>-512000</v>
      </c>
      <c r="DP142" s="141">
        <v>-534931</v>
      </c>
      <c r="DQ142" s="141">
        <v>0</v>
      </c>
      <c r="DR142" s="141">
        <v>0</v>
      </c>
      <c r="DS142" s="141">
        <v>0</v>
      </c>
      <c r="DT142" s="141">
        <v>-534931</v>
      </c>
      <c r="DU142" s="141">
        <v>0</v>
      </c>
      <c r="DV142" s="141">
        <v>-534931</v>
      </c>
      <c r="DW142" s="856">
        <v>19540586</v>
      </c>
      <c r="DX142" s="856">
        <v>0</v>
      </c>
      <c r="DY142" s="857">
        <v>19540586</v>
      </c>
      <c r="DZ142" t="s">
        <v>1708</v>
      </c>
    </row>
    <row r="143" spans="1:130" ht="12.75" x14ac:dyDescent="0.2">
      <c r="A143" s="764">
        <v>136</v>
      </c>
      <c r="B143" s="765" t="s">
        <v>158</v>
      </c>
      <c r="C143" s="766" t="s">
        <v>1217</v>
      </c>
      <c r="D143" s="767" t="s">
        <v>1221</v>
      </c>
      <c r="E143" s="768" t="s">
        <v>157</v>
      </c>
      <c r="F143" s="867">
        <v>43468</v>
      </c>
      <c r="G143" s="141">
        <v>135054063</v>
      </c>
      <c r="H143" s="141">
        <v>2252175</v>
      </c>
      <c r="I143" s="141">
        <v>137306238</v>
      </c>
      <c r="J143" s="141">
        <v>49.1</v>
      </c>
      <c r="K143" s="141">
        <v>66311545</v>
      </c>
      <c r="L143" s="141">
        <v>1105818</v>
      </c>
      <c r="M143" s="141">
        <v>0</v>
      </c>
      <c r="N143" s="141">
        <v>300000</v>
      </c>
      <c r="O143" s="141">
        <v>66311545</v>
      </c>
      <c r="P143" s="141">
        <v>1405818</v>
      </c>
      <c r="Q143" s="141">
        <v>67717363</v>
      </c>
      <c r="R143" s="141">
        <v>-282374</v>
      </c>
      <c r="S143" s="141">
        <v>0</v>
      </c>
      <c r="T143" s="141">
        <v>-282374</v>
      </c>
      <c r="U143" s="141">
        <v>785055</v>
      </c>
      <c r="V143" s="141">
        <v>0</v>
      </c>
      <c r="W143" s="141">
        <v>785055</v>
      </c>
      <c r="X143" s="141">
        <v>502681</v>
      </c>
      <c r="Y143" s="141">
        <v>0</v>
      </c>
      <c r="Z143" s="141">
        <v>0</v>
      </c>
      <c r="AA143" s="141">
        <v>0</v>
      </c>
      <c r="AB143" s="141">
        <v>502681</v>
      </c>
      <c r="AC143" s="141">
        <v>0</v>
      </c>
      <c r="AD143" s="141">
        <v>502681</v>
      </c>
      <c r="AE143" s="141">
        <v>-502681</v>
      </c>
      <c r="AF143" s="141">
        <v>0</v>
      </c>
      <c r="AG143" s="141">
        <v>-502681</v>
      </c>
      <c r="AH143" s="141">
        <v>-4311922</v>
      </c>
      <c r="AI143" s="141">
        <v>-4493</v>
      </c>
      <c r="AJ143" s="141">
        <v>-4316415</v>
      </c>
      <c r="AK143" s="141">
        <v>-25799</v>
      </c>
      <c r="AL143" s="141">
        <v>0</v>
      </c>
      <c r="AM143" s="141">
        <v>-25799</v>
      </c>
      <c r="AN143" s="141">
        <v>1288705</v>
      </c>
      <c r="AO143" s="141">
        <v>26429</v>
      </c>
      <c r="AP143" s="141">
        <v>1315134</v>
      </c>
      <c r="AQ143" s="141">
        <v>-3023217</v>
      </c>
      <c r="AR143" s="141">
        <v>21936</v>
      </c>
      <c r="AS143" s="141">
        <v>-3001281</v>
      </c>
      <c r="AT143" s="141">
        <v>-4657585</v>
      </c>
      <c r="AU143" s="141">
        <v>0</v>
      </c>
      <c r="AV143" s="141">
        <v>-4657585</v>
      </c>
      <c r="AW143" s="141">
        <v>-106252</v>
      </c>
      <c r="AX143" s="141">
        <v>0</v>
      </c>
      <c r="AY143" s="141">
        <v>-106252</v>
      </c>
      <c r="AZ143" s="141">
        <v>0</v>
      </c>
      <c r="BA143" s="141">
        <v>0</v>
      </c>
      <c r="BB143" s="141">
        <v>0</v>
      </c>
      <c r="BC143" s="141">
        <v>-7787054</v>
      </c>
      <c r="BD143" s="141">
        <v>21936</v>
      </c>
      <c r="BE143" s="141">
        <v>0</v>
      </c>
      <c r="BF143" s="141">
        <v>0</v>
      </c>
      <c r="BG143" s="141">
        <v>-7787054</v>
      </c>
      <c r="BH143" s="141">
        <v>21936</v>
      </c>
      <c r="BI143" s="141">
        <v>-7765118</v>
      </c>
      <c r="BJ143" s="141">
        <v>-295</v>
      </c>
      <c r="BK143" s="141">
        <v>0</v>
      </c>
      <c r="BL143" s="141">
        <v>-295</v>
      </c>
      <c r="BM143" s="141">
        <v>-1392710</v>
      </c>
      <c r="BN143" s="141">
        <v>-8833</v>
      </c>
      <c r="BO143" s="141">
        <v>-1401543</v>
      </c>
      <c r="BP143" s="141">
        <v>-1393005</v>
      </c>
      <c r="BQ143" s="141">
        <v>-8833</v>
      </c>
      <c r="BR143" s="141">
        <v>-500000</v>
      </c>
      <c r="BS143" s="141">
        <v>0</v>
      </c>
      <c r="BT143" s="141">
        <v>-1893005</v>
      </c>
      <c r="BU143" s="141">
        <v>-8833</v>
      </c>
      <c r="BV143" s="141">
        <v>-1901838</v>
      </c>
      <c r="BW143" s="141">
        <v>-141108</v>
      </c>
      <c r="BX143" s="141">
        <v>0</v>
      </c>
      <c r="BY143" s="141">
        <v>-141108</v>
      </c>
      <c r="BZ143" s="141">
        <v>-45328</v>
      </c>
      <c r="CA143" s="141">
        <v>0</v>
      </c>
      <c r="CB143" s="141">
        <v>-45328</v>
      </c>
      <c r="CC143" s="141">
        <v>0</v>
      </c>
      <c r="CD143" s="141">
        <v>0</v>
      </c>
      <c r="CE143" s="141">
        <v>0</v>
      </c>
      <c r="CF143" s="141">
        <v>0</v>
      </c>
      <c r="CG143" s="141">
        <v>0</v>
      </c>
      <c r="CH143" s="141">
        <v>0</v>
      </c>
      <c r="CI143" s="141">
        <v>0</v>
      </c>
      <c r="CJ143" s="141">
        <v>0</v>
      </c>
      <c r="CK143" s="141">
        <v>0</v>
      </c>
      <c r="CL143" s="141">
        <v>0</v>
      </c>
      <c r="CM143" s="141">
        <v>-149938</v>
      </c>
      <c r="CN143" s="141">
        <v>-149938</v>
      </c>
      <c r="CO143" s="141">
        <v>-149938</v>
      </c>
      <c r="CP143" s="141">
        <v>0</v>
      </c>
      <c r="CQ143" s="141">
        <v>-186436</v>
      </c>
      <c r="CR143" s="141">
        <v>-149938</v>
      </c>
      <c r="CS143" s="141">
        <v>0</v>
      </c>
      <c r="CT143" s="141">
        <v>0</v>
      </c>
      <c r="CU143" s="141">
        <v>-186436</v>
      </c>
      <c r="CV143" s="141">
        <v>-149938</v>
      </c>
      <c r="CW143" s="141">
        <v>-336374</v>
      </c>
      <c r="CX143" s="141">
        <v>0</v>
      </c>
      <c r="CY143" s="141">
        <v>0</v>
      </c>
      <c r="CZ143" s="141">
        <v>0</v>
      </c>
      <c r="DA143" s="141">
        <v>-1500</v>
      </c>
      <c r="DB143" s="141">
        <v>0</v>
      </c>
      <c r="DC143" s="141">
        <v>-1500</v>
      </c>
      <c r="DD143" s="141">
        <v>-5262</v>
      </c>
      <c r="DE143" s="141">
        <v>0</v>
      </c>
      <c r="DF143" s="141">
        <v>-5262</v>
      </c>
      <c r="DG143" s="141">
        <v>0</v>
      </c>
      <c r="DH143" s="141">
        <v>0</v>
      </c>
      <c r="DI143" s="141">
        <v>0</v>
      </c>
      <c r="DJ143" s="141">
        <v>0</v>
      </c>
      <c r="DK143" s="141">
        <v>0</v>
      </c>
      <c r="DL143" s="141">
        <v>0</v>
      </c>
      <c r="DM143" s="141">
        <v>-959171</v>
      </c>
      <c r="DN143" s="141">
        <v>0</v>
      </c>
      <c r="DO143" s="141">
        <v>-959171</v>
      </c>
      <c r="DP143" s="141">
        <v>-965933</v>
      </c>
      <c r="DQ143" s="141">
        <v>0</v>
      </c>
      <c r="DR143" s="141">
        <v>0</v>
      </c>
      <c r="DS143" s="141">
        <v>0</v>
      </c>
      <c r="DT143" s="141">
        <v>-965933</v>
      </c>
      <c r="DU143" s="141">
        <v>0</v>
      </c>
      <c r="DV143" s="141">
        <v>-965933</v>
      </c>
      <c r="DW143" s="856">
        <v>55981798</v>
      </c>
      <c r="DX143" s="856">
        <v>1268983</v>
      </c>
      <c r="DY143" s="857">
        <v>57250781</v>
      </c>
      <c r="DZ143" t="s">
        <v>1709</v>
      </c>
    </row>
    <row r="144" spans="1:130" ht="12.75" x14ac:dyDescent="0.2">
      <c r="A144" s="764">
        <v>137</v>
      </c>
      <c r="B144" s="765" t="s">
        <v>160</v>
      </c>
      <c r="C144" s="766" t="s">
        <v>529</v>
      </c>
      <c r="D144" s="767" t="s">
        <v>1218</v>
      </c>
      <c r="E144" s="768" t="s">
        <v>898</v>
      </c>
      <c r="F144" s="867">
        <v>43479</v>
      </c>
      <c r="G144" s="141">
        <v>110583426</v>
      </c>
      <c r="H144" s="141">
        <v>0</v>
      </c>
      <c r="I144" s="141">
        <v>110583426</v>
      </c>
      <c r="J144" s="141">
        <v>49.1</v>
      </c>
      <c r="K144" s="141">
        <v>54296462</v>
      </c>
      <c r="L144" s="141">
        <v>0</v>
      </c>
      <c r="M144" s="141">
        <v>0</v>
      </c>
      <c r="N144" s="141">
        <v>0</v>
      </c>
      <c r="O144" s="141">
        <v>54296462</v>
      </c>
      <c r="P144" s="141">
        <v>0</v>
      </c>
      <c r="Q144" s="141">
        <v>54296462</v>
      </c>
      <c r="R144" s="141">
        <v>-1073759</v>
      </c>
      <c r="S144" s="141">
        <v>0</v>
      </c>
      <c r="T144" s="141">
        <v>-1073759</v>
      </c>
      <c r="U144" s="141">
        <v>180669</v>
      </c>
      <c r="V144" s="141">
        <v>0</v>
      </c>
      <c r="W144" s="141">
        <v>180669</v>
      </c>
      <c r="X144" s="141">
        <v>-893090</v>
      </c>
      <c r="Y144" s="141">
        <v>0</v>
      </c>
      <c r="Z144" s="141">
        <v>0</v>
      </c>
      <c r="AA144" s="141">
        <v>0</v>
      </c>
      <c r="AB144" s="141">
        <v>-893090</v>
      </c>
      <c r="AC144" s="141">
        <v>0</v>
      </c>
      <c r="AD144" s="141">
        <v>-893090</v>
      </c>
      <c r="AE144" s="141">
        <v>893090</v>
      </c>
      <c r="AF144" s="141">
        <v>0</v>
      </c>
      <c r="AG144" s="141">
        <v>893090</v>
      </c>
      <c r="AH144" s="141">
        <v>-8025049</v>
      </c>
      <c r="AI144" s="141">
        <v>0</v>
      </c>
      <c r="AJ144" s="141">
        <v>-8025049</v>
      </c>
      <c r="AK144" s="141">
        <v>-27057</v>
      </c>
      <c r="AL144" s="141">
        <v>0</v>
      </c>
      <c r="AM144" s="141">
        <v>-27057</v>
      </c>
      <c r="AN144" s="141">
        <v>853238</v>
      </c>
      <c r="AO144" s="141">
        <v>0</v>
      </c>
      <c r="AP144" s="141">
        <v>853238</v>
      </c>
      <c r="AQ144" s="141">
        <v>-7171811</v>
      </c>
      <c r="AR144" s="141">
        <v>0</v>
      </c>
      <c r="AS144" s="141">
        <v>-7171811</v>
      </c>
      <c r="AT144" s="141">
        <v>-3600915</v>
      </c>
      <c r="AU144" s="141">
        <v>0</v>
      </c>
      <c r="AV144" s="141">
        <v>-3600915</v>
      </c>
      <c r="AW144" s="141">
        <v>-106999</v>
      </c>
      <c r="AX144" s="141">
        <v>0</v>
      </c>
      <c r="AY144" s="141">
        <v>-106999</v>
      </c>
      <c r="AZ144" s="141">
        <v>0</v>
      </c>
      <c r="BA144" s="141">
        <v>0</v>
      </c>
      <c r="BB144" s="141">
        <v>0</v>
      </c>
      <c r="BC144" s="141">
        <v>-10879725</v>
      </c>
      <c r="BD144" s="141">
        <v>0</v>
      </c>
      <c r="BE144" s="141">
        <v>0</v>
      </c>
      <c r="BF144" s="141">
        <v>0</v>
      </c>
      <c r="BG144" s="141">
        <v>-10879725</v>
      </c>
      <c r="BH144" s="141">
        <v>0</v>
      </c>
      <c r="BI144" s="141">
        <v>-10879725</v>
      </c>
      <c r="BJ144" s="141">
        <v>-10000</v>
      </c>
      <c r="BK144" s="141">
        <v>0</v>
      </c>
      <c r="BL144" s="141">
        <v>-10000</v>
      </c>
      <c r="BM144" s="141">
        <v>-882508</v>
      </c>
      <c r="BN144" s="141">
        <v>0</v>
      </c>
      <c r="BO144" s="141">
        <v>-882508</v>
      </c>
      <c r="BP144" s="141">
        <v>-892508</v>
      </c>
      <c r="BQ144" s="141">
        <v>0</v>
      </c>
      <c r="BR144" s="141">
        <v>0</v>
      </c>
      <c r="BS144" s="141">
        <v>0</v>
      </c>
      <c r="BT144" s="141">
        <v>-892508</v>
      </c>
      <c r="BU144" s="141">
        <v>0</v>
      </c>
      <c r="BV144" s="141">
        <v>-892508</v>
      </c>
      <c r="BW144" s="141">
        <v>-144743</v>
      </c>
      <c r="BX144" s="141">
        <v>0</v>
      </c>
      <c r="BY144" s="141">
        <v>-144743</v>
      </c>
      <c r="BZ144" s="141">
        <v>-61420</v>
      </c>
      <c r="CA144" s="141">
        <v>0</v>
      </c>
      <c r="CB144" s="141">
        <v>-61420</v>
      </c>
      <c r="CC144" s="141">
        <v>-958</v>
      </c>
      <c r="CD144" s="141">
        <v>0</v>
      </c>
      <c r="CE144" s="141">
        <v>-958</v>
      </c>
      <c r="CF144" s="141">
        <v>0</v>
      </c>
      <c r="CG144" s="141">
        <v>0</v>
      </c>
      <c r="CH144" s="141">
        <v>0</v>
      </c>
      <c r="CI144" s="141">
        <v>0</v>
      </c>
      <c r="CJ144" s="141">
        <v>0</v>
      </c>
      <c r="CK144" s="141">
        <v>0</v>
      </c>
      <c r="CL144" s="141">
        <v>-22000</v>
      </c>
      <c r="CM144" s="141">
        <v>0</v>
      </c>
      <c r="CN144" s="141">
        <v>-22000</v>
      </c>
      <c r="CO144" s="141">
        <v>0</v>
      </c>
      <c r="CP144" s="141">
        <v>0</v>
      </c>
      <c r="CQ144" s="141">
        <v>-229121</v>
      </c>
      <c r="CR144" s="141">
        <v>0</v>
      </c>
      <c r="CS144" s="141">
        <v>0</v>
      </c>
      <c r="CT144" s="141">
        <v>0</v>
      </c>
      <c r="CU144" s="141">
        <v>-229121</v>
      </c>
      <c r="CV144" s="141">
        <v>0</v>
      </c>
      <c r="CW144" s="141">
        <v>-229121</v>
      </c>
      <c r="CX144" s="141">
        <v>-622</v>
      </c>
      <c r="CY144" s="141">
        <v>0</v>
      </c>
      <c r="CZ144" s="141">
        <v>-622</v>
      </c>
      <c r="DA144" s="141">
        <v>-1500</v>
      </c>
      <c r="DB144" s="141">
        <v>0</v>
      </c>
      <c r="DC144" s="141">
        <v>-1500</v>
      </c>
      <c r="DD144" s="141">
        <v>-32665</v>
      </c>
      <c r="DE144" s="141">
        <v>0</v>
      </c>
      <c r="DF144" s="141">
        <v>-32665</v>
      </c>
      <c r="DG144" s="141">
        <v>-100716</v>
      </c>
      <c r="DH144" s="141">
        <v>0</v>
      </c>
      <c r="DI144" s="141">
        <v>-100716</v>
      </c>
      <c r="DJ144" s="141">
        <v>0</v>
      </c>
      <c r="DK144" s="141">
        <v>0</v>
      </c>
      <c r="DL144" s="141">
        <v>0</v>
      </c>
      <c r="DM144" s="141">
        <v>-764846</v>
      </c>
      <c r="DN144" s="141">
        <v>0</v>
      </c>
      <c r="DO144" s="141">
        <v>-764846</v>
      </c>
      <c r="DP144" s="141">
        <v>-900349</v>
      </c>
      <c r="DQ144" s="141">
        <v>0</v>
      </c>
      <c r="DR144" s="141">
        <v>0</v>
      </c>
      <c r="DS144" s="141">
        <v>0</v>
      </c>
      <c r="DT144" s="141">
        <v>-900349</v>
      </c>
      <c r="DU144" s="141">
        <v>0</v>
      </c>
      <c r="DV144" s="141">
        <v>-900349</v>
      </c>
      <c r="DW144" s="856">
        <v>40501669</v>
      </c>
      <c r="DX144" s="856">
        <v>0</v>
      </c>
      <c r="DY144" s="857">
        <v>40501669</v>
      </c>
      <c r="DZ144" t="s">
        <v>1710</v>
      </c>
    </row>
    <row r="145" spans="1:130" ht="12.75" x14ac:dyDescent="0.2">
      <c r="A145" s="764">
        <v>138</v>
      </c>
      <c r="B145" s="765" t="s">
        <v>162</v>
      </c>
      <c r="C145" s="766" t="s">
        <v>529</v>
      </c>
      <c r="D145" s="767" t="s">
        <v>1226</v>
      </c>
      <c r="E145" s="768" t="s">
        <v>899</v>
      </c>
      <c r="F145" s="867">
        <v>43453</v>
      </c>
      <c r="G145" s="141">
        <v>4472464</v>
      </c>
      <c r="H145" s="141">
        <v>0</v>
      </c>
      <c r="I145" s="141">
        <v>4472464</v>
      </c>
      <c r="J145" s="141">
        <v>49.1</v>
      </c>
      <c r="K145" s="141">
        <v>2195980</v>
      </c>
      <c r="L145" s="141">
        <v>0</v>
      </c>
      <c r="M145" s="141">
        <v>0</v>
      </c>
      <c r="N145" s="141">
        <v>0</v>
      </c>
      <c r="O145" s="141">
        <v>2195980</v>
      </c>
      <c r="P145" s="141">
        <v>0</v>
      </c>
      <c r="Q145" s="141">
        <v>2195980</v>
      </c>
      <c r="R145" s="141">
        <v>-20280</v>
      </c>
      <c r="S145" s="141">
        <v>0</v>
      </c>
      <c r="T145" s="141">
        <v>-20280</v>
      </c>
      <c r="U145" s="141">
        <v>14332</v>
      </c>
      <c r="V145" s="141">
        <v>0</v>
      </c>
      <c r="W145" s="141">
        <v>14332</v>
      </c>
      <c r="X145" s="141">
        <v>-5948</v>
      </c>
      <c r="Y145" s="141">
        <v>0</v>
      </c>
      <c r="Z145" s="141">
        <v>0</v>
      </c>
      <c r="AA145" s="141">
        <v>0</v>
      </c>
      <c r="AB145" s="141">
        <v>-5948</v>
      </c>
      <c r="AC145" s="141">
        <v>0</v>
      </c>
      <c r="AD145" s="141">
        <v>-5948</v>
      </c>
      <c r="AE145" s="141">
        <v>5948</v>
      </c>
      <c r="AF145" s="141">
        <v>0</v>
      </c>
      <c r="AG145" s="141">
        <v>5948</v>
      </c>
      <c r="AH145" s="141">
        <v>-578216</v>
      </c>
      <c r="AI145" s="141">
        <v>0</v>
      </c>
      <c r="AJ145" s="141">
        <v>-578216</v>
      </c>
      <c r="AK145" s="141">
        <v>0</v>
      </c>
      <c r="AL145" s="141">
        <v>0</v>
      </c>
      <c r="AM145" s="141">
        <v>0</v>
      </c>
      <c r="AN145" s="141">
        <v>19413</v>
      </c>
      <c r="AO145" s="141">
        <v>0</v>
      </c>
      <c r="AP145" s="141">
        <v>19413</v>
      </c>
      <c r="AQ145" s="141">
        <v>-558803</v>
      </c>
      <c r="AR145" s="141">
        <v>0</v>
      </c>
      <c r="AS145" s="141">
        <v>-558803</v>
      </c>
      <c r="AT145" s="141">
        <v>-20703</v>
      </c>
      <c r="AU145" s="141">
        <v>0</v>
      </c>
      <c r="AV145" s="141">
        <v>-20703</v>
      </c>
      <c r="AW145" s="141">
        <v>-7741</v>
      </c>
      <c r="AX145" s="141">
        <v>0</v>
      </c>
      <c r="AY145" s="141">
        <v>-7741</v>
      </c>
      <c r="AZ145" s="141">
        <v>-2021</v>
      </c>
      <c r="BA145" s="141">
        <v>0</v>
      </c>
      <c r="BB145" s="141">
        <v>-2021</v>
      </c>
      <c r="BC145" s="141">
        <v>-589268</v>
      </c>
      <c r="BD145" s="141">
        <v>0</v>
      </c>
      <c r="BE145" s="141">
        <v>0</v>
      </c>
      <c r="BF145" s="141">
        <v>0</v>
      </c>
      <c r="BG145" s="141">
        <v>-589268</v>
      </c>
      <c r="BH145" s="141">
        <v>0</v>
      </c>
      <c r="BI145" s="141">
        <v>-589268</v>
      </c>
      <c r="BJ145" s="141">
        <v>0</v>
      </c>
      <c r="BK145" s="141">
        <v>0</v>
      </c>
      <c r="BL145" s="141">
        <v>0</v>
      </c>
      <c r="BM145" s="141">
        <v>-4221</v>
      </c>
      <c r="BN145" s="141">
        <v>0</v>
      </c>
      <c r="BO145" s="141">
        <v>-4221</v>
      </c>
      <c r="BP145" s="141">
        <v>-4221</v>
      </c>
      <c r="BQ145" s="141">
        <v>0</v>
      </c>
      <c r="BR145" s="141">
        <v>0</v>
      </c>
      <c r="BS145" s="141">
        <v>0</v>
      </c>
      <c r="BT145" s="141">
        <v>-4221</v>
      </c>
      <c r="BU145" s="141">
        <v>0</v>
      </c>
      <c r="BV145" s="141">
        <v>-4221</v>
      </c>
      <c r="BW145" s="141">
        <v>-3352</v>
      </c>
      <c r="BX145" s="141">
        <v>0</v>
      </c>
      <c r="BY145" s="141">
        <v>-3352</v>
      </c>
      <c r="BZ145" s="141">
        <v>-3427</v>
      </c>
      <c r="CA145" s="141">
        <v>0</v>
      </c>
      <c r="CB145" s="141">
        <v>-3427</v>
      </c>
      <c r="CC145" s="141">
        <v>-1648</v>
      </c>
      <c r="CD145" s="141">
        <v>0</v>
      </c>
      <c r="CE145" s="141">
        <v>-1648</v>
      </c>
      <c r="CF145" s="141">
        <v>0</v>
      </c>
      <c r="CG145" s="141">
        <v>0</v>
      </c>
      <c r="CH145" s="141">
        <v>0</v>
      </c>
      <c r="CI145" s="141">
        <v>0</v>
      </c>
      <c r="CJ145" s="141">
        <v>0</v>
      </c>
      <c r="CK145" s="141">
        <v>0</v>
      </c>
      <c r="CL145" s="141">
        <v>0</v>
      </c>
      <c r="CM145" s="141">
        <v>0</v>
      </c>
      <c r="CN145" s="141">
        <v>0</v>
      </c>
      <c r="CO145" s="141">
        <v>0</v>
      </c>
      <c r="CP145" s="141">
        <v>0</v>
      </c>
      <c r="CQ145" s="141">
        <v>-8427</v>
      </c>
      <c r="CR145" s="141">
        <v>0</v>
      </c>
      <c r="CS145" s="141">
        <v>0</v>
      </c>
      <c r="CT145" s="141">
        <v>0</v>
      </c>
      <c r="CU145" s="141">
        <v>-8427</v>
      </c>
      <c r="CV145" s="141">
        <v>0</v>
      </c>
      <c r="CW145" s="141">
        <v>-8427</v>
      </c>
      <c r="CX145" s="141">
        <v>-2021</v>
      </c>
      <c r="CY145" s="141">
        <v>0</v>
      </c>
      <c r="CZ145" s="141">
        <v>-2021</v>
      </c>
      <c r="DA145" s="141">
        <v>0</v>
      </c>
      <c r="DB145" s="141">
        <v>0</v>
      </c>
      <c r="DC145" s="141">
        <v>0</v>
      </c>
      <c r="DD145" s="141">
        <v>0</v>
      </c>
      <c r="DE145" s="141">
        <v>0</v>
      </c>
      <c r="DF145" s="141">
        <v>0</v>
      </c>
      <c r="DG145" s="141">
        <v>-2981</v>
      </c>
      <c r="DH145" s="141">
        <v>0</v>
      </c>
      <c r="DI145" s="141">
        <v>-2981</v>
      </c>
      <c r="DJ145" s="141">
        <v>0</v>
      </c>
      <c r="DK145" s="141">
        <v>0</v>
      </c>
      <c r="DL145" s="141">
        <v>0</v>
      </c>
      <c r="DM145" s="141">
        <v>-62000</v>
      </c>
      <c r="DN145" s="141">
        <v>0</v>
      </c>
      <c r="DO145" s="141">
        <v>-62000</v>
      </c>
      <c r="DP145" s="141">
        <v>-67002</v>
      </c>
      <c r="DQ145" s="141">
        <v>0</v>
      </c>
      <c r="DR145" s="141">
        <v>0</v>
      </c>
      <c r="DS145" s="141">
        <v>0</v>
      </c>
      <c r="DT145" s="141">
        <v>-67002</v>
      </c>
      <c r="DU145" s="141">
        <v>0</v>
      </c>
      <c r="DV145" s="141">
        <v>-67002</v>
      </c>
      <c r="DW145" s="856">
        <v>1521114</v>
      </c>
      <c r="DX145" s="856">
        <v>0</v>
      </c>
      <c r="DY145" s="857">
        <v>1521114</v>
      </c>
      <c r="DZ145" t="s">
        <v>1711</v>
      </c>
    </row>
    <row r="146" spans="1:130" ht="12.75" x14ac:dyDescent="0.2">
      <c r="A146" s="764">
        <v>139</v>
      </c>
      <c r="B146" s="765" t="s">
        <v>164</v>
      </c>
      <c r="C146" s="766" t="s">
        <v>1228</v>
      </c>
      <c r="D146" s="767" t="s">
        <v>1223</v>
      </c>
      <c r="E146" s="768" t="s">
        <v>163</v>
      </c>
      <c r="F146" s="867">
        <v>43460</v>
      </c>
      <c r="G146" s="141">
        <v>713620352</v>
      </c>
      <c r="H146" s="141">
        <v>0</v>
      </c>
      <c r="I146" s="141">
        <v>713620352</v>
      </c>
      <c r="J146" s="141">
        <v>49.1</v>
      </c>
      <c r="K146" s="141">
        <v>350387593</v>
      </c>
      <c r="L146" s="141">
        <v>0</v>
      </c>
      <c r="M146" s="141">
        <v>-7573986</v>
      </c>
      <c r="N146" s="141">
        <v>0</v>
      </c>
      <c r="O146" s="141">
        <v>342813607</v>
      </c>
      <c r="P146" s="141">
        <v>0</v>
      </c>
      <c r="Q146" s="141">
        <v>342813607</v>
      </c>
      <c r="R146" s="141">
        <v>-8316628</v>
      </c>
      <c r="S146" s="141">
        <v>0</v>
      </c>
      <c r="T146" s="141">
        <v>-8316628</v>
      </c>
      <c r="U146" s="141">
        <v>371755</v>
      </c>
      <c r="V146" s="141">
        <v>0</v>
      </c>
      <c r="W146" s="141">
        <v>371755</v>
      </c>
      <c r="X146" s="141">
        <v>-7944873</v>
      </c>
      <c r="Y146" s="141">
        <v>0</v>
      </c>
      <c r="Z146" s="141">
        <v>0</v>
      </c>
      <c r="AA146" s="141">
        <v>0</v>
      </c>
      <c r="AB146" s="141">
        <v>-7944873</v>
      </c>
      <c r="AC146" s="141">
        <v>0</v>
      </c>
      <c r="AD146" s="141">
        <v>-7944873</v>
      </c>
      <c r="AE146" s="141">
        <v>7944873</v>
      </c>
      <c r="AF146" s="141">
        <v>0</v>
      </c>
      <c r="AG146" s="141">
        <v>7944873</v>
      </c>
      <c r="AH146" s="141">
        <v>-5770302</v>
      </c>
      <c r="AI146" s="141">
        <v>0</v>
      </c>
      <c r="AJ146" s="141">
        <v>-5770302</v>
      </c>
      <c r="AK146" s="141">
        <v>0</v>
      </c>
      <c r="AL146" s="141">
        <v>0</v>
      </c>
      <c r="AM146" s="141">
        <v>0</v>
      </c>
      <c r="AN146" s="141">
        <v>7739441</v>
      </c>
      <c r="AO146" s="141">
        <v>0</v>
      </c>
      <c r="AP146" s="141">
        <v>7739441</v>
      </c>
      <c r="AQ146" s="141">
        <v>1969139</v>
      </c>
      <c r="AR146" s="141">
        <v>0</v>
      </c>
      <c r="AS146" s="141">
        <v>1969139</v>
      </c>
      <c r="AT146" s="141">
        <v>-26292460</v>
      </c>
      <c r="AU146" s="141">
        <v>0</v>
      </c>
      <c r="AV146" s="141">
        <v>-26292460</v>
      </c>
      <c r="AW146" s="141">
        <v>-7592</v>
      </c>
      <c r="AX146" s="141">
        <v>0</v>
      </c>
      <c r="AY146" s="141">
        <v>-7592</v>
      </c>
      <c r="AZ146" s="141">
        <v>0</v>
      </c>
      <c r="BA146" s="141">
        <v>0</v>
      </c>
      <c r="BB146" s="141">
        <v>0</v>
      </c>
      <c r="BC146" s="141">
        <v>-24330913</v>
      </c>
      <c r="BD146" s="141">
        <v>0</v>
      </c>
      <c r="BE146" s="141">
        <v>0</v>
      </c>
      <c r="BF146" s="141">
        <v>0</v>
      </c>
      <c r="BG146" s="141">
        <v>-24330913</v>
      </c>
      <c r="BH146" s="141">
        <v>0</v>
      </c>
      <c r="BI146" s="141">
        <v>-24330913</v>
      </c>
      <c r="BJ146" s="141">
        <v>0</v>
      </c>
      <c r="BK146" s="141">
        <v>0</v>
      </c>
      <c r="BL146" s="141">
        <v>0</v>
      </c>
      <c r="BM146" s="141">
        <v>-10376455</v>
      </c>
      <c r="BN146" s="141">
        <v>0</v>
      </c>
      <c r="BO146" s="141">
        <v>-10376455</v>
      </c>
      <c r="BP146" s="141">
        <v>-10376455</v>
      </c>
      <c r="BQ146" s="141">
        <v>0</v>
      </c>
      <c r="BR146" s="141">
        <v>0</v>
      </c>
      <c r="BS146" s="141">
        <v>0</v>
      </c>
      <c r="BT146" s="141">
        <v>-10376455</v>
      </c>
      <c r="BU146" s="141">
        <v>0</v>
      </c>
      <c r="BV146" s="141">
        <v>-10376455</v>
      </c>
      <c r="BW146" s="141">
        <v>-819399</v>
      </c>
      <c r="BX146" s="141">
        <v>0</v>
      </c>
      <c r="BY146" s="141">
        <v>-819399</v>
      </c>
      <c r="BZ146" s="141">
        <v>-542911</v>
      </c>
      <c r="CA146" s="141">
        <v>0</v>
      </c>
      <c r="CB146" s="141">
        <v>-542911</v>
      </c>
      <c r="CC146" s="141">
        <v>-1898</v>
      </c>
      <c r="CD146" s="141">
        <v>0</v>
      </c>
      <c r="CE146" s="141">
        <v>-1898</v>
      </c>
      <c r="CF146" s="141">
        <v>0</v>
      </c>
      <c r="CG146" s="141">
        <v>0</v>
      </c>
      <c r="CH146" s="141">
        <v>0</v>
      </c>
      <c r="CI146" s="141">
        <v>0</v>
      </c>
      <c r="CJ146" s="141">
        <v>0</v>
      </c>
      <c r="CK146" s="141">
        <v>0</v>
      </c>
      <c r="CL146" s="141">
        <v>0</v>
      </c>
      <c r="CM146" s="141">
        <v>0</v>
      </c>
      <c r="CN146" s="141">
        <v>0</v>
      </c>
      <c r="CO146" s="141">
        <v>0</v>
      </c>
      <c r="CP146" s="141">
        <v>0</v>
      </c>
      <c r="CQ146" s="141">
        <v>-1364208</v>
      </c>
      <c r="CR146" s="141">
        <v>0</v>
      </c>
      <c r="CS146" s="141">
        <v>0</v>
      </c>
      <c r="CT146" s="141">
        <v>0</v>
      </c>
      <c r="CU146" s="141">
        <v>-1364208</v>
      </c>
      <c r="CV146" s="141">
        <v>0</v>
      </c>
      <c r="CW146" s="141">
        <v>-1364208</v>
      </c>
      <c r="CX146" s="141">
        <v>0</v>
      </c>
      <c r="CY146" s="141">
        <v>0</v>
      </c>
      <c r="CZ146" s="141">
        <v>0</v>
      </c>
      <c r="DA146" s="141">
        <v>0</v>
      </c>
      <c r="DB146" s="141">
        <v>0</v>
      </c>
      <c r="DC146" s="141">
        <v>0</v>
      </c>
      <c r="DD146" s="141">
        <v>-256679</v>
      </c>
      <c r="DE146" s="141">
        <v>0</v>
      </c>
      <c r="DF146" s="141">
        <v>-256679</v>
      </c>
      <c r="DG146" s="141">
        <v>-1002000</v>
      </c>
      <c r="DH146" s="141">
        <v>0</v>
      </c>
      <c r="DI146" s="141">
        <v>-1002000</v>
      </c>
      <c r="DJ146" s="141">
        <v>0</v>
      </c>
      <c r="DK146" s="141">
        <v>0</v>
      </c>
      <c r="DL146" s="141">
        <v>0</v>
      </c>
      <c r="DM146" s="141">
        <v>-7623971</v>
      </c>
      <c r="DN146" s="141">
        <v>0</v>
      </c>
      <c r="DO146" s="141">
        <v>-7623971</v>
      </c>
      <c r="DP146" s="141">
        <v>-8882650</v>
      </c>
      <c r="DQ146" s="141">
        <v>0</v>
      </c>
      <c r="DR146" s="141">
        <v>0</v>
      </c>
      <c r="DS146" s="141">
        <v>0</v>
      </c>
      <c r="DT146" s="141">
        <v>-8882650</v>
      </c>
      <c r="DU146" s="141">
        <v>0</v>
      </c>
      <c r="DV146" s="141">
        <v>-8882650</v>
      </c>
      <c r="DW146" s="856">
        <v>289914508</v>
      </c>
      <c r="DX146" s="856">
        <v>0</v>
      </c>
      <c r="DY146" s="857">
        <v>289914508</v>
      </c>
      <c r="DZ146" t="s">
        <v>1712</v>
      </c>
    </row>
    <row r="147" spans="1:130" ht="12.75" x14ac:dyDescent="0.2">
      <c r="A147" s="764">
        <v>140</v>
      </c>
      <c r="B147" s="765" t="s">
        <v>166</v>
      </c>
      <c r="C147" s="766" t="s">
        <v>1228</v>
      </c>
      <c r="D147" s="767" t="s">
        <v>1223</v>
      </c>
      <c r="E147" s="768" t="s">
        <v>165</v>
      </c>
      <c r="F147" s="867">
        <v>43473</v>
      </c>
      <c r="G147" s="141">
        <v>815386896</v>
      </c>
      <c r="H147" s="141">
        <v>0</v>
      </c>
      <c r="I147" s="141">
        <v>815386896</v>
      </c>
      <c r="J147" s="141">
        <v>49.1</v>
      </c>
      <c r="K147" s="141">
        <v>400354966</v>
      </c>
      <c r="L147" s="141">
        <v>0</v>
      </c>
      <c r="M147" s="141">
        <v>0</v>
      </c>
      <c r="N147" s="141">
        <v>0</v>
      </c>
      <c r="O147" s="141">
        <v>400354966</v>
      </c>
      <c r="P147" s="141">
        <v>0</v>
      </c>
      <c r="Q147" s="141">
        <v>400354966</v>
      </c>
      <c r="R147" s="141">
        <v>-2832382</v>
      </c>
      <c r="S147" s="141">
        <v>0</v>
      </c>
      <c r="T147" s="141">
        <v>-2832382</v>
      </c>
      <c r="U147" s="141">
        <v>582713</v>
      </c>
      <c r="V147" s="141">
        <v>0</v>
      </c>
      <c r="W147" s="141">
        <v>582713</v>
      </c>
      <c r="X147" s="141">
        <v>-2249669</v>
      </c>
      <c r="Y147" s="141">
        <v>0</v>
      </c>
      <c r="Z147" s="141">
        <v>0</v>
      </c>
      <c r="AA147" s="141">
        <v>0</v>
      </c>
      <c r="AB147" s="141">
        <v>-2249669</v>
      </c>
      <c r="AC147" s="141">
        <v>0</v>
      </c>
      <c r="AD147" s="141">
        <v>-2249669</v>
      </c>
      <c r="AE147" s="141">
        <v>2249669</v>
      </c>
      <c r="AF147" s="141">
        <v>0</v>
      </c>
      <c r="AG147" s="141">
        <v>2249669</v>
      </c>
      <c r="AH147" s="141">
        <v>-3441969</v>
      </c>
      <c r="AI147" s="141">
        <v>0</v>
      </c>
      <c r="AJ147" s="141">
        <v>-3441969</v>
      </c>
      <c r="AK147" s="141">
        <v>-2067</v>
      </c>
      <c r="AL147" s="141">
        <v>0</v>
      </c>
      <c r="AM147" s="141">
        <v>-2067</v>
      </c>
      <c r="AN147" s="141">
        <v>9435414</v>
      </c>
      <c r="AO147" s="141">
        <v>0</v>
      </c>
      <c r="AP147" s="141">
        <v>9435414</v>
      </c>
      <c r="AQ147" s="141">
        <v>5993445</v>
      </c>
      <c r="AR147" s="141">
        <v>0</v>
      </c>
      <c r="AS147" s="141">
        <v>5993445</v>
      </c>
      <c r="AT147" s="141">
        <v>-24956326</v>
      </c>
      <c r="AU147" s="141">
        <v>0</v>
      </c>
      <c r="AV147" s="141">
        <v>-24956326</v>
      </c>
      <c r="AW147" s="141">
        <v>0</v>
      </c>
      <c r="AX147" s="141">
        <v>0</v>
      </c>
      <c r="AY147" s="141">
        <v>0</v>
      </c>
      <c r="AZ147" s="141">
        <v>0</v>
      </c>
      <c r="BA147" s="141">
        <v>0</v>
      </c>
      <c r="BB147" s="141">
        <v>0</v>
      </c>
      <c r="BC147" s="141">
        <v>-18962881</v>
      </c>
      <c r="BD147" s="141">
        <v>0</v>
      </c>
      <c r="BE147" s="141">
        <v>0</v>
      </c>
      <c r="BF147" s="141">
        <v>0</v>
      </c>
      <c r="BG147" s="141">
        <v>-18962881</v>
      </c>
      <c r="BH147" s="141">
        <v>0</v>
      </c>
      <c r="BI147" s="141">
        <v>-18962881</v>
      </c>
      <c r="BJ147" s="141">
        <v>-100000</v>
      </c>
      <c r="BK147" s="141">
        <v>0</v>
      </c>
      <c r="BL147" s="141">
        <v>-100000</v>
      </c>
      <c r="BM147" s="141">
        <v>-9288813</v>
      </c>
      <c r="BN147" s="141">
        <v>0</v>
      </c>
      <c r="BO147" s="141">
        <v>-9288813</v>
      </c>
      <c r="BP147" s="141">
        <v>-9388813</v>
      </c>
      <c r="BQ147" s="141">
        <v>0</v>
      </c>
      <c r="BR147" s="141">
        <v>0</v>
      </c>
      <c r="BS147" s="141">
        <v>0</v>
      </c>
      <c r="BT147" s="141">
        <v>-9388813</v>
      </c>
      <c r="BU147" s="141">
        <v>0</v>
      </c>
      <c r="BV147" s="141">
        <v>-9388813</v>
      </c>
      <c r="BW147" s="141">
        <v>-93363</v>
      </c>
      <c r="BX147" s="141">
        <v>0</v>
      </c>
      <c r="BY147" s="141">
        <v>-93363</v>
      </c>
      <c r="BZ147" s="141">
        <v>-56404</v>
      </c>
      <c r="CA147" s="141">
        <v>0</v>
      </c>
      <c r="CB147" s="141">
        <v>-56404</v>
      </c>
      <c r="CC147" s="141">
        <v>0</v>
      </c>
      <c r="CD147" s="141">
        <v>0</v>
      </c>
      <c r="CE147" s="141">
        <v>0</v>
      </c>
      <c r="CF147" s="141">
        <v>0</v>
      </c>
      <c r="CG147" s="141">
        <v>0</v>
      </c>
      <c r="CH147" s="141">
        <v>0</v>
      </c>
      <c r="CI147" s="141">
        <v>0</v>
      </c>
      <c r="CJ147" s="141">
        <v>0</v>
      </c>
      <c r="CK147" s="141">
        <v>0</v>
      </c>
      <c r="CL147" s="141">
        <v>0</v>
      </c>
      <c r="CM147" s="141">
        <v>0</v>
      </c>
      <c r="CN147" s="141">
        <v>0</v>
      </c>
      <c r="CO147" s="141">
        <v>0</v>
      </c>
      <c r="CP147" s="141">
        <v>0</v>
      </c>
      <c r="CQ147" s="141">
        <v>-149767</v>
      </c>
      <c r="CR147" s="141">
        <v>0</v>
      </c>
      <c r="CS147" s="141">
        <v>0</v>
      </c>
      <c r="CT147" s="141">
        <v>0</v>
      </c>
      <c r="CU147" s="141">
        <v>-149767</v>
      </c>
      <c r="CV147" s="141">
        <v>0</v>
      </c>
      <c r="CW147" s="141">
        <v>-149767</v>
      </c>
      <c r="CX147" s="141">
        <v>0</v>
      </c>
      <c r="CY147" s="141">
        <v>0</v>
      </c>
      <c r="CZ147" s="141">
        <v>0</v>
      </c>
      <c r="DA147" s="141">
        <v>0</v>
      </c>
      <c r="DB147" s="141">
        <v>0</v>
      </c>
      <c r="DC147" s="141">
        <v>0</v>
      </c>
      <c r="DD147" s="141">
        <v>-62723</v>
      </c>
      <c r="DE147" s="141">
        <v>0</v>
      </c>
      <c r="DF147" s="141">
        <v>-62723</v>
      </c>
      <c r="DG147" s="141">
        <v>-563316</v>
      </c>
      <c r="DH147" s="141">
        <v>0</v>
      </c>
      <c r="DI147" s="141">
        <v>-563316</v>
      </c>
      <c r="DJ147" s="141">
        <v>0</v>
      </c>
      <c r="DK147" s="141">
        <v>0</v>
      </c>
      <c r="DL147" s="141">
        <v>0</v>
      </c>
      <c r="DM147" s="141">
        <v>-6427980</v>
      </c>
      <c r="DN147" s="141">
        <v>0</v>
      </c>
      <c r="DO147" s="141">
        <v>-6427980</v>
      </c>
      <c r="DP147" s="141">
        <v>-7054019</v>
      </c>
      <c r="DQ147" s="141">
        <v>0</v>
      </c>
      <c r="DR147" s="141">
        <v>0</v>
      </c>
      <c r="DS147" s="141">
        <v>0</v>
      </c>
      <c r="DT147" s="141">
        <v>-7054019</v>
      </c>
      <c r="DU147" s="141">
        <v>0</v>
      </c>
      <c r="DV147" s="141">
        <v>-7054019</v>
      </c>
      <c r="DW147" s="856">
        <v>362549817</v>
      </c>
      <c r="DX147" s="856">
        <v>0</v>
      </c>
      <c r="DY147" s="857">
        <v>362549817</v>
      </c>
      <c r="DZ147" t="s">
        <v>1713</v>
      </c>
    </row>
    <row r="148" spans="1:130" ht="12.75" x14ac:dyDescent="0.2">
      <c r="A148" s="764">
        <v>141</v>
      </c>
      <c r="B148" s="765" t="s">
        <v>168</v>
      </c>
      <c r="C148" s="766" t="s">
        <v>1217</v>
      </c>
      <c r="D148" s="767" t="s">
        <v>1220</v>
      </c>
      <c r="E148" s="768" t="s">
        <v>167</v>
      </c>
      <c r="F148" s="867">
        <v>43467</v>
      </c>
      <c r="G148" s="141">
        <v>80916571</v>
      </c>
      <c r="H148" s="141">
        <v>0</v>
      </c>
      <c r="I148" s="141">
        <v>80916571</v>
      </c>
      <c r="J148" s="141">
        <v>49.1</v>
      </c>
      <c r="K148" s="141">
        <v>39730036</v>
      </c>
      <c r="L148" s="141">
        <v>0</v>
      </c>
      <c r="M148" s="141">
        <v>0</v>
      </c>
      <c r="N148" s="141">
        <v>0</v>
      </c>
      <c r="O148" s="141">
        <v>39730036</v>
      </c>
      <c r="P148" s="141">
        <v>0</v>
      </c>
      <c r="Q148" s="141">
        <v>39730036</v>
      </c>
      <c r="R148" s="141">
        <v>-130054</v>
      </c>
      <c r="S148" s="141">
        <v>0</v>
      </c>
      <c r="T148" s="141">
        <v>-130054</v>
      </c>
      <c r="U148" s="141">
        <v>237875</v>
      </c>
      <c r="V148" s="141">
        <v>0</v>
      </c>
      <c r="W148" s="141">
        <v>237875</v>
      </c>
      <c r="X148" s="141">
        <v>107821</v>
      </c>
      <c r="Y148" s="141">
        <v>0</v>
      </c>
      <c r="Z148" s="141">
        <v>-36792.865000000005</v>
      </c>
      <c r="AA148" s="141">
        <v>0</v>
      </c>
      <c r="AB148" s="141">
        <v>71028.134999999995</v>
      </c>
      <c r="AC148" s="141">
        <v>0</v>
      </c>
      <c r="AD148" s="141">
        <v>71028.134999999995</v>
      </c>
      <c r="AE148" s="141">
        <v>-71028.134999999995</v>
      </c>
      <c r="AF148" s="141">
        <v>0</v>
      </c>
      <c r="AG148" s="141">
        <v>-71028.134999999995</v>
      </c>
      <c r="AH148" s="141">
        <v>-2985751.2510000002</v>
      </c>
      <c r="AI148" s="141">
        <v>0</v>
      </c>
      <c r="AJ148" s="141">
        <v>-2985751.2510000002</v>
      </c>
      <c r="AK148" s="141">
        <v>-12041.775000000001</v>
      </c>
      <c r="AL148" s="141">
        <v>0</v>
      </c>
      <c r="AM148" s="141">
        <v>-12041.775000000001</v>
      </c>
      <c r="AN148" s="141">
        <v>780383.35899999994</v>
      </c>
      <c r="AO148" s="141">
        <v>0</v>
      </c>
      <c r="AP148" s="141">
        <v>780383.35899999994</v>
      </c>
      <c r="AQ148" s="141">
        <v>-2205367.892</v>
      </c>
      <c r="AR148" s="141">
        <v>0</v>
      </c>
      <c r="AS148" s="141">
        <v>-2205367.892</v>
      </c>
      <c r="AT148" s="141">
        <v>-3241822</v>
      </c>
      <c r="AU148" s="141">
        <v>0</v>
      </c>
      <c r="AV148" s="141">
        <v>-3241822</v>
      </c>
      <c r="AW148" s="141">
        <v>-50575</v>
      </c>
      <c r="AX148" s="141">
        <v>0</v>
      </c>
      <c r="AY148" s="141">
        <v>-50575</v>
      </c>
      <c r="AZ148" s="141">
        <v>-4017</v>
      </c>
      <c r="BA148" s="141">
        <v>0</v>
      </c>
      <c r="BB148" s="141">
        <v>-4017</v>
      </c>
      <c r="BC148" s="141">
        <v>-5501781.892</v>
      </c>
      <c r="BD148" s="141">
        <v>0</v>
      </c>
      <c r="BE148" s="141">
        <v>0</v>
      </c>
      <c r="BF148" s="141">
        <v>0</v>
      </c>
      <c r="BG148" s="141">
        <v>-5501781.892</v>
      </c>
      <c r="BH148" s="141">
        <v>0</v>
      </c>
      <c r="BI148" s="141">
        <v>-5501781.892</v>
      </c>
      <c r="BJ148" s="141">
        <v>0</v>
      </c>
      <c r="BK148" s="141">
        <v>0</v>
      </c>
      <c r="BL148" s="141">
        <v>0</v>
      </c>
      <c r="BM148" s="141">
        <v>-553473.16500000004</v>
      </c>
      <c r="BN148" s="141">
        <v>0</v>
      </c>
      <c r="BO148" s="141">
        <v>-553473.16500000004</v>
      </c>
      <c r="BP148" s="141">
        <v>-553473.16500000004</v>
      </c>
      <c r="BQ148" s="141">
        <v>0</v>
      </c>
      <c r="BR148" s="141">
        <v>0</v>
      </c>
      <c r="BS148" s="141">
        <v>0</v>
      </c>
      <c r="BT148" s="141">
        <v>-553473.16500000004</v>
      </c>
      <c r="BU148" s="141">
        <v>0</v>
      </c>
      <c r="BV148" s="141">
        <v>-553473.16500000004</v>
      </c>
      <c r="BW148" s="141">
        <v>-9574</v>
      </c>
      <c r="BX148" s="141">
        <v>0</v>
      </c>
      <c r="BY148" s="141">
        <v>-9574</v>
      </c>
      <c r="BZ148" s="141">
        <v>-37480</v>
      </c>
      <c r="CA148" s="141">
        <v>0</v>
      </c>
      <c r="CB148" s="141">
        <v>-37480</v>
      </c>
      <c r="CC148" s="141">
        <v>-2075</v>
      </c>
      <c r="CD148" s="141">
        <v>0</v>
      </c>
      <c r="CE148" s="141">
        <v>-2075</v>
      </c>
      <c r="CF148" s="141">
        <v>0</v>
      </c>
      <c r="CG148" s="141">
        <v>0</v>
      </c>
      <c r="CH148" s="141">
        <v>0</v>
      </c>
      <c r="CI148" s="141">
        <v>0</v>
      </c>
      <c r="CJ148" s="141">
        <v>0</v>
      </c>
      <c r="CK148" s="141">
        <v>0</v>
      </c>
      <c r="CL148" s="141">
        <v>0</v>
      </c>
      <c r="CM148" s="141">
        <v>0</v>
      </c>
      <c r="CN148" s="141">
        <v>0</v>
      </c>
      <c r="CO148" s="141">
        <v>0</v>
      </c>
      <c r="CP148" s="141">
        <v>0</v>
      </c>
      <c r="CQ148" s="141">
        <v>-49129</v>
      </c>
      <c r="CR148" s="141">
        <v>0</v>
      </c>
      <c r="CS148" s="141">
        <v>0</v>
      </c>
      <c r="CT148" s="141">
        <v>0</v>
      </c>
      <c r="CU148" s="141">
        <v>-49129</v>
      </c>
      <c r="CV148" s="141">
        <v>0</v>
      </c>
      <c r="CW148" s="141">
        <v>-49129</v>
      </c>
      <c r="CX148" s="141">
        <v>-4017</v>
      </c>
      <c r="CY148" s="141">
        <v>0</v>
      </c>
      <c r="CZ148" s="141">
        <v>-4017</v>
      </c>
      <c r="DA148" s="141">
        <v>0</v>
      </c>
      <c r="DB148" s="141">
        <v>0</v>
      </c>
      <c r="DC148" s="141">
        <v>0</v>
      </c>
      <c r="DD148" s="141">
        <v>-1000</v>
      </c>
      <c r="DE148" s="141">
        <v>0</v>
      </c>
      <c r="DF148" s="141">
        <v>-1000</v>
      </c>
      <c r="DG148" s="141">
        <v>-16812</v>
      </c>
      <c r="DH148" s="141">
        <v>0</v>
      </c>
      <c r="DI148" s="141">
        <v>-16812</v>
      </c>
      <c r="DJ148" s="141">
        <v>0</v>
      </c>
      <c r="DK148" s="141">
        <v>0</v>
      </c>
      <c r="DL148" s="141">
        <v>0</v>
      </c>
      <c r="DM148" s="141">
        <v>-550000</v>
      </c>
      <c r="DN148" s="141">
        <v>0</v>
      </c>
      <c r="DO148" s="141">
        <v>-550000</v>
      </c>
      <c r="DP148" s="141">
        <v>-571829</v>
      </c>
      <c r="DQ148" s="141">
        <v>0</v>
      </c>
      <c r="DR148" s="141">
        <v>0</v>
      </c>
      <c r="DS148" s="141">
        <v>0</v>
      </c>
      <c r="DT148" s="141">
        <v>-571829</v>
      </c>
      <c r="DU148" s="141">
        <v>0</v>
      </c>
      <c r="DV148" s="141">
        <v>-571829</v>
      </c>
      <c r="DW148" s="856">
        <v>33124851.078000002</v>
      </c>
      <c r="DX148" s="856">
        <v>0</v>
      </c>
      <c r="DY148" s="857">
        <v>33124851.078000002</v>
      </c>
      <c r="DZ148" t="s">
        <v>1714</v>
      </c>
    </row>
    <row r="149" spans="1:130" ht="12.75" x14ac:dyDescent="0.2">
      <c r="A149" s="764">
        <v>142</v>
      </c>
      <c r="B149" s="765" t="s">
        <v>170</v>
      </c>
      <c r="C149" s="766" t="s">
        <v>1217</v>
      </c>
      <c r="D149" s="767" t="s">
        <v>1221</v>
      </c>
      <c r="E149" s="768" t="s">
        <v>901</v>
      </c>
      <c r="F149" s="867">
        <v>43468</v>
      </c>
      <c r="G149" s="141">
        <v>118085662</v>
      </c>
      <c r="H149" s="141">
        <v>203475</v>
      </c>
      <c r="I149" s="141">
        <v>118289137</v>
      </c>
      <c r="J149" s="141">
        <v>49.1</v>
      </c>
      <c r="K149" s="141">
        <v>57980060</v>
      </c>
      <c r="L149" s="141">
        <v>99906</v>
      </c>
      <c r="M149" s="141">
        <v>1237951</v>
      </c>
      <c r="N149" s="141">
        <v>0</v>
      </c>
      <c r="O149" s="141">
        <v>59218011</v>
      </c>
      <c r="P149" s="141">
        <v>99906</v>
      </c>
      <c r="Q149" s="141">
        <v>59317917</v>
      </c>
      <c r="R149" s="141">
        <v>-848760</v>
      </c>
      <c r="S149" s="141">
        <v>0</v>
      </c>
      <c r="T149" s="141">
        <v>-848760</v>
      </c>
      <c r="U149" s="141">
        <v>596064</v>
      </c>
      <c r="V149" s="141">
        <v>0</v>
      </c>
      <c r="W149" s="141">
        <v>596064</v>
      </c>
      <c r="X149" s="141">
        <v>-252696</v>
      </c>
      <c r="Y149" s="141">
        <v>0</v>
      </c>
      <c r="Z149" s="141">
        <v>0</v>
      </c>
      <c r="AA149" s="141">
        <v>0</v>
      </c>
      <c r="AB149" s="141">
        <v>-252696</v>
      </c>
      <c r="AC149" s="141">
        <v>0</v>
      </c>
      <c r="AD149" s="141">
        <v>-252696</v>
      </c>
      <c r="AE149" s="141">
        <v>252696</v>
      </c>
      <c r="AF149" s="141">
        <v>0</v>
      </c>
      <c r="AG149" s="141">
        <v>252696</v>
      </c>
      <c r="AH149" s="141">
        <v>-5970151</v>
      </c>
      <c r="AI149" s="141">
        <v>-8642</v>
      </c>
      <c r="AJ149" s="141">
        <v>-5978793</v>
      </c>
      <c r="AK149" s="141">
        <v>-1599</v>
      </c>
      <c r="AL149" s="141">
        <v>0</v>
      </c>
      <c r="AM149" s="141">
        <v>-1599</v>
      </c>
      <c r="AN149" s="141">
        <v>1055612</v>
      </c>
      <c r="AO149" s="141">
        <v>533</v>
      </c>
      <c r="AP149" s="141">
        <v>1056145</v>
      </c>
      <c r="AQ149" s="141">
        <v>-4914539</v>
      </c>
      <c r="AR149" s="141">
        <v>-8109</v>
      </c>
      <c r="AS149" s="141">
        <v>-4922648</v>
      </c>
      <c r="AT149" s="141">
        <v>-3617560</v>
      </c>
      <c r="AU149" s="141">
        <v>-12096</v>
      </c>
      <c r="AV149" s="141">
        <v>-3629656</v>
      </c>
      <c r="AW149" s="141">
        <v>-34266</v>
      </c>
      <c r="AX149" s="141">
        <v>0</v>
      </c>
      <c r="AY149" s="141">
        <v>-34266</v>
      </c>
      <c r="AZ149" s="141">
        <v>-65431</v>
      </c>
      <c r="BA149" s="141">
        <v>0</v>
      </c>
      <c r="BB149" s="141">
        <v>-65431</v>
      </c>
      <c r="BC149" s="141">
        <v>-8631796</v>
      </c>
      <c r="BD149" s="141">
        <v>-20205</v>
      </c>
      <c r="BE149" s="141">
        <v>0</v>
      </c>
      <c r="BF149" s="141">
        <v>0</v>
      </c>
      <c r="BG149" s="141">
        <v>-8631796</v>
      </c>
      <c r="BH149" s="141">
        <v>-20205</v>
      </c>
      <c r="BI149" s="141">
        <v>-8652001</v>
      </c>
      <c r="BJ149" s="141">
        <v>-15000</v>
      </c>
      <c r="BK149" s="141">
        <v>0</v>
      </c>
      <c r="BL149" s="141">
        <v>-15000</v>
      </c>
      <c r="BM149" s="141">
        <v>-957351</v>
      </c>
      <c r="BN149" s="141">
        <v>0</v>
      </c>
      <c r="BO149" s="141">
        <v>-957351</v>
      </c>
      <c r="BP149" s="141">
        <v>-972351</v>
      </c>
      <c r="BQ149" s="141">
        <v>0</v>
      </c>
      <c r="BR149" s="141">
        <v>-175000</v>
      </c>
      <c r="BS149" s="141">
        <v>0</v>
      </c>
      <c r="BT149" s="141">
        <v>-1147351</v>
      </c>
      <c r="BU149" s="141">
        <v>0</v>
      </c>
      <c r="BV149" s="141">
        <v>-1147351</v>
      </c>
      <c r="BW149" s="141">
        <v>-231384</v>
      </c>
      <c r="BX149" s="141">
        <v>0</v>
      </c>
      <c r="BY149" s="141">
        <v>-231384</v>
      </c>
      <c r="BZ149" s="141">
        <v>-89710</v>
      </c>
      <c r="CA149" s="141">
        <v>0</v>
      </c>
      <c r="CB149" s="141">
        <v>-89710</v>
      </c>
      <c r="CC149" s="141">
        <v>-7289</v>
      </c>
      <c r="CD149" s="141">
        <v>0</v>
      </c>
      <c r="CE149" s="141">
        <v>-7289</v>
      </c>
      <c r="CF149" s="141">
        <v>0</v>
      </c>
      <c r="CG149" s="141">
        <v>0</v>
      </c>
      <c r="CH149" s="141">
        <v>0</v>
      </c>
      <c r="CI149" s="141">
        <v>-8662</v>
      </c>
      <c r="CJ149" s="141">
        <v>0</v>
      </c>
      <c r="CK149" s="141">
        <v>-8662</v>
      </c>
      <c r="CL149" s="141">
        <v>0</v>
      </c>
      <c r="CM149" s="141">
        <v>-79701</v>
      </c>
      <c r="CN149" s="141">
        <v>-79701</v>
      </c>
      <c r="CO149" s="141">
        <v>-79701</v>
      </c>
      <c r="CP149" s="141">
        <v>0</v>
      </c>
      <c r="CQ149" s="141">
        <v>-337045</v>
      </c>
      <c r="CR149" s="141">
        <v>-79701</v>
      </c>
      <c r="CS149" s="141">
        <v>-20000</v>
      </c>
      <c r="CT149" s="141">
        <v>0</v>
      </c>
      <c r="CU149" s="141">
        <v>-357045</v>
      </c>
      <c r="CV149" s="141">
        <v>-79701</v>
      </c>
      <c r="CW149" s="141">
        <v>-436746</v>
      </c>
      <c r="CX149" s="141">
        <v>-65431</v>
      </c>
      <c r="CY149" s="141">
        <v>0</v>
      </c>
      <c r="CZ149" s="141">
        <v>-65431</v>
      </c>
      <c r="DA149" s="141">
        <v>-1500</v>
      </c>
      <c r="DB149" s="141">
        <v>0</v>
      </c>
      <c r="DC149" s="141">
        <v>-1500</v>
      </c>
      <c r="DD149" s="141">
        <v>-67804</v>
      </c>
      <c r="DE149" s="141">
        <v>0</v>
      </c>
      <c r="DF149" s="141">
        <v>-67804</v>
      </c>
      <c r="DG149" s="141">
        <v>-82587</v>
      </c>
      <c r="DH149" s="141">
        <v>0</v>
      </c>
      <c r="DI149" s="141">
        <v>-82587</v>
      </c>
      <c r="DJ149" s="141">
        <v>0</v>
      </c>
      <c r="DK149" s="141">
        <v>0</v>
      </c>
      <c r="DL149" s="141">
        <v>0</v>
      </c>
      <c r="DM149" s="141">
        <v>-693497</v>
      </c>
      <c r="DN149" s="141">
        <v>0</v>
      </c>
      <c r="DO149" s="141">
        <v>-693497</v>
      </c>
      <c r="DP149" s="141">
        <v>-910819</v>
      </c>
      <c r="DQ149" s="141">
        <v>0</v>
      </c>
      <c r="DR149" s="141">
        <v>0</v>
      </c>
      <c r="DS149" s="141">
        <v>0</v>
      </c>
      <c r="DT149" s="141">
        <v>-910819</v>
      </c>
      <c r="DU149" s="141">
        <v>0</v>
      </c>
      <c r="DV149" s="141">
        <v>-910819</v>
      </c>
      <c r="DW149" s="856">
        <v>47918304</v>
      </c>
      <c r="DX149" s="856">
        <v>0</v>
      </c>
      <c r="DY149" s="857">
        <v>47918304</v>
      </c>
      <c r="DZ149" t="s">
        <v>1715</v>
      </c>
    </row>
    <row r="150" spans="1:130" ht="12.75" x14ac:dyDescent="0.2">
      <c r="A150" s="764">
        <v>143</v>
      </c>
      <c r="B150" s="765" t="s">
        <v>172</v>
      </c>
      <c r="C150" s="766" t="s">
        <v>529</v>
      </c>
      <c r="D150" s="767" t="s">
        <v>1225</v>
      </c>
      <c r="E150" s="768" t="s">
        <v>897</v>
      </c>
      <c r="F150" s="867">
        <v>43480</v>
      </c>
      <c r="G150" s="141">
        <v>219162664</v>
      </c>
      <c r="H150" s="141">
        <v>6654135</v>
      </c>
      <c r="I150" s="141">
        <v>225816799</v>
      </c>
      <c r="J150" s="141">
        <v>49.1</v>
      </c>
      <c r="K150" s="141">
        <v>107608868</v>
      </c>
      <c r="L150" s="141">
        <v>3267180</v>
      </c>
      <c r="M150" s="141">
        <v>696900</v>
      </c>
      <c r="N150" s="141">
        <v>1411625</v>
      </c>
      <c r="O150" s="141">
        <v>108305768</v>
      </c>
      <c r="P150" s="141">
        <v>4678805</v>
      </c>
      <c r="Q150" s="141">
        <v>112984573</v>
      </c>
      <c r="R150" s="141">
        <v>-413617</v>
      </c>
      <c r="S150" s="141">
        <v>0</v>
      </c>
      <c r="T150" s="141">
        <v>-413617</v>
      </c>
      <c r="U150" s="141">
        <v>2294776</v>
      </c>
      <c r="V150" s="141">
        <v>0</v>
      </c>
      <c r="W150" s="141">
        <v>2294776</v>
      </c>
      <c r="X150" s="141">
        <v>1881159</v>
      </c>
      <c r="Y150" s="141">
        <v>0</v>
      </c>
      <c r="Z150" s="141">
        <v>0</v>
      </c>
      <c r="AA150" s="141">
        <v>0</v>
      </c>
      <c r="AB150" s="141">
        <v>1881159</v>
      </c>
      <c r="AC150" s="141">
        <v>0</v>
      </c>
      <c r="AD150" s="141">
        <v>1881159</v>
      </c>
      <c r="AE150" s="141">
        <v>-1881159</v>
      </c>
      <c r="AF150" s="141">
        <v>0</v>
      </c>
      <c r="AG150" s="141">
        <v>-1881159</v>
      </c>
      <c r="AH150" s="141">
        <v>-9305923</v>
      </c>
      <c r="AI150" s="141">
        <v>0</v>
      </c>
      <c r="AJ150" s="141">
        <v>-9305923</v>
      </c>
      <c r="AK150" s="141">
        <v>0</v>
      </c>
      <c r="AL150" s="141">
        <v>0</v>
      </c>
      <c r="AM150" s="141">
        <v>0</v>
      </c>
      <c r="AN150" s="141">
        <v>1972651</v>
      </c>
      <c r="AO150" s="141">
        <v>82966</v>
      </c>
      <c r="AP150" s="141">
        <v>2055617</v>
      </c>
      <c r="AQ150" s="141">
        <v>-7333272</v>
      </c>
      <c r="AR150" s="141">
        <v>82966</v>
      </c>
      <c r="AS150" s="141">
        <v>-7250306</v>
      </c>
      <c r="AT150" s="141">
        <v>-9078706</v>
      </c>
      <c r="AU150" s="141">
        <v>-80640</v>
      </c>
      <c r="AV150" s="141">
        <v>-9159346</v>
      </c>
      <c r="AW150" s="141">
        <v>0</v>
      </c>
      <c r="AX150" s="141">
        <v>0</v>
      </c>
      <c r="AY150" s="141">
        <v>0</v>
      </c>
      <c r="AZ150" s="141">
        <v>0</v>
      </c>
      <c r="BA150" s="141">
        <v>0</v>
      </c>
      <c r="BB150" s="141">
        <v>0</v>
      </c>
      <c r="BC150" s="141">
        <v>-16411978</v>
      </c>
      <c r="BD150" s="141">
        <v>2326</v>
      </c>
      <c r="BE150" s="141">
        <v>0</v>
      </c>
      <c r="BF150" s="141">
        <v>0</v>
      </c>
      <c r="BG150" s="141">
        <v>-16411978</v>
      </c>
      <c r="BH150" s="141">
        <v>2326</v>
      </c>
      <c r="BI150" s="141">
        <v>-16409652</v>
      </c>
      <c r="BJ150" s="141">
        <v>0</v>
      </c>
      <c r="BK150" s="141">
        <v>0</v>
      </c>
      <c r="BL150" s="141">
        <v>0</v>
      </c>
      <c r="BM150" s="141">
        <v>-2537718</v>
      </c>
      <c r="BN150" s="141">
        <v>-68796</v>
      </c>
      <c r="BO150" s="141">
        <v>-2606514</v>
      </c>
      <c r="BP150" s="141">
        <v>-2537718</v>
      </c>
      <c r="BQ150" s="141">
        <v>-68796</v>
      </c>
      <c r="BR150" s="141">
        <v>0</v>
      </c>
      <c r="BS150" s="141">
        <v>0</v>
      </c>
      <c r="BT150" s="141">
        <v>-2537718</v>
      </c>
      <c r="BU150" s="141">
        <v>-68796</v>
      </c>
      <c r="BV150" s="141">
        <v>-2606514</v>
      </c>
      <c r="BW150" s="141">
        <v>-5382</v>
      </c>
      <c r="BX150" s="141">
        <v>0</v>
      </c>
      <c r="BY150" s="141">
        <v>-5382</v>
      </c>
      <c r="BZ150" s="141">
        <v>-1229172</v>
      </c>
      <c r="CA150" s="141">
        <v>0</v>
      </c>
      <c r="CB150" s="141">
        <v>-1229172</v>
      </c>
      <c r="CC150" s="141">
        <v>0</v>
      </c>
      <c r="CD150" s="141">
        <v>0</v>
      </c>
      <c r="CE150" s="141">
        <v>0</v>
      </c>
      <c r="CF150" s="141">
        <v>0</v>
      </c>
      <c r="CG150" s="141">
        <v>0</v>
      </c>
      <c r="CH150" s="141">
        <v>0</v>
      </c>
      <c r="CI150" s="141">
        <v>0</v>
      </c>
      <c r="CJ150" s="141">
        <v>0</v>
      </c>
      <c r="CK150" s="141">
        <v>0</v>
      </c>
      <c r="CL150" s="141">
        <v>0</v>
      </c>
      <c r="CM150" s="141">
        <v>-63660</v>
      </c>
      <c r="CN150" s="141">
        <v>-63660</v>
      </c>
      <c r="CO150" s="141">
        <v>-63660</v>
      </c>
      <c r="CP150" s="141">
        <v>0</v>
      </c>
      <c r="CQ150" s="141">
        <v>-1234554</v>
      </c>
      <c r="CR150" s="141">
        <v>-63660</v>
      </c>
      <c r="CS150" s="141">
        <v>0</v>
      </c>
      <c r="CT150" s="141">
        <v>0</v>
      </c>
      <c r="CU150" s="141">
        <v>-1234554</v>
      </c>
      <c r="CV150" s="141">
        <v>-63660</v>
      </c>
      <c r="CW150" s="141">
        <v>-1298214</v>
      </c>
      <c r="CX150" s="141">
        <v>0</v>
      </c>
      <c r="CY150" s="141">
        <v>0</v>
      </c>
      <c r="CZ150" s="141">
        <v>0</v>
      </c>
      <c r="DA150" s="141">
        <v>-1500</v>
      </c>
      <c r="DB150" s="141">
        <v>0</v>
      </c>
      <c r="DC150" s="141">
        <v>-1500</v>
      </c>
      <c r="DD150" s="141">
        <v>-18334</v>
      </c>
      <c r="DE150" s="141">
        <v>0</v>
      </c>
      <c r="DF150" s="141">
        <v>-18334</v>
      </c>
      <c r="DG150" s="141">
        <v>-61535</v>
      </c>
      <c r="DH150" s="141">
        <v>0</v>
      </c>
      <c r="DI150" s="141">
        <v>-61535</v>
      </c>
      <c r="DJ150" s="141">
        <v>0</v>
      </c>
      <c r="DK150" s="141">
        <v>0</v>
      </c>
      <c r="DL150" s="141">
        <v>0</v>
      </c>
      <c r="DM150" s="141">
        <v>-1264924</v>
      </c>
      <c r="DN150" s="141">
        <v>0</v>
      </c>
      <c r="DO150" s="141">
        <v>-1264924</v>
      </c>
      <c r="DP150" s="141">
        <v>-1346293</v>
      </c>
      <c r="DQ150" s="141">
        <v>0</v>
      </c>
      <c r="DR150" s="141">
        <v>0</v>
      </c>
      <c r="DS150" s="141">
        <v>0</v>
      </c>
      <c r="DT150" s="141">
        <v>-1346293</v>
      </c>
      <c r="DU150" s="141">
        <v>0</v>
      </c>
      <c r="DV150" s="141">
        <v>-1346293</v>
      </c>
      <c r="DW150" s="856">
        <v>88656384</v>
      </c>
      <c r="DX150" s="856">
        <v>4548675</v>
      </c>
      <c r="DY150" s="857">
        <v>93205059</v>
      </c>
      <c r="DZ150" t="s">
        <v>1716</v>
      </c>
    </row>
    <row r="151" spans="1:130" ht="12.75" x14ac:dyDescent="0.2">
      <c r="A151" s="764">
        <v>144</v>
      </c>
      <c r="B151" s="765" t="s">
        <v>174</v>
      </c>
      <c r="C151" s="766" t="s">
        <v>1222</v>
      </c>
      <c r="D151" s="767" t="s">
        <v>1223</v>
      </c>
      <c r="E151" s="768" t="s">
        <v>173</v>
      </c>
      <c r="F151" s="867">
        <v>43468</v>
      </c>
      <c r="G151" s="141">
        <v>214013502</v>
      </c>
      <c r="H151" s="141">
        <v>0</v>
      </c>
      <c r="I151" s="141">
        <v>214013502</v>
      </c>
      <c r="J151" s="141">
        <v>49.1</v>
      </c>
      <c r="K151" s="141">
        <v>105080629</v>
      </c>
      <c r="L151" s="141">
        <v>0</v>
      </c>
      <c r="M151" s="141">
        <v>0</v>
      </c>
      <c r="N151" s="141">
        <v>0</v>
      </c>
      <c r="O151" s="141">
        <v>105080629</v>
      </c>
      <c r="P151" s="141">
        <v>0</v>
      </c>
      <c r="Q151" s="141">
        <v>105080629</v>
      </c>
      <c r="R151" s="141">
        <v>-508428</v>
      </c>
      <c r="S151" s="141">
        <v>0</v>
      </c>
      <c r="T151" s="141">
        <v>-508428</v>
      </c>
      <c r="U151" s="141">
        <v>282903</v>
      </c>
      <c r="V151" s="141">
        <v>0</v>
      </c>
      <c r="W151" s="141">
        <v>282903</v>
      </c>
      <c r="X151" s="141">
        <v>-225525</v>
      </c>
      <c r="Y151" s="141">
        <v>0</v>
      </c>
      <c r="Z151" s="141">
        <v>0</v>
      </c>
      <c r="AA151" s="141">
        <v>0</v>
      </c>
      <c r="AB151" s="141">
        <v>-225525</v>
      </c>
      <c r="AC151" s="141">
        <v>0</v>
      </c>
      <c r="AD151" s="141">
        <v>-225525</v>
      </c>
      <c r="AE151" s="141">
        <v>225525</v>
      </c>
      <c r="AF151" s="141">
        <v>0</v>
      </c>
      <c r="AG151" s="141">
        <v>225525</v>
      </c>
      <c r="AH151" s="141">
        <v>-4067753</v>
      </c>
      <c r="AI151" s="141">
        <v>0</v>
      </c>
      <c r="AJ151" s="141">
        <v>-4067753</v>
      </c>
      <c r="AK151" s="141">
        <v>-12128</v>
      </c>
      <c r="AL151" s="141">
        <v>0</v>
      </c>
      <c r="AM151" s="141">
        <v>-12128</v>
      </c>
      <c r="AN151" s="141">
        <v>2234780</v>
      </c>
      <c r="AO151" s="141">
        <v>0</v>
      </c>
      <c r="AP151" s="141">
        <v>2234780</v>
      </c>
      <c r="AQ151" s="141">
        <v>-1832973</v>
      </c>
      <c r="AR151" s="141">
        <v>0</v>
      </c>
      <c r="AS151" s="141">
        <v>-1832973</v>
      </c>
      <c r="AT151" s="141">
        <v>-8278601</v>
      </c>
      <c r="AU151" s="141">
        <v>0</v>
      </c>
      <c r="AV151" s="141">
        <v>-8278601</v>
      </c>
      <c r="AW151" s="141">
        <v>-133963</v>
      </c>
      <c r="AX151" s="141">
        <v>0</v>
      </c>
      <c r="AY151" s="141">
        <v>-133963</v>
      </c>
      <c r="AZ151" s="141">
        <v>0</v>
      </c>
      <c r="BA151" s="141">
        <v>0</v>
      </c>
      <c r="BB151" s="141">
        <v>0</v>
      </c>
      <c r="BC151" s="141">
        <v>-10245537</v>
      </c>
      <c r="BD151" s="141">
        <v>0</v>
      </c>
      <c r="BE151" s="141">
        <v>-100000</v>
      </c>
      <c r="BF151" s="141">
        <v>0</v>
      </c>
      <c r="BG151" s="141">
        <v>-10345537</v>
      </c>
      <c r="BH151" s="141">
        <v>0</v>
      </c>
      <c r="BI151" s="141">
        <v>-10345537</v>
      </c>
      <c r="BJ151" s="141">
        <v>-10000</v>
      </c>
      <c r="BK151" s="141">
        <v>0</v>
      </c>
      <c r="BL151" s="141">
        <v>-10000</v>
      </c>
      <c r="BM151" s="141">
        <v>-2570000</v>
      </c>
      <c r="BN151" s="141">
        <v>0</v>
      </c>
      <c r="BO151" s="141">
        <v>-2570000</v>
      </c>
      <c r="BP151" s="141">
        <v>-2580000</v>
      </c>
      <c r="BQ151" s="141">
        <v>0</v>
      </c>
      <c r="BR151" s="141">
        <v>-380000</v>
      </c>
      <c r="BS151" s="141">
        <v>0</v>
      </c>
      <c r="BT151" s="141">
        <v>-2960000</v>
      </c>
      <c r="BU151" s="141">
        <v>0</v>
      </c>
      <c r="BV151" s="141">
        <v>-2960000</v>
      </c>
      <c r="BW151" s="141">
        <v>-74669</v>
      </c>
      <c r="BX151" s="141">
        <v>0</v>
      </c>
      <c r="BY151" s="141">
        <v>-74669</v>
      </c>
      <c r="BZ151" s="141">
        <v>-402459</v>
      </c>
      <c r="CA151" s="141">
        <v>0</v>
      </c>
      <c r="CB151" s="141">
        <v>-402459</v>
      </c>
      <c r="CC151" s="141">
        <v>0</v>
      </c>
      <c r="CD151" s="141">
        <v>0</v>
      </c>
      <c r="CE151" s="141">
        <v>0</v>
      </c>
      <c r="CF151" s="141">
        <v>0</v>
      </c>
      <c r="CG151" s="141">
        <v>0</v>
      </c>
      <c r="CH151" s="141">
        <v>0</v>
      </c>
      <c r="CI151" s="141">
        <v>0</v>
      </c>
      <c r="CJ151" s="141">
        <v>0</v>
      </c>
      <c r="CK151" s="141">
        <v>0</v>
      </c>
      <c r="CL151" s="141">
        <v>0</v>
      </c>
      <c r="CM151" s="141">
        <v>0</v>
      </c>
      <c r="CN151" s="141">
        <v>0</v>
      </c>
      <c r="CO151" s="141">
        <v>0</v>
      </c>
      <c r="CP151" s="141">
        <v>0</v>
      </c>
      <c r="CQ151" s="141">
        <v>-477128</v>
      </c>
      <c r="CR151" s="141">
        <v>0</v>
      </c>
      <c r="CS151" s="141">
        <v>0</v>
      </c>
      <c r="CT151" s="141">
        <v>0</v>
      </c>
      <c r="CU151" s="141">
        <v>-477128</v>
      </c>
      <c r="CV151" s="141">
        <v>0</v>
      </c>
      <c r="CW151" s="141">
        <v>-477128</v>
      </c>
      <c r="CX151" s="141">
        <v>0</v>
      </c>
      <c r="CY151" s="141">
        <v>0</v>
      </c>
      <c r="CZ151" s="141">
        <v>0</v>
      </c>
      <c r="DA151" s="141">
        <v>0</v>
      </c>
      <c r="DB151" s="141">
        <v>0</v>
      </c>
      <c r="DC151" s="141">
        <v>0</v>
      </c>
      <c r="DD151" s="141">
        <v>-12000</v>
      </c>
      <c r="DE151" s="141">
        <v>0</v>
      </c>
      <c r="DF151" s="141">
        <v>-12000</v>
      </c>
      <c r="DG151" s="141">
        <v>-84000</v>
      </c>
      <c r="DH151" s="141">
        <v>0</v>
      </c>
      <c r="DI151" s="141">
        <v>-84000</v>
      </c>
      <c r="DJ151" s="141">
        <v>0</v>
      </c>
      <c r="DK151" s="141">
        <v>0</v>
      </c>
      <c r="DL151" s="141">
        <v>0</v>
      </c>
      <c r="DM151" s="141">
        <v>-2400000</v>
      </c>
      <c r="DN151" s="141">
        <v>0</v>
      </c>
      <c r="DO151" s="141">
        <v>-2400000</v>
      </c>
      <c r="DP151" s="141">
        <v>-2496000</v>
      </c>
      <c r="DQ151" s="141">
        <v>0</v>
      </c>
      <c r="DR151" s="141">
        <v>0</v>
      </c>
      <c r="DS151" s="141">
        <v>0</v>
      </c>
      <c r="DT151" s="141">
        <v>-2496000</v>
      </c>
      <c r="DU151" s="141">
        <v>0</v>
      </c>
      <c r="DV151" s="141">
        <v>-2496000</v>
      </c>
      <c r="DW151" s="856">
        <v>88576439</v>
      </c>
      <c r="DX151" s="856">
        <v>0</v>
      </c>
      <c r="DY151" s="857">
        <v>88576439</v>
      </c>
      <c r="DZ151" t="s">
        <v>1717</v>
      </c>
    </row>
    <row r="152" spans="1:130" ht="12.75" x14ac:dyDescent="0.2">
      <c r="A152" s="764">
        <v>145</v>
      </c>
      <c r="B152" s="765" t="s">
        <v>176</v>
      </c>
      <c r="C152" s="766" t="s">
        <v>1224</v>
      </c>
      <c r="D152" s="767" t="s">
        <v>1225</v>
      </c>
      <c r="E152" s="768" t="s">
        <v>175</v>
      </c>
      <c r="F152" s="867">
        <v>43460</v>
      </c>
      <c r="G152" s="141">
        <v>285488736</v>
      </c>
      <c r="H152" s="141">
        <v>385500</v>
      </c>
      <c r="I152" s="141">
        <v>285874236</v>
      </c>
      <c r="J152" s="141">
        <v>49.1</v>
      </c>
      <c r="K152" s="141">
        <v>140174969</v>
      </c>
      <c r="L152" s="141">
        <v>189281</v>
      </c>
      <c r="M152" s="141">
        <v>0</v>
      </c>
      <c r="N152" s="141">
        <v>0</v>
      </c>
      <c r="O152" s="141">
        <v>140174969</v>
      </c>
      <c r="P152" s="141">
        <v>189281</v>
      </c>
      <c r="Q152" s="141">
        <v>140364250</v>
      </c>
      <c r="R152" s="141">
        <v>-1213353</v>
      </c>
      <c r="S152" s="141">
        <v>0</v>
      </c>
      <c r="T152" s="141">
        <v>-1213353</v>
      </c>
      <c r="U152" s="141">
        <v>1896880</v>
      </c>
      <c r="V152" s="141">
        <v>0</v>
      </c>
      <c r="W152" s="141">
        <v>1896880</v>
      </c>
      <c r="X152" s="141">
        <v>683527</v>
      </c>
      <c r="Y152" s="141">
        <v>0</v>
      </c>
      <c r="Z152" s="141">
        <v>0</v>
      </c>
      <c r="AA152" s="141">
        <v>0</v>
      </c>
      <c r="AB152" s="141">
        <v>683527</v>
      </c>
      <c r="AC152" s="141">
        <v>0</v>
      </c>
      <c r="AD152" s="141">
        <v>683527</v>
      </c>
      <c r="AE152" s="141">
        <v>-683527</v>
      </c>
      <c r="AF152" s="141">
        <v>0</v>
      </c>
      <c r="AG152" s="141">
        <v>-683527</v>
      </c>
      <c r="AH152" s="141">
        <v>-19721792</v>
      </c>
      <c r="AI152" s="141">
        <v>0</v>
      </c>
      <c r="AJ152" s="141">
        <v>-19721792</v>
      </c>
      <c r="AK152" s="141">
        <v>-58990</v>
      </c>
      <c r="AL152" s="141">
        <v>0</v>
      </c>
      <c r="AM152" s="141">
        <v>-58990</v>
      </c>
      <c r="AN152" s="141">
        <v>2381531</v>
      </c>
      <c r="AO152" s="141">
        <v>0</v>
      </c>
      <c r="AP152" s="141">
        <v>2381531</v>
      </c>
      <c r="AQ152" s="141">
        <v>-17340261</v>
      </c>
      <c r="AR152" s="141">
        <v>0</v>
      </c>
      <c r="AS152" s="141">
        <v>-17340261</v>
      </c>
      <c r="AT152" s="141">
        <v>-9079655</v>
      </c>
      <c r="AU152" s="141">
        <v>0</v>
      </c>
      <c r="AV152" s="141">
        <v>-9079655</v>
      </c>
      <c r="AW152" s="141">
        <v>-146206</v>
      </c>
      <c r="AX152" s="141">
        <v>0</v>
      </c>
      <c r="AY152" s="141">
        <v>-146206</v>
      </c>
      <c r="AZ152" s="141">
        <v>-4124</v>
      </c>
      <c r="BA152" s="141">
        <v>0</v>
      </c>
      <c r="BB152" s="141">
        <v>-4124</v>
      </c>
      <c r="BC152" s="141">
        <v>-26570246</v>
      </c>
      <c r="BD152" s="141">
        <v>0</v>
      </c>
      <c r="BE152" s="141">
        <v>0</v>
      </c>
      <c r="BF152" s="141">
        <v>0</v>
      </c>
      <c r="BG152" s="141">
        <v>-26570246</v>
      </c>
      <c r="BH152" s="141">
        <v>0</v>
      </c>
      <c r="BI152" s="141">
        <v>-26570246</v>
      </c>
      <c r="BJ152" s="141">
        <v>-251</v>
      </c>
      <c r="BK152" s="141">
        <v>0</v>
      </c>
      <c r="BL152" s="141">
        <v>-251</v>
      </c>
      <c r="BM152" s="141">
        <v>-4832041</v>
      </c>
      <c r="BN152" s="141">
        <v>0</v>
      </c>
      <c r="BO152" s="141">
        <v>-4832041</v>
      </c>
      <c r="BP152" s="141">
        <v>-4832292</v>
      </c>
      <c r="BQ152" s="141">
        <v>0</v>
      </c>
      <c r="BR152" s="141">
        <v>0</v>
      </c>
      <c r="BS152" s="141">
        <v>0</v>
      </c>
      <c r="BT152" s="141">
        <v>-4832292</v>
      </c>
      <c r="BU152" s="141">
        <v>0</v>
      </c>
      <c r="BV152" s="141">
        <v>-4832292</v>
      </c>
      <c r="BW152" s="141">
        <v>-283555</v>
      </c>
      <c r="BX152" s="141">
        <v>0</v>
      </c>
      <c r="BY152" s="141">
        <v>-283555</v>
      </c>
      <c r="BZ152" s="141">
        <v>-99535</v>
      </c>
      <c r="CA152" s="141">
        <v>0</v>
      </c>
      <c r="CB152" s="141">
        <v>-99535</v>
      </c>
      <c r="CC152" s="141">
        <v>0</v>
      </c>
      <c r="CD152" s="141">
        <v>0</v>
      </c>
      <c r="CE152" s="141">
        <v>0</v>
      </c>
      <c r="CF152" s="141">
        <v>0</v>
      </c>
      <c r="CG152" s="141">
        <v>0</v>
      </c>
      <c r="CH152" s="141">
        <v>0</v>
      </c>
      <c r="CI152" s="141">
        <v>-89288</v>
      </c>
      <c r="CJ152" s="141">
        <v>0</v>
      </c>
      <c r="CK152" s="141">
        <v>-89288</v>
      </c>
      <c r="CL152" s="141">
        <v>0</v>
      </c>
      <c r="CM152" s="141">
        <v>-101891</v>
      </c>
      <c r="CN152" s="141">
        <v>-101891</v>
      </c>
      <c r="CO152" s="141">
        <v>-101891</v>
      </c>
      <c r="CP152" s="141">
        <v>0</v>
      </c>
      <c r="CQ152" s="141">
        <v>-472378</v>
      </c>
      <c r="CR152" s="141">
        <v>-101891</v>
      </c>
      <c r="CS152" s="141">
        <v>0</v>
      </c>
      <c r="CT152" s="141">
        <v>0</v>
      </c>
      <c r="CU152" s="141">
        <v>-472378</v>
      </c>
      <c r="CV152" s="141">
        <v>-101891</v>
      </c>
      <c r="CW152" s="141">
        <v>-574269</v>
      </c>
      <c r="CX152" s="141">
        <v>0</v>
      </c>
      <c r="CY152" s="141">
        <v>0</v>
      </c>
      <c r="CZ152" s="141">
        <v>0</v>
      </c>
      <c r="DA152" s="141">
        <v>-1500</v>
      </c>
      <c r="DB152" s="141">
        <v>0</v>
      </c>
      <c r="DC152" s="141">
        <v>-1500</v>
      </c>
      <c r="DD152" s="141">
        <v>-62875</v>
      </c>
      <c r="DE152" s="141">
        <v>0</v>
      </c>
      <c r="DF152" s="141">
        <v>-62875</v>
      </c>
      <c r="DG152" s="141">
        <v>-115380</v>
      </c>
      <c r="DH152" s="141">
        <v>0</v>
      </c>
      <c r="DI152" s="141">
        <v>-115380</v>
      </c>
      <c r="DJ152" s="141">
        <v>0</v>
      </c>
      <c r="DK152" s="141">
        <v>0</v>
      </c>
      <c r="DL152" s="141">
        <v>0</v>
      </c>
      <c r="DM152" s="141">
        <v>-1965372</v>
      </c>
      <c r="DN152" s="141">
        <v>0</v>
      </c>
      <c r="DO152" s="141">
        <v>-1965372</v>
      </c>
      <c r="DP152" s="141">
        <v>-2145127</v>
      </c>
      <c r="DQ152" s="141">
        <v>0</v>
      </c>
      <c r="DR152" s="141">
        <v>0</v>
      </c>
      <c r="DS152" s="141">
        <v>0</v>
      </c>
      <c r="DT152" s="141">
        <v>-2145127</v>
      </c>
      <c r="DU152" s="141">
        <v>0</v>
      </c>
      <c r="DV152" s="141">
        <v>-2145127</v>
      </c>
      <c r="DW152" s="856">
        <v>106838453</v>
      </c>
      <c r="DX152" s="856">
        <v>87390</v>
      </c>
      <c r="DY152" s="857">
        <v>106925843</v>
      </c>
      <c r="DZ152" t="s">
        <v>1718</v>
      </c>
    </row>
    <row r="153" spans="1:130" ht="12.75" x14ac:dyDescent="0.2">
      <c r="A153" s="764">
        <v>146</v>
      </c>
      <c r="B153" s="765" t="s">
        <v>178</v>
      </c>
      <c r="C153" s="766" t="s">
        <v>1224</v>
      </c>
      <c r="D153" s="767" t="s">
        <v>1219</v>
      </c>
      <c r="E153" s="768" t="s">
        <v>177</v>
      </c>
      <c r="F153" s="867">
        <v>43474</v>
      </c>
      <c r="G153" s="141">
        <v>111269704</v>
      </c>
      <c r="H153" s="141">
        <v>0</v>
      </c>
      <c r="I153" s="141">
        <v>111269704</v>
      </c>
      <c r="J153" s="141">
        <v>49.1</v>
      </c>
      <c r="K153" s="141">
        <v>54633425</v>
      </c>
      <c r="L153" s="141">
        <v>0</v>
      </c>
      <c r="M153" s="141">
        <v>0</v>
      </c>
      <c r="N153" s="141">
        <v>0</v>
      </c>
      <c r="O153" s="141">
        <v>54633425</v>
      </c>
      <c r="P153" s="141">
        <v>0</v>
      </c>
      <c r="Q153" s="141">
        <v>54633425</v>
      </c>
      <c r="R153" s="141">
        <v>-811535</v>
      </c>
      <c r="S153" s="141">
        <v>0</v>
      </c>
      <c r="T153" s="141">
        <v>-811535</v>
      </c>
      <c r="U153" s="141">
        <v>660565</v>
      </c>
      <c r="V153" s="141">
        <v>0</v>
      </c>
      <c r="W153" s="141">
        <v>660565</v>
      </c>
      <c r="X153" s="141">
        <v>-150970</v>
      </c>
      <c r="Y153" s="141">
        <v>0</v>
      </c>
      <c r="Z153" s="141">
        <v>0</v>
      </c>
      <c r="AA153" s="141">
        <v>0</v>
      </c>
      <c r="AB153" s="141">
        <v>-150970</v>
      </c>
      <c r="AC153" s="141">
        <v>0</v>
      </c>
      <c r="AD153" s="141">
        <v>-150970</v>
      </c>
      <c r="AE153" s="141">
        <v>150970</v>
      </c>
      <c r="AF153" s="141">
        <v>0</v>
      </c>
      <c r="AG153" s="141">
        <v>150970</v>
      </c>
      <c r="AH153" s="141">
        <v>-3308684</v>
      </c>
      <c r="AI153" s="141">
        <v>0</v>
      </c>
      <c r="AJ153" s="141">
        <v>-3308684</v>
      </c>
      <c r="AK153" s="141">
        <v>-9943</v>
      </c>
      <c r="AL153" s="141">
        <v>0</v>
      </c>
      <c r="AM153" s="141">
        <v>-9943</v>
      </c>
      <c r="AN153" s="141">
        <v>1098139</v>
      </c>
      <c r="AO153" s="141">
        <v>0</v>
      </c>
      <c r="AP153" s="141">
        <v>1098139</v>
      </c>
      <c r="AQ153" s="141">
        <v>-2210545</v>
      </c>
      <c r="AR153" s="141">
        <v>0</v>
      </c>
      <c r="AS153" s="141">
        <v>-2210545</v>
      </c>
      <c r="AT153" s="141">
        <v>-2526293</v>
      </c>
      <c r="AU153" s="141">
        <v>0</v>
      </c>
      <c r="AV153" s="141">
        <v>-2526293</v>
      </c>
      <c r="AW153" s="141">
        <v>-8749</v>
      </c>
      <c r="AX153" s="141">
        <v>0</v>
      </c>
      <c r="AY153" s="141">
        <v>-8749</v>
      </c>
      <c r="AZ153" s="141">
        <v>0</v>
      </c>
      <c r="BA153" s="141">
        <v>0</v>
      </c>
      <c r="BB153" s="141">
        <v>0</v>
      </c>
      <c r="BC153" s="141">
        <v>-4745587</v>
      </c>
      <c r="BD153" s="141">
        <v>0</v>
      </c>
      <c r="BE153" s="141">
        <v>0</v>
      </c>
      <c r="BF153" s="141">
        <v>0</v>
      </c>
      <c r="BG153" s="141">
        <v>-4745587</v>
      </c>
      <c r="BH153" s="141">
        <v>0</v>
      </c>
      <c r="BI153" s="141">
        <v>-4745587</v>
      </c>
      <c r="BJ153" s="141">
        <v>-250000</v>
      </c>
      <c r="BK153" s="141">
        <v>0</v>
      </c>
      <c r="BL153" s="141">
        <v>-250000</v>
      </c>
      <c r="BM153" s="141">
        <v>-700407</v>
      </c>
      <c r="BN153" s="141">
        <v>0</v>
      </c>
      <c r="BO153" s="141">
        <v>-700407</v>
      </c>
      <c r="BP153" s="141">
        <v>-950407</v>
      </c>
      <c r="BQ153" s="141">
        <v>0</v>
      </c>
      <c r="BR153" s="141">
        <v>0</v>
      </c>
      <c r="BS153" s="141">
        <v>0</v>
      </c>
      <c r="BT153" s="141">
        <v>-950407</v>
      </c>
      <c r="BU153" s="141">
        <v>0</v>
      </c>
      <c r="BV153" s="141">
        <v>-950407</v>
      </c>
      <c r="BW153" s="141">
        <v>-225162</v>
      </c>
      <c r="BX153" s="141">
        <v>0</v>
      </c>
      <c r="BY153" s="141">
        <v>-225162</v>
      </c>
      <c r="BZ153" s="141">
        <v>-811116</v>
      </c>
      <c r="CA153" s="141">
        <v>0</v>
      </c>
      <c r="CB153" s="141">
        <v>-811116</v>
      </c>
      <c r="CC153" s="141">
        <v>0</v>
      </c>
      <c r="CD153" s="141">
        <v>0</v>
      </c>
      <c r="CE153" s="141">
        <v>0</v>
      </c>
      <c r="CF153" s="141">
        <v>0</v>
      </c>
      <c r="CG153" s="141">
        <v>0</v>
      </c>
      <c r="CH153" s="141">
        <v>0</v>
      </c>
      <c r="CI153" s="141">
        <v>0</v>
      </c>
      <c r="CJ153" s="141">
        <v>0</v>
      </c>
      <c r="CK153" s="141">
        <v>0</v>
      </c>
      <c r="CL153" s="141">
        <v>0</v>
      </c>
      <c r="CM153" s="141">
        <v>0</v>
      </c>
      <c r="CN153" s="141">
        <v>0</v>
      </c>
      <c r="CO153" s="141">
        <v>0</v>
      </c>
      <c r="CP153" s="141">
        <v>0</v>
      </c>
      <c r="CQ153" s="141">
        <v>-1036278</v>
      </c>
      <c r="CR153" s="141">
        <v>0</v>
      </c>
      <c r="CS153" s="141">
        <v>0</v>
      </c>
      <c r="CT153" s="141">
        <v>0</v>
      </c>
      <c r="CU153" s="141">
        <v>-1036278</v>
      </c>
      <c r="CV153" s="141">
        <v>0</v>
      </c>
      <c r="CW153" s="141">
        <v>-1036278</v>
      </c>
      <c r="CX153" s="141">
        <v>0</v>
      </c>
      <c r="CY153" s="141">
        <v>0</v>
      </c>
      <c r="CZ153" s="141">
        <v>0</v>
      </c>
      <c r="DA153" s="141">
        <v>0</v>
      </c>
      <c r="DB153" s="141">
        <v>0</v>
      </c>
      <c r="DC153" s="141">
        <v>0</v>
      </c>
      <c r="DD153" s="141">
        <v>-7555</v>
      </c>
      <c r="DE153" s="141">
        <v>0</v>
      </c>
      <c r="DF153" s="141">
        <v>-7555</v>
      </c>
      <c r="DG153" s="141">
        <v>-39593</v>
      </c>
      <c r="DH153" s="141">
        <v>0</v>
      </c>
      <c r="DI153" s="141">
        <v>-39593</v>
      </c>
      <c r="DJ153" s="141">
        <v>0</v>
      </c>
      <c r="DK153" s="141">
        <v>0</v>
      </c>
      <c r="DL153" s="141">
        <v>0</v>
      </c>
      <c r="DM153" s="141">
        <v>-500000</v>
      </c>
      <c r="DN153" s="141">
        <v>0</v>
      </c>
      <c r="DO153" s="141">
        <v>-500000</v>
      </c>
      <c r="DP153" s="141">
        <v>-547148</v>
      </c>
      <c r="DQ153" s="141">
        <v>0</v>
      </c>
      <c r="DR153" s="141">
        <v>0</v>
      </c>
      <c r="DS153" s="141">
        <v>0</v>
      </c>
      <c r="DT153" s="141">
        <v>-547148</v>
      </c>
      <c r="DU153" s="141">
        <v>0</v>
      </c>
      <c r="DV153" s="141">
        <v>-547148</v>
      </c>
      <c r="DW153" s="856">
        <v>47203035</v>
      </c>
      <c r="DX153" s="856">
        <v>0</v>
      </c>
      <c r="DY153" s="857">
        <v>47203035</v>
      </c>
      <c r="DZ153" t="s">
        <v>1719</v>
      </c>
    </row>
    <row r="154" spans="1:130" ht="12.75" x14ac:dyDescent="0.2">
      <c r="A154" s="764">
        <v>147</v>
      </c>
      <c r="B154" s="765" t="s">
        <v>180</v>
      </c>
      <c r="C154" s="766" t="s">
        <v>1228</v>
      </c>
      <c r="D154" s="767" t="s">
        <v>1223</v>
      </c>
      <c r="E154" s="768" t="s">
        <v>179</v>
      </c>
      <c r="F154" s="867">
        <v>43453</v>
      </c>
      <c r="G154" s="141">
        <v>418731460</v>
      </c>
      <c r="H154" s="141">
        <v>2646775</v>
      </c>
      <c r="I154" s="141">
        <v>421378235</v>
      </c>
      <c r="J154" s="141">
        <v>49.1</v>
      </c>
      <c r="K154" s="141">
        <v>205597147</v>
      </c>
      <c r="L154" s="141">
        <v>1299567</v>
      </c>
      <c r="M154" s="141">
        <v>0</v>
      </c>
      <c r="N154" s="141">
        <v>0</v>
      </c>
      <c r="O154" s="141">
        <v>205597147</v>
      </c>
      <c r="P154" s="141">
        <v>1299567</v>
      </c>
      <c r="Q154" s="141">
        <v>206896714</v>
      </c>
      <c r="R154" s="141">
        <v>-7516036</v>
      </c>
      <c r="S154" s="141">
        <v>0</v>
      </c>
      <c r="T154" s="141">
        <v>-7516036</v>
      </c>
      <c r="U154" s="141">
        <v>729679</v>
      </c>
      <c r="V154" s="141">
        <v>52166</v>
      </c>
      <c r="W154" s="141">
        <v>781845</v>
      </c>
      <c r="X154" s="141">
        <v>-6786357</v>
      </c>
      <c r="Y154" s="141">
        <v>52166</v>
      </c>
      <c r="Z154" s="141">
        <v>0</v>
      </c>
      <c r="AA154" s="141">
        <v>0</v>
      </c>
      <c r="AB154" s="141">
        <v>-6786357</v>
      </c>
      <c r="AC154" s="141">
        <v>52166</v>
      </c>
      <c r="AD154" s="141">
        <v>-6734191</v>
      </c>
      <c r="AE154" s="141">
        <v>6786357</v>
      </c>
      <c r="AF154" s="141">
        <v>-52166</v>
      </c>
      <c r="AG154" s="141">
        <v>6734191</v>
      </c>
      <c r="AH154" s="141">
        <v>-8315795</v>
      </c>
      <c r="AI154" s="141">
        <v>0</v>
      </c>
      <c r="AJ154" s="141">
        <v>-8315795</v>
      </c>
      <c r="AK154" s="141">
        <v>0</v>
      </c>
      <c r="AL154" s="141">
        <v>0</v>
      </c>
      <c r="AM154" s="141">
        <v>0</v>
      </c>
      <c r="AN154" s="141">
        <v>4315942</v>
      </c>
      <c r="AO154" s="141">
        <v>34190</v>
      </c>
      <c r="AP154" s="141">
        <v>4350132</v>
      </c>
      <c r="AQ154" s="141">
        <v>-3999853</v>
      </c>
      <c r="AR154" s="141">
        <v>34190</v>
      </c>
      <c r="AS154" s="141">
        <v>-3965663</v>
      </c>
      <c r="AT154" s="141">
        <v>-21337268</v>
      </c>
      <c r="AU154" s="141">
        <v>0</v>
      </c>
      <c r="AV154" s="141">
        <v>-21337268</v>
      </c>
      <c r="AW154" s="141">
        <v>-7963</v>
      </c>
      <c r="AX154" s="141">
        <v>0</v>
      </c>
      <c r="AY154" s="141">
        <v>-7963</v>
      </c>
      <c r="AZ154" s="141">
        <v>0</v>
      </c>
      <c r="BA154" s="141">
        <v>0</v>
      </c>
      <c r="BB154" s="141">
        <v>0</v>
      </c>
      <c r="BC154" s="141">
        <v>-25345084</v>
      </c>
      <c r="BD154" s="141">
        <v>34190</v>
      </c>
      <c r="BE154" s="141">
        <v>0</v>
      </c>
      <c r="BF154" s="141">
        <v>0</v>
      </c>
      <c r="BG154" s="141">
        <v>-25345084</v>
      </c>
      <c r="BH154" s="141">
        <v>34190</v>
      </c>
      <c r="BI154" s="141">
        <v>-25310894</v>
      </c>
      <c r="BJ154" s="141">
        <v>0</v>
      </c>
      <c r="BK154" s="141">
        <v>0</v>
      </c>
      <c r="BL154" s="141">
        <v>0</v>
      </c>
      <c r="BM154" s="141">
        <v>-2803953</v>
      </c>
      <c r="BN154" s="141">
        <v>0</v>
      </c>
      <c r="BO154" s="141">
        <v>-2803953</v>
      </c>
      <c r="BP154" s="141">
        <v>-2803953</v>
      </c>
      <c r="BQ154" s="141">
        <v>0</v>
      </c>
      <c r="BR154" s="141">
        <v>0</v>
      </c>
      <c r="BS154" s="141">
        <v>0</v>
      </c>
      <c r="BT154" s="141">
        <v>-2803953</v>
      </c>
      <c r="BU154" s="141">
        <v>0</v>
      </c>
      <c r="BV154" s="141">
        <v>-2803953</v>
      </c>
      <c r="BW154" s="141">
        <v>-278603</v>
      </c>
      <c r="BX154" s="141">
        <v>0</v>
      </c>
      <c r="BY154" s="141">
        <v>-278603</v>
      </c>
      <c r="BZ154" s="141">
        <v>-456746</v>
      </c>
      <c r="CA154" s="141">
        <v>0</v>
      </c>
      <c r="CB154" s="141">
        <v>-456746</v>
      </c>
      <c r="CC154" s="141">
        <v>0</v>
      </c>
      <c r="CD154" s="141">
        <v>0</v>
      </c>
      <c r="CE154" s="141">
        <v>0</v>
      </c>
      <c r="CF154" s="141">
        <v>0</v>
      </c>
      <c r="CG154" s="141">
        <v>0</v>
      </c>
      <c r="CH154" s="141">
        <v>0</v>
      </c>
      <c r="CI154" s="141">
        <v>0</v>
      </c>
      <c r="CJ154" s="141">
        <v>0</v>
      </c>
      <c r="CK154" s="141">
        <v>0</v>
      </c>
      <c r="CL154" s="141">
        <v>0</v>
      </c>
      <c r="CM154" s="141">
        <v>0</v>
      </c>
      <c r="CN154" s="141">
        <v>0</v>
      </c>
      <c r="CO154" s="141">
        <v>0</v>
      </c>
      <c r="CP154" s="141">
        <v>0</v>
      </c>
      <c r="CQ154" s="141">
        <v>-735349</v>
      </c>
      <c r="CR154" s="141">
        <v>0</v>
      </c>
      <c r="CS154" s="141">
        <v>0</v>
      </c>
      <c r="CT154" s="141">
        <v>0</v>
      </c>
      <c r="CU154" s="141">
        <v>-735349</v>
      </c>
      <c r="CV154" s="141">
        <v>0</v>
      </c>
      <c r="CW154" s="141">
        <v>-735349</v>
      </c>
      <c r="CX154" s="141">
        <v>0</v>
      </c>
      <c r="CY154" s="141">
        <v>0</v>
      </c>
      <c r="CZ154" s="141">
        <v>0</v>
      </c>
      <c r="DA154" s="141">
        <v>0</v>
      </c>
      <c r="DB154" s="141">
        <v>0</v>
      </c>
      <c r="DC154" s="141">
        <v>0</v>
      </c>
      <c r="DD154" s="141">
        <v>-330461</v>
      </c>
      <c r="DE154" s="141">
        <v>0</v>
      </c>
      <c r="DF154" s="141">
        <v>-330461</v>
      </c>
      <c r="DG154" s="141">
        <v>-585511</v>
      </c>
      <c r="DH154" s="141">
        <v>0</v>
      </c>
      <c r="DI154" s="141">
        <v>-585511</v>
      </c>
      <c r="DJ154" s="141">
        <v>0</v>
      </c>
      <c r="DK154" s="141">
        <v>0</v>
      </c>
      <c r="DL154" s="141">
        <v>0</v>
      </c>
      <c r="DM154" s="141">
        <v>-3644192</v>
      </c>
      <c r="DN154" s="141">
        <v>0</v>
      </c>
      <c r="DO154" s="141">
        <v>-3644192</v>
      </c>
      <c r="DP154" s="141">
        <v>-4560164</v>
      </c>
      <c r="DQ154" s="141">
        <v>0</v>
      </c>
      <c r="DR154" s="141">
        <v>0</v>
      </c>
      <c r="DS154" s="141">
        <v>0</v>
      </c>
      <c r="DT154" s="141">
        <v>-4560164</v>
      </c>
      <c r="DU154" s="141">
        <v>0</v>
      </c>
      <c r="DV154" s="141">
        <v>-4560164</v>
      </c>
      <c r="DW154" s="856">
        <v>165366240</v>
      </c>
      <c r="DX154" s="856">
        <v>1385923</v>
      </c>
      <c r="DY154" s="857">
        <v>166752163</v>
      </c>
      <c r="DZ154" t="s">
        <v>1720</v>
      </c>
    </row>
    <row r="155" spans="1:130" ht="12.75" x14ac:dyDescent="0.2">
      <c r="A155" s="764">
        <v>148</v>
      </c>
      <c r="B155" s="765" t="s">
        <v>182</v>
      </c>
      <c r="C155" s="766" t="s">
        <v>1217</v>
      </c>
      <c r="D155" s="767" t="s">
        <v>1219</v>
      </c>
      <c r="E155" s="768" t="s">
        <v>181</v>
      </c>
      <c r="F155" s="867">
        <v>43460</v>
      </c>
      <c r="G155" s="141">
        <v>157042156</v>
      </c>
      <c r="H155" s="141">
        <v>0</v>
      </c>
      <c r="I155" s="141">
        <v>157042156</v>
      </c>
      <c r="J155" s="141">
        <v>49.1</v>
      </c>
      <c r="K155" s="141">
        <v>77107699</v>
      </c>
      <c r="L155" s="141">
        <v>0</v>
      </c>
      <c r="M155" s="141">
        <v>0</v>
      </c>
      <c r="N155" s="141">
        <v>0</v>
      </c>
      <c r="O155" s="141">
        <v>77107699</v>
      </c>
      <c r="P155" s="141">
        <v>0</v>
      </c>
      <c r="Q155" s="141">
        <v>77107699</v>
      </c>
      <c r="R155" s="141">
        <v>-525196</v>
      </c>
      <c r="S155" s="141">
        <v>0</v>
      </c>
      <c r="T155" s="141">
        <v>-525196</v>
      </c>
      <c r="U155" s="141">
        <v>557723</v>
      </c>
      <c r="V155" s="141">
        <v>0</v>
      </c>
      <c r="W155" s="141">
        <v>557723</v>
      </c>
      <c r="X155" s="141">
        <v>32527</v>
      </c>
      <c r="Y155" s="141">
        <v>0</v>
      </c>
      <c r="Z155" s="141">
        <v>0</v>
      </c>
      <c r="AA155" s="141">
        <v>0</v>
      </c>
      <c r="AB155" s="141">
        <v>32527</v>
      </c>
      <c r="AC155" s="141">
        <v>0</v>
      </c>
      <c r="AD155" s="141">
        <v>32527</v>
      </c>
      <c r="AE155" s="141">
        <v>-32527</v>
      </c>
      <c r="AF155" s="141">
        <v>0</v>
      </c>
      <c r="AG155" s="141">
        <v>-32527</v>
      </c>
      <c r="AH155" s="141">
        <v>-5072444</v>
      </c>
      <c r="AI155" s="141">
        <v>0</v>
      </c>
      <c r="AJ155" s="141">
        <v>-5072444</v>
      </c>
      <c r="AK155" s="141">
        <v>-52402</v>
      </c>
      <c r="AL155" s="141">
        <v>0</v>
      </c>
      <c r="AM155" s="141">
        <v>-52402</v>
      </c>
      <c r="AN155" s="141">
        <v>1594242</v>
      </c>
      <c r="AO155" s="141">
        <v>0</v>
      </c>
      <c r="AP155" s="141">
        <v>1594242</v>
      </c>
      <c r="AQ155" s="141">
        <v>-3478202</v>
      </c>
      <c r="AR155" s="141">
        <v>0</v>
      </c>
      <c r="AS155" s="141">
        <v>-3478202</v>
      </c>
      <c r="AT155" s="141">
        <v>-4539620</v>
      </c>
      <c r="AU155" s="141">
        <v>0</v>
      </c>
      <c r="AV155" s="141">
        <v>-4539620</v>
      </c>
      <c r="AW155" s="141">
        <v>-49045</v>
      </c>
      <c r="AX155" s="141">
        <v>0</v>
      </c>
      <c r="AY155" s="141">
        <v>-49045</v>
      </c>
      <c r="AZ155" s="141">
        <v>-27107</v>
      </c>
      <c r="BA155" s="141">
        <v>0</v>
      </c>
      <c r="BB155" s="141">
        <v>-27107</v>
      </c>
      <c r="BC155" s="141">
        <v>-8093974</v>
      </c>
      <c r="BD155" s="141">
        <v>0</v>
      </c>
      <c r="BE155" s="141">
        <v>117726</v>
      </c>
      <c r="BF155" s="141">
        <v>0</v>
      </c>
      <c r="BG155" s="141">
        <v>-7976248</v>
      </c>
      <c r="BH155" s="141">
        <v>0</v>
      </c>
      <c r="BI155" s="141">
        <v>-7976248</v>
      </c>
      <c r="BJ155" s="141">
        <v>0</v>
      </c>
      <c r="BK155" s="141">
        <v>0</v>
      </c>
      <c r="BL155" s="141">
        <v>0</v>
      </c>
      <c r="BM155" s="141">
        <v>-880644</v>
      </c>
      <c r="BN155" s="141">
        <v>0</v>
      </c>
      <c r="BO155" s="141">
        <v>-880644</v>
      </c>
      <c r="BP155" s="141">
        <v>-880644</v>
      </c>
      <c r="BQ155" s="141">
        <v>0</v>
      </c>
      <c r="BR155" s="141">
        <v>110771</v>
      </c>
      <c r="BS155" s="141">
        <v>0</v>
      </c>
      <c r="BT155" s="141">
        <v>-769873</v>
      </c>
      <c r="BU155" s="141">
        <v>0</v>
      </c>
      <c r="BV155" s="141">
        <v>-769873</v>
      </c>
      <c r="BW155" s="141">
        <v>-102921</v>
      </c>
      <c r="BX155" s="141">
        <v>0</v>
      </c>
      <c r="BY155" s="141">
        <v>-102921</v>
      </c>
      <c r="BZ155" s="141">
        <v>-81217</v>
      </c>
      <c r="CA155" s="141">
        <v>0</v>
      </c>
      <c r="CB155" s="141">
        <v>-81217</v>
      </c>
      <c r="CC155" s="141">
        <v>-3267</v>
      </c>
      <c r="CD155" s="141">
        <v>0</v>
      </c>
      <c r="CE155" s="141">
        <v>-3267</v>
      </c>
      <c r="CF155" s="141">
        <v>0</v>
      </c>
      <c r="CG155" s="141">
        <v>0</v>
      </c>
      <c r="CH155" s="141">
        <v>0</v>
      </c>
      <c r="CI155" s="141">
        <v>0</v>
      </c>
      <c r="CJ155" s="141">
        <v>0</v>
      </c>
      <c r="CK155" s="141">
        <v>0</v>
      </c>
      <c r="CL155" s="141">
        <v>0</v>
      </c>
      <c r="CM155" s="141">
        <v>0</v>
      </c>
      <c r="CN155" s="141">
        <v>0</v>
      </c>
      <c r="CO155" s="141">
        <v>0</v>
      </c>
      <c r="CP155" s="141">
        <v>0</v>
      </c>
      <c r="CQ155" s="141">
        <v>-187405</v>
      </c>
      <c r="CR155" s="141">
        <v>0</v>
      </c>
      <c r="CS155" s="141">
        <v>7554</v>
      </c>
      <c r="CT155" s="141">
        <v>0</v>
      </c>
      <c r="CU155" s="141">
        <v>-179851</v>
      </c>
      <c r="CV155" s="141">
        <v>0</v>
      </c>
      <c r="CW155" s="141">
        <v>-179851</v>
      </c>
      <c r="CX155" s="141">
        <v>-27107</v>
      </c>
      <c r="CY155" s="141">
        <v>0</v>
      </c>
      <c r="CZ155" s="141">
        <v>-27107</v>
      </c>
      <c r="DA155" s="141">
        <v>0</v>
      </c>
      <c r="DB155" s="141">
        <v>0</v>
      </c>
      <c r="DC155" s="141">
        <v>0</v>
      </c>
      <c r="DD155" s="141">
        <v>-31054</v>
      </c>
      <c r="DE155" s="141">
        <v>0</v>
      </c>
      <c r="DF155" s="141">
        <v>-31054</v>
      </c>
      <c r="DG155" s="141">
        <v>-49000</v>
      </c>
      <c r="DH155" s="141">
        <v>0</v>
      </c>
      <c r="DI155" s="141">
        <v>-49000</v>
      </c>
      <c r="DJ155" s="141">
        <v>0</v>
      </c>
      <c r="DK155" s="141">
        <v>0</v>
      </c>
      <c r="DL155" s="141">
        <v>0</v>
      </c>
      <c r="DM155" s="141">
        <v>-1320511</v>
      </c>
      <c r="DN155" s="141">
        <v>0</v>
      </c>
      <c r="DO155" s="141">
        <v>-1320511</v>
      </c>
      <c r="DP155" s="141">
        <v>-1427672</v>
      </c>
      <c r="DQ155" s="141">
        <v>0</v>
      </c>
      <c r="DR155" s="141">
        <v>0</v>
      </c>
      <c r="DS155" s="141">
        <v>0</v>
      </c>
      <c r="DT155" s="141">
        <v>-1427672</v>
      </c>
      <c r="DU155" s="141">
        <v>0</v>
      </c>
      <c r="DV155" s="141">
        <v>-1427672</v>
      </c>
      <c r="DW155" s="856">
        <v>66786582</v>
      </c>
      <c r="DX155" s="856">
        <v>0</v>
      </c>
      <c r="DY155" s="857">
        <v>66786582</v>
      </c>
      <c r="DZ155" t="s">
        <v>1721</v>
      </c>
    </row>
    <row r="156" spans="1:130" ht="12.75" x14ac:dyDescent="0.2">
      <c r="A156" s="764">
        <v>149</v>
      </c>
      <c r="B156" s="765" t="s">
        <v>184</v>
      </c>
      <c r="C156" s="766" t="s">
        <v>1224</v>
      </c>
      <c r="D156" s="767" t="s">
        <v>1225</v>
      </c>
      <c r="E156" s="768" t="s">
        <v>183</v>
      </c>
      <c r="F156" s="867">
        <v>43465</v>
      </c>
      <c r="G156" s="141">
        <v>925372705</v>
      </c>
      <c r="H156" s="141">
        <v>5756000</v>
      </c>
      <c r="I156" s="141">
        <v>931128705</v>
      </c>
      <c r="J156" s="141">
        <v>49.1</v>
      </c>
      <c r="K156" s="141">
        <v>454357998</v>
      </c>
      <c r="L156" s="141">
        <v>2826196</v>
      </c>
      <c r="M156" s="141">
        <v>5102000</v>
      </c>
      <c r="N156" s="141">
        <v>221500</v>
      </c>
      <c r="O156" s="141">
        <v>459459998</v>
      </c>
      <c r="P156" s="141">
        <v>3047696</v>
      </c>
      <c r="Q156" s="141">
        <v>462507694</v>
      </c>
      <c r="R156" s="141">
        <v>-3121123</v>
      </c>
      <c r="S156" s="141">
        <v>0</v>
      </c>
      <c r="T156" s="141">
        <v>-3121123</v>
      </c>
      <c r="U156" s="141">
        <v>8816236</v>
      </c>
      <c r="V156" s="141">
        <v>25193</v>
      </c>
      <c r="W156" s="141">
        <v>8841429</v>
      </c>
      <c r="X156" s="141">
        <v>5695113</v>
      </c>
      <c r="Y156" s="141">
        <v>25193</v>
      </c>
      <c r="Z156" s="141">
        <v>0</v>
      </c>
      <c r="AA156" s="141">
        <v>0</v>
      </c>
      <c r="AB156" s="141">
        <v>5695113</v>
      </c>
      <c r="AC156" s="141">
        <v>25193</v>
      </c>
      <c r="AD156" s="141">
        <v>5720306</v>
      </c>
      <c r="AE156" s="141">
        <v>-5695113</v>
      </c>
      <c r="AF156" s="141">
        <v>-25193</v>
      </c>
      <c r="AG156" s="141">
        <v>-5720306</v>
      </c>
      <c r="AH156" s="141">
        <v>-28181883</v>
      </c>
      <c r="AI156" s="141">
        <v>0</v>
      </c>
      <c r="AJ156" s="141">
        <v>-28181883</v>
      </c>
      <c r="AK156" s="141">
        <v>-25000</v>
      </c>
      <c r="AL156" s="141">
        <v>0</v>
      </c>
      <c r="AM156" s="141">
        <v>-25000</v>
      </c>
      <c r="AN156" s="141">
        <v>9033887</v>
      </c>
      <c r="AO156" s="141">
        <v>74308</v>
      </c>
      <c r="AP156" s="141">
        <v>9108195</v>
      </c>
      <c r="AQ156" s="141">
        <v>-19147996</v>
      </c>
      <c r="AR156" s="141">
        <v>74308</v>
      </c>
      <c r="AS156" s="141">
        <v>-19073688</v>
      </c>
      <c r="AT156" s="141">
        <v>-27305968</v>
      </c>
      <c r="AU156" s="141">
        <v>0</v>
      </c>
      <c r="AV156" s="141">
        <v>-27305968</v>
      </c>
      <c r="AW156" s="141">
        <v>-336324</v>
      </c>
      <c r="AX156" s="141">
        <v>0</v>
      </c>
      <c r="AY156" s="141">
        <v>-336324</v>
      </c>
      <c r="AZ156" s="141">
        <v>-9262</v>
      </c>
      <c r="BA156" s="141">
        <v>0</v>
      </c>
      <c r="BB156" s="141">
        <v>-9262</v>
      </c>
      <c r="BC156" s="141">
        <v>-46799550</v>
      </c>
      <c r="BD156" s="141">
        <v>74308</v>
      </c>
      <c r="BE156" s="141">
        <v>0</v>
      </c>
      <c r="BF156" s="141">
        <v>0</v>
      </c>
      <c r="BG156" s="141">
        <v>-46799550</v>
      </c>
      <c r="BH156" s="141">
        <v>74308</v>
      </c>
      <c r="BI156" s="141">
        <v>-46725242</v>
      </c>
      <c r="BJ156" s="141">
        <v>-100000</v>
      </c>
      <c r="BK156" s="141">
        <v>0</v>
      </c>
      <c r="BL156" s="141">
        <v>-100000</v>
      </c>
      <c r="BM156" s="141">
        <v>-19000000</v>
      </c>
      <c r="BN156" s="141">
        <v>0</v>
      </c>
      <c r="BO156" s="141">
        <v>-19000000</v>
      </c>
      <c r="BP156" s="141">
        <v>-19100000</v>
      </c>
      <c r="BQ156" s="141">
        <v>0</v>
      </c>
      <c r="BR156" s="141">
        <v>0</v>
      </c>
      <c r="BS156" s="141">
        <v>0</v>
      </c>
      <c r="BT156" s="141">
        <v>-19100000</v>
      </c>
      <c r="BU156" s="141">
        <v>0</v>
      </c>
      <c r="BV156" s="141">
        <v>-19100000</v>
      </c>
      <c r="BW156" s="141">
        <v>-71660</v>
      </c>
      <c r="BX156" s="141">
        <v>0</v>
      </c>
      <c r="BY156" s="141">
        <v>-71660</v>
      </c>
      <c r="BZ156" s="141">
        <v>-430797</v>
      </c>
      <c r="CA156" s="141">
        <v>0</v>
      </c>
      <c r="CB156" s="141">
        <v>-430797</v>
      </c>
      <c r="CC156" s="141">
        <v>-64492</v>
      </c>
      <c r="CD156" s="141">
        <v>0</v>
      </c>
      <c r="CE156" s="141">
        <v>-64492</v>
      </c>
      <c r="CF156" s="141">
        <v>0</v>
      </c>
      <c r="CG156" s="141">
        <v>0</v>
      </c>
      <c r="CH156" s="141">
        <v>0</v>
      </c>
      <c r="CI156" s="141">
        <v>-2315</v>
      </c>
      <c r="CJ156" s="141">
        <v>0</v>
      </c>
      <c r="CK156" s="141">
        <v>-2315</v>
      </c>
      <c r="CL156" s="141">
        <v>-500000</v>
      </c>
      <c r="CM156" s="141">
        <v>-468160</v>
      </c>
      <c r="CN156" s="141">
        <v>-968160</v>
      </c>
      <c r="CO156" s="141">
        <v>-468160</v>
      </c>
      <c r="CP156" s="141">
        <v>0</v>
      </c>
      <c r="CQ156" s="141">
        <v>-1069264</v>
      </c>
      <c r="CR156" s="141">
        <v>-468160</v>
      </c>
      <c r="CS156" s="141">
        <v>0</v>
      </c>
      <c r="CT156" s="141">
        <v>0</v>
      </c>
      <c r="CU156" s="141">
        <v>-1069264</v>
      </c>
      <c r="CV156" s="141">
        <v>-468160</v>
      </c>
      <c r="CW156" s="141">
        <v>-1537424</v>
      </c>
      <c r="CX156" s="141">
        <v>-9262</v>
      </c>
      <c r="CY156" s="141">
        <v>0</v>
      </c>
      <c r="CZ156" s="141">
        <v>-9262</v>
      </c>
      <c r="DA156" s="141">
        <v>-1500</v>
      </c>
      <c r="DB156" s="141">
        <v>0</v>
      </c>
      <c r="DC156" s="141">
        <v>-1500</v>
      </c>
      <c r="DD156" s="141">
        <v>-104797</v>
      </c>
      <c r="DE156" s="141">
        <v>0</v>
      </c>
      <c r="DF156" s="141">
        <v>-104797</v>
      </c>
      <c r="DG156" s="141">
        <v>-337000</v>
      </c>
      <c r="DH156" s="141">
        <v>0</v>
      </c>
      <c r="DI156" s="141">
        <v>-337000</v>
      </c>
      <c r="DJ156" s="141">
        <v>0</v>
      </c>
      <c r="DK156" s="141">
        <v>0</v>
      </c>
      <c r="DL156" s="141">
        <v>0</v>
      </c>
      <c r="DM156" s="141">
        <v>-5000000</v>
      </c>
      <c r="DN156" s="141">
        <v>0</v>
      </c>
      <c r="DO156" s="141">
        <v>-5000000</v>
      </c>
      <c r="DP156" s="141">
        <v>-5452559</v>
      </c>
      <c r="DQ156" s="141">
        <v>0</v>
      </c>
      <c r="DR156" s="141">
        <v>0</v>
      </c>
      <c r="DS156" s="141">
        <v>0</v>
      </c>
      <c r="DT156" s="141">
        <v>-5452559</v>
      </c>
      <c r="DU156" s="141">
        <v>0</v>
      </c>
      <c r="DV156" s="141">
        <v>-5452559</v>
      </c>
      <c r="DW156" s="856">
        <v>392733738</v>
      </c>
      <c r="DX156" s="856">
        <v>2679037</v>
      </c>
      <c r="DY156" s="857">
        <v>395412775</v>
      </c>
      <c r="DZ156" t="s">
        <v>1722</v>
      </c>
    </row>
    <row r="157" spans="1:130" ht="12.75" x14ac:dyDescent="0.2">
      <c r="A157" s="764">
        <v>150</v>
      </c>
      <c r="B157" s="765" t="s">
        <v>186</v>
      </c>
      <c r="C157" s="766" t="s">
        <v>529</v>
      </c>
      <c r="D157" s="767" t="s">
        <v>1220</v>
      </c>
      <c r="E157" s="768" t="s">
        <v>596</v>
      </c>
      <c r="F157" s="867">
        <v>43481</v>
      </c>
      <c r="G157" s="141">
        <v>296563117</v>
      </c>
      <c r="H157" s="141">
        <v>7254370</v>
      </c>
      <c r="I157" s="141">
        <v>303817487</v>
      </c>
      <c r="J157" s="141">
        <v>49.1</v>
      </c>
      <c r="K157" s="141">
        <v>145612490</v>
      </c>
      <c r="L157" s="141">
        <v>3561896</v>
      </c>
      <c r="M157" s="141">
        <v>300000</v>
      </c>
      <c r="N157" s="141">
        <v>50000</v>
      </c>
      <c r="O157" s="141">
        <v>145912490</v>
      </c>
      <c r="P157" s="141">
        <v>3611896</v>
      </c>
      <c r="Q157" s="141">
        <v>149524386</v>
      </c>
      <c r="R157" s="141">
        <v>-3776554</v>
      </c>
      <c r="S157" s="141">
        <v>-65387</v>
      </c>
      <c r="T157" s="141">
        <v>-3841941</v>
      </c>
      <c r="U157" s="141">
        <v>530051</v>
      </c>
      <c r="V157" s="141">
        <v>0</v>
      </c>
      <c r="W157" s="141">
        <v>530051</v>
      </c>
      <c r="X157" s="141">
        <v>-3246503</v>
      </c>
      <c r="Y157" s="141">
        <v>-65387</v>
      </c>
      <c r="Z157" s="141">
        <v>0</v>
      </c>
      <c r="AA157" s="141">
        <v>0</v>
      </c>
      <c r="AB157" s="141">
        <v>-3246503</v>
      </c>
      <c r="AC157" s="141">
        <v>-65387</v>
      </c>
      <c r="AD157" s="141">
        <v>-3311890</v>
      </c>
      <c r="AE157" s="141">
        <v>3246503</v>
      </c>
      <c r="AF157" s="141">
        <v>65387</v>
      </c>
      <c r="AG157" s="141">
        <v>3311890</v>
      </c>
      <c r="AH157" s="141">
        <v>-13877170</v>
      </c>
      <c r="AI157" s="141">
        <v>-542295</v>
      </c>
      <c r="AJ157" s="141">
        <v>-14419465</v>
      </c>
      <c r="AK157" s="141">
        <v>-31000</v>
      </c>
      <c r="AL157" s="141">
        <v>0</v>
      </c>
      <c r="AM157" s="141">
        <v>-31000</v>
      </c>
      <c r="AN157" s="141">
        <v>2694981</v>
      </c>
      <c r="AO157" s="141">
        <v>51257</v>
      </c>
      <c r="AP157" s="141">
        <v>2746238</v>
      </c>
      <c r="AQ157" s="141">
        <v>-11182189</v>
      </c>
      <c r="AR157" s="141">
        <v>-491038</v>
      </c>
      <c r="AS157" s="141">
        <v>-11673227</v>
      </c>
      <c r="AT157" s="141">
        <v>-12127485</v>
      </c>
      <c r="AU157" s="141">
        <v>-586180</v>
      </c>
      <c r="AV157" s="141">
        <v>-12713665</v>
      </c>
      <c r="AW157" s="141">
        <v>-43919</v>
      </c>
      <c r="AX157" s="141">
        <v>-18144</v>
      </c>
      <c r="AY157" s="141">
        <v>-62063</v>
      </c>
      <c r="AZ157" s="141">
        <v>0</v>
      </c>
      <c r="BA157" s="141">
        <v>0</v>
      </c>
      <c r="BB157" s="141">
        <v>0</v>
      </c>
      <c r="BC157" s="141">
        <v>-23353593</v>
      </c>
      <c r="BD157" s="141">
        <v>-1095362</v>
      </c>
      <c r="BE157" s="141">
        <v>-800000</v>
      </c>
      <c r="BF157" s="141">
        <v>0</v>
      </c>
      <c r="BG157" s="141">
        <v>-24153593</v>
      </c>
      <c r="BH157" s="141">
        <v>-1095362</v>
      </c>
      <c r="BI157" s="141">
        <v>-25248955</v>
      </c>
      <c r="BJ157" s="141">
        <v>-35000</v>
      </c>
      <c r="BK157" s="141">
        <v>0</v>
      </c>
      <c r="BL157" s="141">
        <v>-35000</v>
      </c>
      <c r="BM157" s="141">
        <v>-2348786</v>
      </c>
      <c r="BN157" s="141">
        <v>-81321</v>
      </c>
      <c r="BO157" s="141">
        <v>-2430107</v>
      </c>
      <c r="BP157" s="141">
        <v>-2383786</v>
      </c>
      <c r="BQ157" s="141">
        <v>-81321</v>
      </c>
      <c r="BR157" s="141">
        <v>-1250000</v>
      </c>
      <c r="BS157" s="141">
        <v>-50000</v>
      </c>
      <c r="BT157" s="141">
        <v>-3633786</v>
      </c>
      <c r="BU157" s="141">
        <v>-131321</v>
      </c>
      <c r="BV157" s="141">
        <v>-3765107</v>
      </c>
      <c r="BW157" s="141">
        <v>-388667</v>
      </c>
      <c r="BX157" s="141">
        <v>-73994</v>
      </c>
      <c r="BY157" s="141">
        <v>-462661</v>
      </c>
      <c r="BZ157" s="141">
        <v>-238204</v>
      </c>
      <c r="CA157" s="141">
        <v>0</v>
      </c>
      <c r="CB157" s="141">
        <v>-238204</v>
      </c>
      <c r="CC157" s="141">
        <v>0</v>
      </c>
      <c r="CD157" s="141">
        <v>0</v>
      </c>
      <c r="CE157" s="141">
        <v>0</v>
      </c>
      <c r="CF157" s="141">
        <v>0</v>
      </c>
      <c r="CG157" s="141">
        <v>0</v>
      </c>
      <c r="CH157" s="141">
        <v>0</v>
      </c>
      <c r="CI157" s="141">
        <v>0</v>
      </c>
      <c r="CJ157" s="141">
        <v>0</v>
      </c>
      <c r="CK157" s="141">
        <v>0</v>
      </c>
      <c r="CL157" s="141">
        <v>-200000</v>
      </c>
      <c r="CM157" s="141">
        <v>0</v>
      </c>
      <c r="CN157" s="141">
        <v>-200000</v>
      </c>
      <c r="CO157" s="141">
        <v>0</v>
      </c>
      <c r="CP157" s="141">
        <v>0</v>
      </c>
      <c r="CQ157" s="141">
        <v>-826871</v>
      </c>
      <c r="CR157" s="141">
        <v>-73994</v>
      </c>
      <c r="CS157" s="141">
        <v>0</v>
      </c>
      <c r="CT157" s="141">
        <v>0</v>
      </c>
      <c r="CU157" s="141">
        <v>-826871</v>
      </c>
      <c r="CV157" s="141">
        <v>-73994</v>
      </c>
      <c r="CW157" s="141">
        <v>-900865</v>
      </c>
      <c r="CX157" s="141">
        <v>0</v>
      </c>
      <c r="CY157" s="141">
        <v>0</v>
      </c>
      <c r="CZ157" s="141">
        <v>0</v>
      </c>
      <c r="DA157" s="141">
        <v>-1500</v>
      </c>
      <c r="DB157" s="141">
        <v>0</v>
      </c>
      <c r="DC157" s="141">
        <v>-1500</v>
      </c>
      <c r="DD157" s="141">
        <v>-132482</v>
      </c>
      <c r="DE157" s="141">
        <v>-817</v>
      </c>
      <c r="DF157" s="141">
        <v>-133299</v>
      </c>
      <c r="DG157" s="141">
        <v>-239000</v>
      </c>
      <c r="DH157" s="141">
        <v>-20000</v>
      </c>
      <c r="DI157" s="141">
        <v>-259000</v>
      </c>
      <c r="DJ157" s="141">
        <v>0</v>
      </c>
      <c r="DK157" s="141">
        <v>0</v>
      </c>
      <c r="DL157" s="141">
        <v>0</v>
      </c>
      <c r="DM157" s="141">
        <v>-2151032</v>
      </c>
      <c r="DN157" s="141">
        <v>-12193</v>
      </c>
      <c r="DO157" s="141">
        <v>-2163225</v>
      </c>
      <c r="DP157" s="141">
        <v>-2524014</v>
      </c>
      <c r="DQ157" s="141">
        <v>-33010</v>
      </c>
      <c r="DR157" s="141">
        <v>-250000</v>
      </c>
      <c r="DS157" s="141">
        <v>0</v>
      </c>
      <c r="DT157" s="141">
        <v>-2774014</v>
      </c>
      <c r="DU157" s="141">
        <v>-33010</v>
      </c>
      <c r="DV157" s="141">
        <v>-2807024</v>
      </c>
      <c r="DW157" s="856">
        <v>111277723</v>
      </c>
      <c r="DX157" s="856">
        <v>2212822</v>
      </c>
      <c r="DY157" s="857">
        <v>113490545</v>
      </c>
      <c r="DZ157" t="s">
        <v>1723</v>
      </c>
    </row>
    <row r="158" spans="1:130" ht="12.75" x14ac:dyDescent="0.2">
      <c r="A158" s="764">
        <v>151</v>
      </c>
      <c r="B158" s="765" t="s">
        <v>188</v>
      </c>
      <c r="C158" s="766" t="s">
        <v>1217</v>
      </c>
      <c r="D158" s="767" t="s">
        <v>1218</v>
      </c>
      <c r="E158" s="768" t="s">
        <v>187</v>
      </c>
      <c r="F158" s="867">
        <v>43481</v>
      </c>
      <c r="G158" s="141">
        <v>64899049</v>
      </c>
      <c r="H158" s="141">
        <v>7047810</v>
      </c>
      <c r="I158" s="141">
        <v>71946859</v>
      </c>
      <c r="J158" s="141">
        <v>49.1</v>
      </c>
      <c r="K158" s="141">
        <v>31865433</v>
      </c>
      <c r="L158" s="141">
        <v>3460475</v>
      </c>
      <c r="M158" s="141">
        <v>0</v>
      </c>
      <c r="N158" s="141">
        <v>0</v>
      </c>
      <c r="O158" s="141">
        <v>31865433</v>
      </c>
      <c r="P158" s="141">
        <v>3460475</v>
      </c>
      <c r="Q158" s="141">
        <v>35325908</v>
      </c>
      <c r="R158" s="141">
        <v>-457392</v>
      </c>
      <c r="S158" s="141">
        <v>-13875</v>
      </c>
      <c r="T158" s="141">
        <v>-471267</v>
      </c>
      <c r="U158" s="141">
        <v>57334</v>
      </c>
      <c r="V158" s="141">
        <v>29986</v>
      </c>
      <c r="W158" s="141">
        <v>87320</v>
      </c>
      <c r="X158" s="141">
        <v>-400058</v>
      </c>
      <c r="Y158" s="141">
        <v>16111</v>
      </c>
      <c r="Z158" s="141">
        <v>0</v>
      </c>
      <c r="AA158" s="141">
        <v>0</v>
      </c>
      <c r="AB158" s="141">
        <v>-400058</v>
      </c>
      <c r="AC158" s="141">
        <v>16111</v>
      </c>
      <c r="AD158" s="141">
        <v>-383947</v>
      </c>
      <c r="AE158" s="141">
        <v>400058</v>
      </c>
      <c r="AF158" s="141">
        <v>-16111</v>
      </c>
      <c r="AG158" s="141">
        <v>383947</v>
      </c>
      <c r="AH158" s="141">
        <v>-3805431</v>
      </c>
      <c r="AI158" s="141">
        <v>-399238</v>
      </c>
      <c r="AJ158" s="141">
        <v>-4204669</v>
      </c>
      <c r="AK158" s="141">
        <v>0</v>
      </c>
      <c r="AL158" s="141">
        <v>0</v>
      </c>
      <c r="AM158" s="141">
        <v>0</v>
      </c>
      <c r="AN158" s="141">
        <v>502267</v>
      </c>
      <c r="AO158" s="141">
        <v>55398</v>
      </c>
      <c r="AP158" s="141">
        <v>557665</v>
      </c>
      <c r="AQ158" s="141">
        <v>-3303164</v>
      </c>
      <c r="AR158" s="141">
        <v>-343840</v>
      </c>
      <c r="AS158" s="141">
        <v>-3647004</v>
      </c>
      <c r="AT158" s="141">
        <v>-2983357</v>
      </c>
      <c r="AU158" s="141">
        <v>-189282</v>
      </c>
      <c r="AV158" s="141">
        <v>-3172639</v>
      </c>
      <c r="AW158" s="141">
        <v>-92386</v>
      </c>
      <c r="AX158" s="141">
        <v>0</v>
      </c>
      <c r="AY158" s="141">
        <v>-92386</v>
      </c>
      <c r="AZ158" s="141">
        <v>-5343</v>
      </c>
      <c r="BA158" s="141">
        <v>0</v>
      </c>
      <c r="BB158" s="141">
        <v>-5343</v>
      </c>
      <c r="BC158" s="141">
        <v>-6384250</v>
      </c>
      <c r="BD158" s="141">
        <v>-533122</v>
      </c>
      <c r="BE158" s="141">
        <v>0</v>
      </c>
      <c r="BF158" s="141">
        <v>0</v>
      </c>
      <c r="BG158" s="141">
        <v>-6384250</v>
      </c>
      <c r="BH158" s="141">
        <v>-533122</v>
      </c>
      <c r="BI158" s="141">
        <v>-6917372</v>
      </c>
      <c r="BJ158" s="141">
        <v>0</v>
      </c>
      <c r="BK158" s="141">
        <v>0</v>
      </c>
      <c r="BL158" s="141">
        <v>0</v>
      </c>
      <c r="BM158" s="141">
        <v>-577368</v>
      </c>
      <c r="BN158" s="141">
        <v>-68481</v>
      </c>
      <c r="BO158" s="141">
        <v>-645849</v>
      </c>
      <c r="BP158" s="141">
        <v>-577368</v>
      </c>
      <c r="BQ158" s="141">
        <v>-68481</v>
      </c>
      <c r="BR158" s="141">
        <v>0</v>
      </c>
      <c r="BS158" s="141">
        <v>0</v>
      </c>
      <c r="BT158" s="141">
        <v>-577368</v>
      </c>
      <c r="BU158" s="141">
        <v>-68481</v>
      </c>
      <c r="BV158" s="141">
        <v>-645849</v>
      </c>
      <c r="BW158" s="141">
        <v>-158090</v>
      </c>
      <c r="BX158" s="141">
        <v>-9072</v>
      </c>
      <c r="BY158" s="141">
        <v>-167162</v>
      </c>
      <c r="BZ158" s="141">
        <v>-20561</v>
      </c>
      <c r="CA158" s="141">
        <v>0</v>
      </c>
      <c r="CB158" s="141">
        <v>-20561</v>
      </c>
      <c r="CC158" s="141">
        <v>-605</v>
      </c>
      <c r="CD158" s="141">
        <v>0</v>
      </c>
      <c r="CE158" s="141">
        <v>-605</v>
      </c>
      <c r="CF158" s="141">
        <v>0</v>
      </c>
      <c r="CG158" s="141">
        <v>0</v>
      </c>
      <c r="CH158" s="141">
        <v>0</v>
      </c>
      <c r="CI158" s="141">
        <v>0</v>
      </c>
      <c r="CJ158" s="141">
        <v>0</v>
      </c>
      <c r="CK158" s="141">
        <v>0</v>
      </c>
      <c r="CL158" s="141">
        <v>0</v>
      </c>
      <c r="CM158" s="141">
        <v>-310492</v>
      </c>
      <c r="CN158" s="141">
        <v>-310492</v>
      </c>
      <c r="CO158" s="141">
        <v>-310492</v>
      </c>
      <c r="CP158" s="141">
        <v>0</v>
      </c>
      <c r="CQ158" s="141">
        <v>-179256</v>
      </c>
      <c r="CR158" s="141">
        <v>-319564</v>
      </c>
      <c r="CS158" s="141">
        <v>0</v>
      </c>
      <c r="CT158" s="141">
        <v>0</v>
      </c>
      <c r="CU158" s="141">
        <v>-179256</v>
      </c>
      <c r="CV158" s="141">
        <v>-319564</v>
      </c>
      <c r="CW158" s="141">
        <v>-498820</v>
      </c>
      <c r="CX158" s="141">
        <v>-5343</v>
      </c>
      <c r="CY158" s="141">
        <v>0</v>
      </c>
      <c r="CZ158" s="141">
        <v>-5343</v>
      </c>
      <c r="DA158" s="141">
        <v>0</v>
      </c>
      <c r="DB158" s="141">
        <v>0</v>
      </c>
      <c r="DC158" s="141">
        <v>0</v>
      </c>
      <c r="DD158" s="141">
        <v>-21232</v>
      </c>
      <c r="DE158" s="141">
        <v>0</v>
      </c>
      <c r="DF158" s="141">
        <v>-21232</v>
      </c>
      <c r="DG158" s="141">
        <v>-46958</v>
      </c>
      <c r="DH158" s="141">
        <v>0</v>
      </c>
      <c r="DI158" s="141">
        <v>-46958</v>
      </c>
      <c r="DJ158" s="141">
        <v>0</v>
      </c>
      <c r="DK158" s="141">
        <v>0</v>
      </c>
      <c r="DL158" s="141">
        <v>0</v>
      </c>
      <c r="DM158" s="141">
        <v>-942160</v>
      </c>
      <c r="DN158" s="141">
        <v>0</v>
      </c>
      <c r="DO158" s="141">
        <v>-942160</v>
      </c>
      <c r="DP158" s="141">
        <v>-1015693</v>
      </c>
      <c r="DQ158" s="141">
        <v>0</v>
      </c>
      <c r="DR158" s="141">
        <v>0</v>
      </c>
      <c r="DS158" s="141">
        <v>0</v>
      </c>
      <c r="DT158" s="141">
        <v>-1015693</v>
      </c>
      <c r="DU158" s="141">
        <v>0</v>
      </c>
      <c r="DV158" s="141">
        <v>-1015693</v>
      </c>
      <c r="DW158" s="856">
        <v>23308808</v>
      </c>
      <c r="DX158" s="856">
        <v>2555419</v>
      </c>
      <c r="DY158" s="857">
        <v>25864227</v>
      </c>
      <c r="DZ158" t="s">
        <v>1724</v>
      </c>
    </row>
    <row r="159" spans="1:130" ht="12.75" x14ac:dyDescent="0.2">
      <c r="A159" s="764">
        <v>152</v>
      </c>
      <c r="B159" s="765" t="s">
        <v>190</v>
      </c>
      <c r="C159" s="766" t="s">
        <v>1228</v>
      </c>
      <c r="D159" s="767" t="s">
        <v>1223</v>
      </c>
      <c r="E159" s="768" t="s">
        <v>189</v>
      </c>
      <c r="F159" s="867">
        <v>43453</v>
      </c>
      <c r="G159" s="141">
        <v>177403091</v>
      </c>
      <c r="H159" s="141">
        <v>0</v>
      </c>
      <c r="I159" s="141">
        <v>177403091</v>
      </c>
      <c r="J159" s="141">
        <v>49.1</v>
      </c>
      <c r="K159" s="141">
        <v>87104918</v>
      </c>
      <c r="L159" s="141">
        <v>0</v>
      </c>
      <c r="M159" s="141">
        <v>0</v>
      </c>
      <c r="N159" s="141">
        <v>0</v>
      </c>
      <c r="O159" s="141">
        <v>87104918</v>
      </c>
      <c r="P159" s="141">
        <v>0</v>
      </c>
      <c r="Q159" s="141">
        <v>87104918</v>
      </c>
      <c r="R159" s="141">
        <v>-4208465</v>
      </c>
      <c r="S159" s="141">
        <v>0</v>
      </c>
      <c r="T159" s="141">
        <v>-4208465</v>
      </c>
      <c r="U159" s="141">
        <v>293631</v>
      </c>
      <c r="V159" s="141">
        <v>0</v>
      </c>
      <c r="W159" s="141">
        <v>293631</v>
      </c>
      <c r="X159" s="141">
        <v>-3914834</v>
      </c>
      <c r="Y159" s="141">
        <v>0</v>
      </c>
      <c r="Z159" s="141">
        <v>0</v>
      </c>
      <c r="AA159" s="141">
        <v>0</v>
      </c>
      <c r="AB159" s="141">
        <v>-3914834</v>
      </c>
      <c r="AC159" s="141">
        <v>0</v>
      </c>
      <c r="AD159" s="141">
        <v>-3914834</v>
      </c>
      <c r="AE159" s="141">
        <v>3914834</v>
      </c>
      <c r="AF159" s="141">
        <v>0</v>
      </c>
      <c r="AG159" s="141">
        <v>3914834</v>
      </c>
      <c r="AH159" s="141">
        <v>-7658709</v>
      </c>
      <c r="AI159" s="141">
        <v>0</v>
      </c>
      <c r="AJ159" s="141">
        <v>-7658709</v>
      </c>
      <c r="AK159" s="141">
        <v>0</v>
      </c>
      <c r="AL159" s="141">
        <v>0</v>
      </c>
      <c r="AM159" s="141">
        <v>0</v>
      </c>
      <c r="AN159" s="141">
        <v>1616968</v>
      </c>
      <c r="AO159" s="141">
        <v>0</v>
      </c>
      <c r="AP159" s="141">
        <v>1616968</v>
      </c>
      <c r="AQ159" s="141">
        <v>-6041741</v>
      </c>
      <c r="AR159" s="141">
        <v>0</v>
      </c>
      <c r="AS159" s="141">
        <v>-6041741</v>
      </c>
      <c r="AT159" s="141">
        <v>-9001246</v>
      </c>
      <c r="AU159" s="141">
        <v>0</v>
      </c>
      <c r="AV159" s="141">
        <v>-9001246</v>
      </c>
      <c r="AW159" s="141">
        <v>0</v>
      </c>
      <c r="AX159" s="141">
        <v>0</v>
      </c>
      <c r="AY159" s="141">
        <v>0</v>
      </c>
      <c r="AZ159" s="141">
        <v>0</v>
      </c>
      <c r="BA159" s="141">
        <v>0</v>
      </c>
      <c r="BB159" s="141">
        <v>0</v>
      </c>
      <c r="BC159" s="141">
        <v>-15042987</v>
      </c>
      <c r="BD159" s="141">
        <v>0</v>
      </c>
      <c r="BE159" s="141">
        <v>0</v>
      </c>
      <c r="BF159" s="141">
        <v>0</v>
      </c>
      <c r="BG159" s="141">
        <v>-15042987</v>
      </c>
      <c r="BH159" s="141">
        <v>0</v>
      </c>
      <c r="BI159" s="141">
        <v>-15042987</v>
      </c>
      <c r="BJ159" s="141">
        <v>0</v>
      </c>
      <c r="BK159" s="141">
        <v>0</v>
      </c>
      <c r="BL159" s="141">
        <v>0</v>
      </c>
      <c r="BM159" s="141">
        <v>-718388</v>
      </c>
      <c r="BN159" s="141">
        <v>0</v>
      </c>
      <c r="BO159" s="141">
        <v>-718388</v>
      </c>
      <c r="BP159" s="141">
        <v>-718388</v>
      </c>
      <c r="BQ159" s="141">
        <v>0</v>
      </c>
      <c r="BR159" s="141">
        <v>0</v>
      </c>
      <c r="BS159" s="141">
        <v>0</v>
      </c>
      <c r="BT159" s="141">
        <v>-718388</v>
      </c>
      <c r="BU159" s="141">
        <v>0</v>
      </c>
      <c r="BV159" s="141">
        <v>-718388</v>
      </c>
      <c r="BW159" s="141">
        <v>-715567</v>
      </c>
      <c r="BX159" s="141">
        <v>0</v>
      </c>
      <c r="BY159" s="141">
        <v>-715567</v>
      </c>
      <c r="BZ159" s="141">
        <v>0</v>
      </c>
      <c r="CA159" s="141">
        <v>0</v>
      </c>
      <c r="CB159" s="141">
        <v>0</v>
      </c>
      <c r="CC159" s="141">
        <v>0</v>
      </c>
      <c r="CD159" s="141">
        <v>0</v>
      </c>
      <c r="CE159" s="141">
        <v>0</v>
      </c>
      <c r="CF159" s="141">
        <v>0</v>
      </c>
      <c r="CG159" s="141">
        <v>0</v>
      </c>
      <c r="CH159" s="141">
        <v>0</v>
      </c>
      <c r="CI159" s="141">
        <v>0</v>
      </c>
      <c r="CJ159" s="141">
        <v>0</v>
      </c>
      <c r="CK159" s="141">
        <v>0</v>
      </c>
      <c r="CL159" s="141">
        <v>0</v>
      </c>
      <c r="CM159" s="141">
        <v>0</v>
      </c>
      <c r="CN159" s="141">
        <v>0</v>
      </c>
      <c r="CO159" s="141">
        <v>0</v>
      </c>
      <c r="CP159" s="141">
        <v>0</v>
      </c>
      <c r="CQ159" s="141">
        <v>-715567</v>
      </c>
      <c r="CR159" s="141">
        <v>0</v>
      </c>
      <c r="CS159" s="141">
        <v>0</v>
      </c>
      <c r="CT159" s="141">
        <v>0</v>
      </c>
      <c r="CU159" s="141">
        <v>-715567</v>
      </c>
      <c r="CV159" s="141">
        <v>0</v>
      </c>
      <c r="CW159" s="141">
        <v>-715567</v>
      </c>
      <c r="CX159" s="141">
        <v>0</v>
      </c>
      <c r="CY159" s="141">
        <v>0</v>
      </c>
      <c r="CZ159" s="141">
        <v>0</v>
      </c>
      <c r="DA159" s="141">
        <v>0</v>
      </c>
      <c r="DB159" s="141">
        <v>0</v>
      </c>
      <c r="DC159" s="141">
        <v>0</v>
      </c>
      <c r="DD159" s="141">
        <v>-145130</v>
      </c>
      <c r="DE159" s="141">
        <v>0</v>
      </c>
      <c r="DF159" s="141">
        <v>-145130</v>
      </c>
      <c r="DG159" s="141">
        <v>-228268</v>
      </c>
      <c r="DH159" s="141">
        <v>0</v>
      </c>
      <c r="DI159" s="141">
        <v>-228268</v>
      </c>
      <c r="DJ159" s="141">
        <v>0</v>
      </c>
      <c r="DK159" s="141">
        <v>0</v>
      </c>
      <c r="DL159" s="141">
        <v>0</v>
      </c>
      <c r="DM159" s="141">
        <v>-2564883</v>
      </c>
      <c r="DN159" s="141">
        <v>0</v>
      </c>
      <c r="DO159" s="141">
        <v>-2564883</v>
      </c>
      <c r="DP159" s="141">
        <v>-2938281</v>
      </c>
      <c r="DQ159" s="141">
        <v>0</v>
      </c>
      <c r="DR159" s="141">
        <v>0</v>
      </c>
      <c r="DS159" s="141">
        <v>0</v>
      </c>
      <c r="DT159" s="141">
        <v>-2938281</v>
      </c>
      <c r="DU159" s="141">
        <v>0</v>
      </c>
      <c r="DV159" s="141">
        <v>-2938281</v>
      </c>
      <c r="DW159" s="856">
        <v>63774861</v>
      </c>
      <c r="DX159" s="856">
        <v>0</v>
      </c>
      <c r="DY159" s="857">
        <v>63774861</v>
      </c>
      <c r="DZ159" t="s">
        <v>1725</v>
      </c>
    </row>
    <row r="160" spans="1:130" ht="12.75" x14ac:dyDescent="0.2">
      <c r="A160" s="764">
        <v>153</v>
      </c>
      <c r="B160" s="765" t="s">
        <v>192</v>
      </c>
      <c r="C160" s="766" t="s">
        <v>1217</v>
      </c>
      <c r="D160" s="767" t="s">
        <v>1227</v>
      </c>
      <c r="E160" s="768" t="s">
        <v>191</v>
      </c>
      <c r="F160" s="867">
        <v>43480</v>
      </c>
      <c r="G160" s="141">
        <v>91062404</v>
      </c>
      <c r="H160" s="141">
        <v>0</v>
      </c>
      <c r="I160" s="141">
        <v>91062404</v>
      </c>
      <c r="J160" s="141">
        <v>49.1</v>
      </c>
      <c r="K160" s="141">
        <v>44711640</v>
      </c>
      <c r="L160" s="141">
        <v>0</v>
      </c>
      <c r="M160" s="141">
        <v>-1672406</v>
      </c>
      <c r="N160" s="141">
        <v>0</v>
      </c>
      <c r="O160" s="141">
        <v>43039234</v>
      </c>
      <c r="P160" s="141">
        <v>0</v>
      </c>
      <c r="Q160" s="141">
        <v>43039234</v>
      </c>
      <c r="R160" s="141">
        <v>-957804</v>
      </c>
      <c r="S160" s="141">
        <v>0</v>
      </c>
      <c r="T160" s="141">
        <v>-957804</v>
      </c>
      <c r="U160" s="141">
        <v>482850</v>
      </c>
      <c r="V160" s="141">
        <v>0</v>
      </c>
      <c r="W160" s="141">
        <v>482850</v>
      </c>
      <c r="X160" s="141">
        <v>-474954</v>
      </c>
      <c r="Y160" s="141">
        <v>0</v>
      </c>
      <c r="Z160" s="141">
        <v>0</v>
      </c>
      <c r="AA160" s="141">
        <v>0</v>
      </c>
      <c r="AB160" s="141">
        <v>-474954</v>
      </c>
      <c r="AC160" s="141">
        <v>0</v>
      </c>
      <c r="AD160" s="141">
        <v>-474954</v>
      </c>
      <c r="AE160" s="141">
        <v>474954</v>
      </c>
      <c r="AF160" s="141">
        <v>0</v>
      </c>
      <c r="AG160" s="141">
        <v>474954</v>
      </c>
      <c r="AH160" s="141">
        <v>-3286665</v>
      </c>
      <c r="AI160" s="141">
        <v>0</v>
      </c>
      <c r="AJ160" s="141">
        <v>-3286665</v>
      </c>
      <c r="AK160" s="141">
        <v>-2971</v>
      </c>
      <c r="AL160" s="141">
        <v>0</v>
      </c>
      <c r="AM160" s="141">
        <v>-2971</v>
      </c>
      <c r="AN160" s="141">
        <v>831938</v>
      </c>
      <c r="AO160" s="141">
        <v>0</v>
      </c>
      <c r="AP160" s="141">
        <v>831938</v>
      </c>
      <c r="AQ160" s="141">
        <v>-2454727</v>
      </c>
      <c r="AR160" s="141">
        <v>0</v>
      </c>
      <c r="AS160" s="141">
        <v>-2454727</v>
      </c>
      <c r="AT160" s="141">
        <v>-1907927</v>
      </c>
      <c r="AU160" s="141">
        <v>0</v>
      </c>
      <c r="AV160" s="141">
        <v>-1907927</v>
      </c>
      <c r="AW160" s="141">
        <v>-55148</v>
      </c>
      <c r="AX160" s="141">
        <v>0</v>
      </c>
      <c r="AY160" s="141">
        <v>-55148</v>
      </c>
      <c r="AZ160" s="141">
        <v>-3604</v>
      </c>
      <c r="BA160" s="141">
        <v>0</v>
      </c>
      <c r="BB160" s="141">
        <v>-3604</v>
      </c>
      <c r="BC160" s="141">
        <v>-4421406</v>
      </c>
      <c r="BD160" s="141">
        <v>0</v>
      </c>
      <c r="BE160" s="141">
        <v>73406</v>
      </c>
      <c r="BF160" s="141">
        <v>0</v>
      </c>
      <c r="BG160" s="141">
        <v>-4348000</v>
      </c>
      <c r="BH160" s="141">
        <v>0</v>
      </c>
      <c r="BI160" s="141">
        <v>-4348000</v>
      </c>
      <c r="BJ160" s="141">
        <v>0</v>
      </c>
      <c r="BK160" s="141">
        <v>0</v>
      </c>
      <c r="BL160" s="141">
        <v>0</v>
      </c>
      <c r="BM160" s="141">
        <v>-796788</v>
      </c>
      <c r="BN160" s="141">
        <v>0</v>
      </c>
      <c r="BO160" s="141">
        <v>-796788</v>
      </c>
      <c r="BP160" s="141">
        <v>-796788</v>
      </c>
      <c r="BQ160" s="141">
        <v>0</v>
      </c>
      <c r="BR160" s="141">
        <v>-816212</v>
      </c>
      <c r="BS160" s="141">
        <v>0</v>
      </c>
      <c r="BT160" s="141">
        <v>-1613000</v>
      </c>
      <c r="BU160" s="141">
        <v>0</v>
      </c>
      <c r="BV160" s="141">
        <v>-1613000</v>
      </c>
      <c r="BW160" s="141">
        <v>-30000</v>
      </c>
      <c r="BX160" s="141">
        <v>0</v>
      </c>
      <c r="BY160" s="141">
        <v>-30000</v>
      </c>
      <c r="BZ160" s="141">
        <v>-10000</v>
      </c>
      <c r="CA160" s="141">
        <v>0</v>
      </c>
      <c r="CB160" s="141">
        <v>-10000</v>
      </c>
      <c r="CC160" s="141">
        <v>0</v>
      </c>
      <c r="CD160" s="141">
        <v>0</v>
      </c>
      <c r="CE160" s="141">
        <v>0</v>
      </c>
      <c r="CF160" s="141">
        <v>0</v>
      </c>
      <c r="CG160" s="141">
        <v>0</v>
      </c>
      <c r="CH160" s="141">
        <v>0</v>
      </c>
      <c r="CI160" s="141">
        <v>0</v>
      </c>
      <c r="CJ160" s="141">
        <v>0</v>
      </c>
      <c r="CK160" s="141">
        <v>0</v>
      </c>
      <c r="CL160" s="141">
        <v>0</v>
      </c>
      <c r="CM160" s="141">
        <v>0</v>
      </c>
      <c r="CN160" s="141">
        <v>0</v>
      </c>
      <c r="CO160" s="141">
        <v>0</v>
      </c>
      <c r="CP160" s="141">
        <v>0</v>
      </c>
      <c r="CQ160" s="141">
        <v>-40000</v>
      </c>
      <c r="CR160" s="141">
        <v>0</v>
      </c>
      <c r="CS160" s="141">
        <v>-40000</v>
      </c>
      <c r="CT160" s="141">
        <v>0</v>
      </c>
      <c r="CU160" s="141">
        <v>-80000</v>
      </c>
      <c r="CV160" s="141">
        <v>0</v>
      </c>
      <c r="CW160" s="141">
        <v>-80000</v>
      </c>
      <c r="CX160" s="141">
        <v>-3604</v>
      </c>
      <c r="CY160" s="141">
        <v>0</v>
      </c>
      <c r="CZ160" s="141">
        <v>-3604</v>
      </c>
      <c r="DA160" s="141">
        <v>0</v>
      </c>
      <c r="DB160" s="141">
        <v>0</v>
      </c>
      <c r="DC160" s="141">
        <v>0</v>
      </c>
      <c r="DD160" s="141">
        <v>-31014</v>
      </c>
      <c r="DE160" s="141">
        <v>0</v>
      </c>
      <c r="DF160" s="141">
        <v>-31014</v>
      </c>
      <c r="DG160" s="141">
        <v>-52011</v>
      </c>
      <c r="DH160" s="141">
        <v>0</v>
      </c>
      <c r="DI160" s="141">
        <v>-52011</v>
      </c>
      <c r="DJ160" s="141">
        <v>0</v>
      </c>
      <c r="DK160" s="141">
        <v>0</v>
      </c>
      <c r="DL160" s="141">
        <v>0</v>
      </c>
      <c r="DM160" s="141">
        <v>-1314396</v>
      </c>
      <c r="DN160" s="141">
        <v>0</v>
      </c>
      <c r="DO160" s="141">
        <v>-1314396</v>
      </c>
      <c r="DP160" s="141">
        <v>-1401025</v>
      </c>
      <c r="DQ160" s="141">
        <v>0</v>
      </c>
      <c r="DR160" s="141">
        <v>0</v>
      </c>
      <c r="DS160" s="141">
        <v>0</v>
      </c>
      <c r="DT160" s="141">
        <v>-1401025</v>
      </c>
      <c r="DU160" s="141">
        <v>0</v>
      </c>
      <c r="DV160" s="141">
        <v>-1401025</v>
      </c>
      <c r="DW160" s="856">
        <v>35122255</v>
      </c>
      <c r="DX160" s="856">
        <v>0</v>
      </c>
      <c r="DY160" s="857">
        <v>35122255</v>
      </c>
      <c r="DZ160" t="s">
        <v>1726</v>
      </c>
    </row>
    <row r="161" spans="1:130" ht="12.75" x14ac:dyDescent="0.2">
      <c r="A161" s="764">
        <v>154</v>
      </c>
      <c r="B161" s="765" t="s">
        <v>194</v>
      </c>
      <c r="C161" s="766" t="s">
        <v>1217</v>
      </c>
      <c r="D161" s="767" t="s">
        <v>1220</v>
      </c>
      <c r="E161" s="768" t="s">
        <v>193</v>
      </c>
      <c r="F161" s="867">
        <v>43465</v>
      </c>
      <c r="G161" s="141">
        <v>115112118</v>
      </c>
      <c r="H161" s="141">
        <v>0</v>
      </c>
      <c r="I161" s="141">
        <v>115112118</v>
      </c>
      <c r="J161" s="141">
        <v>49.1</v>
      </c>
      <c r="K161" s="141">
        <v>56520050</v>
      </c>
      <c r="L161" s="141">
        <v>0</v>
      </c>
      <c r="M161" s="141">
        <v>-1000000</v>
      </c>
      <c r="N161" s="141">
        <v>0</v>
      </c>
      <c r="O161" s="141">
        <v>55520050</v>
      </c>
      <c r="P161" s="141">
        <v>0</v>
      </c>
      <c r="Q161" s="141">
        <v>55520050</v>
      </c>
      <c r="R161" s="141">
        <v>-236812</v>
      </c>
      <c r="S161" s="141">
        <v>0</v>
      </c>
      <c r="T161" s="141">
        <v>-236812</v>
      </c>
      <c r="U161" s="141">
        <v>204292</v>
      </c>
      <c r="V161" s="141">
        <v>0</v>
      </c>
      <c r="W161" s="141">
        <v>204292</v>
      </c>
      <c r="X161" s="141">
        <v>-32520</v>
      </c>
      <c r="Y161" s="141">
        <v>0</v>
      </c>
      <c r="Z161" s="141">
        <v>17062</v>
      </c>
      <c r="AA161" s="141">
        <v>0</v>
      </c>
      <c r="AB161" s="141">
        <v>-15458</v>
      </c>
      <c r="AC161" s="141">
        <v>0</v>
      </c>
      <c r="AD161" s="141">
        <v>-15458</v>
      </c>
      <c r="AE161" s="141">
        <v>15458</v>
      </c>
      <c r="AF161" s="141">
        <v>0</v>
      </c>
      <c r="AG161" s="141">
        <v>15458</v>
      </c>
      <c r="AH161" s="141">
        <v>-3310465</v>
      </c>
      <c r="AI161" s="141">
        <v>0</v>
      </c>
      <c r="AJ161" s="141">
        <v>-3310465</v>
      </c>
      <c r="AK161" s="141">
        <v>-23469</v>
      </c>
      <c r="AL161" s="141">
        <v>0</v>
      </c>
      <c r="AM161" s="141">
        <v>-23469</v>
      </c>
      <c r="AN161" s="141">
        <v>1098310</v>
      </c>
      <c r="AO161" s="141">
        <v>0</v>
      </c>
      <c r="AP161" s="141">
        <v>1098310</v>
      </c>
      <c r="AQ161" s="141">
        <v>-2212155</v>
      </c>
      <c r="AR161" s="141">
        <v>0</v>
      </c>
      <c r="AS161" s="141">
        <v>-2212155</v>
      </c>
      <c r="AT161" s="141">
        <v>-5307404</v>
      </c>
      <c r="AU161" s="141">
        <v>0</v>
      </c>
      <c r="AV161" s="141">
        <v>-5307404</v>
      </c>
      <c r="AW161" s="141">
        <v>-71526</v>
      </c>
      <c r="AX161" s="141">
        <v>0</v>
      </c>
      <c r="AY161" s="141">
        <v>-71526</v>
      </c>
      <c r="AZ161" s="141">
        <v>0</v>
      </c>
      <c r="BA161" s="141">
        <v>0</v>
      </c>
      <c r="BB161" s="141">
        <v>0</v>
      </c>
      <c r="BC161" s="141">
        <v>-7591085</v>
      </c>
      <c r="BD161" s="141">
        <v>0</v>
      </c>
      <c r="BE161" s="141">
        <v>-391584</v>
      </c>
      <c r="BF161" s="141">
        <v>0</v>
      </c>
      <c r="BG161" s="141">
        <v>-7982669</v>
      </c>
      <c r="BH161" s="141">
        <v>0</v>
      </c>
      <c r="BI161" s="141">
        <v>-7982669</v>
      </c>
      <c r="BJ161" s="141">
        <v>0</v>
      </c>
      <c r="BK161" s="141">
        <v>0</v>
      </c>
      <c r="BL161" s="141">
        <v>0</v>
      </c>
      <c r="BM161" s="141">
        <v>-1002928</v>
      </c>
      <c r="BN161" s="141">
        <v>0</v>
      </c>
      <c r="BO161" s="141">
        <v>-1002928</v>
      </c>
      <c r="BP161" s="141">
        <v>-1002928</v>
      </c>
      <c r="BQ161" s="141">
        <v>0</v>
      </c>
      <c r="BR161" s="141">
        <v>-1000000</v>
      </c>
      <c r="BS161" s="141">
        <v>0</v>
      </c>
      <c r="BT161" s="141">
        <v>-2002928</v>
      </c>
      <c r="BU161" s="141">
        <v>0</v>
      </c>
      <c r="BV161" s="141">
        <v>-2002928</v>
      </c>
      <c r="BW161" s="141">
        <v>-41128</v>
      </c>
      <c r="BX161" s="141">
        <v>0</v>
      </c>
      <c r="BY161" s="141">
        <v>-41128</v>
      </c>
      <c r="BZ161" s="141">
        <v>-6113</v>
      </c>
      <c r="CA161" s="141">
        <v>0</v>
      </c>
      <c r="CB161" s="141">
        <v>-6113</v>
      </c>
      <c r="CC161" s="141">
        <v>-466</v>
      </c>
      <c r="CD161" s="141">
        <v>0</v>
      </c>
      <c r="CE161" s="141">
        <v>-466</v>
      </c>
      <c r="CF161" s="141">
        <v>0</v>
      </c>
      <c r="CG161" s="141">
        <v>0</v>
      </c>
      <c r="CH161" s="141">
        <v>0</v>
      </c>
      <c r="CI161" s="141">
        <v>0</v>
      </c>
      <c r="CJ161" s="141">
        <v>0</v>
      </c>
      <c r="CK161" s="141">
        <v>0</v>
      </c>
      <c r="CL161" s="141">
        <v>-100000</v>
      </c>
      <c r="CM161" s="141">
        <v>0</v>
      </c>
      <c r="CN161" s="141">
        <v>-100000</v>
      </c>
      <c r="CO161" s="141">
        <v>0</v>
      </c>
      <c r="CP161" s="141">
        <v>0</v>
      </c>
      <c r="CQ161" s="141">
        <v>-147707</v>
      </c>
      <c r="CR161" s="141">
        <v>0</v>
      </c>
      <c r="CS161" s="141">
        <v>3493</v>
      </c>
      <c r="CT161" s="141">
        <v>0</v>
      </c>
      <c r="CU161" s="141">
        <v>-144214</v>
      </c>
      <c r="CV161" s="141">
        <v>0</v>
      </c>
      <c r="CW161" s="141">
        <v>-144214</v>
      </c>
      <c r="CX161" s="141">
        <v>0</v>
      </c>
      <c r="CY161" s="141">
        <v>0</v>
      </c>
      <c r="CZ161" s="141">
        <v>0</v>
      </c>
      <c r="DA161" s="141">
        <v>-1500</v>
      </c>
      <c r="DB161" s="141">
        <v>0</v>
      </c>
      <c r="DC161" s="141">
        <v>-1500</v>
      </c>
      <c r="DD161" s="141">
        <v>-6678</v>
      </c>
      <c r="DE161" s="141">
        <v>0</v>
      </c>
      <c r="DF161" s="141">
        <v>-6678</v>
      </c>
      <c r="DG161" s="141">
        <v>-39000</v>
      </c>
      <c r="DH161" s="141">
        <v>0</v>
      </c>
      <c r="DI161" s="141">
        <v>-39000</v>
      </c>
      <c r="DJ161" s="141">
        <v>0</v>
      </c>
      <c r="DK161" s="141">
        <v>0</v>
      </c>
      <c r="DL161" s="141">
        <v>0</v>
      </c>
      <c r="DM161" s="141">
        <v>-1470330</v>
      </c>
      <c r="DN161" s="141">
        <v>0</v>
      </c>
      <c r="DO161" s="141">
        <v>-1470330</v>
      </c>
      <c r="DP161" s="141">
        <v>-1517508</v>
      </c>
      <c r="DQ161" s="141">
        <v>0</v>
      </c>
      <c r="DR161" s="141">
        <v>0</v>
      </c>
      <c r="DS161" s="141">
        <v>0</v>
      </c>
      <c r="DT161" s="141">
        <v>-1517508</v>
      </c>
      <c r="DU161" s="141">
        <v>0</v>
      </c>
      <c r="DV161" s="141">
        <v>-1517508</v>
      </c>
      <c r="DW161" s="856">
        <v>43857273</v>
      </c>
      <c r="DX161" s="856">
        <v>0</v>
      </c>
      <c r="DY161" s="857">
        <v>43857273</v>
      </c>
      <c r="DZ161" t="s">
        <v>1727</v>
      </c>
    </row>
    <row r="162" spans="1:130" ht="12.75" x14ac:dyDescent="0.2">
      <c r="A162" s="764">
        <v>155</v>
      </c>
      <c r="B162" s="765" t="s">
        <v>196</v>
      </c>
      <c r="C162" s="766" t="s">
        <v>1224</v>
      </c>
      <c r="D162" s="767" t="s">
        <v>1219</v>
      </c>
      <c r="E162" s="768" t="s">
        <v>195</v>
      </c>
      <c r="F162" s="867">
        <v>43460</v>
      </c>
      <c r="G162" s="141">
        <v>465886227</v>
      </c>
      <c r="H162" s="141">
        <v>72381956</v>
      </c>
      <c r="I162" s="141">
        <v>538268183</v>
      </c>
      <c r="J162" s="141">
        <v>49.1</v>
      </c>
      <c r="K162" s="141">
        <v>228750137</v>
      </c>
      <c r="L162" s="141">
        <v>35539540</v>
      </c>
      <c r="M162" s="141">
        <v>2903014</v>
      </c>
      <c r="N162" s="141">
        <v>533986</v>
      </c>
      <c r="O162" s="141">
        <v>231653151</v>
      </c>
      <c r="P162" s="141">
        <v>36073526</v>
      </c>
      <c r="Q162" s="141">
        <v>267726677</v>
      </c>
      <c r="R162" s="141">
        <v>-2954400</v>
      </c>
      <c r="S162" s="141">
        <v>-113021</v>
      </c>
      <c r="T162" s="141">
        <v>-3067421</v>
      </c>
      <c r="U162" s="141">
        <v>3416714</v>
      </c>
      <c r="V162" s="141">
        <v>693902</v>
      </c>
      <c r="W162" s="141">
        <v>4110616</v>
      </c>
      <c r="X162" s="141">
        <v>462314</v>
      </c>
      <c r="Y162" s="141">
        <v>580881</v>
      </c>
      <c r="Z162" s="141">
        <v>0</v>
      </c>
      <c r="AA162" s="141">
        <v>0</v>
      </c>
      <c r="AB162" s="141">
        <v>462314</v>
      </c>
      <c r="AC162" s="141">
        <v>580881</v>
      </c>
      <c r="AD162" s="141">
        <v>1043195</v>
      </c>
      <c r="AE162" s="141">
        <v>-462314</v>
      </c>
      <c r="AF162" s="141">
        <v>-580881</v>
      </c>
      <c r="AG162" s="141">
        <v>-1043195</v>
      </c>
      <c r="AH162" s="141">
        <v>-14118345</v>
      </c>
      <c r="AI162" s="141">
        <v>-1077796</v>
      </c>
      <c r="AJ162" s="141">
        <v>-15196141</v>
      </c>
      <c r="AK162" s="141">
        <v>-65203</v>
      </c>
      <c r="AL162" s="141">
        <v>-10778</v>
      </c>
      <c r="AM162" s="141">
        <v>-75981</v>
      </c>
      <c r="AN162" s="141">
        <v>4635799</v>
      </c>
      <c r="AO162" s="141">
        <v>745490</v>
      </c>
      <c r="AP162" s="141">
        <v>5381289</v>
      </c>
      <c r="AQ162" s="141">
        <v>-9482546</v>
      </c>
      <c r="AR162" s="141">
        <v>-332306</v>
      </c>
      <c r="AS162" s="141">
        <v>-9814852</v>
      </c>
      <c r="AT162" s="141">
        <v>-20123516</v>
      </c>
      <c r="AU162" s="141">
        <v>-1020552</v>
      </c>
      <c r="AV162" s="141">
        <v>-21144068</v>
      </c>
      <c r="AW162" s="141">
        <v>-6124</v>
      </c>
      <c r="AX162" s="141">
        <v>0</v>
      </c>
      <c r="AY162" s="141">
        <v>-6124</v>
      </c>
      <c r="AZ162" s="141">
        <v>0</v>
      </c>
      <c r="BA162" s="141">
        <v>0</v>
      </c>
      <c r="BB162" s="141">
        <v>0</v>
      </c>
      <c r="BC162" s="141">
        <v>-29612186</v>
      </c>
      <c r="BD162" s="141">
        <v>-1352858</v>
      </c>
      <c r="BE162" s="141">
        <v>-725754</v>
      </c>
      <c r="BF162" s="141">
        <v>-133497</v>
      </c>
      <c r="BG162" s="141">
        <v>-30337940</v>
      </c>
      <c r="BH162" s="141">
        <v>-1486355</v>
      </c>
      <c r="BI162" s="141">
        <v>-31824295</v>
      </c>
      <c r="BJ162" s="141">
        <v>0</v>
      </c>
      <c r="BK162" s="141">
        <v>0</v>
      </c>
      <c r="BL162" s="141">
        <v>0</v>
      </c>
      <c r="BM162" s="141">
        <v>-5657125</v>
      </c>
      <c r="BN162" s="141">
        <v>-6168809</v>
      </c>
      <c r="BO162" s="141">
        <v>-11825934</v>
      </c>
      <c r="BP162" s="141">
        <v>-5657125</v>
      </c>
      <c r="BQ162" s="141">
        <v>-6168809</v>
      </c>
      <c r="BR162" s="141">
        <v>-2111590</v>
      </c>
      <c r="BS162" s="141">
        <v>-388410</v>
      </c>
      <c r="BT162" s="141">
        <v>-7768715</v>
      </c>
      <c r="BU162" s="141">
        <v>-6557219</v>
      </c>
      <c r="BV162" s="141">
        <v>-14325934</v>
      </c>
      <c r="BW162" s="141">
        <v>-117482</v>
      </c>
      <c r="BX162" s="141">
        <v>-3583</v>
      </c>
      <c r="BY162" s="141">
        <v>-121065</v>
      </c>
      <c r="BZ162" s="141">
        <v>-34738</v>
      </c>
      <c r="CA162" s="141">
        <v>0</v>
      </c>
      <c r="CB162" s="141">
        <v>-34738</v>
      </c>
      <c r="CC162" s="141">
        <v>0</v>
      </c>
      <c r="CD162" s="141">
        <v>0</v>
      </c>
      <c r="CE162" s="141">
        <v>0</v>
      </c>
      <c r="CF162" s="141">
        <v>0</v>
      </c>
      <c r="CG162" s="141">
        <v>0</v>
      </c>
      <c r="CH162" s="141">
        <v>0</v>
      </c>
      <c r="CI162" s="141">
        <v>0</v>
      </c>
      <c r="CJ162" s="141">
        <v>0</v>
      </c>
      <c r="CK162" s="141">
        <v>0</v>
      </c>
      <c r="CL162" s="141">
        <v>0</v>
      </c>
      <c r="CM162" s="141">
        <v>-414488</v>
      </c>
      <c r="CN162" s="141">
        <v>-414488</v>
      </c>
      <c r="CO162" s="141">
        <v>-414488</v>
      </c>
      <c r="CP162" s="141">
        <v>0</v>
      </c>
      <c r="CQ162" s="141">
        <v>-152220</v>
      </c>
      <c r="CR162" s="141">
        <v>-418071</v>
      </c>
      <c r="CS162" s="141">
        <v>0</v>
      </c>
      <c r="CT162" s="141">
        <v>0</v>
      </c>
      <c r="CU162" s="141">
        <v>-152220</v>
      </c>
      <c r="CV162" s="141">
        <v>-418071</v>
      </c>
      <c r="CW162" s="141">
        <v>-570291</v>
      </c>
      <c r="CX162" s="141">
        <v>0</v>
      </c>
      <c r="CY162" s="141">
        <v>0</v>
      </c>
      <c r="CZ162" s="141">
        <v>0</v>
      </c>
      <c r="DA162" s="141">
        <v>-1500</v>
      </c>
      <c r="DB162" s="141">
        <v>0</v>
      </c>
      <c r="DC162" s="141">
        <v>-1500</v>
      </c>
      <c r="DD162" s="141">
        <v>-94537</v>
      </c>
      <c r="DE162" s="141">
        <v>-10335</v>
      </c>
      <c r="DF162" s="141">
        <v>-104872</v>
      </c>
      <c r="DG162" s="141">
        <v>-192954</v>
      </c>
      <c r="DH162" s="141">
        <v>-35578</v>
      </c>
      <c r="DI162" s="141">
        <v>-228532</v>
      </c>
      <c r="DJ162" s="141">
        <v>0</v>
      </c>
      <c r="DK162" s="141">
        <v>0</v>
      </c>
      <c r="DL162" s="141">
        <v>0</v>
      </c>
      <c r="DM162" s="141">
        <v>-3990453</v>
      </c>
      <c r="DN162" s="141">
        <v>-822196</v>
      </c>
      <c r="DO162" s="141">
        <v>-4812649</v>
      </c>
      <c r="DP162" s="141">
        <v>-4279444</v>
      </c>
      <c r="DQ162" s="141">
        <v>-868109</v>
      </c>
      <c r="DR162" s="141">
        <v>0</v>
      </c>
      <c r="DS162" s="141">
        <v>0</v>
      </c>
      <c r="DT162" s="141">
        <v>-4279444</v>
      </c>
      <c r="DU162" s="141">
        <v>-868109</v>
      </c>
      <c r="DV162" s="141">
        <v>-5147553</v>
      </c>
      <c r="DW162" s="856">
        <v>189577146</v>
      </c>
      <c r="DX162" s="856">
        <v>27324653</v>
      </c>
      <c r="DY162" s="857">
        <v>216901799</v>
      </c>
      <c r="DZ162" t="s">
        <v>1728</v>
      </c>
    </row>
    <row r="163" spans="1:130" ht="12.75" x14ac:dyDescent="0.2">
      <c r="A163" s="764">
        <v>156</v>
      </c>
      <c r="B163" s="765" t="s">
        <v>198</v>
      </c>
      <c r="C163" s="766" t="s">
        <v>529</v>
      </c>
      <c r="D163" s="767" t="s">
        <v>1221</v>
      </c>
      <c r="E163" s="768" t="s">
        <v>534</v>
      </c>
      <c r="F163" s="867">
        <v>45</v>
      </c>
      <c r="G163" s="141">
        <v>160438975</v>
      </c>
      <c r="H163" s="141">
        <v>8750530</v>
      </c>
      <c r="I163" s="141">
        <v>169189505</v>
      </c>
      <c r="J163" s="141">
        <v>49.1</v>
      </c>
      <c r="K163" s="141">
        <v>78775537</v>
      </c>
      <c r="L163" s="141">
        <v>4296510</v>
      </c>
      <c r="M163" s="141">
        <v>0</v>
      </c>
      <c r="N163" s="141">
        <v>0</v>
      </c>
      <c r="O163" s="141">
        <v>78775537</v>
      </c>
      <c r="P163" s="141">
        <v>4296510</v>
      </c>
      <c r="Q163" s="141">
        <v>83072047</v>
      </c>
      <c r="R163" s="141">
        <v>-954558</v>
      </c>
      <c r="S163" s="141">
        <v>-18402</v>
      </c>
      <c r="T163" s="141">
        <v>-972960</v>
      </c>
      <c r="U163" s="141">
        <v>1323012</v>
      </c>
      <c r="V163" s="141">
        <v>28523</v>
      </c>
      <c r="W163" s="141">
        <v>1351535</v>
      </c>
      <c r="X163" s="141">
        <v>368454</v>
      </c>
      <c r="Y163" s="141">
        <v>10121</v>
      </c>
      <c r="Z163" s="141">
        <v>0</v>
      </c>
      <c r="AA163" s="141">
        <v>0</v>
      </c>
      <c r="AB163" s="141">
        <v>368454</v>
      </c>
      <c r="AC163" s="141">
        <v>10121</v>
      </c>
      <c r="AD163" s="141">
        <v>378575</v>
      </c>
      <c r="AE163" s="141">
        <v>-368454</v>
      </c>
      <c r="AF163" s="141">
        <v>-10121</v>
      </c>
      <c r="AG163" s="141">
        <v>-378575</v>
      </c>
      <c r="AH163" s="141">
        <v>-5477847</v>
      </c>
      <c r="AI163" s="141">
        <v>-11048</v>
      </c>
      <c r="AJ163" s="141">
        <v>-5488895</v>
      </c>
      <c r="AK163" s="141">
        <v>-5092</v>
      </c>
      <c r="AL163" s="141">
        <v>0</v>
      </c>
      <c r="AM163" s="141">
        <v>-5092</v>
      </c>
      <c r="AN163" s="141">
        <v>1496640</v>
      </c>
      <c r="AO163" s="141">
        <v>99724</v>
      </c>
      <c r="AP163" s="141">
        <v>1596364</v>
      </c>
      <c r="AQ163" s="141">
        <v>-3981207</v>
      </c>
      <c r="AR163" s="141">
        <v>88676</v>
      </c>
      <c r="AS163" s="141">
        <v>-3892531</v>
      </c>
      <c r="AT163" s="141">
        <v>-5865807</v>
      </c>
      <c r="AU163" s="141">
        <v>0</v>
      </c>
      <c r="AV163" s="141">
        <v>-5865807</v>
      </c>
      <c r="AW163" s="141">
        <v>-44916</v>
      </c>
      <c r="AX163" s="141">
        <v>0</v>
      </c>
      <c r="AY163" s="141">
        <v>-44916</v>
      </c>
      <c r="AZ163" s="141">
        <v>0</v>
      </c>
      <c r="BA163" s="141">
        <v>0</v>
      </c>
      <c r="BB163" s="141">
        <v>0</v>
      </c>
      <c r="BC163" s="141">
        <v>-9891930</v>
      </c>
      <c r="BD163" s="141">
        <v>88676</v>
      </c>
      <c r="BE163" s="141">
        <v>0</v>
      </c>
      <c r="BF163" s="141">
        <v>0</v>
      </c>
      <c r="BG163" s="141">
        <v>-9891930</v>
      </c>
      <c r="BH163" s="141">
        <v>88676</v>
      </c>
      <c r="BI163" s="141">
        <v>-9803254</v>
      </c>
      <c r="BJ163" s="141">
        <v>-209675</v>
      </c>
      <c r="BK163" s="141">
        <v>0</v>
      </c>
      <c r="BL163" s="141">
        <v>-209675</v>
      </c>
      <c r="BM163" s="141">
        <v>-1510963</v>
      </c>
      <c r="BN163" s="141">
        <v>-17942</v>
      </c>
      <c r="BO163" s="141">
        <v>-1528905</v>
      </c>
      <c r="BP163" s="141">
        <v>-1720638</v>
      </c>
      <c r="BQ163" s="141">
        <v>-17942</v>
      </c>
      <c r="BR163" s="141">
        <v>0</v>
      </c>
      <c r="BS163" s="141">
        <v>0</v>
      </c>
      <c r="BT163" s="141">
        <v>-1720638</v>
      </c>
      <c r="BU163" s="141">
        <v>-17942</v>
      </c>
      <c r="BV163" s="141">
        <v>-1738580</v>
      </c>
      <c r="BW163" s="141">
        <v>-172774</v>
      </c>
      <c r="BX163" s="141">
        <v>0</v>
      </c>
      <c r="BY163" s="141">
        <v>-172774</v>
      </c>
      <c r="BZ163" s="141">
        <v>-69311</v>
      </c>
      <c r="CA163" s="141">
        <v>0</v>
      </c>
      <c r="CB163" s="141">
        <v>-69311</v>
      </c>
      <c r="CC163" s="141">
        <v>0</v>
      </c>
      <c r="CD163" s="141">
        <v>0</v>
      </c>
      <c r="CE163" s="141">
        <v>0</v>
      </c>
      <c r="CF163" s="141">
        <v>0</v>
      </c>
      <c r="CG163" s="141">
        <v>0</v>
      </c>
      <c r="CH163" s="141">
        <v>0</v>
      </c>
      <c r="CI163" s="141">
        <v>0</v>
      </c>
      <c r="CJ163" s="141">
        <v>0</v>
      </c>
      <c r="CK163" s="141">
        <v>0</v>
      </c>
      <c r="CL163" s="141">
        <v>-2110</v>
      </c>
      <c r="CM163" s="141">
        <v>0</v>
      </c>
      <c r="CN163" s="141">
        <v>-2110</v>
      </c>
      <c r="CO163" s="141">
        <v>0</v>
      </c>
      <c r="CP163" s="141">
        <v>0</v>
      </c>
      <c r="CQ163" s="141">
        <v>-244195</v>
      </c>
      <c r="CR163" s="141">
        <v>0</v>
      </c>
      <c r="CS163" s="141">
        <v>0</v>
      </c>
      <c r="CT163" s="141">
        <v>0</v>
      </c>
      <c r="CU163" s="141">
        <v>-244195</v>
      </c>
      <c r="CV163" s="141">
        <v>0</v>
      </c>
      <c r="CW163" s="141">
        <v>-244195</v>
      </c>
      <c r="CX163" s="141">
        <v>0</v>
      </c>
      <c r="CY163" s="141">
        <v>0</v>
      </c>
      <c r="CZ163" s="141">
        <v>0</v>
      </c>
      <c r="DA163" s="141">
        <v>-1500</v>
      </c>
      <c r="DB163" s="141">
        <v>0</v>
      </c>
      <c r="DC163" s="141">
        <v>-1500</v>
      </c>
      <c r="DD163" s="141">
        <v>-85550</v>
      </c>
      <c r="DE163" s="141">
        <v>0</v>
      </c>
      <c r="DF163" s="141">
        <v>-85550</v>
      </c>
      <c r="DG163" s="141">
        <v>-59000</v>
      </c>
      <c r="DH163" s="141">
        <v>0</v>
      </c>
      <c r="DI163" s="141">
        <v>-59000</v>
      </c>
      <c r="DJ163" s="141">
        <v>0</v>
      </c>
      <c r="DK163" s="141">
        <v>0</v>
      </c>
      <c r="DL163" s="141">
        <v>0</v>
      </c>
      <c r="DM163" s="141">
        <v>-1411326</v>
      </c>
      <c r="DN163" s="141">
        <v>0</v>
      </c>
      <c r="DO163" s="141">
        <v>-1411326</v>
      </c>
      <c r="DP163" s="141">
        <v>-1557376</v>
      </c>
      <c r="DQ163" s="141">
        <v>0</v>
      </c>
      <c r="DR163" s="141">
        <v>0</v>
      </c>
      <c r="DS163" s="141">
        <v>0</v>
      </c>
      <c r="DT163" s="141">
        <v>-1557376</v>
      </c>
      <c r="DU163" s="141">
        <v>0</v>
      </c>
      <c r="DV163" s="141">
        <v>-1557376</v>
      </c>
      <c r="DW163" s="856">
        <v>65729852</v>
      </c>
      <c r="DX163" s="856">
        <v>4377365</v>
      </c>
      <c r="DY163" s="857">
        <v>70107217</v>
      </c>
      <c r="DZ163" t="s">
        <v>1729</v>
      </c>
    </row>
    <row r="164" spans="1:130" ht="12.75" x14ac:dyDescent="0.2">
      <c r="A164" s="764">
        <v>157</v>
      </c>
      <c r="B164" s="765" t="s">
        <v>200</v>
      </c>
      <c r="C164" s="766" t="s">
        <v>1217</v>
      </c>
      <c r="D164" s="767" t="s">
        <v>1218</v>
      </c>
      <c r="E164" s="768" t="s">
        <v>199</v>
      </c>
      <c r="F164" s="867">
        <v>43476</v>
      </c>
      <c r="G164" s="141">
        <v>145466796</v>
      </c>
      <c r="H164" s="141">
        <v>255000</v>
      </c>
      <c r="I164" s="141">
        <v>145721796</v>
      </c>
      <c r="J164" s="141">
        <v>49.1</v>
      </c>
      <c r="K164" s="141">
        <v>71424197</v>
      </c>
      <c r="L164" s="141">
        <v>125205</v>
      </c>
      <c r="M164" s="141">
        <v>0</v>
      </c>
      <c r="N164" s="141">
        <v>0</v>
      </c>
      <c r="O164" s="141">
        <v>71424197</v>
      </c>
      <c r="P164" s="141">
        <v>125205</v>
      </c>
      <c r="Q164" s="141">
        <v>71549402</v>
      </c>
      <c r="R164" s="141">
        <v>-578676</v>
      </c>
      <c r="S164" s="141">
        <v>0</v>
      </c>
      <c r="T164" s="141">
        <v>-578676</v>
      </c>
      <c r="U164" s="141">
        <v>1499269</v>
      </c>
      <c r="V164" s="141">
        <v>0</v>
      </c>
      <c r="W164" s="141">
        <v>1499269</v>
      </c>
      <c r="X164" s="141">
        <v>920593</v>
      </c>
      <c r="Y164" s="141">
        <v>0</v>
      </c>
      <c r="Z164" s="141">
        <v>0</v>
      </c>
      <c r="AA164" s="141">
        <v>0</v>
      </c>
      <c r="AB164" s="141">
        <v>920593</v>
      </c>
      <c r="AC164" s="141">
        <v>0</v>
      </c>
      <c r="AD164" s="141">
        <v>920593</v>
      </c>
      <c r="AE164" s="141">
        <v>-920593</v>
      </c>
      <c r="AF164" s="141">
        <v>0</v>
      </c>
      <c r="AG164" s="141">
        <v>-920593</v>
      </c>
      <c r="AH164" s="141">
        <v>-4496591</v>
      </c>
      <c r="AI164" s="141">
        <v>0</v>
      </c>
      <c r="AJ164" s="141">
        <v>-4496591</v>
      </c>
      <c r="AK164" s="141">
        <v>-8312</v>
      </c>
      <c r="AL164" s="141">
        <v>0</v>
      </c>
      <c r="AM164" s="141">
        <v>-8312</v>
      </c>
      <c r="AN164" s="141">
        <v>1320950</v>
      </c>
      <c r="AO164" s="141">
        <v>0</v>
      </c>
      <c r="AP164" s="141">
        <v>1320950</v>
      </c>
      <c r="AQ164" s="141">
        <v>-3175641</v>
      </c>
      <c r="AR164" s="141">
        <v>0</v>
      </c>
      <c r="AS164" s="141">
        <v>-3175641</v>
      </c>
      <c r="AT164" s="141">
        <v>-4881848</v>
      </c>
      <c r="AU164" s="141">
        <v>0</v>
      </c>
      <c r="AV164" s="141">
        <v>-4881848</v>
      </c>
      <c r="AW164" s="141">
        <v>-111067</v>
      </c>
      <c r="AX164" s="141">
        <v>0</v>
      </c>
      <c r="AY164" s="141">
        <v>-111067</v>
      </c>
      <c r="AZ164" s="141">
        <v>-3320</v>
      </c>
      <c r="BA164" s="141">
        <v>0</v>
      </c>
      <c r="BB164" s="141">
        <v>-3320</v>
      </c>
      <c r="BC164" s="141">
        <v>-8171876</v>
      </c>
      <c r="BD164" s="141">
        <v>0</v>
      </c>
      <c r="BE164" s="141">
        <v>0</v>
      </c>
      <c r="BF164" s="141">
        <v>0</v>
      </c>
      <c r="BG164" s="141">
        <v>-8171876</v>
      </c>
      <c r="BH164" s="141">
        <v>0</v>
      </c>
      <c r="BI164" s="141">
        <v>-8171876</v>
      </c>
      <c r="BJ164" s="141">
        <v>0</v>
      </c>
      <c r="BK164" s="141">
        <v>0</v>
      </c>
      <c r="BL164" s="141">
        <v>0</v>
      </c>
      <c r="BM164" s="141">
        <v>-1762545</v>
      </c>
      <c r="BN164" s="141">
        <v>0</v>
      </c>
      <c r="BO164" s="141">
        <v>-1762545</v>
      </c>
      <c r="BP164" s="141">
        <v>-1762545</v>
      </c>
      <c r="BQ164" s="141">
        <v>0</v>
      </c>
      <c r="BR164" s="141">
        <v>0</v>
      </c>
      <c r="BS164" s="141">
        <v>0</v>
      </c>
      <c r="BT164" s="141">
        <v>-1762545</v>
      </c>
      <c r="BU164" s="141">
        <v>0</v>
      </c>
      <c r="BV164" s="141">
        <v>-1762545</v>
      </c>
      <c r="BW164" s="141">
        <v>-143706</v>
      </c>
      <c r="BX164" s="141">
        <v>0</v>
      </c>
      <c r="BY164" s="141">
        <v>-143706</v>
      </c>
      <c r="BZ164" s="141">
        <v>-9512</v>
      </c>
      <c r="CA164" s="141">
        <v>0</v>
      </c>
      <c r="CB164" s="141">
        <v>-9512</v>
      </c>
      <c r="CC164" s="141">
        <v>-7913</v>
      </c>
      <c r="CD164" s="141">
        <v>0</v>
      </c>
      <c r="CE164" s="141">
        <v>-7913</v>
      </c>
      <c r="CF164" s="141">
        <v>-3320</v>
      </c>
      <c r="CG164" s="141">
        <v>0</v>
      </c>
      <c r="CH164" s="141">
        <v>-3320</v>
      </c>
      <c r="CI164" s="141">
        <v>0</v>
      </c>
      <c r="CJ164" s="141">
        <v>0</v>
      </c>
      <c r="CK164" s="141">
        <v>0</v>
      </c>
      <c r="CL164" s="141">
        <v>0</v>
      </c>
      <c r="CM164" s="141">
        <v>-55000</v>
      </c>
      <c r="CN164" s="141">
        <v>-55000</v>
      </c>
      <c r="CO164" s="141">
        <v>-55000</v>
      </c>
      <c r="CP164" s="141">
        <v>0</v>
      </c>
      <c r="CQ164" s="141">
        <v>-164451</v>
      </c>
      <c r="CR164" s="141">
        <v>-55000</v>
      </c>
      <c r="CS164" s="141">
        <v>0</v>
      </c>
      <c r="CT164" s="141">
        <v>0</v>
      </c>
      <c r="CU164" s="141">
        <v>-164451</v>
      </c>
      <c r="CV164" s="141">
        <v>-55000</v>
      </c>
      <c r="CW164" s="141">
        <v>-219451</v>
      </c>
      <c r="CX164" s="141">
        <v>0</v>
      </c>
      <c r="CY164" s="141">
        <v>0</v>
      </c>
      <c r="CZ164" s="141">
        <v>0</v>
      </c>
      <c r="DA164" s="141">
        <v>-2001</v>
      </c>
      <c r="DB164" s="141">
        <v>0</v>
      </c>
      <c r="DC164" s="141">
        <v>-2001</v>
      </c>
      <c r="DD164" s="141">
        <v>-51501</v>
      </c>
      <c r="DE164" s="141">
        <v>0</v>
      </c>
      <c r="DF164" s="141">
        <v>-51501</v>
      </c>
      <c r="DG164" s="141">
        <v>-57000</v>
      </c>
      <c r="DH164" s="141">
        <v>0</v>
      </c>
      <c r="DI164" s="141">
        <v>-57000</v>
      </c>
      <c r="DJ164" s="141">
        <v>0</v>
      </c>
      <c r="DK164" s="141">
        <v>0</v>
      </c>
      <c r="DL164" s="141">
        <v>0</v>
      </c>
      <c r="DM164" s="141">
        <v>-1863998</v>
      </c>
      <c r="DN164" s="141">
        <v>0</v>
      </c>
      <c r="DO164" s="141">
        <v>-1863998</v>
      </c>
      <c r="DP164" s="141">
        <v>-1974500</v>
      </c>
      <c r="DQ164" s="141">
        <v>0</v>
      </c>
      <c r="DR164" s="141">
        <v>0</v>
      </c>
      <c r="DS164" s="141">
        <v>0</v>
      </c>
      <c r="DT164" s="141">
        <v>-1974500</v>
      </c>
      <c r="DU164" s="141">
        <v>0</v>
      </c>
      <c r="DV164" s="141">
        <v>-1974500</v>
      </c>
      <c r="DW164" s="856">
        <v>60271418</v>
      </c>
      <c r="DX164" s="856">
        <v>70205</v>
      </c>
      <c r="DY164" s="857">
        <v>60341623</v>
      </c>
      <c r="DZ164" t="s">
        <v>1730</v>
      </c>
    </row>
    <row r="165" spans="1:130" ht="12.75" x14ac:dyDescent="0.2">
      <c r="A165" s="764">
        <v>158</v>
      </c>
      <c r="B165" s="765" t="s">
        <v>202</v>
      </c>
      <c r="C165" s="766" t="s">
        <v>1217</v>
      </c>
      <c r="D165" s="767" t="s">
        <v>1221</v>
      </c>
      <c r="E165" s="768" t="s">
        <v>201</v>
      </c>
      <c r="F165" s="867">
        <v>43481</v>
      </c>
      <c r="G165" s="141">
        <v>39847938</v>
      </c>
      <c r="H165" s="141">
        <v>0</v>
      </c>
      <c r="I165" s="141">
        <v>39847938</v>
      </c>
      <c r="J165" s="141">
        <v>49.1</v>
      </c>
      <c r="K165" s="141">
        <v>19565338</v>
      </c>
      <c r="L165" s="141">
        <v>0</v>
      </c>
      <c r="M165" s="141">
        <v>0</v>
      </c>
      <c r="N165" s="141">
        <v>0</v>
      </c>
      <c r="O165" s="141">
        <v>19565338</v>
      </c>
      <c r="P165" s="141">
        <v>0</v>
      </c>
      <c r="Q165" s="141">
        <v>19565338</v>
      </c>
      <c r="R165" s="141">
        <v>-206924</v>
      </c>
      <c r="S165" s="141">
        <v>0</v>
      </c>
      <c r="T165" s="141">
        <v>-206924</v>
      </c>
      <c r="U165" s="141">
        <v>26256</v>
      </c>
      <c r="V165" s="141">
        <v>0</v>
      </c>
      <c r="W165" s="141">
        <v>26256</v>
      </c>
      <c r="X165" s="141">
        <v>-180668</v>
      </c>
      <c r="Y165" s="141">
        <v>0</v>
      </c>
      <c r="Z165" s="141">
        <v>13720</v>
      </c>
      <c r="AA165" s="141">
        <v>0</v>
      </c>
      <c r="AB165" s="141">
        <v>-166948</v>
      </c>
      <c r="AC165" s="141">
        <v>0</v>
      </c>
      <c r="AD165" s="141">
        <v>-166948</v>
      </c>
      <c r="AE165" s="141">
        <v>166948</v>
      </c>
      <c r="AF165" s="141">
        <v>0</v>
      </c>
      <c r="AG165" s="141">
        <v>166948</v>
      </c>
      <c r="AH165" s="141">
        <v>-2960337</v>
      </c>
      <c r="AI165" s="141">
        <v>0</v>
      </c>
      <c r="AJ165" s="141">
        <v>-2960337</v>
      </c>
      <c r="AK165" s="141">
        <v>-42419</v>
      </c>
      <c r="AL165" s="141">
        <v>0</v>
      </c>
      <c r="AM165" s="141">
        <v>-42419</v>
      </c>
      <c r="AN165" s="141">
        <v>280396</v>
      </c>
      <c r="AO165" s="141">
        <v>0</v>
      </c>
      <c r="AP165" s="141">
        <v>280396</v>
      </c>
      <c r="AQ165" s="141">
        <v>-2679941</v>
      </c>
      <c r="AR165" s="141">
        <v>0</v>
      </c>
      <c r="AS165" s="141">
        <v>-2679941</v>
      </c>
      <c r="AT165" s="141">
        <v>-873946</v>
      </c>
      <c r="AU165" s="141">
        <v>0</v>
      </c>
      <c r="AV165" s="141">
        <v>-873946</v>
      </c>
      <c r="AW165" s="141">
        <v>-62992</v>
      </c>
      <c r="AX165" s="141">
        <v>0</v>
      </c>
      <c r="AY165" s="141">
        <v>-62992</v>
      </c>
      <c r="AZ165" s="141">
        <v>-9299</v>
      </c>
      <c r="BA165" s="141">
        <v>0</v>
      </c>
      <c r="BB165" s="141">
        <v>-9299</v>
      </c>
      <c r="BC165" s="141">
        <v>-3626178</v>
      </c>
      <c r="BD165" s="141">
        <v>0</v>
      </c>
      <c r="BE165" s="141">
        <v>0</v>
      </c>
      <c r="BF165" s="141">
        <v>0</v>
      </c>
      <c r="BG165" s="141">
        <v>-3626178</v>
      </c>
      <c r="BH165" s="141">
        <v>0</v>
      </c>
      <c r="BI165" s="141">
        <v>-3626178</v>
      </c>
      <c r="BJ165" s="141">
        <v>0</v>
      </c>
      <c r="BK165" s="141">
        <v>0</v>
      </c>
      <c r="BL165" s="141">
        <v>0</v>
      </c>
      <c r="BM165" s="141">
        <v>-368569</v>
      </c>
      <c r="BN165" s="141">
        <v>0</v>
      </c>
      <c r="BO165" s="141">
        <v>-368569</v>
      </c>
      <c r="BP165" s="141">
        <v>-368569</v>
      </c>
      <c r="BQ165" s="141">
        <v>0</v>
      </c>
      <c r="BR165" s="141">
        <v>0</v>
      </c>
      <c r="BS165" s="141">
        <v>0</v>
      </c>
      <c r="BT165" s="141">
        <v>-368569</v>
      </c>
      <c r="BU165" s="141">
        <v>0</v>
      </c>
      <c r="BV165" s="141">
        <v>-368569</v>
      </c>
      <c r="BW165" s="141">
        <v>-31795</v>
      </c>
      <c r="BX165" s="141">
        <v>0</v>
      </c>
      <c r="BY165" s="141">
        <v>-31795</v>
      </c>
      <c r="BZ165" s="141">
        <v>-5975</v>
      </c>
      <c r="CA165" s="141">
        <v>0</v>
      </c>
      <c r="CB165" s="141">
        <v>-5975</v>
      </c>
      <c r="CC165" s="141">
        <v>-297</v>
      </c>
      <c r="CD165" s="141">
        <v>0</v>
      </c>
      <c r="CE165" s="141">
        <v>-297</v>
      </c>
      <c r="CF165" s="141">
        <v>0</v>
      </c>
      <c r="CG165" s="141">
        <v>0</v>
      </c>
      <c r="CH165" s="141">
        <v>0</v>
      </c>
      <c r="CI165" s="141">
        <v>0</v>
      </c>
      <c r="CJ165" s="141">
        <v>0</v>
      </c>
      <c r="CK165" s="141">
        <v>0</v>
      </c>
      <c r="CL165" s="141">
        <v>0</v>
      </c>
      <c r="CM165" s="141">
        <v>0</v>
      </c>
      <c r="CN165" s="141">
        <v>0</v>
      </c>
      <c r="CO165" s="141">
        <v>0</v>
      </c>
      <c r="CP165" s="141">
        <v>0</v>
      </c>
      <c r="CQ165" s="141">
        <v>-38067</v>
      </c>
      <c r="CR165" s="141">
        <v>0</v>
      </c>
      <c r="CS165" s="141">
        <v>0</v>
      </c>
      <c r="CT165" s="141">
        <v>0</v>
      </c>
      <c r="CU165" s="141">
        <v>-38067</v>
      </c>
      <c r="CV165" s="141">
        <v>0</v>
      </c>
      <c r="CW165" s="141">
        <v>-38067</v>
      </c>
      <c r="CX165" s="141">
        <v>-9299</v>
      </c>
      <c r="CY165" s="141">
        <v>0</v>
      </c>
      <c r="CZ165" s="141">
        <v>-9299</v>
      </c>
      <c r="DA165" s="141">
        <v>0</v>
      </c>
      <c r="DB165" s="141">
        <v>0</v>
      </c>
      <c r="DC165" s="141">
        <v>0</v>
      </c>
      <c r="DD165" s="141">
        <v>-31821</v>
      </c>
      <c r="DE165" s="141">
        <v>0</v>
      </c>
      <c r="DF165" s="141">
        <v>-31821</v>
      </c>
      <c r="DG165" s="141">
        <v>-21600</v>
      </c>
      <c r="DH165" s="141">
        <v>0</v>
      </c>
      <c r="DI165" s="141">
        <v>-21600</v>
      </c>
      <c r="DJ165" s="141">
        <v>0</v>
      </c>
      <c r="DK165" s="141">
        <v>0</v>
      </c>
      <c r="DL165" s="141">
        <v>0</v>
      </c>
      <c r="DM165" s="141">
        <v>-400893</v>
      </c>
      <c r="DN165" s="141">
        <v>0</v>
      </c>
      <c r="DO165" s="141">
        <v>-400893</v>
      </c>
      <c r="DP165" s="141">
        <v>-463613</v>
      </c>
      <c r="DQ165" s="141">
        <v>0</v>
      </c>
      <c r="DR165" s="141">
        <v>0</v>
      </c>
      <c r="DS165" s="141">
        <v>0</v>
      </c>
      <c r="DT165" s="141">
        <v>-463613</v>
      </c>
      <c r="DU165" s="141">
        <v>0</v>
      </c>
      <c r="DV165" s="141">
        <v>-463613</v>
      </c>
      <c r="DW165" s="856">
        <v>14901963</v>
      </c>
      <c r="DX165" s="856">
        <v>0</v>
      </c>
      <c r="DY165" s="857">
        <v>14901963</v>
      </c>
      <c r="DZ165" t="s">
        <v>1731</v>
      </c>
    </row>
    <row r="166" spans="1:130" ht="12.75" x14ac:dyDescent="0.2">
      <c r="A166" s="764">
        <v>159</v>
      </c>
      <c r="B166" s="765" t="s">
        <v>204</v>
      </c>
      <c r="C166" s="766" t="s">
        <v>1217</v>
      </c>
      <c r="D166" s="767" t="s">
        <v>1227</v>
      </c>
      <c r="E166" s="768" t="s">
        <v>203</v>
      </c>
      <c r="F166" s="867">
        <v>43453</v>
      </c>
      <c r="G166" s="141">
        <v>46632692</v>
      </c>
      <c r="H166" s="141">
        <v>0</v>
      </c>
      <c r="I166" s="141">
        <v>46632692</v>
      </c>
      <c r="J166" s="141">
        <v>49.1</v>
      </c>
      <c r="K166" s="141">
        <v>22896652</v>
      </c>
      <c r="L166" s="141">
        <v>0</v>
      </c>
      <c r="M166" s="141">
        <v>0</v>
      </c>
      <c r="N166" s="141">
        <v>0</v>
      </c>
      <c r="O166" s="141">
        <v>22896652</v>
      </c>
      <c r="P166" s="141">
        <v>0</v>
      </c>
      <c r="Q166" s="141">
        <v>22896652</v>
      </c>
      <c r="R166" s="141">
        <v>-370917</v>
      </c>
      <c r="S166" s="141">
        <v>0</v>
      </c>
      <c r="T166" s="141">
        <v>-370917</v>
      </c>
      <c r="U166" s="141">
        <v>171458</v>
      </c>
      <c r="V166" s="141">
        <v>0</v>
      </c>
      <c r="W166" s="141">
        <v>171458</v>
      </c>
      <c r="X166" s="141">
        <v>-199459</v>
      </c>
      <c r="Y166" s="141">
        <v>0</v>
      </c>
      <c r="Z166" s="141">
        <v>0</v>
      </c>
      <c r="AA166" s="141">
        <v>0</v>
      </c>
      <c r="AB166" s="141">
        <v>-199459</v>
      </c>
      <c r="AC166" s="141">
        <v>0</v>
      </c>
      <c r="AD166" s="141">
        <v>-199459</v>
      </c>
      <c r="AE166" s="141">
        <v>199459</v>
      </c>
      <c r="AF166" s="141">
        <v>0</v>
      </c>
      <c r="AG166" s="141">
        <v>199459</v>
      </c>
      <c r="AH166" s="141">
        <v>-3625448</v>
      </c>
      <c r="AI166" s="141">
        <v>0</v>
      </c>
      <c r="AJ166" s="141">
        <v>-3625448</v>
      </c>
      <c r="AK166" s="141">
        <v>0</v>
      </c>
      <c r="AL166" s="141">
        <v>0</v>
      </c>
      <c r="AM166" s="141">
        <v>0</v>
      </c>
      <c r="AN166" s="141">
        <v>356926</v>
      </c>
      <c r="AO166" s="141">
        <v>0</v>
      </c>
      <c r="AP166" s="141">
        <v>356926</v>
      </c>
      <c r="AQ166" s="141">
        <v>-3268522</v>
      </c>
      <c r="AR166" s="141">
        <v>0</v>
      </c>
      <c r="AS166" s="141">
        <v>-3268522</v>
      </c>
      <c r="AT166" s="141">
        <v>-2078329</v>
      </c>
      <c r="AU166" s="141">
        <v>0</v>
      </c>
      <c r="AV166" s="141">
        <v>-2078329</v>
      </c>
      <c r="AW166" s="141">
        <v>-151088</v>
      </c>
      <c r="AX166" s="141">
        <v>0</v>
      </c>
      <c r="AY166" s="141">
        <v>-151088</v>
      </c>
      <c r="AZ166" s="141">
        <v>-36018</v>
      </c>
      <c r="BA166" s="141">
        <v>0</v>
      </c>
      <c r="BB166" s="141">
        <v>-36018</v>
      </c>
      <c r="BC166" s="141">
        <v>-5533957</v>
      </c>
      <c r="BD166" s="141">
        <v>0</v>
      </c>
      <c r="BE166" s="141">
        <v>0</v>
      </c>
      <c r="BF166" s="141">
        <v>0</v>
      </c>
      <c r="BG166" s="141">
        <v>-5533957</v>
      </c>
      <c r="BH166" s="141">
        <v>0</v>
      </c>
      <c r="BI166" s="141">
        <v>-5533957</v>
      </c>
      <c r="BJ166" s="141">
        <v>0</v>
      </c>
      <c r="BK166" s="141">
        <v>0</v>
      </c>
      <c r="BL166" s="141">
        <v>0</v>
      </c>
      <c r="BM166" s="141">
        <v>-449303</v>
      </c>
      <c r="BN166" s="141">
        <v>0</v>
      </c>
      <c r="BO166" s="141">
        <v>-449303</v>
      </c>
      <c r="BP166" s="141">
        <v>-449303</v>
      </c>
      <c r="BQ166" s="141">
        <v>0</v>
      </c>
      <c r="BR166" s="141">
        <v>-192298</v>
      </c>
      <c r="BS166" s="141">
        <v>0</v>
      </c>
      <c r="BT166" s="141">
        <v>-641601</v>
      </c>
      <c r="BU166" s="141">
        <v>0</v>
      </c>
      <c r="BV166" s="141">
        <v>-641601</v>
      </c>
      <c r="BW166" s="141">
        <v>-85837</v>
      </c>
      <c r="BX166" s="141">
        <v>0</v>
      </c>
      <c r="BY166" s="141">
        <v>-85837</v>
      </c>
      <c r="BZ166" s="141">
        <v>-44284</v>
      </c>
      <c r="CA166" s="141">
        <v>0</v>
      </c>
      <c r="CB166" s="141">
        <v>-44284</v>
      </c>
      <c r="CC166" s="141">
        <v>-37673</v>
      </c>
      <c r="CD166" s="141">
        <v>0</v>
      </c>
      <c r="CE166" s="141">
        <v>-37673</v>
      </c>
      <c r="CF166" s="141">
        <v>0</v>
      </c>
      <c r="CG166" s="141">
        <v>0</v>
      </c>
      <c r="CH166" s="141">
        <v>0</v>
      </c>
      <c r="CI166" s="141">
        <v>0</v>
      </c>
      <c r="CJ166" s="141">
        <v>0</v>
      </c>
      <c r="CK166" s="141">
        <v>0</v>
      </c>
      <c r="CL166" s="141">
        <v>0</v>
      </c>
      <c r="CM166" s="141">
        <v>0</v>
      </c>
      <c r="CN166" s="141">
        <v>0</v>
      </c>
      <c r="CO166" s="141">
        <v>0</v>
      </c>
      <c r="CP166" s="141">
        <v>0</v>
      </c>
      <c r="CQ166" s="141">
        <v>-167794</v>
      </c>
      <c r="CR166" s="141">
        <v>0</v>
      </c>
      <c r="CS166" s="141">
        <v>0</v>
      </c>
      <c r="CT166" s="141">
        <v>0</v>
      </c>
      <c r="CU166" s="141">
        <v>-167794</v>
      </c>
      <c r="CV166" s="141">
        <v>0</v>
      </c>
      <c r="CW166" s="141">
        <v>-167794</v>
      </c>
      <c r="CX166" s="141">
        <v>-38915</v>
      </c>
      <c r="CY166" s="141">
        <v>0</v>
      </c>
      <c r="CZ166" s="141">
        <v>-38915</v>
      </c>
      <c r="DA166" s="141">
        <v>0</v>
      </c>
      <c r="DB166" s="141">
        <v>0</v>
      </c>
      <c r="DC166" s="141">
        <v>0</v>
      </c>
      <c r="DD166" s="141">
        <v>-25074</v>
      </c>
      <c r="DE166" s="141">
        <v>0</v>
      </c>
      <c r="DF166" s="141">
        <v>-25074</v>
      </c>
      <c r="DG166" s="141">
        <v>-24683</v>
      </c>
      <c r="DH166" s="141">
        <v>0</v>
      </c>
      <c r="DI166" s="141">
        <v>-24683</v>
      </c>
      <c r="DJ166" s="141">
        <v>0</v>
      </c>
      <c r="DK166" s="141">
        <v>0</v>
      </c>
      <c r="DL166" s="141">
        <v>0</v>
      </c>
      <c r="DM166" s="141">
        <v>-797966</v>
      </c>
      <c r="DN166" s="141">
        <v>0</v>
      </c>
      <c r="DO166" s="141">
        <v>-797966</v>
      </c>
      <c r="DP166" s="141">
        <v>-886638</v>
      </c>
      <c r="DQ166" s="141">
        <v>0</v>
      </c>
      <c r="DR166" s="141">
        <v>0</v>
      </c>
      <c r="DS166" s="141">
        <v>0</v>
      </c>
      <c r="DT166" s="141">
        <v>-886638</v>
      </c>
      <c r="DU166" s="141">
        <v>0</v>
      </c>
      <c r="DV166" s="141">
        <v>-886638</v>
      </c>
      <c r="DW166" s="856">
        <v>15467203</v>
      </c>
      <c r="DX166" s="856">
        <v>0</v>
      </c>
      <c r="DY166" s="857">
        <v>15467203</v>
      </c>
      <c r="DZ166" t="s">
        <v>1732</v>
      </c>
    </row>
    <row r="167" spans="1:130" ht="12.75" x14ac:dyDescent="0.2">
      <c r="A167" s="764">
        <v>160</v>
      </c>
      <c r="B167" s="765" t="s">
        <v>206</v>
      </c>
      <c r="C167" s="766" t="s">
        <v>1224</v>
      </c>
      <c r="D167" s="767" t="s">
        <v>1219</v>
      </c>
      <c r="E167" s="768" t="s">
        <v>205</v>
      </c>
      <c r="F167" s="867">
        <v>43472</v>
      </c>
      <c r="G167" s="141">
        <v>874241543</v>
      </c>
      <c r="H167" s="141">
        <v>30670080</v>
      </c>
      <c r="I167" s="141">
        <v>904911623</v>
      </c>
      <c r="J167" s="141">
        <v>49.1</v>
      </c>
      <c r="K167" s="141">
        <v>429252598</v>
      </c>
      <c r="L167" s="141">
        <v>15059009</v>
      </c>
      <c r="M167" s="141">
        <v>5000000</v>
      </c>
      <c r="N167" s="141">
        <v>0</v>
      </c>
      <c r="O167" s="141">
        <v>434252598</v>
      </c>
      <c r="P167" s="141">
        <v>15059009</v>
      </c>
      <c r="Q167" s="141">
        <v>449311607</v>
      </c>
      <c r="R167" s="141">
        <v>-2172013</v>
      </c>
      <c r="S167" s="141">
        <v>-61623</v>
      </c>
      <c r="T167" s="141">
        <v>-2233636</v>
      </c>
      <c r="U167" s="141">
        <v>2843484</v>
      </c>
      <c r="V167" s="141">
        <v>133889</v>
      </c>
      <c r="W167" s="141">
        <v>2977373</v>
      </c>
      <c r="X167" s="141">
        <v>671471</v>
      </c>
      <c r="Y167" s="141">
        <v>72266</v>
      </c>
      <c r="Z167" s="141">
        <v>0</v>
      </c>
      <c r="AA167" s="141">
        <v>0</v>
      </c>
      <c r="AB167" s="141">
        <v>671471</v>
      </c>
      <c r="AC167" s="141">
        <v>72266</v>
      </c>
      <c r="AD167" s="141">
        <v>743737</v>
      </c>
      <c r="AE167" s="141">
        <v>-671471</v>
      </c>
      <c r="AF167" s="141">
        <v>-72266</v>
      </c>
      <c r="AG167" s="141">
        <v>-743737</v>
      </c>
      <c r="AH167" s="141">
        <v>-19022045</v>
      </c>
      <c r="AI167" s="141">
        <v>-181128</v>
      </c>
      <c r="AJ167" s="141">
        <v>-19203173</v>
      </c>
      <c r="AK167" s="141">
        <v>0</v>
      </c>
      <c r="AL167" s="141">
        <v>0</v>
      </c>
      <c r="AM167" s="141">
        <v>0</v>
      </c>
      <c r="AN167" s="141">
        <v>9015650</v>
      </c>
      <c r="AO167" s="141">
        <v>328326</v>
      </c>
      <c r="AP167" s="141">
        <v>9343976</v>
      </c>
      <c r="AQ167" s="141">
        <v>-10006395</v>
      </c>
      <c r="AR167" s="141">
        <v>147198</v>
      </c>
      <c r="AS167" s="141">
        <v>-9859197</v>
      </c>
      <c r="AT167" s="141">
        <v>-29820832</v>
      </c>
      <c r="AU167" s="141">
        <v>-356194</v>
      </c>
      <c r="AV167" s="141">
        <v>-30177026</v>
      </c>
      <c r="AW167" s="141">
        <v>-112082</v>
      </c>
      <c r="AX167" s="141">
        <v>0</v>
      </c>
      <c r="AY167" s="141">
        <v>-112082</v>
      </c>
      <c r="AZ167" s="141">
        <v>0</v>
      </c>
      <c r="BA167" s="141">
        <v>0</v>
      </c>
      <c r="BB167" s="141">
        <v>0</v>
      </c>
      <c r="BC167" s="141">
        <v>-39939309</v>
      </c>
      <c r="BD167" s="141">
        <v>-208996</v>
      </c>
      <c r="BE167" s="141">
        <v>0</v>
      </c>
      <c r="BF167" s="141">
        <v>0</v>
      </c>
      <c r="BG167" s="141">
        <v>-39939309</v>
      </c>
      <c r="BH167" s="141">
        <v>-208996</v>
      </c>
      <c r="BI167" s="141">
        <v>-40148305</v>
      </c>
      <c r="BJ167" s="141">
        <v>0</v>
      </c>
      <c r="BK167" s="141">
        <v>0</v>
      </c>
      <c r="BL167" s="141">
        <v>0</v>
      </c>
      <c r="BM167" s="141">
        <v>-23292814</v>
      </c>
      <c r="BN167" s="141">
        <v>-111303</v>
      </c>
      <c r="BO167" s="141">
        <v>-23404117</v>
      </c>
      <c r="BP167" s="141">
        <v>-23292814</v>
      </c>
      <c r="BQ167" s="141">
        <v>-111303</v>
      </c>
      <c r="BR167" s="141">
        <v>0</v>
      </c>
      <c r="BS167" s="141">
        <v>0</v>
      </c>
      <c r="BT167" s="141">
        <v>-23292814</v>
      </c>
      <c r="BU167" s="141">
        <v>-111303</v>
      </c>
      <c r="BV167" s="141">
        <v>-23404117</v>
      </c>
      <c r="BW167" s="141">
        <v>-2208631</v>
      </c>
      <c r="BX167" s="141">
        <v>0</v>
      </c>
      <c r="BY167" s="141">
        <v>-2208631</v>
      </c>
      <c r="BZ167" s="141">
        <v>-703787</v>
      </c>
      <c r="CA167" s="141">
        <v>0</v>
      </c>
      <c r="CB167" s="141">
        <v>-703787</v>
      </c>
      <c r="CC167" s="141">
        <v>0</v>
      </c>
      <c r="CD167" s="141">
        <v>0</v>
      </c>
      <c r="CE167" s="141">
        <v>0</v>
      </c>
      <c r="CF167" s="141">
        <v>0</v>
      </c>
      <c r="CG167" s="141">
        <v>0</v>
      </c>
      <c r="CH167" s="141">
        <v>0</v>
      </c>
      <c r="CI167" s="141">
        <v>0</v>
      </c>
      <c r="CJ167" s="141">
        <v>0</v>
      </c>
      <c r="CK167" s="141">
        <v>0</v>
      </c>
      <c r="CL167" s="141">
        <v>-52785</v>
      </c>
      <c r="CM167" s="141">
        <v>-1034015</v>
      </c>
      <c r="CN167" s="141">
        <v>-1086800</v>
      </c>
      <c r="CO167" s="141">
        <v>-1034015</v>
      </c>
      <c r="CP167" s="141">
        <v>0</v>
      </c>
      <c r="CQ167" s="141">
        <v>-2965203</v>
      </c>
      <c r="CR167" s="141">
        <v>-1034015</v>
      </c>
      <c r="CS167" s="141">
        <v>0</v>
      </c>
      <c r="CT167" s="141">
        <v>0</v>
      </c>
      <c r="CU167" s="141">
        <v>-2965203</v>
      </c>
      <c r="CV167" s="141">
        <v>-1034015</v>
      </c>
      <c r="CW167" s="141">
        <v>-3999218</v>
      </c>
      <c r="CX167" s="141">
        <v>0</v>
      </c>
      <c r="CY167" s="141">
        <v>0</v>
      </c>
      <c r="CZ167" s="141">
        <v>0</v>
      </c>
      <c r="DA167" s="141">
        <v>0</v>
      </c>
      <c r="DB167" s="141">
        <v>0</v>
      </c>
      <c r="DC167" s="141">
        <v>0</v>
      </c>
      <c r="DD167" s="141">
        <v>-208674</v>
      </c>
      <c r="DE167" s="141">
        <v>0</v>
      </c>
      <c r="DF167" s="141">
        <v>-208674</v>
      </c>
      <c r="DG167" s="141">
        <v>-303420</v>
      </c>
      <c r="DH167" s="141">
        <v>0</v>
      </c>
      <c r="DI167" s="141">
        <v>-303420</v>
      </c>
      <c r="DJ167" s="141">
        <v>0</v>
      </c>
      <c r="DK167" s="141">
        <v>0</v>
      </c>
      <c r="DL167" s="141">
        <v>0</v>
      </c>
      <c r="DM167" s="141">
        <v>-7439919</v>
      </c>
      <c r="DN167" s="141">
        <v>0</v>
      </c>
      <c r="DO167" s="141">
        <v>-7439919</v>
      </c>
      <c r="DP167" s="141">
        <v>-7952013</v>
      </c>
      <c r="DQ167" s="141">
        <v>0</v>
      </c>
      <c r="DR167" s="141">
        <v>0</v>
      </c>
      <c r="DS167" s="141">
        <v>0</v>
      </c>
      <c r="DT167" s="141">
        <v>-7952013</v>
      </c>
      <c r="DU167" s="141">
        <v>0</v>
      </c>
      <c r="DV167" s="141">
        <v>-7952013</v>
      </c>
      <c r="DW167" s="856">
        <v>360774730</v>
      </c>
      <c r="DX167" s="856">
        <v>13776961</v>
      </c>
      <c r="DY167" s="857">
        <v>374551691</v>
      </c>
      <c r="DZ167" t="s">
        <v>1733</v>
      </c>
    </row>
    <row r="168" spans="1:130" ht="12.75" x14ac:dyDescent="0.2">
      <c r="A168" s="764">
        <v>161</v>
      </c>
      <c r="B168" s="765" t="s">
        <v>208</v>
      </c>
      <c r="C168" s="766" t="s">
        <v>1217</v>
      </c>
      <c r="D168" s="767" t="s">
        <v>1220</v>
      </c>
      <c r="E168" s="768" t="s">
        <v>207</v>
      </c>
      <c r="F168" s="867">
        <v>43472</v>
      </c>
      <c r="G168" s="141">
        <v>74711244</v>
      </c>
      <c r="H168" s="141">
        <v>0</v>
      </c>
      <c r="I168" s="141">
        <v>74711244</v>
      </c>
      <c r="J168" s="141">
        <v>49.1</v>
      </c>
      <c r="K168" s="141">
        <v>36683221</v>
      </c>
      <c r="L168" s="141">
        <v>0</v>
      </c>
      <c r="M168" s="141">
        <v>0</v>
      </c>
      <c r="N168" s="141">
        <v>0</v>
      </c>
      <c r="O168" s="141">
        <v>36683221</v>
      </c>
      <c r="P168" s="141">
        <v>0</v>
      </c>
      <c r="Q168" s="141">
        <v>36683221</v>
      </c>
      <c r="R168" s="141">
        <v>-398822</v>
      </c>
      <c r="S168" s="141">
        <v>0</v>
      </c>
      <c r="T168" s="141">
        <v>-398822</v>
      </c>
      <c r="U168" s="141">
        <v>190687</v>
      </c>
      <c r="V168" s="141">
        <v>0</v>
      </c>
      <c r="W168" s="141">
        <v>190687</v>
      </c>
      <c r="X168" s="141">
        <v>-208135</v>
      </c>
      <c r="Y168" s="141">
        <v>0</v>
      </c>
      <c r="Z168" s="141">
        <v>0</v>
      </c>
      <c r="AA168" s="141">
        <v>0</v>
      </c>
      <c r="AB168" s="141">
        <v>-208135</v>
      </c>
      <c r="AC168" s="141">
        <v>0</v>
      </c>
      <c r="AD168" s="141">
        <v>-208135</v>
      </c>
      <c r="AE168" s="141">
        <v>208135</v>
      </c>
      <c r="AF168" s="141">
        <v>0</v>
      </c>
      <c r="AG168" s="141">
        <v>208135</v>
      </c>
      <c r="AH168" s="141">
        <v>-3118369</v>
      </c>
      <c r="AI168" s="141">
        <v>0</v>
      </c>
      <c r="AJ168" s="141">
        <v>-3118369</v>
      </c>
      <c r="AK168" s="141">
        <v>-8468</v>
      </c>
      <c r="AL168" s="141">
        <v>0</v>
      </c>
      <c r="AM168" s="141">
        <v>-8468</v>
      </c>
      <c r="AN168" s="141">
        <v>665734</v>
      </c>
      <c r="AO168" s="141">
        <v>0</v>
      </c>
      <c r="AP168" s="141">
        <v>665734</v>
      </c>
      <c r="AQ168" s="141">
        <v>-2452635</v>
      </c>
      <c r="AR168" s="141">
        <v>0</v>
      </c>
      <c r="AS168" s="141">
        <v>-2452635</v>
      </c>
      <c r="AT168" s="141">
        <v>-2407236</v>
      </c>
      <c r="AU168" s="141">
        <v>0</v>
      </c>
      <c r="AV168" s="141">
        <v>-2407236</v>
      </c>
      <c r="AW168" s="141">
        <v>-15120</v>
      </c>
      <c r="AX168" s="141">
        <v>0</v>
      </c>
      <c r="AY168" s="141">
        <v>-15120</v>
      </c>
      <c r="AZ168" s="141">
        <v>0</v>
      </c>
      <c r="BA168" s="141">
        <v>0</v>
      </c>
      <c r="BB168" s="141">
        <v>0</v>
      </c>
      <c r="BC168" s="141">
        <v>-4874991</v>
      </c>
      <c r="BD168" s="141">
        <v>0</v>
      </c>
      <c r="BE168" s="141">
        <v>-62755</v>
      </c>
      <c r="BF168" s="141">
        <v>0</v>
      </c>
      <c r="BG168" s="141">
        <v>-4937746</v>
      </c>
      <c r="BH168" s="141">
        <v>0</v>
      </c>
      <c r="BI168" s="141">
        <v>-4937746</v>
      </c>
      <c r="BJ168" s="141">
        <v>0</v>
      </c>
      <c r="BK168" s="141">
        <v>0</v>
      </c>
      <c r="BL168" s="141">
        <v>0</v>
      </c>
      <c r="BM168" s="141">
        <v>-809026</v>
      </c>
      <c r="BN168" s="141">
        <v>0</v>
      </c>
      <c r="BO168" s="141">
        <v>-809026</v>
      </c>
      <c r="BP168" s="141">
        <v>-809026</v>
      </c>
      <c r="BQ168" s="141">
        <v>0</v>
      </c>
      <c r="BR168" s="141">
        <v>-183960</v>
      </c>
      <c r="BS168" s="141">
        <v>0</v>
      </c>
      <c r="BT168" s="141">
        <v>-992986</v>
      </c>
      <c r="BU168" s="141">
        <v>0</v>
      </c>
      <c r="BV168" s="141">
        <v>-992986</v>
      </c>
      <c r="BW168" s="141">
        <v>-6464</v>
      </c>
      <c r="BX168" s="141">
        <v>0</v>
      </c>
      <c r="BY168" s="141">
        <v>-6464</v>
      </c>
      <c r="BZ168" s="141">
        <v>-101020</v>
      </c>
      <c r="CA168" s="141">
        <v>0</v>
      </c>
      <c r="CB168" s="141">
        <v>-101020</v>
      </c>
      <c r="CC168" s="141">
        <v>0</v>
      </c>
      <c r="CD168" s="141">
        <v>0</v>
      </c>
      <c r="CE168" s="141">
        <v>0</v>
      </c>
      <c r="CF168" s="141">
        <v>0</v>
      </c>
      <c r="CG168" s="141">
        <v>0</v>
      </c>
      <c r="CH168" s="141">
        <v>0</v>
      </c>
      <c r="CI168" s="141">
        <v>0</v>
      </c>
      <c r="CJ168" s="141">
        <v>0</v>
      </c>
      <c r="CK168" s="141">
        <v>0</v>
      </c>
      <c r="CL168" s="141">
        <v>0</v>
      </c>
      <c r="CM168" s="141">
        <v>0</v>
      </c>
      <c r="CN168" s="141">
        <v>0</v>
      </c>
      <c r="CO168" s="141">
        <v>0</v>
      </c>
      <c r="CP168" s="141">
        <v>0</v>
      </c>
      <c r="CQ168" s="141">
        <v>-107484</v>
      </c>
      <c r="CR168" s="141">
        <v>0</v>
      </c>
      <c r="CS168" s="141">
        <v>0</v>
      </c>
      <c r="CT168" s="141">
        <v>0</v>
      </c>
      <c r="CU168" s="141">
        <v>-107484</v>
      </c>
      <c r="CV168" s="141">
        <v>0</v>
      </c>
      <c r="CW168" s="141">
        <v>-107484</v>
      </c>
      <c r="CX168" s="141">
        <v>0</v>
      </c>
      <c r="CY168" s="141">
        <v>0</v>
      </c>
      <c r="CZ168" s="141">
        <v>0</v>
      </c>
      <c r="DA168" s="141">
        <v>-1500</v>
      </c>
      <c r="DB168" s="141">
        <v>0</v>
      </c>
      <c r="DC168" s="141">
        <v>-1500</v>
      </c>
      <c r="DD168" s="141">
        <v>-6612</v>
      </c>
      <c r="DE168" s="141">
        <v>0</v>
      </c>
      <c r="DF168" s="141">
        <v>-6612</v>
      </c>
      <c r="DG168" s="141">
        <v>-38697</v>
      </c>
      <c r="DH168" s="141">
        <v>0</v>
      </c>
      <c r="DI168" s="141">
        <v>-38697</v>
      </c>
      <c r="DJ168" s="141">
        <v>0</v>
      </c>
      <c r="DK168" s="141">
        <v>0</v>
      </c>
      <c r="DL168" s="141">
        <v>0</v>
      </c>
      <c r="DM168" s="141">
        <v>-488516</v>
      </c>
      <c r="DN168" s="141">
        <v>0</v>
      </c>
      <c r="DO168" s="141">
        <v>-488516</v>
      </c>
      <c r="DP168" s="141">
        <v>-535325</v>
      </c>
      <c r="DQ168" s="141">
        <v>0</v>
      </c>
      <c r="DR168" s="141">
        <v>0</v>
      </c>
      <c r="DS168" s="141">
        <v>0</v>
      </c>
      <c r="DT168" s="141">
        <v>-535325</v>
      </c>
      <c r="DU168" s="141">
        <v>0</v>
      </c>
      <c r="DV168" s="141">
        <v>-535325</v>
      </c>
      <c r="DW168" s="856">
        <v>29901545</v>
      </c>
      <c r="DX168" s="856">
        <v>0</v>
      </c>
      <c r="DY168" s="857">
        <v>29901545</v>
      </c>
      <c r="DZ168" t="s">
        <v>1734</v>
      </c>
    </row>
    <row r="169" spans="1:130" ht="12.75" x14ac:dyDescent="0.2">
      <c r="A169" s="764">
        <v>162</v>
      </c>
      <c r="B169" s="765" t="s">
        <v>210</v>
      </c>
      <c r="C169" s="766" t="s">
        <v>529</v>
      </c>
      <c r="D169" s="767" t="s">
        <v>1218</v>
      </c>
      <c r="E169" s="768" t="s">
        <v>589</v>
      </c>
      <c r="F169" s="867">
        <v>43468</v>
      </c>
      <c r="G169" s="141">
        <v>228832966</v>
      </c>
      <c r="H169" s="141">
        <v>0</v>
      </c>
      <c r="I169" s="141">
        <v>228832966</v>
      </c>
      <c r="J169" s="141">
        <v>49.1</v>
      </c>
      <c r="K169" s="141">
        <v>112356986</v>
      </c>
      <c r="L169" s="141">
        <v>0</v>
      </c>
      <c r="M169" s="141">
        <v>1000000</v>
      </c>
      <c r="N169" s="141">
        <v>0</v>
      </c>
      <c r="O169" s="141">
        <v>113356986</v>
      </c>
      <c r="P169" s="141">
        <v>0</v>
      </c>
      <c r="Q169" s="141">
        <v>113356986</v>
      </c>
      <c r="R169" s="141">
        <v>-1065249</v>
      </c>
      <c r="S169" s="141">
        <v>0</v>
      </c>
      <c r="T169" s="141">
        <v>-1065249</v>
      </c>
      <c r="U169" s="141">
        <v>3139218</v>
      </c>
      <c r="V169" s="141">
        <v>0</v>
      </c>
      <c r="W169" s="141">
        <v>3139218</v>
      </c>
      <c r="X169" s="141">
        <v>2073969</v>
      </c>
      <c r="Y169" s="141">
        <v>0</v>
      </c>
      <c r="Z169" s="141">
        <v>0</v>
      </c>
      <c r="AA169" s="141">
        <v>0</v>
      </c>
      <c r="AB169" s="141">
        <v>2073969</v>
      </c>
      <c r="AC169" s="141">
        <v>0</v>
      </c>
      <c r="AD169" s="141">
        <v>2073969</v>
      </c>
      <c r="AE169" s="141">
        <v>-2073969</v>
      </c>
      <c r="AF169" s="141">
        <v>0</v>
      </c>
      <c r="AG169" s="141">
        <v>-2073969</v>
      </c>
      <c r="AH169" s="141">
        <v>-7112311</v>
      </c>
      <c r="AI169" s="141">
        <v>0</v>
      </c>
      <c r="AJ169" s="141">
        <v>-7112311</v>
      </c>
      <c r="AK169" s="141">
        <v>-10949</v>
      </c>
      <c r="AL169" s="141">
        <v>0</v>
      </c>
      <c r="AM169" s="141">
        <v>-10949</v>
      </c>
      <c r="AN169" s="141">
        <v>2255026</v>
      </c>
      <c r="AO169" s="141">
        <v>0</v>
      </c>
      <c r="AP169" s="141">
        <v>2255026</v>
      </c>
      <c r="AQ169" s="141">
        <v>-4857285</v>
      </c>
      <c r="AR169" s="141">
        <v>0</v>
      </c>
      <c r="AS169" s="141">
        <v>-4857285</v>
      </c>
      <c r="AT169" s="141">
        <v>-9091327</v>
      </c>
      <c r="AU169" s="141">
        <v>0</v>
      </c>
      <c r="AV169" s="141">
        <v>-9091327</v>
      </c>
      <c r="AW169" s="141">
        <v>-110547</v>
      </c>
      <c r="AX169" s="141">
        <v>0</v>
      </c>
      <c r="AY169" s="141">
        <v>-110547</v>
      </c>
      <c r="AZ169" s="141">
        <v>-1046</v>
      </c>
      <c r="BA169" s="141">
        <v>0</v>
      </c>
      <c r="BB169" s="141">
        <v>-1046</v>
      </c>
      <c r="BC169" s="141">
        <v>-14060205</v>
      </c>
      <c r="BD169" s="141">
        <v>0</v>
      </c>
      <c r="BE169" s="141">
        <v>0</v>
      </c>
      <c r="BF169" s="141">
        <v>0</v>
      </c>
      <c r="BG169" s="141">
        <v>-14060205</v>
      </c>
      <c r="BH169" s="141">
        <v>0</v>
      </c>
      <c r="BI169" s="141">
        <v>-14060205</v>
      </c>
      <c r="BJ169" s="141">
        <v>0</v>
      </c>
      <c r="BK169" s="141">
        <v>0</v>
      </c>
      <c r="BL169" s="141">
        <v>0</v>
      </c>
      <c r="BM169" s="141">
        <v>-1909145</v>
      </c>
      <c r="BN169" s="141">
        <v>0</v>
      </c>
      <c r="BO169" s="141">
        <v>-1909145</v>
      </c>
      <c r="BP169" s="141">
        <v>-1909145</v>
      </c>
      <c r="BQ169" s="141">
        <v>0</v>
      </c>
      <c r="BR169" s="141">
        <v>0</v>
      </c>
      <c r="BS169" s="141">
        <v>0</v>
      </c>
      <c r="BT169" s="141">
        <v>-1909145</v>
      </c>
      <c r="BU169" s="141">
        <v>0</v>
      </c>
      <c r="BV169" s="141">
        <v>-1909145</v>
      </c>
      <c r="BW169" s="141">
        <v>-90351</v>
      </c>
      <c r="BX169" s="141">
        <v>0</v>
      </c>
      <c r="BY169" s="141">
        <v>-90351</v>
      </c>
      <c r="BZ169" s="141">
        <v>-71958</v>
      </c>
      <c r="CA169" s="141">
        <v>0</v>
      </c>
      <c r="CB169" s="141">
        <v>-71958</v>
      </c>
      <c r="CC169" s="141">
        <v>0</v>
      </c>
      <c r="CD169" s="141">
        <v>0</v>
      </c>
      <c r="CE169" s="141">
        <v>0</v>
      </c>
      <c r="CF169" s="141">
        <v>0</v>
      </c>
      <c r="CG169" s="141">
        <v>0</v>
      </c>
      <c r="CH169" s="141">
        <v>0</v>
      </c>
      <c r="CI169" s="141">
        <v>0</v>
      </c>
      <c r="CJ169" s="141">
        <v>0</v>
      </c>
      <c r="CK169" s="141">
        <v>0</v>
      </c>
      <c r="CL169" s="141">
        <v>0</v>
      </c>
      <c r="CM169" s="141">
        <v>0</v>
      </c>
      <c r="CN169" s="141">
        <v>0</v>
      </c>
      <c r="CO169" s="141">
        <v>0</v>
      </c>
      <c r="CP169" s="141">
        <v>0</v>
      </c>
      <c r="CQ169" s="141">
        <v>-162309</v>
      </c>
      <c r="CR169" s="141">
        <v>0</v>
      </c>
      <c r="CS169" s="141">
        <v>0</v>
      </c>
      <c r="CT169" s="141">
        <v>0</v>
      </c>
      <c r="CU169" s="141">
        <v>-162309</v>
      </c>
      <c r="CV169" s="141">
        <v>0</v>
      </c>
      <c r="CW169" s="141">
        <v>-162309</v>
      </c>
      <c r="CX169" s="141">
        <v>0</v>
      </c>
      <c r="CY169" s="141">
        <v>0</v>
      </c>
      <c r="CZ169" s="141">
        <v>0</v>
      </c>
      <c r="DA169" s="141">
        <v>-1500</v>
      </c>
      <c r="DB169" s="141">
        <v>0</v>
      </c>
      <c r="DC169" s="141">
        <v>-1500</v>
      </c>
      <c r="DD169" s="141">
        <v>-35674</v>
      </c>
      <c r="DE169" s="141">
        <v>0</v>
      </c>
      <c r="DF169" s="141">
        <v>-35674</v>
      </c>
      <c r="DG169" s="141">
        <v>-109000</v>
      </c>
      <c r="DH169" s="141">
        <v>0</v>
      </c>
      <c r="DI169" s="141">
        <v>-109000</v>
      </c>
      <c r="DJ169" s="141">
        <v>0</v>
      </c>
      <c r="DK169" s="141">
        <v>0</v>
      </c>
      <c r="DL169" s="141">
        <v>0</v>
      </c>
      <c r="DM169" s="141">
        <v>-1137114</v>
      </c>
      <c r="DN169" s="141">
        <v>0</v>
      </c>
      <c r="DO169" s="141">
        <v>-1137114</v>
      </c>
      <c r="DP169" s="141">
        <v>-1283288</v>
      </c>
      <c r="DQ169" s="141">
        <v>0</v>
      </c>
      <c r="DR169" s="141">
        <v>0</v>
      </c>
      <c r="DS169" s="141">
        <v>0</v>
      </c>
      <c r="DT169" s="141">
        <v>-1283288</v>
      </c>
      <c r="DU169" s="141">
        <v>0</v>
      </c>
      <c r="DV169" s="141">
        <v>-1283288</v>
      </c>
      <c r="DW169" s="856">
        <v>98016008</v>
      </c>
      <c r="DX169" s="856">
        <v>0</v>
      </c>
      <c r="DY169" s="857">
        <v>98016008</v>
      </c>
      <c r="DZ169" t="s">
        <v>1735</v>
      </c>
    </row>
    <row r="170" spans="1:130" ht="12.75" x14ac:dyDescent="0.2">
      <c r="A170" s="764">
        <v>163</v>
      </c>
      <c r="B170" s="765" t="s">
        <v>212</v>
      </c>
      <c r="C170" s="766" t="s">
        <v>1217</v>
      </c>
      <c r="D170" s="767" t="s">
        <v>1220</v>
      </c>
      <c r="E170" s="768" t="s">
        <v>211</v>
      </c>
      <c r="F170" s="867">
        <v>43465</v>
      </c>
      <c r="G170" s="141">
        <v>38999814</v>
      </c>
      <c r="H170" s="141">
        <v>0</v>
      </c>
      <c r="I170" s="141">
        <v>38999814</v>
      </c>
      <c r="J170" s="141">
        <v>49.1</v>
      </c>
      <c r="K170" s="141">
        <v>19148909</v>
      </c>
      <c r="L170" s="141">
        <v>0</v>
      </c>
      <c r="M170" s="141">
        <v>358052</v>
      </c>
      <c r="N170" s="141">
        <v>0</v>
      </c>
      <c r="O170" s="141">
        <v>19506961</v>
      </c>
      <c r="P170" s="141">
        <v>0</v>
      </c>
      <c r="Q170" s="141">
        <v>19506961</v>
      </c>
      <c r="R170" s="141">
        <v>-390000</v>
      </c>
      <c r="S170" s="141">
        <v>0</v>
      </c>
      <c r="T170" s="141">
        <v>-390000</v>
      </c>
      <c r="U170" s="141">
        <v>45000</v>
      </c>
      <c r="V170" s="141">
        <v>0</v>
      </c>
      <c r="W170" s="141">
        <v>45000</v>
      </c>
      <c r="X170" s="141">
        <v>-345000</v>
      </c>
      <c r="Y170" s="141">
        <v>0</v>
      </c>
      <c r="Z170" s="141">
        <v>0</v>
      </c>
      <c r="AA170" s="141">
        <v>0</v>
      </c>
      <c r="AB170" s="141">
        <v>-345000</v>
      </c>
      <c r="AC170" s="141">
        <v>0</v>
      </c>
      <c r="AD170" s="141">
        <v>-345000</v>
      </c>
      <c r="AE170" s="141">
        <v>345000</v>
      </c>
      <c r="AF170" s="141">
        <v>0</v>
      </c>
      <c r="AG170" s="141">
        <v>345000</v>
      </c>
      <c r="AH170" s="141">
        <v>-1997808</v>
      </c>
      <c r="AI170" s="141">
        <v>0</v>
      </c>
      <c r="AJ170" s="141">
        <v>-1997808</v>
      </c>
      <c r="AK170" s="141">
        <v>-6000</v>
      </c>
      <c r="AL170" s="141">
        <v>0</v>
      </c>
      <c r="AM170" s="141">
        <v>-6000</v>
      </c>
      <c r="AN170" s="141">
        <v>335000</v>
      </c>
      <c r="AO170" s="141">
        <v>0</v>
      </c>
      <c r="AP170" s="141">
        <v>335000</v>
      </c>
      <c r="AQ170" s="141">
        <v>-1662808</v>
      </c>
      <c r="AR170" s="141">
        <v>0</v>
      </c>
      <c r="AS170" s="141">
        <v>-1662808</v>
      </c>
      <c r="AT170" s="141">
        <v>-1430000</v>
      </c>
      <c r="AU170" s="141">
        <v>0</v>
      </c>
      <c r="AV170" s="141">
        <v>-1430000</v>
      </c>
      <c r="AW170" s="141">
        <v>-37850</v>
      </c>
      <c r="AX170" s="141">
        <v>0</v>
      </c>
      <c r="AY170" s="141">
        <v>-37850</v>
      </c>
      <c r="AZ170" s="141">
        <v>-21400</v>
      </c>
      <c r="BA170" s="141">
        <v>0</v>
      </c>
      <c r="BB170" s="141">
        <v>-21400</v>
      </c>
      <c r="BC170" s="141">
        <v>-3152058</v>
      </c>
      <c r="BD170" s="141">
        <v>0</v>
      </c>
      <c r="BE170" s="141">
        <v>0</v>
      </c>
      <c r="BF170" s="141">
        <v>0</v>
      </c>
      <c r="BG170" s="141">
        <v>-3152058</v>
      </c>
      <c r="BH170" s="141">
        <v>0</v>
      </c>
      <c r="BI170" s="141">
        <v>-3152058</v>
      </c>
      <c r="BJ170" s="141">
        <v>0</v>
      </c>
      <c r="BK170" s="141">
        <v>0</v>
      </c>
      <c r="BL170" s="141">
        <v>0</v>
      </c>
      <c r="BM170" s="141">
        <v>-350000</v>
      </c>
      <c r="BN170" s="141">
        <v>0</v>
      </c>
      <c r="BO170" s="141">
        <v>-350000</v>
      </c>
      <c r="BP170" s="141">
        <v>-350000</v>
      </c>
      <c r="BQ170" s="141">
        <v>0</v>
      </c>
      <c r="BR170" s="141">
        <v>0</v>
      </c>
      <c r="BS170" s="141">
        <v>0</v>
      </c>
      <c r="BT170" s="141">
        <v>-350000</v>
      </c>
      <c r="BU170" s="141">
        <v>0</v>
      </c>
      <c r="BV170" s="141">
        <v>-350000</v>
      </c>
      <c r="BW170" s="141">
        <v>-55000</v>
      </c>
      <c r="BX170" s="141">
        <v>0</v>
      </c>
      <c r="BY170" s="141">
        <v>-55000</v>
      </c>
      <c r="BZ170" s="141">
        <v>-40000</v>
      </c>
      <c r="CA170" s="141">
        <v>0</v>
      </c>
      <c r="CB170" s="141">
        <v>-40000</v>
      </c>
      <c r="CC170" s="141">
        <v>-450</v>
      </c>
      <c r="CD170" s="141">
        <v>0</v>
      </c>
      <c r="CE170" s="141">
        <v>-450</v>
      </c>
      <c r="CF170" s="141">
        <v>0</v>
      </c>
      <c r="CG170" s="141">
        <v>0</v>
      </c>
      <c r="CH170" s="141">
        <v>0</v>
      </c>
      <c r="CI170" s="141">
        <v>0</v>
      </c>
      <c r="CJ170" s="141">
        <v>0</v>
      </c>
      <c r="CK170" s="141">
        <v>0</v>
      </c>
      <c r="CL170" s="141">
        <v>0</v>
      </c>
      <c r="CM170" s="141">
        <v>0</v>
      </c>
      <c r="CN170" s="141">
        <v>0</v>
      </c>
      <c r="CO170" s="141">
        <v>0</v>
      </c>
      <c r="CP170" s="141">
        <v>0</v>
      </c>
      <c r="CQ170" s="141">
        <v>-95450</v>
      </c>
      <c r="CR170" s="141">
        <v>0</v>
      </c>
      <c r="CS170" s="141">
        <v>0</v>
      </c>
      <c r="CT170" s="141">
        <v>0</v>
      </c>
      <c r="CU170" s="141">
        <v>-95450</v>
      </c>
      <c r="CV170" s="141">
        <v>0</v>
      </c>
      <c r="CW170" s="141">
        <v>-95450</v>
      </c>
      <c r="CX170" s="141">
        <v>-24500</v>
      </c>
      <c r="CY170" s="141">
        <v>0</v>
      </c>
      <c r="CZ170" s="141">
        <v>-24500</v>
      </c>
      <c r="DA170" s="141">
        <v>0</v>
      </c>
      <c r="DB170" s="141">
        <v>0</v>
      </c>
      <c r="DC170" s="141">
        <v>0</v>
      </c>
      <c r="DD170" s="141">
        <v>-17000</v>
      </c>
      <c r="DE170" s="141">
        <v>0</v>
      </c>
      <c r="DF170" s="141">
        <v>-17000</v>
      </c>
      <c r="DG170" s="141">
        <v>-29000</v>
      </c>
      <c r="DH170" s="141">
        <v>0</v>
      </c>
      <c r="DI170" s="141">
        <v>-29000</v>
      </c>
      <c r="DJ170" s="141">
        <v>0</v>
      </c>
      <c r="DK170" s="141">
        <v>0</v>
      </c>
      <c r="DL170" s="141">
        <v>0</v>
      </c>
      <c r="DM170" s="141">
        <v>-450000</v>
      </c>
      <c r="DN170" s="141">
        <v>0</v>
      </c>
      <c r="DO170" s="141">
        <v>-450000</v>
      </c>
      <c r="DP170" s="141">
        <v>-520500</v>
      </c>
      <c r="DQ170" s="141">
        <v>0</v>
      </c>
      <c r="DR170" s="141">
        <v>0</v>
      </c>
      <c r="DS170" s="141">
        <v>0</v>
      </c>
      <c r="DT170" s="141">
        <v>-520500</v>
      </c>
      <c r="DU170" s="141">
        <v>0</v>
      </c>
      <c r="DV170" s="141">
        <v>-520500</v>
      </c>
      <c r="DW170" s="856">
        <v>15043953</v>
      </c>
      <c r="DX170" s="856">
        <v>0</v>
      </c>
      <c r="DY170" s="857">
        <v>15043953</v>
      </c>
      <c r="DZ170" t="s">
        <v>1736</v>
      </c>
    </row>
    <row r="171" spans="1:130" ht="12.75" x14ac:dyDescent="0.2">
      <c r="A171" s="764">
        <v>164</v>
      </c>
      <c r="B171" s="765" t="s">
        <v>214</v>
      </c>
      <c r="C171" s="766" t="s">
        <v>1217</v>
      </c>
      <c r="D171" s="767" t="s">
        <v>1226</v>
      </c>
      <c r="E171" s="768" t="s">
        <v>213</v>
      </c>
      <c r="F171" s="867">
        <v>43467</v>
      </c>
      <c r="G171" s="141">
        <v>94849180</v>
      </c>
      <c r="H171" s="141">
        <v>0</v>
      </c>
      <c r="I171" s="141">
        <v>94849180</v>
      </c>
      <c r="J171" s="141">
        <v>49.1</v>
      </c>
      <c r="K171" s="141">
        <v>46570947</v>
      </c>
      <c r="L171" s="141">
        <v>0</v>
      </c>
      <c r="M171" s="141">
        <v>0</v>
      </c>
      <c r="N171" s="141">
        <v>0</v>
      </c>
      <c r="O171" s="141">
        <v>46570947</v>
      </c>
      <c r="P171" s="141">
        <v>0</v>
      </c>
      <c r="Q171" s="141">
        <v>46570947</v>
      </c>
      <c r="R171" s="141">
        <v>-801614</v>
      </c>
      <c r="S171" s="141">
        <v>0</v>
      </c>
      <c r="T171" s="141">
        <v>-801614</v>
      </c>
      <c r="U171" s="141">
        <v>342723</v>
      </c>
      <c r="V171" s="141">
        <v>0</v>
      </c>
      <c r="W171" s="141">
        <v>342723</v>
      </c>
      <c r="X171" s="141">
        <v>-458891</v>
      </c>
      <c r="Y171" s="141">
        <v>0</v>
      </c>
      <c r="Z171" s="141">
        <v>0</v>
      </c>
      <c r="AA171" s="141">
        <v>0</v>
      </c>
      <c r="AB171" s="141">
        <v>-458891</v>
      </c>
      <c r="AC171" s="141">
        <v>0</v>
      </c>
      <c r="AD171" s="141">
        <v>-458891</v>
      </c>
      <c r="AE171" s="141">
        <v>458891</v>
      </c>
      <c r="AF171" s="141">
        <v>0</v>
      </c>
      <c r="AG171" s="141">
        <v>458891</v>
      </c>
      <c r="AH171" s="141">
        <v>-5176597</v>
      </c>
      <c r="AI171" s="141">
        <v>0</v>
      </c>
      <c r="AJ171" s="141">
        <v>-5176597</v>
      </c>
      <c r="AK171" s="141">
        <v>0</v>
      </c>
      <c r="AL171" s="141">
        <v>0</v>
      </c>
      <c r="AM171" s="141">
        <v>0</v>
      </c>
      <c r="AN171" s="141">
        <v>777355</v>
      </c>
      <c r="AO171" s="141">
        <v>0</v>
      </c>
      <c r="AP171" s="141">
        <v>777355</v>
      </c>
      <c r="AQ171" s="141">
        <v>-4399242</v>
      </c>
      <c r="AR171" s="141">
        <v>0</v>
      </c>
      <c r="AS171" s="141">
        <v>-4399242</v>
      </c>
      <c r="AT171" s="141">
        <v>-3490584</v>
      </c>
      <c r="AU171" s="141">
        <v>0</v>
      </c>
      <c r="AV171" s="141">
        <v>-3490584</v>
      </c>
      <c r="AW171" s="141">
        <v>-43542</v>
      </c>
      <c r="AX171" s="141">
        <v>0</v>
      </c>
      <c r="AY171" s="141">
        <v>-43542</v>
      </c>
      <c r="AZ171" s="141">
        <v>-18736</v>
      </c>
      <c r="BA171" s="141">
        <v>0</v>
      </c>
      <c r="BB171" s="141">
        <v>-18736</v>
      </c>
      <c r="BC171" s="141">
        <v>-7952104</v>
      </c>
      <c r="BD171" s="141">
        <v>0</v>
      </c>
      <c r="BE171" s="141">
        <v>0</v>
      </c>
      <c r="BF171" s="141">
        <v>0</v>
      </c>
      <c r="BG171" s="141">
        <v>-7952104</v>
      </c>
      <c r="BH171" s="141">
        <v>0</v>
      </c>
      <c r="BI171" s="141">
        <v>-7952104</v>
      </c>
      <c r="BJ171" s="141">
        <v>0</v>
      </c>
      <c r="BK171" s="141">
        <v>0</v>
      </c>
      <c r="BL171" s="141">
        <v>0</v>
      </c>
      <c r="BM171" s="141">
        <v>-1282300</v>
      </c>
      <c r="BN171" s="141">
        <v>0</v>
      </c>
      <c r="BO171" s="141">
        <v>-1282300</v>
      </c>
      <c r="BP171" s="141">
        <v>-1282300</v>
      </c>
      <c r="BQ171" s="141">
        <v>0</v>
      </c>
      <c r="BR171" s="141">
        <v>0</v>
      </c>
      <c r="BS171" s="141">
        <v>0</v>
      </c>
      <c r="BT171" s="141">
        <v>-1282300</v>
      </c>
      <c r="BU171" s="141">
        <v>0</v>
      </c>
      <c r="BV171" s="141">
        <v>-1282300</v>
      </c>
      <c r="BW171" s="141">
        <v>-57777</v>
      </c>
      <c r="BX171" s="141">
        <v>0</v>
      </c>
      <c r="BY171" s="141">
        <v>-57777</v>
      </c>
      <c r="BZ171" s="141">
        <v>-26140</v>
      </c>
      <c r="CA171" s="141">
        <v>0</v>
      </c>
      <c r="CB171" s="141">
        <v>-26140</v>
      </c>
      <c r="CC171" s="141">
        <v>-5048</v>
      </c>
      <c r="CD171" s="141">
        <v>0</v>
      </c>
      <c r="CE171" s="141">
        <v>-5048</v>
      </c>
      <c r="CF171" s="141">
        <v>0</v>
      </c>
      <c r="CG171" s="141">
        <v>0</v>
      </c>
      <c r="CH171" s="141">
        <v>0</v>
      </c>
      <c r="CI171" s="141">
        <v>-4504</v>
      </c>
      <c r="CJ171" s="141">
        <v>0</v>
      </c>
      <c r="CK171" s="141">
        <v>-4504</v>
      </c>
      <c r="CL171" s="141">
        <v>0</v>
      </c>
      <c r="CM171" s="141">
        <v>0</v>
      </c>
      <c r="CN171" s="141">
        <v>0</v>
      </c>
      <c r="CO171" s="141">
        <v>0</v>
      </c>
      <c r="CP171" s="141">
        <v>0</v>
      </c>
      <c r="CQ171" s="141">
        <v>-93469</v>
      </c>
      <c r="CR171" s="141">
        <v>0</v>
      </c>
      <c r="CS171" s="141">
        <v>0</v>
      </c>
      <c r="CT171" s="141">
        <v>0</v>
      </c>
      <c r="CU171" s="141">
        <v>-93469</v>
      </c>
      <c r="CV171" s="141">
        <v>0</v>
      </c>
      <c r="CW171" s="141">
        <v>-93469</v>
      </c>
      <c r="CX171" s="141">
        <v>-18736</v>
      </c>
      <c r="CY171" s="141">
        <v>0</v>
      </c>
      <c r="CZ171" s="141">
        <v>-18736</v>
      </c>
      <c r="DA171" s="141">
        <v>0</v>
      </c>
      <c r="DB171" s="141">
        <v>0</v>
      </c>
      <c r="DC171" s="141">
        <v>0</v>
      </c>
      <c r="DD171" s="141">
        <v>-54312</v>
      </c>
      <c r="DE171" s="141">
        <v>0</v>
      </c>
      <c r="DF171" s="141">
        <v>-54312</v>
      </c>
      <c r="DG171" s="141">
        <v>-69801</v>
      </c>
      <c r="DH171" s="141">
        <v>0</v>
      </c>
      <c r="DI171" s="141">
        <v>-69801</v>
      </c>
      <c r="DJ171" s="141">
        <v>0</v>
      </c>
      <c r="DK171" s="141">
        <v>0</v>
      </c>
      <c r="DL171" s="141">
        <v>0</v>
      </c>
      <c r="DM171" s="141">
        <v>-1091266</v>
      </c>
      <c r="DN171" s="141">
        <v>0</v>
      </c>
      <c r="DO171" s="141">
        <v>-1091266</v>
      </c>
      <c r="DP171" s="141">
        <v>-1234115</v>
      </c>
      <c r="DQ171" s="141">
        <v>0</v>
      </c>
      <c r="DR171" s="141">
        <v>0</v>
      </c>
      <c r="DS171" s="141">
        <v>0</v>
      </c>
      <c r="DT171" s="141">
        <v>-1234115</v>
      </c>
      <c r="DU171" s="141">
        <v>0</v>
      </c>
      <c r="DV171" s="141">
        <v>-1234115</v>
      </c>
      <c r="DW171" s="856">
        <v>35550068</v>
      </c>
      <c r="DX171" s="856">
        <v>0</v>
      </c>
      <c r="DY171" s="857">
        <v>35550068</v>
      </c>
      <c r="DZ171" t="s">
        <v>1737</v>
      </c>
    </row>
    <row r="172" spans="1:130" ht="12.75" x14ac:dyDescent="0.2">
      <c r="A172" s="764">
        <v>165</v>
      </c>
      <c r="B172" s="765" t="s">
        <v>216</v>
      </c>
      <c r="C172" s="766" t="s">
        <v>1222</v>
      </c>
      <c r="D172" s="767" t="s">
        <v>1223</v>
      </c>
      <c r="E172" s="768" t="s">
        <v>215</v>
      </c>
      <c r="F172" s="867">
        <v>43454</v>
      </c>
      <c r="G172" s="141">
        <v>213559369</v>
      </c>
      <c r="H172" s="141">
        <v>0</v>
      </c>
      <c r="I172" s="141">
        <v>213559369</v>
      </c>
      <c r="J172" s="141">
        <v>49.1</v>
      </c>
      <c r="K172" s="141">
        <v>104857650</v>
      </c>
      <c r="L172" s="141">
        <v>0</v>
      </c>
      <c r="M172" s="141">
        <v>450000</v>
      </c>
      <c r="N172" s="141">
        <v>0</v>
      </c>
      <c r="O172" s="141">
        <v>105307650</v>
      </c>
      <c r="P172" s="141">
        <v>0</v>
      </c>
      <c r="Q172" s="141">
        <v>105307650</v>
      </c>
      <c r="R172" s="141">
        <v>-407714</v>
      </c>
      <c r="S172" s="141">
        <v>0</v>
      </c>
      <c r="T172" s="141">
        <v>-407714</v>
      </c>
      <c r="U172" s="141">
        <v>921520</v>
      </c>
      <c r="V172" s="141">
        <v>0</v>
      </c>
      <c r="W172" s="141">
        <v>921520</v>
      </c>
      <c r="X172" s="141">
        <v>513806</v>
      </c>
      <c r="Y172" s="141">
        <v>0</v>
      </c>
      <c r="Z172" s="141">
        <v>0</v>
      </c>
      <c r="AA172" s="141">
        <v>0</v>
      </c>
      <c r="AB172" s="141">
        <v>513806</v>
      </c>
      <c r="AC172" s="141">
        <v>0</v>
      </c>
      <c r="AD172" s="141">
        <v>513806</v>
      </c>
      <c r="AE172" s="141">
        <v>-513806</v>
      </c>
      <c r="AF172" s="141">
        <v>0</v>
      </c>
      <c r="AG172" s="141">
        <v>-513806</v>
      </c>
      <c r="AH172" s="141">
        <v>-4853373</v>
      </c>
      <c r="AI172" s="141">
        <v>0</v>
      </c>
      <c r="AJ172" s="141">
        <v>-4853373</v>
      </c>
      <c r="AK172" s="141">
        <v>0</v>
      </c>
      <c r="AL172" s="141">
        <v>0</v>
      </c>
      <c r="AM172" s="141">
        <v>0</v>
      </c>
      <c r="AN172" s="141">
        <v>2142595</v>
      </c>
      <c r="AO172" s="141">
        <v>0</v>
      </c>
      <c r="AP172" s="141">
        <v>2142595</v>
      </c>
      <c r="AQ172" s="141">
        <v>-2710778</v>
      </c>
      <c r="AR172" s="141">
        <v>0</v>
      </c>
      <c r="AS172" s="141">
        <v>-2710778</v>
      </c>
      <c r="AT172" s="141">
        <v>-6214200</v>
      </c>
      <c r="AU172" s="141">
        <v>0</v>
      </c>
      <c r="AV172" s="141">
        <v>-6214200</v>
      </c>
      <c r="AW172" s="141">
        <v>-119146</v>
      </c>
      <c r="AX172" s="141">
        <v>0</v>
      </c>
      <c r="AY172" s="141">
        <v>-119146</v>
      </c>
      <c r="AZ172" s="141">
        <v>0</v>
      </c>
      <c r="BA172" s="141">
        <v>0</v>
      </c>
      <c r="BB172" s="141">
        <v>0</v>
      </c>
      <c r="BC172" s="141">
        <v>-9044124</v>
      </c>
      <c r="BD172" s="141">
        <v>0</v>
      </c>
      <c r="BE172" s="141">
        <v>-1115035</v>
      </c>
      <c r="BF172" s="141">
        <v>0</v>
      </c>
      <c r="BG172" s="141">
        <v>-10159159</v>
      </c>
      <c r="BH172" s="141">
        <v>0</v>
      </c>
      <c r="BI172" s="141">
        <v>-10159159</v>
      </c>
      <c r="BJ172" s="141">
        <v>0</v>
      </c>
      <c r="BK172" s="141">
        <v>0</v>
      </c>
      <c r="BL172" s="141">
        <v>0</v>
      </c>
      <c r="BM172" s="141">
        <v>-828478</v>
      </c>
      <c r="BN172" s="141">
        <v>0</v>
      </c>
      <c r="BO172" s="141">
        <v>-828478</v>
      </c>
      <c r="BP172" s="141">
        <v>-828478</v>
      </c>
      <c r="BQ172" s="141">
        <v>0</v>
      </c>
      <c r="BR172" s="141">
        <v>-650000</v>
      </c>
      <c r="BS172" s="141">
        <v>0</v>
      </c>
      <c r="BT172" s="141">
        <v>-1478478</v>
      </c>
      <c r="BU172" s="141">
        <v>0</v>
      </c>
      <c r="BV172" s="141">
        <v>-1478478</v>
      </c>
      <c r="BW172" s="141">
        <v>-407066</v>
      </c>
      <c r="BX172" s="141">
        <v>0</v>
      </c>
      <c r="BY172" s="141">
        <v>-407066</v>
      </c>
      <c r="BZ172" s="141">
        <v>-104192</v>
      </c>
      <c r="CA172" s="141">
        <v>0</v>
      </c>
      <c r="CB172" s="141">
        <v>-104192</v>
      </c>
      <c r="CC172" s="141">
        <v>-2543</v>
      </c>
      <c r="CD172" s="141">
        <v>0</v>
      </c>
      <c r="CE172" s="141">
        <v>-2543</v>
      </c>
      <c r="CF172" s="141">
        <v>0</v>
      </c>
      <c r="CG172" s="141">
        <v>0</v>
      </c>
      <c r="CH172" s="141">
        <v>0</v>
      </c>
      <c r="CI172" s="141">
        <v>0</v>
      </c>
      <c r="CJ172" s="141">
        <v>0</v>
      </c>
      <c r="CK172" s="141">
        <v>0</v>
      </c>
      <c r="CL172" s="141">
        <v>-100000</v>
      </c>
      <c r="CM172" s="141">
        <v>0</v>
      </c>
      <c r="CN172" s="141">
        <v>-100000</v>
      </c>
      <c r="CO172" s="141">
        <v>0</v>
      </c>
      <c r="CP172" s="141">
        <v>0</v>
      </c>
      <c r="CQ172" s="141">
        <v>-613801</v>
      </c>
      <c r="CR172" s="141">
        <v>0</v>
      </c>
      <c r="CS172" s="141">
        <v>300000</v>
      </c>
      <c r="CT172" s="141">
        <v>0</v>
      </c>
      <c r="CU172" s="141">
        <v>-313801</v>
      </c>
      <c r="CV172" s="141">
        <v>0</v>
      </c>
      <c r="CW172" s="141">
        <v>-313801</v>
      </c>
      <c r="CX172" s="141">
        <v>0</v>
      </c>
      <c r="CY172" s="141">
        <v>0</v>
      </c>
      <c r="CZ172" s="141">
        <v>0</v>
      </c>
      <c r="DA172" s="141">
        <v>0</v>
      </c>
      <c r="DB172" s="141">
        <v>0</v>
      </c>
      <c r="DC172" s="141">
        <v>0</v>
      </c>
      <c r="DD172" s="141">
        <v>-24594.1</v>
      </c>
      <c r="DE172" s="141">
        <v>0</v>
      </c>
      <c r="DF172" s="141">
        <v>-24594.1</v>
      </c>
      <c r="DG172" s="141">
        <v>-91800</v>
      </c>
      <c r="DH172" s="141">
        <v>0</v>
      </c>
      <c r="DI172" s="141">
        <v>-91800</v>
      </c>
      <c r="DJ172" s="141">
        <v>0</v>
      </c>
      <c r="DK172" s="141">
        <v>0</v>
      </c>
      <c r="DL172" s="141">
        <v>0</v>
      </c>
      <c r="DM172" s="141">
        <v>-1971800</v>
      </c>
      <c r="DN172" s="141">
        <v>0</v>
      </c>
      <c r="DO172" s="141">
        <v>-1971800</v>
      </c>
      <c r="DP172" s="141">
        <v>-2088194.1</v>
      </c>
      <c r="DQ172" s="141">
        <v>0</v>
      </c>
      <c r="DR172" s="141">
        <v>0</v>
      </c>
      <c r="DS172" s="141">
        <v>0</v>
      </c>
      <c r="DT172" s="141">
        <v>-2088194.1</v>
      </c>
      <c r="DU172" s="141">
        <v>0</v>
      </c>
      <c r="DV172" s="141">
        <v>-2088194.1</v>
      </c>
      <c r="DW172" s="856">
        <v>91781823.900000006</v>
      </c>
      <c r="DX172" s="856">
        <v>0</v>
      </c>
      <c r="DY172" s="857">
        <v>91781823.900000006</v>
      </c>
      <c r="DZ172" t="s">
        <v>1738</v>
      </c>
    </row>
    <row r="173" spans="1:130" ht="12.75" x14ac:dyDescent="0.2">
      <c r="A173" s="764">
        <v>166</v>
      </c>
      <c r="B173" s="765" t="s">
        <v>218</v>
      </c>
      <c r="C173" s="766" t="s">
        <v>1217</v>
      </c>
      <c r="D173" s="767" t="s">
        <v>1226</v>
      </c>
      <c r="E173" s="768" t="s">
        <v>217</v>
      </c>
      <c r="F173" s="867">
        <v>43474</v>
      </c>
      <c r="G173" s="141">
        <v>43813017</v>
      </c>
      <c r="H173" s="141">
        <v>0</v>
      </c>
      <c r="I173" s="141">
        <v>43813017</v>
      </c>
      <c r="J173" s="141">
        <v>49.1</v>
      </c>
      <c r="K173" s="141">
        <v>21512191</v>
      </c>
      <c r="L173" s="141">
        <v>0</v>
      </c>
      <c r="M173" s="141">
        <v>88428</v>
      </c>
      <c r="N173" s="141">
        <v>0</v>
      </c>
      <c r="O173" s="141">
        <v>21600619</v>
      </c>
      <c r="P173" s="141">
        <v>0</v>
      </c>
      <c r="Q173" s="141">
        <v>21600619</v>
      </c>
      <c r="R173" s="141">
        <v>-442239</v>
      </c>
      <c r="S173" s="141">
        <v>0</v>
      </c>
      <c r="T173" s="141">
        <v>-442239</v>
      </c>
      <c r="U173" s="141">
        <v>162716</v>
      </c>
      <c r="V173" s="141">
        <v>0</v>
      </c>
      <c r="W173" s="141">
        <v>162716</v>
      </c>
      <c r="X173" s="141">
        <v>-279523</v>
      </c>
      <c r="Y173" s="141">
        <v>0</v>
      </c>
      <c r="Z173" s="141">
        <v>0</v>
      </c>
      <c r="AA173" s="141">
        <v>0</v>
      </c>
      <c r="AB173" s="141">
        <v>-279523</v>
      </c>
      <c r="AC173" s="141">
        <v>0</v>
      </c>
      <c r="AD173" s="141">
        <v>-279523</v>
      </c>
      <c r="AE173" s="141">
        <v>279523</v>
      </c>
      <c r="AF173" s="141">
        <v>0</v>
      </c>
      <c r="AG173" s="141">
        <v>279523</v>
      </c>
      <c r="AH173" s="141">
        <v>-3638364</v>
      </c>
      <c r="AI173" s="141">
        <v>0</v>
      </c>
      <c r="AJ173" s="141">
        <v>-3638364</v>
      </c>
      <c r="AK173" s="141">
        <v>-7900</v>
      </c>
      <c r="AL173" s="141">
        <v>0</v>
      </c>
      <c r="AM173" s="141">
        <v>-7900</v>
      </c>
      <c r="AN173" s="141">
        <v>296029</v>
      </c>
      <c r="AO173" s="141">
        <v>0</v>
      </c>
      <c r="AP173" s="141">
        <v>296029</v>
      </c>
      <c r="AQ173" s="141">
        <v>-3342335</v>
      </c>
      <c r="AR173" s="141">
        <v>0</v>
      </c>
      <c r="AS173" s="141">
        <v>-3342335</v>
      </c>
      <c r="AT173" s="141">
        <v>-1374946</v>
      </c>
      <c r="AU173" s="141">
        <v>0</v>
      </c>
      <c r="AV173" s="141">
        <v>-1374946</v>
      </c>
      <c r="AW173" s="141">
        <v>-35058</v>
      </c>
      <c r="AX173" s="141">
        <v>0</v>
      </c>
      <c r="AY173" s="141">
        <v>-35058</v>
      </c>
      <c r="AZ173" s="141">
        <v>-45703</v>
      </c>
      <c r="BA173" s="141">
        <v>0</v>
      </c>
      <c r="BB173" s="141">
        <v>-45703</v>
      </c>
      <c r="BC173" s="141">
        <v>-4798042</v>
      </c>
      <c r="BD173" s="141">
        <v>0</v>
      </c>
      <c r="BE173" s="141">
        <v>0</v>
      </c>
      <c r="BF173" s="141">
        <v>0</v>
      </c>
      <c r="BG173" s="141">
        <v>-4798042</v>
      </c>
      <c r="BH173" s="141">
        <v>0</v>
      </c>
      <c r="BI173" s="141">
        <v>-4798042</v>
      </c>
      <c r="BJ173" s="141">
        <v>0</v>
      </c>
      <c r="BK173" s="141">
        <v>0</v>
      </c>
      <c r="BL173" s="141">
        <v>0</v>
      </c>
      <c r="BM173" s="141">
        <v>-398415</v>
      </c>
      <c r="BN173" s="141">
        <v>0</v>
      </c>
      <c r="BO173" s="141">
        <v>-398415</v>
      </c>
      <c r="BP173" s="141">
        <v>-398415</v>
      </c>
      <c r="BQ173" s="141">
        <v>0</v>
      </c>
      <c r="BR173" s="141">
        <v>0</v>
      </c>
      <c r="BS173" s="141">
        <v>0</v>
      </c>
      <c r="BT173" s="141">
        <v>-398415</v>
      </c>
      <c r="BU173" s="141">
        <v>0</v>
      </c>
      <c r="BV173" s="141">
        <v>-398415</v>
      </c>
      <c r="BW173" s="141">
        <v>-67232</v>
      </c>
      <c r="BX173" s="141">
        <v>0</v>
      </c>
      <c r="BY173" s="141">
        <v>-67232</v>
      </c>
      <c r="BZ173" s="141">
        <v>-3670</v>
      </c>
      <c r="CA173" s="141">
        <v>0</v>
      </c>
      <c r="CB173" s="141">
        <v>-3670</v>
      </c>
      <c r="CC173" s="141">
        <v>-511</v>
      </c>
      <c r="CD173" s="141">
        <v>0</v>
      </c>
      <c r="CE173" s="141">
        <v>-511</v>
      </c>
      <c r="CF173" s="141">
        <v>0</v>
      </c>
      <c r="CG173" s="141">
        <v>0</v>
      </c>
      <c r="CH173" s="141">
        <v>0</v>
      </c>
      <c r="CI173" s="141">
        <v>-6550</v>
      </c>
      <c r="CJ173" s="141">
        <v>0</v>
      </c>
      <c r="CK173" s="141">
        <v>-6550</v>
      </c>
      <c r="CL173" s="141">
        <v>0</v>
      </c>
      <c r="CM173" s="141">
        <v>0</v>
      </c>
      <c r="CN173" s="141">
        <v>0</v>
      </c>
      <c r="CO173" s="141">
        <v>0</v>
      </c>
      <c r="CP173" s="141">
        <v>0</v>
      </c>
      <c r="CQ173" s="141">
        <v>-77963</v>
      </c>
      <c r="CR173" s="141">
        <v>0</v>
      </c>
      <c r="CS173" s="141">
        <v>0</v>
      </c>
      <c r="CT173" s="141">
        <v>0</v>
      </c>
      <c r="CU173" s="141">
        <v>-77963</v>
      </c>
      <c r="CV173" s="141">
        <v>0</v>
      </c>
      <c r="CW173" s="141">
        <v>-77963</v>
      </c>
      <c r="CX173" s="141">
        <v>-45703</v>
      </c>
      <c r="CY173" s="141">
        <v>0</v>
      </c>
      <c r="CZ173" s="141">
        <v>-45703</v>
      </c>
      <c r="DA173" s="141">
        <v>0</v>
      </c>
      <c r="DB173" s="141">
        <v>0</v>
      </c>
      <c r="DC173" s="141">
        <v>0</v>
      </c>
      <c r="DD173" s="141">
        <v>-22000</v>
      </c>
      <c r="DE173" s="141">
        <v>0</v>
      </c>
      <c r="DF173" s="141">
        <v>-22000</v>
      </c>
      <c r="DG173" s="141">
        <v>-23609</v>
      </c>
      <c r="DH173" s="141">
        <v>0</v>
      </c>
      <c r="DI173" s="141">
        <v>-23609</v>
      </c>
      <c r="DJ173" s="141">
        <v>0</v>
      </c>
      <c r="DK173" s="141">
        <v>0</v>
      </c>
      <c r="DL173" s="141">
        <v>0</v>
      </c>
      <c r="DM173" s="141">
        <v>-200000</v>
      </c>
      <c r="DN173" s="141">
        <v>0</v>
      </c>
      <c r="DO173" s="141">
        <v>-200000</v>
      </c>
      <c r="DP173" s="141">
        <v>-291312</v>
      </c>
      <c r="DQ173" s="141">
        <v>0</v>
      </c>
      <c r="DR173" s="141">
        <v>0</v>
      </c>
      <c r="DS173" s="141">
        <v>0</v>
      </c>
      <c r="DT173" s="141">
        <v>-291312</v>
      </c>
      <c r="DU173" s="141">
        <v>0</v>
      </c>
      <c r="DV173" s="141">
        <v>-291312</v>
      </c>
      <c r="DW173" s="856">
        <v>15755364</v>
      </c>
      <c r="DX173" s="856">
        <v>0</v>
      </c>
      <c r="DY173" s="857">
        <v>15755364</v>
      </c>
      <c r="DZ173" t="s">
        <v>1739</v>
      </c>
    </row>
    <row r="174" spans="1:130" ht="12.75" x14ac:dyDescent="0.2">
      <c r="A174" s="764">
        <v>167</v>
      </c>
      <c r="B174" s="765" t="s">
        <v>220</v>
      </c>
      <c r="C174" s="766" t="s">
        <v>1217</v>
      </c>
      <c r="D174" s="767" t="s">
        <v>1221</v>
      </c>
      <c r="E174" s="768" t="s">
        <v>219</v>
      </c>
      <c r="F174" s="867">
        <v>43468</v>
      </c>
      <c r="G174" s="141">
        <v>60769496</v>
      </c>
      <c r="H174" s="141">
        <v>0</v>
      </c>
      <c r="I174" s="141">
        <v>60769496</v>
      </c>
      <c r="J174" s="141">
        <v>49.1</v>
      </c>
      <c r="K174" s="141">
        <v>29837823</v>
      </c>
      <c r="L174" s="141">
        <v>0</v>
      </c>
      <c r="M174" s="141">
        <v>200000</v>
      </c>
      <c r="N174" s="141">
        <v>0</v>
      </c>
      <c r="O174" s="141">
        <v>30037823</v>
      </c>
      <c r="P174" s="141">
        <v>0</v>
      </c>
      <c r="Q174" s="141">
        <v>30037823</v>
      </c>
      <c r="R174" s="141">
        <v>-416037</v>
      </c>
      <c r="S174" s="141">
        <v>0</v>
      </c>
      <c r="T174" s="141">
        <v>-416037</v>
      </c>
      <c r="U174" s="141">
        <v>109349</v>
      </c>
      <c r="V174" s="141">
        <v>0</v>
      </c>
      <c r="W174" s="141">
        <v>109349</v>
      </c>
      <c r="X174" s="141">
        <v>-306688</v>
      </c>
      <c r="Y174" s="141">
        <v>0</v>
      </c>
      <c r="Z174" s="141">
        <v>0</v>
      </c>
      <c r="AA174" s="141">
        <v>0</v>
      </c>
      <c r="AB174" s="141">
        <v>-306688</v>
      </c>
      <c r="AC174" s="141">
        <v>0</v>
      </c>
      <c r="AD174" s="141">
        <v>-306688</v>
      </c>
      <c r="AE174" s="141">
        <v>306688</v>
      </c>
      <c r="AF174" s="141">
        <v>0</v>
      </c>
      <c r="AG174" s="141">
        <v>306688</v>
      </c>
      <c r="AH174" s="141">
        <v>-3485786</v>
      </c>
      <c r="AI174" s="141">
        <v>0</v>
      </c>
      <c r="AJ174" s="141">
        <v>-3485786</v>
      </c>
      <c r="AK174" s="141">
        <v>-11517</v>
      </c>
      <c r="AL174" s="141">
        <v>0</v>
      </c>
      <c r="AM174" s="141">
        <v>-11517</v>
      </c>
      <c r="AN174" s="141">
        <v>488505</v>
      </c>
      <c r="AO174" s="141">
        <v>0</v>
      </c>
      <c r="AP174" s="141">
        <v>488505</v>
      </c>
      <c r="AQ174" s="141">
        <v>-2997281</v>
      </c>
      <c r="AR174" s="141">
        <v>0</v>
      </c>
      <c r="AS174" s="141">
        <v>-2997281</v>
      </c>
      <c r="AT174" s="141">
        <v>-1622017</v>
      </c>
      <c r="AU174" s="141">
        <v>0</v>
      </c>
      <c r="AV174" s="141">
        <v>-1622017</v>
      </c>
      <c r="AW174" s="141">
        <v>-49328</v>
      </c>
      <c r="AX174" s="141">
        <v>0</v>
      </c>
      <c r="AY174" s="141">
        <v>-49328</v>
      </c>
      <c r="AZ174" s="141">
        <v>-54090</v>
      </c>
      <c r="BA174" s="141">
        <v>0</v>
      </c>
      <c r="BB174" s="141">
        <v>-54090</v>
      </c>
      <c r="BC174" s="141">
        <v>-4722716</v>
      </c>
      <c r="BD174" s="141">
        <v>0</v>
      </c>
      <c r="BE174" s="141">
        <v>0</v>
      </c>
      <c r="BF174" s="141">
        <v>0</v>
      </c>
      <c r="BG174" s="141">
        <v>-4722716</v>
      </c>
      <c r="BH174" s="141">
        <v>0</v>
      </c>
      <c r="BI174" s="141">
        <v>-4722716</v>
      </c>
      <c r="BJ174" s="141">
        <v>-19656</v>
      </c>
      <c r="BK174" s="141">
        <v>0</v>
      </c>
      <c r="BL174" s="141">
        <v>-19656</v>
      </c>
      <c r="BM174" s="141">
        <v>-526631</v>
      </c>
      <c r="BN174" s="141">
        <v>0</v>
      </c>
      <c r="BO174" s="141">
        <v>-526631</v>
      </c>
      <c r="BP174" s="141">
        <v>-546287</v>
      </c>
      <c r="BQ174" s="141">
        <v>0</v>
      </c>
      <c r="BR174" s="141">
        <v>-150000</v>
      </c>
      <c r="BS174" s="141">
        <v>0</v>
      </c>
      <c r="BT174" s="141">
        <v>-696287</v>
      </c>
      <c r="BU174" s="141">
        <v>0</v>
      </c>
      <c r="BV174" s="141">
        <v>-696287</v>
      </c>
      <c r="BW174" s="141">
        <v>-175062</v>
      </c>
      <c r="BX174" s="141">
        <v>0</v>
      </c>
      <c r="BY174" s="141">
        <v>-175062</v>
      </c>
      <c r="BZ174" s="141">
        <v>-37645</v>
      </c>
      <c r="CA174" s="141">
        <v>0</v>
      </c>
      <c r="CB174" s="141">
        <v>-37645</v>
      </c>
      <c r="CC174" s="141">
        <v>-9691</v>
      </c>
      <c r="CD174" s="141">
        <v>0</v>
      </c>
      <c r="CE174" s="141">
        <v>-9691</v>
      </c>
      <c r="CF174" s="141">
        <v>0</v>
      </c>
      <c r="CG174" s="141">
        <v>0</v>
      </c>
      <c r="CH174" s="141">
        <v>0</v>
      </c>
      <c r="CI174" s="141">
        <v>-20994</v>
      </c>
      <c r="CJ174" s="141">
        <v>0</v>
      </c>
      <c r="CK174" s="141">
        <v>-20994</v>
      </c>
      <c r="CL174" s="141">
        <v>0</v>
      </c>
      <c r="CM174" s="141">
        <v>0</v>
      </c>
      <c r="CN174" s="141">
        <v>0</v>
      </c>
      <c r="CO174" s="141">
        <v>0</v>
      </c>
      <c r="CP174" s="141">
        <v>0</v>
      </c>
      <c r="CQ174" s="141">
        <v>-243392</v>
      </c>
      <c r="CR174" s="141">
        <v>0</v>
      </c>
      <c r="CS174" s="141">
        <v>0</v>
      </c>
      <c r="CT174" s="141">
        <v>0</v>
      </c>
      <c r="CU174" s="141">
        <v>-243392</v>
      </c>
      <c r="CV174" s="141">
        <v>0</v>
      </c>
      <c r="CW174" s="141">
        <v>-243392</v>
      </c>
      <c r="CX174" s="141">
        <v>-54090</v>
      </c>
      <c r="CY174" s="141">
        <v>0</v>
      </c>
      <c r="CZ174" s="141">
        <v>-54090</v>
      </c>
      <c r="DA174" s="141">
        <v>0</v>
      </c>
      <c r="DB174" s="141">
        <v>0</v>
      </c>
      <c r="DC174" s="141">
        <v>0</v>
      </c>
      <c r="DD174" s="141">
        <v>-69722</v>
      </c>
      <c r="DE174" s="141">
        <v>0</v>
      </c>
      <c r="DF174" s="141">
        <v>-69722</v>
      </c>
      <c r="DG174" s="141">
        <v>-43365</v>
      </c>
      <c r="DH174" s="141">
        <v>0</v>
      </c>
      <c r="DI174" s="141">
        <v>-43365</v>
      </c>
      <c r="DJ174" s="141">
        <v>0</v>
      </c>
      <c r="DK174" s="141">
        <v>0</v>
      </c>
      <c r="DL174" s="141">
        <v>0</v>
      </c>
      <c r="DM174" s="141">
        <v>-366603</v>
      </c>
      <c r="DN174" s="141">
        <v>0</v>
      </c>
      <c r="DO174" s="141">
        <v>-366603</v>
      </c>
      <c r="DP174" s="141">
        <v>-533780</v>
      </c>
      <c r="DQ174" s="141">
        <v>0</v>
      </c>
      <c r="DR174" s="141">
        <v>0</v>
      </c>
      <c r="DS174" s="141">
        <v>0</v>
      </c>
      <c r="DT174" s="141">
        <v>-533780</v>
      </c>
      <c r="DU174" s="141">
        <v>0</v>
      </c>
      <c r="DV174" s="141">
        <v>-533780</v>
      </c>
      <c r="DW174" s="856">
        <v>23534960</v>
      </c>
      <c r="DX174" s="856">
        <v>0</v>
      </c>
      <c r="DY174" s="857">
        <v>23534960</v>
      </c>
      <c r="DZ174" t="s">
        <v>1740</v>
      </c>
    </row>
    <row r="175" spans="1:130" ht="12.75" x14ac:dyDescent="0.2">
      <c r="A175" s="764">
        <v>168</v>
      </c>
      <c r="B175" s="765" t="s">
        <v>222</v>
      </c>
      <c r="C175" s="766" t="s">
        <v>1217</v>
      </c>
      <c r="D175" s="767" t="s">
        <v>1218</v>
      </c>
      <c r="E175" s="768" t="s">
        <v>221</v>
      </c>
      <c r="F175" s="867">
        <v>43486</v>
      </c>
      <c r="G175" s="141">
        <v>119390937</v>
      </c>
      <c r="H175" s="141">
        <v>0</v>
      </c>
      <c r="I175" s="141">
        <v>119390937</v>
      </c>
      <c r="J175" s="141">
        <v>49.1</v>
      </c>
      <c r="K175" s="141">
        <v>58620950</v>
      </c>
      <c r="L175" s="141">
        <v>0</v>
      </c>
      <c r="M175" s="141">
        <v>33238</v>
      </c>
      <c r="N175" s="141">
        <v>0</v>
      </c>
      <c r="O175" s="141">
        <v>58654188</v>
      </c>
      <c r="P175" s="141">
        <v>0</v>
      </c>
      <c r="Q175" s="141">
        <v>58654188</v>
      </c>
      <c r="R175" s="141">
        <v>-722577</v>
      </c>
      <c r="S175" s="141">
        <v>0</v>
      </c>
      <c r="T175" s="141">
        <v>-722577</v>
      </c>
      <c r="U175" s="141">
        <v>201365</v>
      </c>
      <c r="V175" s="141">
        <v>0</v>
      </c>
      <c r="W175" s="141">
        <v>201365</v>
      </c>
      <c r="X175" s="141">
        <v>-521212</v>
      </c>
      <c r="Y175" s="141">
        <v>0</v>
      </c>
      <c r="Z175" s="141">
        <v>0</v>
      </c>
      <c r="AA175" s="141">
        <v>0</v>
      </c>
      <c r="AB175" s="141">
        <v>-521212</v>
      </c>
      <c r="AC175" s="141">
        <v>0</v>
      </c>
      <c r="AD175" s="141">
        <v>-521212</v>
      </c>
      <c r="AE175" s="141">
        <v>521212</v>
      </c>
      <c r="AF175" s="141">
        <v>0</v>
      </c>
      <c r="AG175" s="141">
        <v>521212</v>
      </c>
      <c r="AH175" s="141">
        <v>-4429367</v>
      </c>
      <c r="AI175" s="141">
        <v>0</v>
      </c>
      <c r="AJ175" s="141">
        <v>-4429367</v>
      </c>
      <c r="AK175" s="141">
        <v>0</v>
      </c>
      <c r="AL175" s="141">
        <v>0</v>
      </c>
      <c r="AM175" s="141">
        <v>0</v>
      </c>
      <c r="AN175" s="141">
        <v>1006356</v>
      </c>
      <c r="AO175" s="141">
        <v>0</v>
      </c>
      <c r="AP175" s="141">
        <v>1006356</v>
      </c>
      <c r="AQ175" s="141">
        <v>-3423011</v>
      </c>
      <c r="AR175" s="141">
        <v>0</v>
      </c>
      <c r="AS175" s="141">
        <v>-3423011</v>
      </c>
      <c r="AT175" s="141">
        <v>-4236753</v>
      </c>
      <c r="AU175" s="141">
        <v>0</v>
      </c>
      <c r="AV175" s="141">
        <v>-4236753</v>
      </c>
      <c r="AW175" s="141">
        <v>-56054</v>
      </c>
      <c r="AX175" s="141">
        <v>0</v>
      </c>
      <c r="AY175" s="141">
        <v>-56054</v>
      </c>
      <c r="AZ175" s="141">
        <v>-3591</v>
      </c>
      <c r="BA175" s="141">
        <v>0</v>
      </c>
      <c r="BB175" s="141">
        <v>-3591</v>
      </c>
      <c r="BC175" s="141">
        <v>-7719409</v>
      </c>
      <c r="BD175" s="141">
        <v>0</v>
      </c>
      <c r="BE175" s="141">
        <v>0</v>
      </c>
      <c r="BF175" s="141">
        <v>0</v>
      </c>
      <c r="BG175" s="141">
        <v>-7719409</v>
      </c>
      <c r="BH175" s="141">
        <v>0</v>
      </c>
      <c r="BI175" s="141">
        <v>-7719409</v>
      </c>
      <c r="BJ175" s="141">
        <v>0</v>
      </c>
      <c r="BK175" s="141">
        <v>0</v>
      </c>
      <c r="BL175" s="141">
        <v>0</v>
      </c>
      <c r="BM175" s="141">
        <v>-641348</v>
      </c>
      <c r="BN175" s="141">
        <v>0</v>
      </c>
      <c r="BO175" s="141">
        <v>-641348</v>
      </c>
      <c r="BP175" s="141">
        <v>-641348</v>
      </c>
      <c r="BQ175" s="141">
        <v>0</v>
      </c>
      <c r="BR175" s="141">
        <v>0</v>
      </c>
      <c r="BS175" s="141">
        <v>0</v>
      </c>
      <c r="BT175" s="141">
        <v>-641348</v>
      </c>
      <c r="BU175" s="141">
        <v>0</v>
      </c>
      <c r="BV175" s="141">
        <v>-641348</v>
      </c>
      <c r="BW175" s="141">
        <v>-93754</v>
      </c>
      <c r="BX175" s="141">
        <v>0</v>
      </c>
      <c r="BY175" s="141">
        <v>-93754</v>
      </c>
      <c r="BZ175" s="141">
        <v>-712666</v>
      </c>
      <c r="CA175" s="141">
        <v>0</v>
      </c>
      <c r="CB175" s="141">
        <v>-712666</v>
      </c>
      <c r="CC175" s="141">
        <v>-3916</v>
      </c>
      <c r="CD175" s="141">
        <v>0</v>
      </c>
      <c r="CE175" s="141">
        <v>-3916</v>
      </c>
      <c r="CF175" s="141">
        <v>0</v>
      </c>
      <c r="CG175" s="141">
        <v>0</v>
      </c>
      <c r="CH175" s="141">
        <v>0</v>
      </c>
      <c r="CI175" s="141">
        <v>0</v>
      </c>
      <c r="CJ175" s="141">
        <v>0</v>
      </c>
      <c r="CK175" s="141">
        <v>0</v>
      </c>
      <c r="CL175" s="141">
        <v>0</v>
      </c>
      <c r="CM175" s="141">
        <v>0</v>
      </c>
      <c r="CN175" s="141">
        <v>0</v>
      </c>
      <c r="CO175" s="141">
        <v>0</v>
      </c>
      <c r="CP175" s="141">
        <v>0</v>
      </c>
      <c r="CQ175" s="141">
        <v>-810336</v>
      </c>
      <c r="CR175" s="141">
        <v>0</v>
      </c>
      <c r="CS175" s="141">
        <v>0</v>
      </c>
      <c r="CT175" s="141">
        <v>0</v>
      </c>
      <c r="CU175" s="141">
        <v>-810336</v>
      </c>
      <c r="CV175" s="141">
        <v>0</v>
      </c>
      <c r="CW175" s="141">
        <v>-810336</v>
      </c>
      <c r="CX175" s="141">
        <v>-7329</v>
      </c>
      <c r="CY175" s="141">
        <v>0</v>
      </c>
      <c r="CZ175" s="141">
        <v>-7329</v>
      </c>
      <c r="DA175" s="141">
        <v>0</v>
      </c>
      <c r="DB175" s="141">
        <v>0</v>
      </c>
      <c r="DC175" s="141">
        <v>0</v>
      </c>
      <c r="DD175" s="141">
        <v>-71054</v>
      </c>
      <c r="DE175" s="141">
        <v>0</v>
      </c>
      <c r="DF175" s="141">
        <v>-71054</v>
      </c>
      <c r="DG175" s="141">
        <v>-75750</v>
      </c>
      <c r="DH175" s="141">
        <v>0</v>
      </c>
      <c r="DI175" s="141">
        <v>-75750</v>
      </c>
      <c r="DJ175" s="141">
        <v>0</v>
      </c>
      <c r="DK175" s="141">
        <v>0</v>
      </c>
      <c r="DL175" s="141">
        <v>0</v>
      </c>
      <c r="DM175" s="141">
        <v>-1890384</v>
      </c>
      <c r="DN175" s="141">
        <v>0</v>
      </c>
      <c r="DO175" s="141">
        <v>-1890384</v>
      </c>
      <c r="DP175" s="141">
        <v>-2044517</v>
      </c>
      <c r="DQ175" s="141">
        <v>0</v>
      </c>
      <c r="DR175" s="141">
        <v>0</v>
      </c>
      <c r="DS175" s="141">
        <v>0</v>
      </c>
      <c r="DT175" s="141">
        <v>-2044517</v>
      </c>
      <c r="DU175" s="141">
        <v>0</v>
      </c>
      <c r="DV175" s="141">
        <v>-2044517</v>
      </c>
      <c r="DW175" s="856">
        <v>46917366</v>
      </c>
      <c r="DX175" s="856">
        <v>0</v>
      </c>
      <c r="DY175" s="857">
        <v>46917366</v>
      </c>
      <c r="DZ175" t="s">
        <v>1741</v>
      </c>
    </row>
    <row r="176" spans="1:130" ht="12.75" x14ac:dyDescent="0.2">
      <c r="A176" s="764">
        <v>169</v>
      </c>
      <c r="B176" s="765" t="s">
        <v>224</v>
      </c>
      <c r="C176" s="766" t="s">
        <v>529</v>
      </c>
      <c r="D176" s="767" t="s">
        <v>1229</v>
      </c>
      <c r="E176" s="768" t="s">
        <v>554</v>
      </c>
      <c r="F176" s="867">
        <v>43465</v>
      </c>
      <c r="G176" s="141">
        <v>97235441</v>
      </c>
      <c r="H176" s="141">
        <v>7040815</v>
      </c>
      <c r="I176" s="141">
        <v>104276256</v>
      </c>
      <c r="J176" s="141">
        <v>49.1</v>
      </c>
      <c r="K176" s="141">
        <v>47742602</v>
      </c>
      <c r="L176" s="141">
        <v>3457040</v>
      </c>
      <c r="M176" s="141">
        <v>231000</v>
      </c>
      <c r="N176" s="141">
        <v>0</v>
      </c>
      <c r="O176" s="141">
        <v>47973602</v>
      </c>
      <c r="P176" s="141">
        <v>3457040</v>
      </c>
      <c r="Q176" s="141">
        <v>51430642</v>
      </c>
      <c r="R176" s="141">
        <v>-401497</v>
      </c>
      <c r="S176" s="141">
        <v>-55637</v>
      </c>
      <c r="T176" s="141">
        <v>-457134</v>
      </c>
      <c r="U176" s="141">
        <v>2627429</v>
      </c>
      <c r="V176" s="141">
        <v>199839</v>
      </c>
      <c r="W176" s="141">
        <v>2827268</v>
      </c>
      <c r="X176" s="141">
        <v>2225932</v>
      </c>
      <c r="Y176" s="141">
        <v>144202</v>
      </c>
      <c r="Z176" s="141">
        <v>0</v>
      </c>
      <c r="AA176" s="141">
        <v>0</v>
      </c>
      <c r="AB176" s="141">
        <v>2225932</v>
      </c>
      <c r="AC176" s="141">
        <v>144202</v>
      </c>
      <c r="AD176" s="141">
        <v>2370134</v>
      </c>
      <c r="AE176" s="141">
        <v>-2225932</v>
      </c>
      <c r="AF176" s="141">
        <v>-144202</v>
      </c>
      <c r="AG176" s="141">
        <v>-2370134</v>
      </c>
      <c r="AH176" s="141">
        <v>-3529561</v>
      </c>
      <c r="AI176" s="141">
        <v>-223381</v>
      </c>
      <c r="AJ176" s="141">
        <v>-3752942</v>
      </c>
      <c r="AK176" s="141">
        <v>0</v>
      </c>
      <c r="AL176" s="141">
        <v>0</v>
      </c>
      <c r="AM176" s="141">
        <v>0</v>
      </c>
      <c r="AN176" s="141">
        <v>868887</v>
      </c>
      <c r="AO176" s="141">
        <v>54666</v>
      </c>
      <c r="AP176" s="141">
        <v>923553</v>
      </c>
      <c r="AQ176" s="141">
        <v>-2660674</v>
      </c>
      <c r="AR176" s="141">
        <v>-168715</v>
      </c>
      <c r="AS176" s="141">
        <v>-2829389</v>
      </c>
      <c r="AT176" s="141">
        <v>-6473781</v>
      </c>
      <c r="AU176" s="141">
        <v>-86325</v>
      </c>
      <c r="AV176" s="141">
        <v>-6560106</v>
      </c>
      <c r="AW176" s="141">
        <v>-58233</v>
      </c>
      <c r="AX176" s="141">
        <v>0</v>
      </c>
      <c r="AY176" s="141">
        <v>-58233</v>
      </c>
      <c r="AZ176" s="141">
        <v>0</v>
      </c>
      <c r="BA176" s="141">
        <v>0</v>
      </c>
      <c r="BB176" s="141">
        <v>0</v>
      </c>
      <c r="BC176" s="141">
        <v>-9192688</v>
      </c>
      <c r="BD176" s="141">
        <v>-255040</v>
      </c>
      <c r="BE176" s="141">
        <v>0</v>
      </c>
      <c r="BF176" s="141">
        <v>0</v>
      </c>
      <c r="BG176" s="141">
        <v>-9192688</v>
      </c>
      <c r="BH176" s="141">
        <v>-255040</v>
      </c>
      <c r="BI176" s="141">
        <v>-9447728</v>
      </c>
      <c r="BJ176" s="141">
        <v>0</v>
      </c>
      <c r="BK176" s="141">
        <v>0</v>
      </c>
      <c r="BL176" s="141">
        <v>0</v>
      </c>
      <c r="BM176" s="141">
        <v>-1481425</v>
      </c>
      <c r="BN176" s="141">
        <v>-518575</v>
      </c>
      <c r="BO176" s="141">
        <v>-2000000</v>
      </c>
      <c r="BP176" s="141">
        <v>-1481425</v>
      </c>
      <c r="BQ176" s="141">
        <v>-518575</v>
      </c>
      <c r="BR176" s="141">
        <v>0</v>
      </c>
      <c r="BS176" s="141">
        <v>0</v>
      </c>
      <c r="BT176" s="141">
        <v>-1481425</v>
      </c>
      <c r="BU176" s="141">
        <v>-518575</v>
      </c>
      <c r="BV176" s="141">
        <v>-2000000</v>
      </c>
      <c r="BW176" s="141">
        <v>-10861</v>
      </c>
      <c r="BX176" s="141">
        <v>0</v>
      </c>
      <c r="BY176" s="141">
        <v>-10861</v>
      </c>
      <c r="BZ176" s="141">
        <v>-30523</v>
      </c>
      <c r="CA176" s="141">
        <v>0</v>
      </c>
      <c r="CB176" s="141">
        <v>-30523</v>
      </c>
      <c r="CC176" s="141">
        <v>-8616</v>
      </c>
      <c r="CD176" s="141">
        <v>0</v>
      </c>
      <c r="CE176" s="141">
        <v>-8616</v>
      </c>
      <c r="CF176" s="141">
        <v>0</v>
      </c>
      <c r="CG176" s="141">
        <v>0</v>
      </c>
      <c r="CH176" s="141">
        <v>0</v>
      </c>
      <c r="CI176" s="141">
        <v>0</v>
      </c>
      <c r="CJ176" s="141">
        <v>0</v>
      </c>
      <c r="CK176" s="141">
        <v>0</v>
      </c>
      <c r="CL176" s="141">
        <v>0</v>
      </c>
      <c r="CM176" s="141">
        <v>-115000</v>
      </c>
      <c r="CN176" s="141">
        <v>-115000</v>
      </c>
      <c r="CO176" s="141">
        <v>-115000</v>
      </c>
      <c r="CP176" s="141">
        <v>0</v>
      </c>
      <c r="CQ176" s="141">
        <v>-50000</v>
      </c>
      <c r="CR176" s="141">
        <v>-115000</v>
      </c>
      <c r="CS176" s="141">
        <v>0</v>
      </c>
      <c r="CT176" s="141">
        <v>0</v>
      </c>
      <c r="CU176" s="141">
        <v>-50000</v>
      </c>
      <c r="CV176" s="141">
        <v>-115000</v>
      </c>
      <c r="CW176" s="141">
        <v>-165000</v>
      </c>
      <c r="CX176" s="141">
        <v>0</v>
      </c>
      <c r="CY176" s="141">
        <v>0</v>
      </c>
      <c r="CZ176" s="141">
        <v>0</v>
      </c>
      <c r="DA176" s="141">
        <v>-1500</v>
      </c>
      <c r="DB176" s="141">
        <v>0</v>
      </c>
      <c r="DC176" s="141">
        <v>-1500</v>
      </c>
      <c r="DD176" s="141">
        <v>-9616</v>
      </c>
      <c r="DE176" s="141">
        <v>-1017</v>
      </c>
      <c r="DF176" s="141">
        <v>-10633</v>
      </c>
      <c r="DG176" s="141">
        <v>-40564</v>
      </c>
      <c r="DH176" s="141">
        <v>-4436</v>
      </c>
      <c r="DI176" s="141">
        <v>-45000</v>
      </c>
      <c r="DJ176" s="141">
        <v>0</v>
      </c>
      <c r="DK176" s="141">
        <v>0</v>
      </c>
      <c r="DL176" s="141">
        <v>0</v>
      </c>
      <c r="DM176" s="141">
        <v>-1597134</v>
      </c>
      <c r="DN176" s="141">
        <v>-223859</v>
      </c>
      <c r="DO176" s="141">
        <v>-1820993</v>
      </c>
      <c r="DP176" s="141">
        <v>-1648814</v>
      </c>
      <c r="DQ176" s="141">
        <v>-229312</v>
      </c>
      <c r="DR176" s="141">
        <v>0</v>
      </c>
      <c r="DS176" s="141">
        <v>0</v>
      </c>
      <c r="DT176" s="141">
        <v>-1648814</v>
      </c>
      <c r="DU176" s="141">
        <v>-229312</v>
      </c>
      <c r="DV176" s="141">
        <v>-1878126</v>
      </c>
      <c r="DW176" s="856">
        <v>37826607</v>
      </c>
      <c r="DX176" s="856">
        <v>2483315</v>
      </c>
      <c r="DY176" s="857">
        <v>40309922</v>
      </c>
      <c r="DZ176" t="s">
        <v>1742</v>
      </c>
    </row>
    <row r="177" spans="1:130" ht="12.75" x14ac:dyDescent="0.2">
      <c r="A177" s="764">
        <v>170</v>
      </c>
      <c r="B177" s="765" t="s">
        <v>226</v>
      </c>
      <c r="C177" s="766" t="s">
        <v>529</v>
      </c>
      <c r="D177" s="767" t="s">
        <v>1218</v>
      </c>
      <c r="E177" s="768" t="s">
        <v>542</v>
      </c>
      <c r="F177" s="867">
        <v>43460</v>
      </c>
      <c r="G177" s="141">
        <v>413455631</v>
      </c>
      <c r="H177" s="141">
        <v>0</v>
      </c>
      <c r="I177" s="141">
        <v>413455631</v>
      </c>
      <c r="J177" s="141">
        <v>49.1</v>
      </c>
      <c r="K177" s="141">
        <v>203006715</v>
      </c>
      <c r="L177" s="141">
        <v>0</v>
      </c>
      <c r="M177" s="141">
        <v>0</v>
      </c>
      <c r="N177" s="141">
        <v>0</v>
      </c>
      <c r="O177" s="141">
        <v>203006715</v>
      </c>
      <c r="P177" s="141">
        <v>0</v>
      </c>
      <c r="Q177" s="141">
        <v>203006715</v>
      </c>
      <c r="R177" s="141">
        <v>-1201194</v>
      </c>
      <c r="S177" s="141">
        <v>0</v>
      </c>
      <c r="T177" s="141">
        <v>-1201194</v>
      </c>
      <c r="U177" s="141">
        <v>955194</v>
      </c>
      <c r="V177" s="141">
        <v>0</v>
      </c>
      <c r="W177" s="141">
        <v>955194</v>
      </c>
      <c r="X177" s="141">
        <v>-246000</v>
      </c>
      <c r="Y177" s="141">
        <v>0</v>
      </c>
      <c r="Z177" s="141">
        <v>0</v>
      </c>
      <c r="AA177" s="141">
        <v>0</v>
      </c>
      <c r="AB177" s="141">
        <v>-246000</v>
      </c>
      <c r="AC177" s="141">
        <v>0</v>
      </c>
      <c r="AD177" s="141">
        <v>-246000</v>
      </c>
      <c r="AE177" s="141">
        <v>246000</v>
      </c>
      <c r="AF177" s="141">
        <v>0</v>
      </c>
      <c r="AG177" s="141">
        <v>246000</v>
      </c>
      <c r="AH177" s="141">
        <v>-6985298</v>
      </c>
      <c r="AI177" s="141">
        <v>0</v>
      </c>
      <c r="AJ177" s="141">
        <v>-6985298</v>
      </c>
      <c r="AK177" s="141">
        <v>-16661</v>
      </c>
      <c r="AL177" s="141">
        <v>0</v>
      </c>
      <c r="AM177" s="141">
        <v>-16661</v>
      </c>
      <c r="AN177" s="141">
        <v>4614000</v>
      </c>
      <c r="AO177" s="141">
        <v>0</v>
      </c>
      <c r="AP177" s="141">
        <v>4614000</v>
      </c>
      <c r="AQ177" s="141">
        <v>-2371298</v>
      </c>
      <c r="AR177" s="141">
        <v>0</v>
      </c>
      <c r="AS177" s="141">
        <v>-2371298</v>
      </c>
      <c r="AT177" s="141">
        <v>-12000000</v>
      </c>
      <c r="AU177" s="141">
        <v>0</v>
      </c>
      <c r="AV177" s="141">
        <v>-12000000</v>
      </c>
      <c r="AW177" s="141">
        <v>-50622</v>
      </c>
      <c r="AX177" s="141">
        <v>0</v>
      </c>
      <c r="AY177" s="141">
        <v>-50622</v>
      </c>
      <c r="AZ177" s="141">
        <v>-14525</v>
      </c>
      <c r="BA177" s="141">
        <v>0</v>
      </c>
      <c r="BB177" s="141">
        <v>-14525</v>
      </c>
      <c r="BC177" s="141">
        <v>-14436445</v>
      </c>
      <c r="BD177" s="141">
        <v>0</v>
      </c>
      <c r="BE177" s="141">
        <v>0</v>
      </c>
      <c r="BF177" s="141">
        <v>0</v>
      </c>
      <c r="BG177" s="141">
        <v>-14436445</v>
      </c>
      <c r="BH177" s="141">
        <v>0</v>
      </c>
      <c r="BI177" s="141">
        <v>-14436445</v>
      </c>
      <c r="BJ177" s="141">
        <v>0</v>
      </c>
      <c r="BK177" s="141">
        <v>0</v>
      </c>
      <c r="BL177" s="141">
        <v>0</v>
      </c>
      <c r="BM177" s="141">
        <v>-6100000</v>
      </c>
      <c r="BN177" s="141">
        <v>0</v>
      </c>
      <c r="BO177" s="141">
        <v>-6100000</v>
      </c>
      <c r="BP177" s="141">
        <v>-6100000</v>
      </c>
      <c r="BQ177" s="141">
        <v>0</v>
      </c>
      <c r="BR177" s="141">
        <v>-2000000</v>
      </c>
      <c r="BS177" s="141">
        <v>0</v>
      </c>
      <c r="BT177" s="141">
        <v>-8100000</v>
      </c>
      <c r="BU177" s="141">
        <v>0</v>
      </c>
      <c r="BV177" s="141">
        <v>-8100000</v>
      </c>
      <c r="BW177" s="141">
        <v>-502000</v>
      </c>
      <c r="BX177" s="141">
        <v>0</v>
      </c>
      <c r="BY177" s="141">
        <v>-502000</v>
      </c>
      <c r="BZ177" s="141">
        <v>0</v>
      </c>
      <c r="CA177" s="141">
        <v>0</v>
      </c>
      <c r="CB177" s="141">
        <v>0</v>
      </c>
      <c r="CC177" s="141">
        <v>-19000</v>
      </c>
      <c r="CD177" s="141">
        <v>0</v>
      </c>
      <c r="CE177" s="141">
        <v>-19000</v>
      </c>
      <c r="CF177" s="141">
        <v>0</v>
      </c>
      <c r="CG177" s="141">
        <v>0</v>
      </c>
      <c r="CH177" s="141">
        <v>0</v>
      </c>
      <c r="CI177" s="141">
        <v>0</v>
      </c>
      <c r="CJ177" s="141">
        <v>0</v>
      </c>
      <c r="CK177" s="141">
        <v>0</v>
      </c>
      <c r="CL177" s="141">
        <v>-50000</v>
      </c>
      <c r="CM177" s="141">
        <v>0</v>
      </c>
      <c r="CN177" s="141">
        <v>-50000</v>
      </c>
      <c r="CO177" s="141">
        <v>0</v>
      </c>
      <c r="CP177" s="141">
        <v>0</v>
      </c>
      <c r="CQ177" s="141">
        <v>-571000</v>
      </c>
      <c r="CR177" s="141">
        <v>0</v>
      </c>
      <c r="CS177" s="141">
        <v>0</v>
      </c>
      <c r="CT177" s="141">
        <v>0</v>
      </c>
      <c r="CU177" s="141">
        <v>-571000</v>
      </c>
      <c r="CV177" s="141">
        <v>0</v>
      </c>
      <c r="CW177" s="141">
        <v>-571000</v>
      </c>
      <c r="CX177" s="141">
        <v>-14524</v>
      </c>
      <c r="CY177" s="141">
        <v>0</v>
      </c>
      <c r="CZ177" s="141">
        <v>-14524</v>
      </c>
      <c r="DA177" s="141">
        <v>0</v>
      </c>
      <c r="DB177" s="141">
        <v>0</v>
      </c>
      <c r="DC177" s="141">
        <v>0</v>
      </c>
      <c r="DD177" s="141">
        <v>-25000</v>
      </c>
      <c r="DE177" s="141">
        <v>0</v>
      </c>
      <c r="DF177" s="141">
        <v>-25000</v>
      </c>
      <c r="DG177" s="141">
        <v>-149983</v>
      </c>
      <c r="DH177" s="141">
        <v>0</v>
      </c>
      <c r="DI177" s="141">
        <v>-149983</v>
      </c>
      <c r="DJ177" s="141">
        <v>0</v>
      </c>
      <c r="DK177" s="141">
        <v>0</v>
      </c>
      <c r="DL177" s="141">
        <v>0</v>
      </c>
      <c r="DM177" s="141">
        <v>-2000000</v>
      </c>
      <c r="DN177" s="141">
        <v>0</v>
      </c>
      <c r="DO177" s="141">
        <v>-2000000</v>
      </c>
      <c r="DP177" s="141">
        <v>-2189507</v>
      </c>
      <c r="DQ177" s="141">
        <v>0</v>
      </c>
      <c r="DR177" s="141">
        <v>0</v>
      </c>
      <c r="DS177" s="141">
        <v>0</v>
      </c>
      <c r="DT177" s="141">
        <v>-2189507</v>
      </c>
      <c r="DU177" s="141">
        <v>0</v>
      </c>
      <c r="DV177" s="141">
        <v>-2189507</v>
      </c>
      <c r="DW177" s="856">
        <v>177463763</v>
      </c>
      <c r="DX177" s="856">
        <v>0</v>
      </c>
      <c r="DY177" s="857">
        <v>177463763</v>
      </c>
      <c r="DZ177" t="s">
        <v>1743</v>
      </c>
    </row>
    <row r="178" spans="1:130" ht="12.75" x14ac:dyDescent="0.2">
      <c r="A178" s="764">
        <v>171</v>
      </c>
      <c r="B178" s="765" t="s">
        <v>228</v>
      </c>
      <c r="C178" s="766" t="s">
        <v>1217</v>
      </c>
      <c r="D178" s="767" t="s">
        <v>1218</v>
      </c>
      <c r="E178" s="768" t="s">
        <v>227</v>
      </c>
      <c r="F178" s="867">
        <v>43487</v>
      </c>
      <c r="G178" s="141">
        <v>105109417</v>
      </c>
      <c r="H178" s="141">
        <v>0</v>
      </c>
      <c r="I178" s="141">
        <v>105109417</v>
      </c>
      <c r="J178" s="141">
        <v>49.1</v>
      </c>
      <c r="K178" s="141">
        <v>51608724</v>
      </c>
      <c r="L178" s="141">
        <v>0</v>
      </c>
      <c r="M178" s="141">
        <v>0</v>
      </c>
      <c r="N178" s="141">
        <v>0</v>
      </c>
      <c r="O178" s="141">
        <v>51608724</v>
      </c>
      <c r="P178" s="141">
        <v>0</v>
      </c>
      <c r="Q178" s="141">
        <v>51608724</v>
      </c>
      <c r="R178" s="141">
        <v>-754854</v>
      </c>
      <c r="S178" s="141">
        <v>0</v>
      </c>
      <c r="T178" s="141">
        <v>-754854</v>
      </c>
      <c r="U178" s="141">
        <v>208893</v>
      </c>
      <c r="V178" s="141">
        <v>0</v>
      </c>
      <c r="W178" s="141">
        <v>208893</v>
      </c>
      <c r="X178" s="141">
        <v>-545961</v>
      </c>
      <c r="Y178" s="141">
        <v>0</v>
      </c>
      <c r="Z178" s="141">
        <v>0</v>
      </c>
      <c r="AA178" s="141">
        <v>0</v>
      </c>
      <c r="AB178" s="141">
        <v>-545961</v>
      </c>
      <c r="AC178" s="141">
        <v>0</v>
      </c>
      <c r="AD178" s="141">
        <v>-545961</v>
      </c>
      <c r="AE178" s="141">
        <v>545961</v>
      </c>
      <c r="AF178" s="141">
        <v>0</v>
      </c>
      <c r="AG178" s="141">
        <v>545961</v>
      </c>
      <c r="AH178" s="141">
        <v>-3205078</v>
      </c>
      <c r="AI178" s="141">
        <v>0</v>
      </c>
      <c r="AJ178" s="141">
        <v>-3205078</v>
      </c>
      <c r="AK178" s="141">
        <v>-19616</v>
      </c>
      <c r="AL178" s="141">
        <v>0</v>
      </c>
      <c r="AM178" s="141">
        <v>-19616</v>
      </c>
      <c r="AN178" s="141">
        <v>994874</v>
      </c>
      <c r="AO178" s="141">
        <v>0</v>
      </c>
      <c r="AP178" s="141">
        <v>994874</v>
      </c>
      <c r="AQ178" s="141">
        <v>-2210204</v>
      </c>
      <c r="AR178" s="141">
        <v>0</v>
      </c>
      <c r="AS178" s="141">
        <v>-2210204</v>
      </c>
      <c r="AT178" s="141">
        <v>-2909207</v>
      </c>
      <c r="AU178" s="141">
        <v>0</v>
      </c>
      <c r="AV178" s="141">
        <v>-2909207</v>
      </c>
      <c r="AW178" s="141">
        <v>-41659</v>
      </c>
      <c r="AX178" s="141">
        <v>0</v>
      </c>
      <c r="AY178" s="141">
        <v>-41659</v>
      </c>
      <c r="AZ178" s="141">
        <v>-6779</v>
      </c>
      <c r="BA178" s="141">
        <v>0</v>
      </c>
      <c r="BB178" s="141">
        <v>-6779</v>
      </c>
      <c r="BC178" s="141">
        <v>-5167849</v>
      </c>
      <c r="BD178" s="141">
        <v>0</v>
      </c>
      <c r="BE178" s="141">
        <v>0</v>
      </c>
      <c r="BF178" s="141">
        <v>0</v>
      </c>
      <c r="BG178" s="141">
        <v>-5167849</v>
      </c>
      <c r="BH178" s="141">
        <v>0</v>
      </c>
      <c r="BI178" s="141">
        <v>-5167849</v>
      </c>
      <c r="BJ178" s="141">
        <v>0</v>
      </c>
      <c r="BK178" s="141">
        <v>0</v>
      </c>
      <c r="BL178" s="141">
        <v>0</v>
      </c>
      <c r="BM178" s="141">
        <v>-631475</v>
      </c>
      <c r="BN178" s="141">
        <v>0</v>
      </c>
      <c r="BO178" s="141">
        <v>-631475</v>
      </c>
      <c r="BP178" s="141">
        <v>-631475</v>
      </c>
      <c r="BQ178" s="141">
        <v>0</v>
      </c>
      <c r="BR178" s="141">
        <v>0</v>
      </c>
      <c r="BS178" s="141">
        <v>0</v>
      </c>
      <c r="BT178" s="141">
        <v>-631475</v>
      </c>
      <c r="BU178" s="141">
        <v>0</v>
      </c>
      <c r="BV178" s="141">
        <v>-631475</v>
      </c>
      <c r="BW178" s="141">
        <v>-24230</v>
      </c>
      <c r="BX178" s="141">
        <v>0</v>
      </c>
      <c r="BY178" s="141">
        <v>-24230</v>
      </c>
      <c r="BZ178" s="141">
        <v>-10631</v>
      </c>
      <c r="CA178" s="141">
        <v>0</v>
      </c>
      <c r="CB178" s="141">
        <v>-10631</v>
      </c>
      <c r="CC178" s="141">
        <v>-3119</v>
      </c>
      <c r="CD178" s="141">
        <v>0</v>
      </c>
      <c r="CE178" s="141">
        <v>-3119</v>
      </c>
      <c r="CF178" s="141">
        <v>-6779</v>
      </c>
      <c r="CG178" s="141">
        <v>0</v>
      </c>
      <c r="CH178" s="141">
        <v>-6779</v>
      </c>
      <c r="CI178" s="141">
        <v>-17463</v>
      </c>
      <c r="CJ178" s="141">
        <v>0</v>
      </c>
      <c r="CK178" s="141">
        <v>-17463</v>
      </c>
      <c r="CL178" s="141">
        <v>0</v>
      </c>
      <c r="CM178" s="141">
        <v>0</v>
      </c>
      <c r="CN178" s="141">
        <v>0</v>
      </c>
      <c r="CO178" s="141">
        <v>0</v>
      </c>
      <c r="CP178" s="141">
        <v>0</v>
      </c>
      <c r="CQ178" s="141">
        <v>-62222</v>
      </c>
      <c r="CR178" s="141">
        <v>0</v>
      </c>
      <c r="CS178" s="141">
        <v>0</v>
      </c>
      <c r="CT178" s="141">
        <v>0</v>
      </c>
      <c r="CU178" s="141">
        <v>-62222</v>
      </c>
      <c r="CV178" s="141">
        <v>0</v>
      </c>
      <c r="CW178" s="141">
        <v>-62222</v>
      </c>
      <c r="CX178" s="141">
        <v>-6779</v>
      </c>
      <c r="CY178" s="141">
        <v>0</v>
      </c>
      <c r="CZ178" s="141">
        <v>-6779</v>
      </c>
      <c r="DA178" s="141">
        <v>0</v>
      </c>
      <c r="DB178" s="141">
        <v>0</v>
      </c>
      <c r="DC178" s="141">
        <v>0</v>
      </c>
      <c r="DD178" s="141">
        <v>-59811</v>
      </c>
      <c r="DE178" s="141">
        <v>0</v>
      </c>
      <c r="DF178" s="141">
        <v>-59811</v>
      </c>
      <c r="DG178" s="141">
        <v>-76000</v>
      </c>
      <c r="DH178" s="141">
        <v>0</v>
      </c>
      <c r="DI178" s="141">
        <v>-76000</v>
      </c>
      <c r="DJ178" s="141">
        <v>0</v>
      </c>
      <c r="DK178" s="141">
        <v>0</v>
      </c>
      <c r="DL178" s="141">
        <v>0</v>
      </c>
      <c r="DM178" s="141">
        <v>-609705</v>
      </c>
      <c r="DN178" s="141">
        <v>0</v>
      </c>
      <c r="DO178" s="141">
        <v>-609705</v>
      </c>
      <c r="DP178" s="141">
        <v>-752295</v>
      </c>
      <c r="DQ178" s="141">
        <v>0</v>
      </c>
      <c r="DR178" s="141">
        <v>0</v>
      </c>
      <c r="DS178" s="141">
        <v>0</v>
      </c>
      <c r="DT178" s="141">
        <v>-752295</v>
      </c>
      <c r="DU178" s="141">
        <v>0</v>
      </c>
      <c r="DV178" s="141">
        <v>-752295</v>
      </c>
      <c r="DW178" s="856">
        <v>44448922</v>
      </c>
      <c r="DX178" s="856">
        <v>0</v>
      </c>
      <c r="DY178" s="857">
        <v>44448922</v>
      </c>
      <c r="DZ178" t="s">
        <v>1744</v>
      </c>
    </row>
    <row r="179" spans="1:130" ht="12.75" x14ac:dyDescent="0.2">
      <c r="A179" s="764">
        <v>172</v>
      </c>
      <c r="B179" s="765" t="s">
        <v>230</v>
      </c>
      <c r="C179" s="766" t="s">
        <v>1217</v>
      </c>
      <c r="D179" s="767" t="s">
        <v>1218</v>
      </c>
      <c r="E179" s="768" t="s">
        <v>229</v>
      </c>
      <c r="F179" s="867">
        <v>43453</v>
      </c>
      <c r="G179" s="141">
        <v>169703493</v>
      </c>
      <c r="H179" s="141">
        <v>0</v>
      </c>
      <c r="I179" s="141">
        <v>169703493</v>
      </c>
      <c r="J179" s="141">
        <v>49.1</v>
      </c>
      <c r="K179" s="141">
        <v>83324415</v>
      </c>
      <c r="L179" s="141">
        <v>0</v>
      </c>
      <c r="M179" s="141">
        <v>137480</v>
      </c>
      <c r="N179" s="141">
        <v>0</v>
      </c>
      <c r="O179" s="141">
        <v>83461895</v>
      </c>
      <c r="P179" s="141">
        <v>0</v>
      </c>
      <c r="Q179" s="141">
        <v>83461895</v>
      </c>
      <c r="R179" s="141">
        <v>-653945</v>
      </c>
      <c r="S179" s="141">
        <v>0</v>
      </c>
      <c r="T179" s="141">
        <v>-653945</v>
      </c>
      <c r="U179" s="141">
        <v>396626</v>
      </c>
      <c r="V179" s="141">
        <v>0</v>
      </c>
      <c r="W179" s="141">
        <v>396626</v>
      </c>
      <c r="X179" s="141">
        <v>-257319</v>
      </c>
      <c r="Y179" s="141">
        <v>0</v>
      </c>
      <c r="Z179" s="141">
        <v>0</v>
      </c>
      <c r="AA179" s="141">
        <v>0</v>
      </c>
      <c r="AB179" s="141">
        <v>-257319</v>
      </c>
      <c r="AC179" s="141">
        <v>0</v>
      </c>
      <c r="AD179" s="141">
        <v>-257319</v>
      </c>
      <c r="AE179" s="141">
        <v>257319</v>
      </c>
      <c r="AF179" s="141">
        <v>0</v>
      </c>
      <c r="AG179" s="141">
        <v>257319</v>
      </c>
      <c r="AH179" s="141">
        <v>-7856707</v>
      </c>
      <c r="AI179" s="141">
        <v>0</v>
      </c>
      <c r="AJ179" s="141">
        <v>-7856707</v>
      </c>
      <c r="AK179" s="141">
        <v>-10000</v>
      </c>
      <c r="AL179" s="141">
        <v>0</v>
      </c>
      <c r="AM179" s="141">
        <v>-10000</v>
      </c>
      <c r="AN179" s="141">
        <v>1477732</v>
      </c>
      <c r="AO179" s="141">
        <v>0</v>
      </c>
      <c r="AP179" s="141">
        <v>1477732</v>
      </c>
      <c r="AQ179" s="141">
        <v>-6378975</v>
      </c>
      <c r="AR179" s="141">
        <v>0</v>
      </c>
      <c r="AS179" s="141">
        <v>-6378975</v>
      </c>
      <c r="AT179" s="141">
        <v>-3881995</v>
      </c>
      <c r="AU179" s="141">
        <v>0</v>
      </c>
      <c r="AV179" s="141">
        <v>-3881995</v>
      </c>
      <c r="AW179" s="141">
        <v>-54552</v>
      </c>
      <c r="AX179" s="141">
        <v>0</v>
      </c>
      <c r="AY179" s="141">
        <v>-54552</v>
      </c>
      <c r="AZ179" s="141">
        <v>-11722</v>
      </c>
      <c r="BA179" s="141">
        <v>0</v>
      </c>
      <c r="BB179" s="141">
        <v>-11722</v>
      </c>
      <c r="BC179" s="141">
        <v>-10327244</v>
      </c>
      <c r="BD179" s="141">
        <v>0</v>
      </c>
      <c r="BE179" s="141">
        <v>0</v>
      </c>
      <c r="BF179" s="141">
        <v>0</v>
      </c>
      <c r="BG179" s="141">
        <v>-10327244</v>
      </c>
      <c r="BH179" s="141">
        <v>0</v>
      </c>
      <c r="BI179" s="141">
        <v>-10327244</v>
      </c>
      <c r="BJ179" s="141">
        <v>-123145</v>
      </c>
      <c r="BK179" s="141">
        <v>0</v>
      </c>
      <c r="BL179" s="141">
        <v>-123145</v>
      </c>
      <c r="BM179" s="141">
        <v>-1280295</v>
      </c>
      <c r="BN179" s="141">
        <v>0</v>
      </c>
      <c r="BO179" s="141">
        <v>-1280295</v>
      </c>
      <c r="BP179" s="141">
        <v>-1403440</v>
      </c>
      <c r="BQ179" s="141">
        <v>0</v>
      </c>
      <c r="BR179" s="141">
        <v>0</v>
      </c>
      <c r="BS179" s="141">
        <v>0</v>
      </c>
      <c r="BT179" s="141">
        <v>-1403440</v>
      </c>
      <c r="BU179" s="141">
        <v>0</v>
      </c>
      <c r="BV179" s="141">
        <v>-1403440</v>
      </c>
      <c r="BW179" s="141">
        <v>-103891</v>
      </c>
      <c r="BX179" s="141">
        <v>0</v>
      </c>
      <c r="BY179" s="141">
        <v>-103891</v>
      </c>
      <c r="BZ179" s="141">
        <v>-13901</v>
      </c>
      <c r="CA179" s="141">
        <v>0</v>
      </c>
      <c r="CB179" s="141">
        <v>-13901</v>
      </c>
      <c r="CC179" s="141">
        <v>0</v>
      </c>
      <c r="CD179" s="141">
        <v>0</v>
      </c>
      <c r="CE179" s="141">
        <v>0</v>
      </c>
      <c r="CF179" s="141">
        <v>0</v>
      </c>
      <c r="CG179" s="141">
        <v>0</v>
      </c>
      <c r="CH179" s="141">
        <v>0</v>
      </c>
      <c r="CI179" s="141">
        <v>0</v>
      </c>
      <c r="CJ179" s="141">
        <v>0</v>
      </c>
      <c r="CK179" s="141">
        <v>0</v>
      </c>
      <c r="CL179" s="141">
        <v>-12383</v>
      </c>
      <c r="CM179" s="141">
        <v>0</v>
      </c>
      <c r="CN179" s="141">
        <v>-12383</v>
      </c>
      <c r="CO179" s="141">
        <v>0</v>
      </c>
      <c r="CP179" s="141">
        <v>0</v>
      </c>
      <c r="CQ179" s="141">
        <v>-130175</v>
      </c>
      <c r="CR179" s="141">
        <v>0</v>
      </c>
      <c r="CS179" s="141">
        <v>0</v>
      </c>
      <c r="CT179" s="141">
        <v>0</v>
      </c>
      <c r="CU179" s="141">
        <v>-130175</v>
      </c>
      <c r="CV179" s="141">
        <v>0</v>
      </c>
      <c r="CW179" s="141">
        <v>-130175</v>
      </c>
      <c r="CX179" s="141">
        <v>-11722</v>
      </c>
      <c r="CY179" s="141">
        <v>0</v>
      </c>
      <c r="CZ179" s="141">
        <v>-11722</v>
      </c>
      <c r="DA179" s="141">
        <v>0</v>
      </c>
      <c r="DB179" s="141">
        <v>0</v>
      </c>
      <c r="DC179" s="141">
        <v>0</v>
      </c>
      <c r="DD179" s="141">
        <v>-24810</v>
      </c>
      <c r="DE179" s="141">
        <v>0</v>
      </c>
      <c r="DF179" s="141">
        <v>-24810</v>
      </c>
      <c r="DG179" s="141">
        <v>-82783</v>
      </c>
      <c r="DH179" s="141">
        <v>0</v>
      </c>
      <c r="DI179" s="141">
        <v>-82783</v>
      </c>
      <c r="DJ179" s="141">
        <v>0</v>
      </c>
      <c r="DK179" s="141">
        <v>0</v>
      </c>
      <c r="DL179" s="141">
        <v>0</v>
      </c>
      <c r="DM179" s="141">
        <v>-1700000</v>
      </c>
      <c r="DN179" s="141">
        <v>0</v>
      </c>
      <c r="DO179" s="141">
        <v>-1700000</v>
      </c>
      <c r="DP179" s="141">
        <v>-1819315</v>
      </c>
      <c r="DQ179" s="141">
        <v>0</v>
      </c>
      <c r="DR179" s="141">
        <v>0</v>
      </c>
      <c r="DS179" s="141">
        <v>0</v>
      </c>
      <c r="DT179" s="141">
        <v>-1819315</v>
      </c>
      <c r="DU179" s="141">
        <v>0</v>
      </c>
      <c r="DV179" s="141">
        <v>-1819315</v>
      </c>
      <c r="DW179" s="856">
        <v>69524402</v>
      </c>
      <c r="DX179" s="856">
        <v>0</v>
      </c>
      <c r="DY179" s="857">
        <v>69524402</v>
      </c>
      <c r="DZ179" t="s">
        <v>1745</v>
      </c>
    </row>
    <row r="180" spans="1:130" ht="12.75" x14ac:dyDescent="0.2">
      <c r="A180" s="764">
        <v>173</v>
      </c>
      <c r="B180" s="765" t="s">
        <v>232</v>
      </c>
      <c r="C180" s="766" t="s">
        <v>1217</v>
      </c>
      <c r="D180" s="767" t="s">
        <v>1220</v>
      </c>
      <c r="E180" s="768" t="s">
        <v>231</v>
      </c>
      <c r="F180" s="867">
        <v>43468</v>
      </c>
      <c r="G180" s="141">
        <v>106486370</v>
      </c>
      <c r="H180" s="141">
        <v>0</v>
      </c>
      <c r="I180" s="141">
        <v>106486370</v>
      </c>
      <c r="J180" s="141">
        <v>49.1</v>
      </c>
      <c r="K180" s="141">
        <v>52284808</v>
      </c>
      <c r="L180" s="141">
        <v>0</v>
      </c>
      <c r="M180" s="141">
        <v>0</v>
      </c>
      <c r="N180" s="141">
        <v>0</v>
      </c>
      <c r="O180" s="141">
        <v>52284808</v>
      </c>
      <c r="P180" s="141">
        <v>0</v>
      </c>
      <c r="Q180" s="141">
        <v>52284808</v>
      </c>
      <c r="R180" s="141">
        <v>-855342</v>
      </c>
      <c r="S180" s="141">
        <v>0</v>
      </c>
      <c r="T180" s="141">
        <v>-855342</v>
      </c>
      <c r="U180" s="141">
        <v>93527</v>
      </c>
      <c r="V180" s="141">
        <v>0</v>
      </c>
      <c r="W180" s="141">
        <v>93527</v>
      </c>
      <c r="X180" s="141">
        <v>-761815</v>
      </c>
      <c r="Y180" s="141">
        <v>0</v>
      </c>
      <c r="Z180" s="141">
        <v>0</v>
      </c>
      <c r="AA180" s="141">
        <v>0</v>
      </c>
      <c r="AB180" s="141">
        <v>-761815</v>
      </c>
      <c r="AC180" s="141">
        <v>0</v>
      </c>
      <c r="AD180" s="141">
        <v>-761815</v>
      </c>
      <c r="AE180" s="141">
        <v>761815</v>
      </c>
      <c r="AF180" s="141">
        <v>0</v>
      </c>
      <c r="AG180" s="141">
        <v>761815</v>
      </c>
      <c r="AH180" s="141">
        <v>-4511905</v>
      </c>
      <c r="AI180" s="141">
        <v>0</v>
      </c>
      <c r="AJ180" s="141">
        <v>-4511905</v>
      </c>
      <c r="AK180" s="141">
        <v>0</v>
      </c>
      <c r="AL180" s="141">
        <v>0</v>
      </c>
      <c r="AM180" s="141">
        <v>0</v>
      </c>
      <c r="AN180" s="141">
        <v>991997</v>
      </c>
      <c r="AO180" s="141">
        <v>0</v>
      </c>
      <c r="AP180" s="141">
        <v>991997</v>
      </c>
      <c r="AQ180" s="141">
        <v>-3519908</v>
      </c>
      <c r="AR180" s="141">
        <v>0</v>
      </c>
      <c r="AS180" s="141">
        <v>-3519908</v>
      </c>
      <c r="AT180" s="141">
        <v>-2147223</v>
      </c>
      <c r="AU180" s="141">
        <v>0</v>
      </c>
      <c r="AV180" s="141">
        <v>-2147223</v>
      </c>
      <c r="AW180" s="141">
        <v>-81144</v>
      </c>
      <c r="AX180" s="141">
        <v>0</v>
      </c>
      <c r="AY180" s="141">
        <v>-81144</v>
      </c>
      <c r="AZ180" s="141">
        <v>-9882</v>
      </c>
      <c r="BA180" s="141">
        <v>0</v>
      </c>
      <c r="BB180" s="141">
        <v>-9882</v>
      </c>
      <c r="BC180" s="141">
        <v>-5758157</v>
      </c>
      <c r="BD180" s="141">
        <v>0</v>
      </c>
      <c r="BE180" s="141">
        <v>0</v>
      </c>
      <c r="BF180" s="141">
        <v>0</v>
      </c>
      <c r="BG180" s="141">
        <v>-5758157</v>
      </c>
      <c r="BH180" s="141">
        <v>0</v>
      </c>
      <c r="BI180" s="141">
        <v>-5758157</v>
      </c>
      <c r="BJ180" s="141">
        <v>0</v>
      </c>
      <c r="BK180" s="141">
        <v>0</v>
      </c>
      <c r="BL180" s="141">
        <v>0</v>
      </c>
      <c r="BM180" s="141">
        <v>-840165</v>
      </c>
      <c r="BN180" s="141">
        <v>0</v>
      </c>
      <c r="BO180" s="141">
        <v>-840165</v>
      </c>
      <c r="BP180" s="141">
        <v>-840165</v>
      </c>
      <c r="BQ180" s="141">
        <v>0</v>
      </c>
      <c r="BR180" s="141">
        <v>-100000</v>
      </c>
      <c r="BS180" s="141">
        <v>0</v>
      </c>
      <c r="BT180" s="141">
        <v>-940165</v>
      </c>
      <c r="BU180" s="141">
        <v>0</v>
      </c>
      <c r="BV180" s="141">
        <v>-940165</v>
      </c>
      <c r="BW180" s="141">
        <v>-73686</v>
      </c>
      <c r="BX180" s="141">
        <v>0</v>
      </c>
      <c r="BY180" s="141">
        <v>-73686</v>
      </c>
      <c r="BZ180" s="141">
        <v>-270725</v>
      </c>
      <c r="CA180" s="141">
        <v>0</v>
      </c>
      <c r="CB180" s="141">
        <v>-270725</v>
      </c>
      <c r="CC180" s="141">
        <v>0</v>
      </c>
      <c r="CD180" s="141">
        <v>0</v>
      </c>
      <c r="CE180" s="141">
        <v>0</v>
      </c>
      <c r="CF180" s="141">
        <v>0</v>
      </c>
      <c r="CG180" s="141">
        <v>0</v>
      </c>
      <c r="CH180" s="141">
        <v>0</v>
      </c>
      <c r="CI180" s="141">
        <v>0</v>
      </c>
      <c r="CJ180" s="141">
        <v>0</v>
      </c>
      <c r="CK180" s="141">
        <v>0</v>
      </c>
      <c r="CL180" s="141">
        <v>0</v>
      </c>
      <c r="CM180" s="141">
        <v>0</v>
      </c>
      <c r="CN180" s="141">
        <v>0</v>
      </c>
      <c r="CO180" s="141">
        <v>0</v>
      </c>
      <c r="CP180" s="141">
        <v>0</v>
      </c>
      <c r="CQ180" s="141">
        <v>-344411</v>
      </c>
      <c r="CR180" s="141">
        <v>0</v>
      </c>
      <c r="CS180" s="141">
        <v>0</v>
      </c>
      <c r="CT180" s="141">
        <v>0</v>
      </c>
      <c r="CU180" s="141">
        <v>-344411</v>
      </c>
      <c r="CV180" s="141">
        <v>0</v>
      </c>
      <c r="CW180" s="141">
        <v>-344411</v>
      </c>
      <c r="CX180" s="141">
        <v>-18302</v>
      </c>
      <c r="CY180" s="141">
        <v>0</v>
      </c>
      <c r="CZ180" s="141">
        <v>-18302</v>
      </c>
      <c r="DA180" s="141">
        <v>-1500</v>
      </c>
      <c r="DB180" s="141">
        <v>0</v>
      </c>
      <c r="DC180" s="141">
        <v>-1500</v>
      </c>
      <c r="DD180" s="141">
        <v>-26306</v>
      </c>
      <c r="DE180" s="141">
        <v>0</v>
      </c>
      <c r="DF180" s="141">
        <v>-26306</v>
      </c>
      <c r="DG180" s="141">
        <v>-14000</v>
      </c>
      <c r="DH180" s="141">
        <v>0</v>
      </c>
      <c r="DI180" s="141">
        <v>-14000</v>
      </c>
      <c r="DJ180" s="141">
        <v>0</v>
      </c>
      <c r="DK180" s="141">
        <v>0</v>
      </c>
      <c r="DL180" s="141">
        <v>0</v>
      </c>
      <c r="DM180" s="141">
        <v>-680000</v>
      </c>
      <c r="DN180" s="141">
        <v>0</v>
      </c>
      <c r="DO180" s="141">
        <v>-680000</v>
      </c>
      <c r="DP180" s="141">
        <v>-740108</v>
      </c>
      <c r="DQ180" s="141">
        <v>0</v>
      </c>
      <c r="DR180" s="141">
        <v>0</v>
      </c>
      <c r="DS180" s="141">
        <v>0</v>
      </c>
      <c r="DT180" s="141">
        <v>-740108</v>
      </c>
      <c r="DU180" s="141">
        <v>0</v>
      </c>
      <c r="DV180" s="141">
        <v>-740108</v>
      </c>
      <c r="DW180" s="856">
        <v>43740152</v>
      </c>
      <c r="DX180" s="856">
        <v>0</v>
      </c>
      <c r="DY180" s="857">
        <v>43740152</v>
      </c>
      <c r="DZ180" t="s">
        <v>1746</v>
      </c>
    </row>
    <row r="181" spans="1:130" ht="12.75" x14ac:dyDescent="0.2">
      <c r="A181" s="764">
        <v>174</v>
      </c>
      <c r="B181" s="765" t="s">
        <v>233</v>
      </c>
      <c r="C181" s="766" t="s">
        <v>1224</v>
      </c>
      <c r="D181" s="767" t="s">
        <v>1229</v>
      </c>
      <c r="E181" s="768" t="s">
        <v>867</v>
      </c>
      <c r="F181" s="867">
        <v>43474</v>
      </c>
      <c r="G181" s="141">
        <v>359375328</v>
      </c>
      <c r="H181" s="141">
        <v>18890455</v>
      </c>
      <c r="I181" s="141">
        <v>378265783</v>
      </c>
      <c r="J181" s="141">
        <v>49.1</v>
      </c>
      <c r="K181" s="141">
        <v>176453286</v>
      </c>
      <c r="L181" s="141">
        <v>9275213</v>
      </c>
      <c r="M181" s="141">
        <v>-3000000</v>
      </c>
      <c r="N181" s="141">
        <v>0</v>
      </c>
      <c r="O181" s="141">
        <v>173453286</v>
      </c>
      <c r="P181" s="141">
        <v>9275213</v>
      </c>
      <c r="Q181" s="141">
        <v>182728499</v>
      </c>
      <c r="R181" s="141">
        <v>-1475813</v>
      </c>
      <c r="S181" s="141">
        <v>-6740</v>
      </c>
      <c r="T181" s="141">
        <v>-1482553</v>
      </c>
      <c r="U181" s="141">
        <v>4687587</v>
      </c>
      <c r="V181" s="141">
        <v>366452</v>
      </c>
      <c r="W181" s="141">
        <v>5054039</v>
      </c>
      <c r="X181" s="141">
        <v>3211774</v>
      </c>
      <c r="Y181" s="141">
        <v>359712</v>
      </c>
      <c r="Z181" s="141">
        <v>0</v>
      </c>
      <c r="AA181" s="141">
        <v>0</v>
      </c>
      <c r="AB181" s="141">
        <v>3211774</v>
      </c>
      <c r="AC181" s="141">
        <v>359712</v>
      </c>
      <c r="AD181" s="141">
        <v>3571486</v>
      </c>
      <c r="AE181" s="141">
        <v>-3211774</v>
      </c>
      <c r="AF181" s="141">
        <v>-359712</v>
      </c>
      <c r="AG181" s="141">
        <v>-3571486</v>
      </c>
      <c r="AH181" s="141">
        <v>-9122968</v>
      </c>
      <c r="AI181" s="141">
        <v>-52123</v>
      </c>
      <c r="AJ181" s="141">
        <v>-9175091</v>
      </c>
      <c r="AK181" s="141">
        <v>-19601</v>
      </c>
      <c r="AL181" s="141">
        <v>0</v>
      </c>
      <c r="AM181" s="141">
        <v>-19601</v>
      </c>
      <c r="AN181" s="141">
        <v>3718481</v>
      </c>
      <c r="AO181" s="141">
        <v>220093</v>
      </c>
      <c r="AP181" s="141">
        <v>3938574</v>
      </c>
      <c r="AQ181" s="141">
        <v>-5404487</v>
      </c>
      <c r="AR181" s="141">
        <v>167970</v>
      </c>
      <c r="AS181" s="141">
        <v>-5236517</v>
      </c>
      <c r="AT181" s="141">
        <v>-16359471</v>
      </c>
      <c r="AU181" s="141">
        <v>-818182</v>
      </c>
      <c r="AV181" s="141">
        <v>-17177653</v>
      </c>
      <c r="AW181" s="141">
        <v>-146934</v>
      </c>
      <c r="AX181" s="141">
        <v>0</v>
      </c>
      <c r="AY181" s="141">
        <v>-146934</v>
      </c>
      <c r="AZ181" s="141">
        <v>-1547</v>
      </c>
      <c r="BA181" s="141">
        <v>0</v>
      </c>
      <c r="BB181" s="141">
        <v>-1547</v>
      </c>
      <c r="BC181" s="141">
        <v>-21912439</v>
      </c>
      <c r="BD181" s="141">
        <v>-650212</v>
      </c>
      <c r="BE181" s="141">
        <v>0</v>
      </c>
      <c r="BF181" s="141">
        <v>0</v>
      </c>
      <c r="BG181" s="141">
        <v>-21912439</v>
      </c>
      <c r="BH181" s="141">
        <v>-650212</v>
      </c>
      <c r="BI181" s="141">
        <v>-22562651</v>
      </c>
      <c r="BJ181" s="141">
        <v>-714000</v>
      </c>
      <c r="BK181" s="141">
        <v>0</v>
      </c>
      <c r="BL181" s="141">
        <v>-714000</v>
      </c>
      <c r="BM181" s="141">
        <v>-6648121</v>
      </c>
      <c r="BN181" s="141">
        <v>-676030</v>
      </c>
      <c r="BO181" s="141">
        <v>-7324151</v>
      </c>
      <c r="BP181" s="141">
        <v>-7362121</v>
      </c>
      <c r="BQ181" s="141">
        <v>-676030</v>
      </c>
      <c r="BR181" s="141">
        <v>0</v>
      </c>
      <c r="BS181" s="141">
        <v>0</v>
      </c>
      <c r="BT181" s="141">
        <v>-7362121</v>
      </c>
      <c r="BU181" s="141">
        <v>-676030</v>
      </c>
      <c r="BV181" s="141">
        <v>-8038151</v>
      </c>
      <c r="BW181" s="141">
        <v>-934338</v>
      </c>
      <c r="BX181" s="141">
        <v>0</v>
      </c>
      <c r="BY181" s="141">
        <v>-934338</v>
      </c>
      <c r="BZ181" s="141">
        <v>-435328</v>
      </c>
      <c r="CA181" s="141">
        <v>0</v>
      </c>
      <c r="CB181" s="141">
        <v>-435328</v>
      </c>
      <c r="CC181" s="141">
        <v>-21181</v>
      </c>
      <c r="CD181" s="141">
        <v>0</v>
      </c>
      <c r="CE181" s="141">
        <v>-21181</v>
      </c>
      <c r="CF181" s="141">
        <v>0</v>
      </c>
      <c r="CG181" s="141">
        <v>0</v>
      </c>
      <c r="CH181" s="141">
        <v>0</v>
      </c>
      <c r="CI181" s="141">
        <v>0</v>
      </c>
      <c r="CJ181" s="141">
        <v>0</v>
      </c>
      <c r="CK181" s="141">
        <v>0</v>
      </c>
      <c r="CL181" s="141">
        <v>0</v>
      </c>
      <c r="CM181" s="141">
        <v>0</v>
      </c>
      <c r="CN181" s="141">
        <v>0</v>
      </c>
      <c r="CO181" s="141">
        <v>0</v>
      </c>
      <c r="CP181" s="141">
        <v>0</v>
      </c>
      <c r="CQ181" s="141">
        <v>-1390847</v>
      </c>
      <c r="CR181" s="141">
        <v>0</v>
      </c>
      <c r="CS181" s="141">
        <v>0</v>
      </c>
      <c r="CT181" s="141">
        <v>0</v>
      </c>
      <c r="CU181" s="141">
        <v>-1390847</v>
      </c>
      <c r="CV181" s="141">
        <v>0</v>
      </c>
      <c r="CW181" s="141">
        <v>-1390847</v>
      </c>
      <c r="CX181" s="141">
        <v>0</v>
      </c>
      <c r="CY181" s="141">
        <v>0</v>
      </c>
      <c r="CZ181" s="141">
        <v>0</v>
      </c>
      <c r="DA181" s="141">
        <v>0</v>
      </c>
      <c r="DB181" s="141">
        <v>0</v>
      </c>
      <c r="DC181" s="141">
        <v>0</v>
      </c>
      <c r="DD181" s="141">
        <v>-43420</v>
      </c>
      <c r="DE181" s="141">
        <v>0</v>
      </c>
      <c r="DF181" s="141">
        <v>-43420</v>
      </c>
      <c r="DG181" s="141">
        <v>-119843</v>
      </c>
      <c r="DH181" s="141">
        <v>-13699</v>
      </c>
      <c r="DI181" s="141">
        <v>-133542</v>
      </c>
      <c r="DJ181" s="141">
        <v>0</v>
      </c>
      <c r="DK181" s="141">
        <v>0</v>
      </c>
      <c r="DL181" s="141">
        <v>0</v>
      </c>
      <c r="DM181" s="141">
        <v>-3237260</v>
      </c>
      <c r="DN181" s="141">
        <v>-74632</v>
      </c>
      <c r="DO181" s="141">
        <v>-3311892</v>
      </c>
      <c r="DP181" s="141">
        <v>-3400523</v>
      </c>
      <c r="DQ181" s="141">
        <v>-88331</v>
      </c>
      <c r="DR181" s="141">
        <v>0</v>
      </c>
      <c r="DS181" s="141">
        <v>0</v>
      </c>
      <c r="DT181" s="141">
        <v>-3400523</v>
      </c>
      <c r="DU181" s="141">
        <v>-88331</v>
      </c>
      <c r="DV181" s="141">
        <v>-3488854</v>
      </c>
      <c r="DW181" s="856">
        <v>142599130</v>
      </c>
      <c r="DX181" s="856">
        <v>8220352</v>
      </c>
      <c r="DY181" s="857">
        <v>150819482</v>
      </c>
      <c r="DZ181" t="s">
        <v>1747</v>
      </c>
    </row>
    <row r="182" spans="1:130" ht="12.75" x14ac:dyDescent="0.2">
      <c r="A182" s="764">
        <v>175</v>
      </c>
      <c r="B182" s="765" t="s">
        <v>235</v>
      </c>
      <c r="C182" s="766" t="s">
        <v>1217</v>
      </c>
      <c r="D182" s="767" t="s">
        <v>1227</v>
      </c>
      <c r="E182" s="768" t="s">
        <v>234</v>
      </c>
      <c r="F182" s="867">
        <v>43474</v>
      </c>
      <c r="G182" s="141">
        <v>90343638</v>
      </c>
      <c r="H182" s="141">
        <v>0</v>
      </c>
      <c r="I182" s="141">
        <v>90343638</v>
      </c>
      <c r="J182" s="141">
        <v>49.1</v>
      </c>
      <c r="K182" s="141">
        <v>44358726</v>
      </c>
      <c r="L182" s="141">
        <v>0</v>
      </c>
      <c r="M182" s="141">
        <v>-1000000</v>
      </c>
      <c r="N182" s="141">
        <v>0</v>
      </c>
      <c r="O182" s="141">
        <v>43358726</v>
      </c>
      <c r="P182" s="141">
        <v>0</v>
      </c>
      <c r="Q182" s="141">
        <v>43358726</v>
      </c>
      <c r="R182" s="141">
        <v>-418031</v>
      </c>
      <c r="S182" s="141">
        <v>0</v>
      </c>
      <c r="T182" s="141">
        <v>-418031</v>
      </c>
      <c r="U182" s="141">
        <v>365831</v>
      </c>
      <c r="V182" s="141">
        <v>0</v>
      </c>
      <c r="W182" s="141">
        <v>365831</v>
      </c>
      <c r="X182" s="141">
        <v>-52200</v>
      </c>
      <c r="Y182" s="141">
        <v>0</v>
      </c>
      <c r="Z182" s="141">
        <v>0</v>
      </c>
      <c r="AA182" s="141">
        <v>0</v>
      </c>
      <c r="AB182" s="141">
        <v>-52200</v>
      </c>
      <c r="AC182" s="141">
        <v>0</v>
      </c>
      <c r="AD182" s="141">
        <v>-52200</v>
      </c>
      <c r="AE182" s="141">
        <v>52200</v>
      </c>
      <c r="AF182" s="141">
        <v>0</v>
      </c>
      <c r="AG182" s="141">
        <v>52200</v>
      </c>
      <c r="AH182" s="141">
        <v>-3849612</v>
      </c>
      <c r="AI182" s="141">
        <v>0</v>
      </c>
      <c r="AJ182" s="141">
        <v>-3849612</v>
      </c>
      <c r="AK182" s="141">
        <v>0</v>
      </c>
      <c r="AL182" s="141">
        <v>0</v>
      </c>
      <c r="AM182" s="141">
        <v>0</v>
      </c>
      <c r="AN182" s="141">
        <v>816872</v>
      </c>
      <c r="AO182" s="141">
        <v>0</v>
      </c>
      <c r="AP182" s="141">
        <v>816872</v>
      </c>
      <c r="AQ182" s="141">
        <v>-3032740</v>
      </c>
      <c r="AR182" s="141">
        <v>0</v>
      </c>
      <c r="AS182" s="141">
        <v>-3032740</v>
      </c>
      <c r="AT182" s="141">
        <v>-3883948</v>
      </c>
      <c r="AU182" s="141">
        <v>0</v>
      </c>
      <c r="AV182" s="141">
        <v>-3883948</v>
      </c>
      <c r="AW182" s="141">
        <v>-27518</v>
      </c>
      <c r="AX182" s="141">
        <v>0</v>
      </c>
      <c r="AY182" s="141">
        <v>-27518</v>
      </c>
      <c r="AZ182" s="141">
        <v>0</v>
      </c>
      <c r="BA182" s="141">
        <v>0</v>
      </c>
      <c r="BB182" s="141">
        <v>0</v>
      </c>
      <c r="BC182" s="141">
        <v>-6944206</v>
      </c>
      <c r="BD182" s="141">
        <v>0</v>
      </c>
      <c r="BE182" s="141">
        <v>0</v>
      </c>
      <c r="BF182" s="141">
        <v>0</v>
      </c>
      <c r="BG182" s="141">
        <v>-6944206</v>
      </c>
      <c r="BH182" s="141">
        <v>0</v>
      </c>
      <c r="BI182" s="141">
        <v>-6944206</v>
      </c>
      <c r="BJ182" s="141">
        <v>0</v>
      </c>
      <c r="BK182" s="141">
        <v>0</v>
      </c>
      <c r="BL182" s="141">
        <v>0</v>
      </c>
      <c r="BM182" s="141">
        <v>-477447</v>
      </c>
      <c r="BN182" s="141">
        <v>0</v>
      </c>
      <c r="BO182" s="141">
        <v>-477447</v>
      </c>
      <c r="BP182" s="141">
        <v>-477447</v>
      </c>
      <c r="BQ182" s="141">
        <v>0</v>
      </c>
      <c r="BR182" s="141">
        <v>0</v>
      </c>
      <c r="BS182" s="141">
        <v>0</v>
      </c>
      <c r="BT182" s="141">
        <v>-477447</v>
      </c>
      <c r="BU182" s="141">
        <v>0</v>
      </c>
      <c r="BV182" s="141">
        <v>-477447</v>
      </c>
      <c r="BW182" s="141">
        <v>-14433</v>
      </c>
      <c r="BX182" s="141">
        <v>0</v>
      </c>
      <c r="BY182" s="141">
        <v>-14433</v>
      </c>
      <c r="BZ182" s="141">
        <v>-20148</v>
      </c>
      <c r="CA182" s="141">
        <v>0</v>
      </c>
      <c r="CB182" s="141">
        <v>-20148</v>
      </c>
      <c r="CC182" s="141">
        <v>-379</v>
      </c>
      <c r="CD182" s="141">
        <v>0</v>
      </c>
      <c r="CE182" s="141">
        <v>-379</v>
      </c>
      <c r="CF182" s="141">
        <v>-26971</v>
      </c>
      <c r="CG182" s="141">
        <v>0</v>
      </c>
      <c r="CH182" s="141">
        <v>-26971</v>
      </c>
      <c r="CI182" s="141">
        <v>0</v>
      </c>
      <c r="CJ182" s="141">
        <v>0</v>
      </c>
      <c r="CK182" s="141">
        <v>0</v>
      </c>
      <c r="CL182" s="141">
        <v>0</v>
      </c>
      <c r="CM182" s="141">
        <v>0</v>
      </c>
      <c r="CN182" s="141">
        <v>0</v>
      </c>
      <c r="CO182" s="141">
        <v>0</v>
      </c>
      <c r="CP182" s="141">
        <v>0</v>
      </c>
      <c r="CQ182" s="141">
        <v>-61931</v>
      </c>
      <c r="CR182" s="141">
        <v>0</v>
      </c>
      <c r="CS182" s="141">
        <v>0</v>
      </c>
      <c r="CT182" s="141">
        <v>0</v>
      </c>
      <c r="CU182" s="141">
        <v>-61931</v>
      </c>
      <c r="CV182" s="141">
        <v>0</v>
      </c>
      <c r="CW182" s="141">
        <v>-61931</v>
      </c>
      <c r="CX182" s="141">
        <v>-26971</v>
      </c>
      <c r="CY182" s="141">
        <v>0</v>
      </c>
      <c r="CZ182" s="141">
        <v>-26971</v>
      </c>
      <c r="DA182" s="141">
        <v>0</v>
      </c>
      <c r="DB182" s="141">
        <v>0</v>
      </c>
      <c r="DC182" s="141">
        <v>0</v>
      </c>
      <c r="DD182" s="141">
        <v>-25743</v>
      </c>
      <c r="DE182" s="141">
        <v>0</v>
      </c>
      <c r="DF182" s="141">
        <v>-25743</v>
      </c>
      <c r="DG182" s="141">
        <v>-54500</v>
      </c>
      <c r="DH182" s="141">
        <v>0</v>
      </c>
      <c r="DI182" s="141">
        <v>-54500</v>
      </c>
      <c r="DJ182" s="141">
        <v>0</v>
      </c>
      <c r="DK182" s="141">
        <v>0</v>
      </c>
      <c r="DL182" s="141">
        <v>0</v>
      </c>
      <c r="DM182" s="141">
        <v>-2644559</v>
      </c>
      <c r="DN182" s="141">
        <v>0</v>
      </c>
      <c r="DO182" s="141">
        <v>-2644559</v>
      </c>
      <c r="DP182" s="141">
        <v>-2751773</v>
      </c>
      <c r="DQ182" s="141">
        <v>0</v>
      </c>
      <c r="DR182" s="141">
        <v>0</v>
      </c>
      <c r="DS182" s="141">
        <v>0</v>
      </c>
      <c r="DT182" s="141">
        <v>-2751773</v>
      </c>
      <c r="DU182" s="141">
        <v>0</v>
      </c>
      <c r="DV182" s="141">
        <v>-2751773</v>
      </c>
      <c r="DW182" s="856">
        <v>33071169</v>
      </c>
      <c r="DX182" s="856">
        <v>0</v>
      </c>
      <c r="DY182" s="857">
        <v>33071169</v>
      </c>
      <c r="DZ182" t="s">
        <v>1748</v>
      </c>
    </row>
    <row r="183" spans="1:130" ht="12.75" x14ac:dyDescent="0.2">
      <c r="A183" s="764">
        <v>176</v>
      </c>
      <c r="B183" s="765" t="s">
        <v>237</v>
      </c>
      <c r="C183" s="766" t="s">
        <v>1222</v>
      </c>
      <c r="D183" s="767" t="s">
        <v>1223</v>
      </c>
      <c r="E183" s="768" t="s">
        <v>236</v>
      </c>
      <c r="F183" s="867">
        <v>43465</v>
      </c>
      <c r="G183" s="141">
        <v>378278074</v>
      </c>
      <c r="H183" s="141">
        <v>5496450</v>
      </c>
      <c r="I183" s="141">
        <v>383774524</v>
      </c>
      <c r="J183" s="141">
        <v>49.1</v>
      </c>
      <c r="K183" s="141">
        <v>185734534</v>
      </c>
      <c r="L183" s="141">
        <v>2698757</v>
      </c>
      <c r="M183" s="141">
        <v>0</v>
      </c>
      <c r="N183" s="141">
        <v>0</v>
      </c>
      <c r="O183" s="141">
        <v>185734534</v>
      </c>
      <c r="P183" s="141">
        <v>2698757</v>
      </c>
      <c r="Q183" s="141">
        <v>188433291</v>
      </c>
      <c r="R183" s="141">
        <v>-1447753</v>
      </c>
      <c r="S183" s="141">
        <v>-10655</v>
      </c>
      <c r="T183" s="141">
        <v>-1458408</v>
      </c>
      <c r="U183" s="141">
        <v>1282610</v>
      </c>
      <c r="V183" s="141">
        <v>15902</v>
      </c>
      <c r="W183" s="141">
        <v>1298512</v>
      </c>
      <c r="X183" s="141">
        <v>-165143</v>
      </c>
      <c r="Y183" s="141">
        <v>5247</v>
      </c>
      <c r="Z183" s="141">
        <v>0</v>
      </c>
      <c r="AA183" s="141">
        <v>0</v>
      </c>
      <c r="AB183" s="141">
        <v>-165143</v>
      </c>
      <c r="AC183" s="141">
        <v>5247</v>
      </c>
      <c r="AD183" s="141">
        <v>-159896</v>
      </c>
      <c r="AE183" s="141">
        <v>165143</v>
      </c>
      <c r="AF183" s="141">
        <v>-5247</v>
      </c>
      <c r="AG183" s="141">
        <v>159896</v>
      </c>
      <c r="AH183" s="141">
        <v>-8961217</v>
      </c>
      <c r="AI183" s="141">
        <v>-15743</v>
      </c>
      <c r="AJ183" s="141">
        <v>-8976960</v>
      </c>
      <c r="AK183" s="141">
        <v>0</v>
      </c>
      <c r="AL183" s="141">
        <v>0</v>
      </c>
      <c r="AM183" s="141">
        <v>0</v>
      </c>
      <c r="AN183" s="141">
        <v>4043051</v>
      </c>
      <c r="AO183" s="141">
        <v>68487</v>
      </c>
      <c r="AP183" s="141">
        <v>4111538</v>
      </c>
      <c r="AQ183" s="141">
        <v>-4918166</v>
      </c>
      <c r="AR183" s="141">
        <v>52744</v>
      </c>
      <c r="AS183" s="141">
        <v>-4865422</v>
      </c>
      <c r="AT183" s="141">
        <v>-13861061</v>
      </c>
      <c r="AU183" s="141">
        <v>-121262</v>
      </c>
      <c r="AV183" s="141">
        <v>-13982323</v>
      </c>
      <c r="AW183" s="141">
        <v>0</v>
      </c>
      <c r="AX183" s="141">
        <v>0</v>
      </c>
      <c r="AY183" s="141">
        <v>0</v>
      </c>
      <c r="AZ183" s="141">
        <v>0</v>
      </c>
      <c r="BA183" s="141">
        <v>0</v>
      </c>
      <c r="BB183" s="141">
        <v>0</v>
      </c>
      <c r="BC183" s="141">
        <v>-18779227</v>
      </c>
      <c r="BD183" s="141">
        <v>-68518</v>
      </c>
      <c r="BE183" s="141">
        <v>0</v>
      </c>
      <c r="BF183" s="141">
        <v>0</v>
      </c>
      <c r="BG183" s="141">
        <v>-18779227</v>
      </c>
      <c r="BH183" s="141">
        <v>-68518</v>
      </c>
      <c r="BI183" s="141">
        <v>-18847745</v>
      </c>
      <c r="BJ183" s="141">
        <v>0</v>
      </c>
      <c r="BK183" s="141">
        <v>0</v>
      </c>
      <c r="BL183" s="141">
        <v>0</v>
      </c>
      <c r="BM183" s="141">
        <v>-3753270</v>
      </c>
      <c r="BN183" s="141">
        <v>-94682</v>
      </c>
      <c r="BO183" s="141">
        <v>-3847952</v>
      </c>
      <c r="BP183" s="141">
        <v>-3753270</v>
      </c>
      <c r="BQ183" s="141">
        <v>-94682</v>
      </c>
      <c r="BR183" s="141">
        <v>0</v>
      </c>
      <c r="BS183" s="141">
        <v>0</v>
      </c>
      <c r="BT183" s="141">
        <v>-3753270</v>
      </c>
      <c r="BU183" s="141">
        <v>-94682</v>
      </c>
      <c r="BV183" s="141">
        <v>-3847952</v>
      </c>
      <c r="BW183" s="141">
        <v>0</v>
      </c>
      <c r="BX183" s="141">
        <v>0</v>
      </c>
      <c r="BY183" s="141">
        <v>0</v>
      </c>
      <c r="BZ183" s="141">
        <v>0</v>
      </c>
      <c r="CA183" s="141">
        <v>0</v>
      </c>
      <c r="CB183" s="141">
        <v>0</v>
      </c>
      <c r="CC183" s="141">
        <v>0</v>
      </c>
      <c r="CD183" s="141">
        <v>0</v>
      </c>
      <c r="CE183" s="141">
        <v>0</v>
      </c>
      <c r="CF183" s="141">
        <v>0</v>
      </c>
      <c r="CG183" s="141">
        <v>0</v>
      </c>
      <c r="CH183" s="141">
        <v>0</v>
      </c>
      <c r="CI183" s="141">
        <v>0</v>
      </c>
      <c r="CJ183" s="141">
        <v>0</v>
      </c>
      <c r="CK183" s="141">
        <v>0</v>
      </c>
      <c r="CL183" s="141">
        <v>0</v>
      </c>
      <c r="CM183" s="141">
        <v>-490742</v>
      </c>
      <c r="CN183" s="141">
        <v>-490742</v>
      </c>
      <c r="CO183" s="141">
        <v>-490742</v>
      </c>
      <c r="CP183" s="141">
        <v>0</v>
      </c>
      <c r="CQ183" s="141">
        <v>0</v>
      </c>
      <c r="CR183" s="141">
        <v>-490742</v>
      </c>
      <c r="CS183" s="141">
        <v>0</v>
      </c>
      <c r="CT183" s="141">
        <v>0</v>
      </c>
      <c r="CU183" s="141">
        <v>0</v>
      </c>
      <c r="CV183" s="141">
        <v>-490742</v>
      </c>
      <c r="CW183" s="141">
        <v>-490742</v>
      </c>
      <c r="CX183" s="141">
        <v>0</v>
      </c>
      <c r="CY183" s="141">
        <v>0</v>
      </c>
      <c r="CZ183" s="141">
        <v>0</v>
      </c>
      <c r="DA183" s="141">
        <v>0</v>
      </c>
      <c r="DB183" s="141">
        <v>0</v>
      </c>
      <c r="DC183" s="141">
        <v>0</v>
      </c>
      <c r="DD183" s="141">
        <v>-67574</v>
      </c>
      <c r="DE183" s="141">
        <v>0</v>
      </c>
      <c r="DF183" s="141">
        <v>-67574</v>
      </c>
      <c r="DG183" s="141">
        <v>-305652</v>
      </c>
      <c r="DH183" s="141">
        <v>0</v>
      </c>
      <c r="DI183" s="141">
        <v>-305652</v>
      </c>
      <c r="DJ183" s="141">
        <v>0</v>
      </c>
      <c r="DK183" s="141">
        <v>0</v>
      </c>
      <c r="DL183" s="141">
        <v>0</v>
      </c>
      <c r="DM183" s="141">
        <v>-7663957</v>
      </c>
      <c r="DN183" s="141">
        <v>0</v>
      </c>
      <c r="DO183" s="141">
        <v>-7663957</v>
      </c>
      <c r="DP183" s="141">
        <v>-8037183</v>
      </c>
      <c r="DQ183" s="141">
        <v>0</v>
      </c>
      <c r="DR183" s="141">
        <v>0</v>
      </c>
      <c r="DS183" s="141">
        <v>0</v>
      </c>
      <c r="DT183" s="141">
        <v>-8037183</v>
      </c>
      <c r="DU183" s="141">
        <v>0</v>
      </c>
      <c r="DV183" s="141">
        <v>-8037183</v>
      </c>
      <c r="DW183" s="856">
        <v>154999711</v>
      </c>
      <c r="DX183" s="856">
        <v>2050062</v>
      </c>
      <c r="DY183" s="857">
        <v>157049773</v>
      </c>
      <c r="DZ183" t="s">
        <v>1749</v>
      </c>
    </row>
    <row r="184" spans="1:130" ht="12.75" x14ac:dyDescent="0.2">
      <c r="A184" s="764">
        <v>177</v>
      </c>
      <c r="B184" s="765" t="s">
        <v>239</v>
      </c>
      <c r="C184" s="766" t="s">
        <v>1217</v>
      </c>
      <c r="D184" s="767" t="s">
        <v>1226</v>
      </c>
      <c r="E184" s="768" t="s">
        <v>238</v>
      </c>
      <c r="F184" s="867">
        <v>43468</v>
      </c>
      <c r="G184" s="141">
        <v>90346678</v>
      </c>
      <c r="H184" s="141">
        <v>0</v>
      </c>
      <c r="I184" s="141">
        <v>90346678</v>
      </c>
      <c r="J184" s="141">
        <v>49.1</v>
      </c>
      <c r="K184" s="141">
        <v>44360219</v>
      </c>
      <c r="L184" s="141">
        <v>0</v>
      </c>
      <c r="M184" s="141">
        <v>665403</v>
      </c>
      <c r="N184" s="141">
        <v>0</v>
      </c>
      <c r="O184" s="141">
        <v>45025622</v>
      </c>
      <c r="P184" s="141">
        <v>0</v>
      </c>
      <c r="Q184" s="141">
        <v>45025622</v>
      </c>
      <c r="R184" s="141">
        <v>-620659</v>
      </c>
      <c r="S184" s="141">
        <v>0</v>
      </c>
      <c r="T184" s="141">
        <v>-620659</v>
      </c>
      <c r="U184" s="141">
        <v>969045</v>
      </c>
      <c r="V184" s="141">
        <v>0</v>
      </c>
      <c r="W184" s="141">
        <v>969045</v>
      </c>
      <c r="X184" s="141">
        <v>348386</v>
      </c>
      <c r="Y184" s="141">
        <v>0</v>
      </c>
      <c r="Z184" s="141">
        <v>0</v>
      </c>
      <c r="AA184" s="141">
        <v>0</v>
      </c>
      <c r="AB184" s="141">
        <v>348386</v>
      </c>
      <c r="AC184" s="141">
        <v>0</v>
      </c>
      <c r="AD184" s="141">
        <v>348386</v>
      </c>
      <c r="AE184" s="141">
        <v>-348386</v>
      </c>
      <c r="AF184" s="141">
        <v>0</v>
      </c>
      <c r="AG184" s="141">
        <v>-348386</v>
      </c>
      <c r="AH184" s="141">
        <v>-7701072</v>
      </c>
      <c r="AI184" s="141">
        <v>0</v>
      </c>
      <c r="AJ184" s="141">
        <v>-7701072</v>
      </c>
      <c r="AK184" s="141">
        <v>-6702</v>
      </c>
      <c r="AL184" s="141">
        <v>0</v>
      </c>
      <c r="AM184" s="141">
        <v>-6702</v>
      </c>
      <c r="AN184" s="141">
        <v>644338</v>
      </c>
      <c r="AO184" s="141">
        <v>0</v>
      </c>
      <c r="AP184" s="141">
        <v>644338</v>
      </c>
      <c r="AQ184" s="141">
        <v>-7056734</v>
      </c>
      <c r="AR184" s="141">
        <v>0</v>
      </c>
      <c r="AS184" s="141">
        <v>-7056734</v>
      </c>
      <c r="AT184" s="141">
        <v>-2782484</v>
      </c>
      <c r="AU184" s="141">
        <v>0</v>
      </c>
      <c r="AV184" s="141">
        <v>-2782484</v>
      </c>
      <c r="AW184" s="141">
        <v>-130444</v>
      </c>
      <c r="AX184" s="141">
        <v>0</v>
      </c>
      <c r="AY184" s="141">
        <v>-130444</v>
      </c>
      <c r="AZ184" s="141">
        <v>-30093</v>
      </c>
      <c r="BA184" s="141">
        <v>0</v>
      </c>
      <c r="BB184" s="141">
        <v>-30093</v>
      </c>
      <c r="BC184" s="141">
        <v>-9999755</v>
      </c>
      <c r="BD184" s="141">
        <v>0</v>
      </c>
      <c r="BE184" s="141">
        <v>-702828</v>
      </c>
      <c r="BF184" s="141">
        <v>0</v>
      </c>
      <c r="BG184" s="141">
        <v>-10702583</v>
      </c>
      <c r="BH184" s="141">
        <v>0</v>
      </c>
      <c r="BI184" s="141">
        <v>-10702583</v>
      </c>
      <c r="BJ184" s="141">
        <v>-12000</v>
      </c>
      <c r="BK184" s="141">
        <v>0</v>
      </c>
      <c r="BL184" s="141">
        <v>-12000</v>
      </c>
      <c r="BM184" s="141">
        <v>-514794</v>
      </c>
      <c r="BN184" s="141">
        <v>0</v>
      </c>
      <c r="BO184" s="141">
        <v>-514794</v>
      </c>
      <c r="BP184" s="141">
        <v>-526794</v>
      </c>
      <c r="BQ184" s="141">
        <v>0</v>
      </c>
      <c r="BR184" s="141">
        <v>0</v>
      </c>
      <c r="BS184" s="141">
        <v>0</v>
      </c>
      <c r="BT184" s="141">
        <v>-526794</v>
      </c>
      <c r="BU184" s="141">
        <v>0</v>
      </c>
      <c r="BV184" s="141">
        <v>-526794</v>
      </c>
      <c r="BW184" s="141">
        <v>-114268</v>
      </c>
      <c r="BX184" s="141">
        <v>0</v>
      </c>
      <c r="BY184" s="141">
        <v>-114268</v>
      </c>
      <c r="BZ184" s="141">
        <v>-170530</v>
      </c>
      <c r="CA184" s="141">
        <v>0</v>
      </c>
      <c r="CB184" s="141">
        <v>-170530</v>
      </c>
      <c r="CC184" s="141">
        <v>-9356</v>
      </c>
      <c r="CD184" s="141">
        <v>0</v>
      </c>
      <c r="CE184" s="141">
        <v>-9356</v>
      </c>
      <c r="CF184" s="141">
        <v>0</v>
      </c>
      <c r="CG184" s="141">
        <v>0</v>
      </c>
      <c r="CH184" s="141">
        <v>0</v>
      </c>
      <c r="CI184" s="141">
        <v>-8880</v>
      </c>
      <c r="CJ184" s="141">
        <v>0</v>
      </c>
      <c r="CK184" s="141">
        <v>-8880</v>
      </c>
      <c r="CL184" s="141">
        <v>0</v>
      </c>
      <c r="CM184" s="141">
        <v>0</v>
      </c>
      <c r="CN184" s="141">
        <v>0</v>
      </c>
      <c r="CO184" s="141">
        <v>0</v>
      </c>
      <c r="CP184" s="141">
        <v>0</v>
      </c>
      <c r="CQ184" s="141">
        <v>-303034</v>
      </c>
      <c r="CR184" s="141">
        <v>0</v>
      </c>
      <c r="CS184" s="141">
        <v>-30356</v>
      </c>
      <c r="CT184" s="141">
        <v>0</v>
      </c>
      <c r="CU184" s="141">
        <v>-333390</v>
      </c>
      <c r="CV184" s="141">
        <v>0</v>
      </c>
      <c r="CW184" s="141">
        <v>-333390</v>
      </c>
      <c r="CX184" s="141">
        <v>-30093</v>
      </c>
      <c r="CY184" s="141">
        <v>0</v>
      </c>
      <c r="CZ184" s="141">
        <v>-30093</v>
      </c>
      <c r="DA184" s="141">
        <v>-3000</v>
      </c>
      <c r="DB184" s="141">
        <v>0</v>
      </c>
      <c r="DC184" s="141">
        <v>-3000</v>
      </c>
      <c r="DD184" s="141">
        <v>-23035</v>
      </c>
      <c r="DE184" s="141">
        <v>0</v>
      </c>
      <c r="DF184" s="141">
        <v>-23035</v>
      </c>
      <c r="DG184" s="141">
        <v>-50000</v>
      </c>
      <c r="DH184" s="141">
        <v>0</v>
      </c>
      <c r="DI184" s="141">
        <v>-50000</v>
      </c>
      <c r="DJ184" s="141">
        <v>0</v>
      </c>
      <c r="DK184" s="141">
        <v>0</v>
      </c>
      <c r="DL184" s="141">
        <v>0</v>
      </c>
      <c r="DM184" s="141">
        <v>-1002341</v>
      </c>
      <c r="DN184" s="141">
        <v>0</v>
      </c>
      <c r="DO184" s="141">
        <v>-1002341</v>
      </c>
      <c r="DP184" s="141">
        <v>-1108469</v>
      </c>
      <c r="DQ184" s="141">
        <v>0</v>
      </c>
      <c r="DR184" s="141">
        <v>0</v>
      </c>
      <c r="DS184" s="141">
        <v>0</v>
      </c>
      <c r="DT184" s="141">
        <v>-1108469</v>
      </c>
      <c r="DU184" s="141">
        <v>0</v>
      </c>
      <c r="DV184" s="141">
        <v>-1108469</v>
      </c>
      <c r="DW184" s="856">
        <v>32702772</v>
      </c>
      <c r="DX184" s="856">
        <v>0</v>
      </c>
      <c r="DY184" s="857">
        <v>32702772</v>
      </c>
      <c r="DZ184" t="s">
        <v>1750</v>
      </c>
    </row>
    <row r="185" spans="1:130" ht="12.75" x14ac:dyDescent="0.2">
      <c r="A185" s="764">
        <v>178</v>
      </c>
      <c r="B185" s="765" t="s">
        <v>241</v>
      </c>
      <c r="C185" s="766" t="s">
        <v>1217</v>
      </c>
      <c r="D185" s="767" t="s">
        <v>1220</v>
      </c>
      <c r="E185" s="768" t="s">
        <v>240</v>
      </c>
      <c r="F185" s="867">
        <v>43479</v>
      </c>
      <c r="G185" s="141">
        <v>46003982</v>
      </c>
      <c r="H185" s="141">
        <v>0</v>
      </c>
      <c r="I185" s="141">
        <v>46003982</v>
      </c>
      <c r="J185" s="141">
        <v>49.1</v>
      </c>
      <c r="K185" s="141">
        <v>22587955</v>
      </c>
      <c r="L185" s="141">
        <v>0</v>
      </c>
      <c r="M185" s="141">
        <v>0</v>
      </c>
      <c r="N185" s="141">
        <v>0</v>
      </c>
      <c r="O185" s="141">
        <v>22587955</v>
      </c>
      <c r="P185" s="141">
        <v>0</v>
      </c>
      <c r="Q185" s="141">
        <v>22587955</v>
      </c>
      <c r="R185" s="141">
        <v>-451110</v>
      </c>
      <c r="S185" s="141">
        <v>0</v>
      </c>
      <c r="T185" s="141">
        <v>-451110</v>
      </c>
      <c r="U185" s="141">
        <v>39361</v>
      </c>
      <c r="V185" s="141">
        <v>0</v>
      </c>
      <c r="W185" s="141">
        <v>39361</v>
      </c>
      <c r="X185" s="141">
        <v>-411749</v>
      </c>
      <c r="Y185" s="141">
        <v>0</v>
      </c>
      <c r="Z185" s="141">
        <v>0</v>
      </c>
      <c r="AA185" s="141">
        <v>0</v>
      </c>
      <c r="AB185" s="141">
        <v>-411749</v>
      </c>
      <c r="AC185" s="141">
        <v>0</v>
      </c>
      <c r="AD185" s="141">
        <v>-411749</v>
      </c>
      <c r="AE185" s="141">
        <v>411749</v>
      </c>
      <c r="AF185" s="141">
        <v>0</v>
      </c>
      <c r="AG185" s="141">
        <v>411749</v>
      </c>
      <c r="AH185" s="141">
        <v>-3035270</v>
      </c>
      <c r="AI185" s="141">
        <v>0</v>
      </c>
      <c r="AJ185" s="141">
        <v>-3035270</v>
      </c>
      <c r="AK185" s="141">
        <v>0</v>
      </c>
      <c r="AL185" s="141">
        <v>0</v>
      </c>
      <c r="AM185" s="141">
        <v>0</v>
      </c>
      <c r="AN185" s="141">
        <v>333618</v>
      </c>
      <c r="AO185" s="141">
        <v>0</v>
      </c>
      <c r="AP185" s="141">
        <v>333618</v>
      </c>
      <c r="AQ185" s="141">
        <v>-2701652</v>
      </c>
      <c r="AR185" s="141">
        <v>0</v>
      </c>
      <c r="AS185" s="141">
        <v>-2701652</v>
      </c>
      <c r="AT185" s="141">
        <v>-839655</v>
      </c>
      <c r="AU185" s="141">
        <v>0</v>
      </c>
      <c r="AV185" s="141">
        <v>-839655</v>
      </c>
      <c r="AW185" s="141">
        <v>-18971</v>
      </c>
      <c r="AX185" s="141">
        <v>0</v>
      </c>
      <c r="AY185" s="141">
        <v>-18971</v>
      </c>
      <c r="AZ185" s="141">
        <v>-1191</v>
      </c>
      <c r="BA185" s="141">
        <v>0</v>
      </c>
      <c r="BB185" s="141">
        <v>-1191</v>
      </c>
      <c r="BC185" s="141">
        <v>-3561469</v>
      </c>
      <c r="BD185" s="141">
        <v>0</v>
      </c>
      <c r="BE185" s="141">
        <v>0</v>
      </c>
      <c r="BF185" s="141">
        <v>0</v>
      </c>
      <c r="BG185" s="141">
        <v>-3561469</v>
      </c>
      <c r="BH185" s="141">
        <v>0</v>
      </c>
      <c r="BI185" s="141">
        <v>-3561469</v>
      </c>
      <c r="BJ185" s="141">
        <v>0</v>
      </c>
      <c r="BK185" s="141">
        <v>0</v>
      </c>
      <c r="BL185" s="141">
        <v>0</v>
      </c>
      <c r="BM185" s="141">
        <v>-253919</v>
      </c>
      <c r="BN185" s="141">
        <v>0</v>
      </c>
      <c r="BO185" s="141">
        <v>-253919</v>
      </c>
      <c r="BP185" s="141">
        <v>-253919</v>
      </c>
      <c r="BQ185" s="141">
        <v>0</v>
      </c>
      <c r="BR185" s="141">
        <v>0</v>
      </c>
      <c r="BS185" s="141">
        <v>0</v>
      </c>
      <c r="BT185" s="141">
        <v>-253919</v>
      </c>
      <c r="BU185" s="141">
        <v>0</v>
      </c>
      <c r="BV185" s="141">
        <v>-253919</v>
      </c>
      <c r="BW185" s="141">
        <v>-36216</v>
      </c>
      <c r="BX185" s="141">
        <v>0</v>
      </c>
      <c r="BY185" s="141">
        <v>-36216</v>
      </c>
      <c r="BZ185" s="141">
        <v>-12105</v>
      </c>
      <c r="CA185" s="141">
        <v>0</v>
      </c>
      <c r="CB185" s="141">
        <v>-12105</v>
      </c>
      <c r="CC185" s="141">
        <v>-232</v>
      </c>
      <c r="CD185" s="141">
        <v>0</v>
      </c>
      <c r="CE185" s="141">
        <v>-232</v>
      </c>
      <c r="CF185" s="141">
        <v>0</v>
      </c>
      <c r="CG185" s="141">
        <v>0</v>
      </c>
      <c r="CH185" s="141">
        <v>0</v>
      </c>
      <c r="CI185" s="141">
        <v>0</v>
      </c>
      <c r="CJ185" s="141">
        <v>0</v>
      </c>
      <c r="CK185" s="141">
        <v>0</v>
      </c>
      <c r="CL185" s="141">
        <v>0</v>
      </c>
      <c r="CM185" s="141">
        <v>0</v>
      </c>
      <c r="CN185" s="141">
        <v>0</v>
      </c>
      <c r="CO185" s="141">
        <v>0</v>
      </c>
      <c r="CP185" s="141">
        <v>0</v>
      </c>
      <c r="CQ185" s="141">
        <v>-48553</v>
      </c>
      <c r="CR185" s="141">
        <v>0</v>
      </c>
      <c r="CS185" s="141">
        <v>0</v>
      </c>
      <c r="CT185" s="141">
        <v>0</v>
      </c>
      <c r="CU185" s="141">
        <v>-48553</v>
      </c>
      <c r="CV185" s="141">
        <v>0</v>
      </c>
      <c r="CW185" s="141">
        <v>-48553</v>
      </c>
      <c r="CX185" s="141">
        <v>0</v>
      </c>
      <c r="CY185" s="141">
        <v>0</v>
      </c>
      <c r="CZ185" s="141">
        <v>0</v>
      </c>
      <c r="DA185" s="141">
        <v>0</v>
      </c>
      <c r="DB185" s="141">
        <v>0</v>
      </c>
      <c r="DC185" s="141">
        <v>0</v>
      </c>
      <c r="DD185" s="141">
        <v>-25887</v>
      </c>
      <c r="DE185" s="141">
        <v>0</v>
      </c>
      <c r="DF185" s="141">
        <v>-25887</v>
      </c>
      <c r="DG185" s="141">
        <v>-27642</v>
      </c>
      <c r="DH185" s="141">
        <v>0</v>
      </c>
      <c r="DI185" s="141">
        <v>-27642</v>
      </c>
      <c r="DJ185" s="141">
        <v>0</v>
      </c>
      <c r="DK185" s="141">
        <v>0</v>
      </c>
      <c r="DL185" s="141">
        <v>0</v>
      </c>
      <c r="DM185" s="141">
        <v>-497340</v>
      </c>
      <c r="DN185" s="141">
        <v>0</v>
      </c>
      <c r="DO185" s="141">
        <v>-497340</v>
      </c>
      <c r="DP185" s="141">
        <v>-550869</v>
      </c>
      <c r="DQ185" s="141">
        <v>0</v>
      </c>
      <c r="DR185" s="141">
        <v>0</v>
      </c>
      <c r="DS185" s="141">
        <v>0</v>
      </c>
      <c r="DT185" s="141">
        <v>-550869</v>
      </c>
      <c r="DU185" s="141">
        <v>0</v>
      </c>
      <c r="DV185" s="141">
        <v>-550869</v>
      </c>
      <c r="DW185" s="856">
        <v>17761396</v>
      </c>
      <c r="DX185" s="856">
        <v>0</v>
      </c>
      <c r="DY185" s="857">
        <v>17761396</v>
      </c>
      <c r="DZ185" t="s">
        <v>1751</v>
      </c>
    </row>
    <row r="186" spans="1:130" ht="12.75" x14ac:dyDescent="0.2">
      <c r="A186" s="764">
        <v>179</v>
      </c>
      <c r="B186" s="765" t="s">
        <v>243</v>
      </c>
      <c r="C186" s="766" t="s">
        <v>529</v>
      </c>
      <c r="D186" s="767" t="s">
        <v>1225</v>
      </c>
      <c r="E186" s="768" t="s">
        <v>587</v>
      </c>
      <c r="F186" s="867">
        <v>43465</v>
      </c>
      <c r="G186" s="141">
        <v>151639060</v>
      </c>
      <c r="H186" s="141">
        <v>354500</v>
      </c>
      <c r="I186" s="141">
        <v>151993560</v>
      </c>
      <c r="J186" s="141">
        <v>49.1</v>
      </c>
      <c r="K186" s="141">
        <v>74454778</v>
      </c>
      <c r="L186" s="141">
        <v>174060</v>
      </c>
      <c r="M186" s="141">
        <v>1242673</v>
      </c>
      <c r="N186" s="141">
        <v>0</v>
      </c>
      <c r="O186" s="141">
        <v>75697451</v>
      </c>
      <c r="P186" s="141">
        <v>174060</v>
      </c>
      <c r="Q186" s="141">
        <v>75871511</v>
      </c>
      <c r="R186" s="141">
        <v>-803149</v>
      </c>
      <c r="S186" s="141">
        <v>0</v>
      </c>
      <c r="T186" s="141">
        <v>-803149</v>
      </c>
      <c r="U186" s="141">
        <v>3873214</v>
      </c>
      <c r="V186" s="141">
        <v>0</v>
      </c>
      <c r="W186" s="141">
        <v>3873214</v>
      </c>
      <c r="X186" s="141">
        <v>3070065</v>
      </c>
      <c r="Y186" s="141">
        <v>0</v>
      </c>
      <c r="Z186" s="141">
        <v>0</v>
      </c>
      <c r="AA186" s="141">
        <v>0</v>
      </c>
      <c r="AB186" s="141">
        <v>3070065</v>
      </c>
      <c r="AC186" s="141">
        <v>0</v>
      </c>
      <c r="AD186" s="141">
        <v>3070065</v>
      </c>
      <c r="AE186" s="141">
        <v>-3070065</v>
      </c>
      <c r="AF186" s="141">
        <v>0</v>
      </c>
      <c r="AG186" s="141">
        <v>-3070065</v>
      </c>
      <c r="AH186" s="141">
        <v>-5201428</v>
      </c>
      <c r="AI186" s="141">
        <v>0</v>
      </c>
      <c r="AJ186" s="141">
        <v>-5201428</v>
      </c>
      <c r="AK186" s="141">
        <v>-44599</v>
      </c>
      <c r="AL186" s="141">
        <v>0</v>
      </c>
      <c r="AM186" s="141">
        <v>-44599</v>
      </c>
      <c r="AN186" s="141">
        <v>1472133</v>
      </c>
      <c r="AO186" s="141">
        <v>2204</v>
      </c>
      <c r="AP186" s="141">
        <v>1474337</v>
      </c>
      <c r="AQ186" s="141">
        <v>-3729295</v>
      </c>
      <c r="AR186" s="141">
        <v>2204</v>
      </c>
      <c r="AS186" s="141">
        <v>-3727091</v>
      </c>
      <c r="AT186" s="141">
        <v>-4388388</v>
      </c>
      <c r="AU186" s="141">
        <v>0</v>
      </c>
      <c r="AV186" s="141">
        <v>-4388388</v>
      </c>
      <c r="AW186" s="141">
        <v>-98501</v>
      </c>
      <c r="AX186" s="141">
        <v>0</v>
      </c>
      <c r="AY186" s="141">
        <v>-98501</v>
      </c>
      <c r="AZ186" s="141">
        <v>-611</v>
      </c>
      <c r="BA186" s="141">
        <v>0</v>
      </c>
      <c r="BB186" s="141">
        <v>-611</v>
      </c>
      <c r="BC186" s="141">
        <v>-8216795</v>
      </c>
      <c r="BD186" s="141">
        <v>2204</v>
      </c>
      <c r="BE186" s="141">
        <v>0</v>
      </c>
      <c r="BF186" s="141">
        <v>0</v>
      </c>
      <c r="BG186" s="141">
        <v>-8216795</v>
      </c>
      <c r="BH186" s="141">
        <v>2204</v>
      </c>
      <c r="BI186" s="141">
        <v>-8214591</v>
      </c>
      <c r="BJ186" s="141">
        <v>-751892</v>
      </c>
      <c r="BK186" s="141">
        <v>0</v>
      </c>
      <c r="BL186" s="141">
        <v>-751892</v>
      </c>
      <c r="BM186" s="141">
        <v>-2387785</v>
      </c>
      <c r="BN186" s="141">
        <v>0</v>
      </c>
      <c r="BO186" s="141">
        <v>-2387785</v>
      </c>
      <c r="BP186" s="141">
        <v>-3139677</v>
      </c>
      <c r="BQ186" s="141">
        <v>0</v>
      </c>
      <c r="BR186" s="141">
        <v>0</v>
      </c>
      <c r="BS186" s="141">
        <v>0</v>
      </c>
      <c r="BT186" s="141">
        <v>-3139677</v>
      </c>
      <c r="BU186" s="141">
        <v>0</v>
      </c>
      <c r="BV186" s="141">
        <v>-3139677</v>
      </c>
      <c r="BW186" s="141">
        <v>-82048</v>
      </c>
      <c r="BX186" s="141">
        <v>0</v>
      </c>
      <c r="BY186" s="141">
        <v>-82048</v>
      </c>
      <c r="BZ186" s="141">
        <v>-236007</v>
      </c>
      <c r="CA186" s="141">
        <v>0</v>
      </c>
      <c r="CB186" s="141">
        <v>-236007</v>
      </c>
      <c r="CC186" s="141">
        <v>-2218</v>
      </c>
      <c r="CD186" s="141">
        <v>0</v>
      </c>
      <c r="CE186" s="141">
        <v>-2218</v>
      </c>
      <c r="CF186" s="141">
        <v>0</v>
      </c>
      <c r="CG186" s="141">
        <v>0</v>
      </c>
      <c r="CH186" s="141">
        <v>0</v>
      </c>
      <c r="CI186" s="141">
        <v>0</v>
      </c>
      <c r="CJ186" s="141">
        <v>0</v>
      </c>
      <c r="CK186" s="141">
        <v>0</v>
      </c>
      <c r="CL186" s="141">
        <v>-83102</v>
      </c>
      <c r="CM186" s="141">
        <v>-176264</v>
      </c>
      <c r="CN186" s="141">
        <v>-259366</v>
      </c>
      <c r="CO186" s="141">
        <v>-176264</v>
      </c>
      <c r="CP186" s="141">
        <v>0</v>
      </c>
      <c r="CQ186" s="141">
        <v>-403375</v>
      </c>
      <c r="CR186" s="141">
        <v>-176264</v>
      </c>
      <c r="CS186" s="141">
        <v>0</v>
      </c>
      <c r="CT186" s="141">
        <v>0</v>
      </c>
      <c r="CU186" s="141">
        <v>-403375</v>
      </c>
      <c r="CV186" s="141">
        <v>-176264</v>
      </c>
      <c r="CW186" s="141">
        <v>-579639</v>
      </c>
      <c r="CX186" s="141">
        <v>-611</v>
      </c>
      <c r="CY186" s="141">
        <v>0</v>
      </c>
      <c r="CZ186" s="141">
        <v>-611</v>
      </c>
      <c r="DA186" s="141">
        <v>-1500</v>
      </c>
      <c r="DB186" s="141">
        <v>0</v>
      </c>
      <c r="DC186" s="141">
        <v>-1500</v>
      </c>
      <c r="DD186" s="141">
        <v>-17435</v>
      </c>
      <c r="DE186" s="141">
        <v>0</v>
      </c>
      <c r="DF186" s="141">
        <v>-17435</v>
      </c>
      <c r="DG186" s="141">
        <v>-55855</v>
      </c>
      <c r="DH186" s="141">
        <v>0</v>
      </c>
      <c r="DI186" s="141">
        <v>-55855</v>
      </c>
      <c r="DJ186" s="141">
        <v>0</v>
      </c>
      <c r="DK186" s="141">
        <v>0</v>
      </c>
      <c r="DL186" s="141">
        <v>0</v>
      </c>
      <c r="DM186" s="141">
        <v>-623425</v>
      </c>
      <c r="DN186" s="141">
        <v>0</v>
      </c>
      <c r="DO186" s="141">
        <v>-623425</v>
      </c>
      <c r="DP186" s="141">
        <v>-698826</v>
      </c>
      <c r="DQ186" s="141">
        <v>0</v>
      </c>
      <c r="DR186" s="141">
        <v>0</v>
      </c>
      <c r="DS186" s="141">
        <v>0</v>
      </c>
      <c r="DT186" s="141">
        <v>-698826</v>
      </c>
      <c r="DU186" s="141">
        <v>0</v>
      </c>
      <c r="DV186" s="141">
        <v>-698826</v>
      </c>
      <c r="DW186" s="856">
        <v>66308843</v>
      </c>
      <c r="DX186" s="856">
        <v>0</v>
      </c>
      <c r="DY186" s="857">
        <v>66308843</v>
      </c>
      <c r="DZ186" t="s">
        <v>1752</v>
      </c>
    </row>
    <row r="187" spans="1:130" ht="12.75" x14ac:dyDescent="0.2">
      <c r="A187" s="764">
        <v>180</v>
      </c>
      <c r="B187" s="765" t="s">
        <v>245</v>
      </c>
      <c r="C187" s="766" t="s">
        <v>1217</v>
      </c>
      <c r="D187" s="767" t="s">
        <v>1221</v>
      </c>
      <c r="E187" s="768" t="s">
        <v>244</v>
      </c>
      <c r="F187" s="867">
        <v>43465</v>
      </c>
      <c r="G187" s="141">
        <v>101304448</v>
      </c>
      <c r="H187" s="141">
        <v>0</v>
      </c>
      <c r="I187" s="141">
        <v>101304448</v>
      </c>
      <c r="J187" s="141">
        <v>49.1</v>
      </c>
      <c r="K187" s="141">
        <v>49740484</v>
      </c>
      <c r="L187" s="141">
        <v>0</v>
      </c>
      <c r="M187" s="141">
        <v>-100000</v>
      </c>
      <c r="N187" s="141">
        <v>0</v>
      </c>
      <c r="O187" s="141">
        <v>49640484</v>
      </c>
      <c r="P187" s="141">
        <v>0</v>
      </c>
      <c r="Q187" s="141">
        <v>49640484</v>
      </c>
      <c r="R187" s="141">
        <v>-469241</v>
      </c>
      <c r="S187" s="141">
        <v>0</v>
      </c>
      <c r="T187" s="141">
        <v>-469241</v>
      </c>
      <c r="U187" s="141">
        <v>181937</v>
      </c>
      <c r="V187" s="141">
        <v>0</v>
      </c>
      <c r="W187" s="141">
        <v>181937</v>
      </c>
      <c r="X187" s="141">
        <v>-287304</v>
      </c>
      <c r="Y187" s="141">
        <v>0</v>
      </c>
      <c r="Z187" s="141">
        <v>0</v>
      </c>
      <c r="AA187" s="141">
        <v>0</v>
      </c>
      <c r="AB187" s="141">
        <v>-287304</v>
      </c>
      <c r="AC187" s="141">
        <v>0</v>
      </c>
      <c r="AD187" s="141">
        <v>-287304</v>
      </c>
      <c r="AE187" s="141">
        <v>287304</v>
      </c>
      <c r="AF187" s="141">
        <v>0</v>
      </c>
      <c r="AG187" s="141">
        <v>287304</v>
      </c>
      <c r="AH187" s="141">
        <v>-4692229</v>
      </c>
      <c r="AI187" s="141">
        <v>0</v>
      </c>
      <c r="AJ187" s="141">
        <v>-4692229</v>
      </c>
      <c r="AK187" s="141">
        <v>0</v>
      </c>
      <c r="AL187" s="141">
        <v>0</v>
      </c>
      <c r="AM187" s="141">
        <v>0</v>
      </c>
      <c r="AN187" s="141">
        <v>757889</v>
      </c>
      <c r="AO187" s="141">
        <v>0</v>
      </c>
      <c r="AP187" s="141">
        <v>757889</v>
      </c>
      <c r="AQ187" s="141">
        <v>-3934340</v>
      </c>
      <c r="AR187" s="141">
        <v>0</v>
      </c>
      <c r="AS187" s="141">
        <v>-3934340</v>
      </c>
      <c r="AT187" s="141">
        <v>-3315828</v>
      </c>
      <c r="AU187" s="141">
        <v>0</v>
      </c>
      <c r="AV187" s="141">
        <v>-3315828</v>
      </c>
      <c r="AW187" s="141">
        <v>-38444</v>
      </c>
      <c r="AX187" s="141">
        <v>0</v>
      </c>
      <c r="AY187" s="141">
        <v>-38444</v>
      </c>
      <c r="AZ187" s="141">
        <v>-18805</v>
      </c>
      <c r="BA187" s="141">
        <v>0</v>
      </c>
      <c r="BB187" s="141">
        <v>-18805</v>
      </c>
      <c r="BC187" s="141">
        <v>-7307417</v>
      </c>
      <c r="BD187" s="141">
        <v>0</v>
      </c>
      <c r="BE187" s="141">
        <v>0</v>
      </c>
      <c r="BF187" s="141">
        <v>0</v>
      </c>
      <c r="BG187" s="141">
        <v>-7307417</v>
      </c>
      <c r="BH187" s="141">
        <v>0</v>
      </c>
      <c r="BI187" s="141">
        <v>-7307417</v>
      </c>
      <c r="BJ187" s="141">
        <v>-20000</v>
      </c>
      <c r="BK187" s="141">
        <v>0</v>
      </c>
      <c r="BL187" s="141">
        <v>-20000</v>
      </c>
      <c r="BM187" s="141">
        <v>-1053510</v>
      </c>
      <c r="BN187" s="141">
        <v>0</v>
      </c>
      <c r="BO187" s="141">
        <v>-1053510</v>
      </c>
      <c r="BP187" s="141">
        <v>-1073510</v>
      </c>
      <c r="BQ187" s="141">
        <v>0</v>
      </c>
      <c r="BR187" s="141">
        <v>0</v>
      </c>
      <c r="BS187" s="141">
        <v>0</v>
      </c>
      <c r="BT187" s="141">
        <v>-1073510</v>
      </c>
      <c r="BU187" s="141">
        <v>0</v>
      </c>
      <c r="BV187" s="141">
        <v>-1073510</v>
      </c>
      <c r="BW187" s="141">
        <v>-183250</v>
      </c>
      <c r="BX187" s="141">
        <v>0</v>
      </c>
      <c r="BY187" s="141">
        <v>-183250</v>
      </c>
      <c r="BZ187" s="141">
        <v>-105793</v>
      </c>
      <c r="CA187" s="141">
        <v>0</v>
      </c>
      <c r="CB187" s="141">
        <v>-105793</v>
      </c>
      <c r="CC187" s="141">
        <v>-8044</v>
      </c>
      <c r="CD187" s="141">
        <v>0</v>
      </c>
      <c r="CE187" s="141">
        <v>-8044</v>
      </c>
      <c r="CF187" s="141">
        <v>0</v>
      </c>
      <c r="CG187" s="141">
        <v>0</v>
      </c>
      <c r="CH187" s="141">
        <v>0</v>
      </c>
      <c r="CI187" s="141">
        <v>-1198</v>
      </c>
      <c r="CJ187" s="141">
        <v>0</v>
      </c>
      <c r="CK187" s="141">
        <v>-1198</v>
      </c>
      <c r="CL187" s="141">
        <v>0</v>
      </c>
      <c r="CM187" s="141">
        <v>0</v>
      </c>
      <c r="CN187" s="141">
        <v>0</v>
      </c>
      <c r="CO187" s="141">
        <v>0</v>
      </c>
      <c r="CP187" s="141">
        <v>0</v>
      </c>
      <c r="CQ187" s="141">
        <v>-298285</v>
      </c>
      <c r="CR187" s="141">
        <v>0</v>
      </c>
      <c r="CS187" s="141">
        <v>0</v>
      </c>
      <c r="CT187" s="141">
        <v>0</v>
      </c>
      <c r="CU187" s="141">
        <v>-298285</v>
      </c>
      <c r="CV187" s="141">
        <v>0</v>
      </c>
      <c r="CW187" s="141">
        <v>-298285</v>
      </c>
      <c r="CX187" s="141">
        <v>-9400</v>
      </c>
      <c r="CY187" s="141">
        <v>0</v>
      </c>
      <c r="CZ187" s="141">
        <v>-9400</v>
      </c>
      <c r="DA187" s="141">
        <v>0</v>
      </c>
      <c r="DB187" s="141">
        <v>0</v>
      </c>
      <c r="DC187" s="141">
        <v>0</v>
      </c>
      <c r="DD187" s="141">
        <v>-18592</v>
      </c>
      <c r="DE187" s="141">
        <v>0</v>
      </c>
      <c r="DF187" s="141">
        <v>-18592</v>
      </c>
      <c r="DG187" s="141">
        <v>-64000</v>
      </c>
      <c r="DH187" s="141">
        <v>0</v>
      </c>
      <c r="DI187" s="141">
        <v>-64000</v>
      </c>
      <c r="DJ187" s="141">
        <v>0</v>
      </c>
      <c r="DK187" s="141">
        <v>0</v>
      </c>
      <c r="DL187" s="141">
        <v>0</v>
      </c>
      <c r="DM187" s="141">
        <v>-1419503</v>
      </c>
      <c r="DN187" s="141">
        <v>0</v>
      </c>
      <c r="DO187" s="141">
        <v>-1419503</v>
      </c>
      <c r="DP187" s="141">
        <v>-1511495</v>
      </c>
      <c r="DQ187" s="141">
        <v>0</v>
      </c>
      <c r="DR187" s="141">
        <v>0</v>
      </c>
      <c r="DS187" s="141">
        <v>0</v>
      </c>
      <c r="DT187" s="141">
        <v>-1511495</v>
      </c>
      <c r="DU187" s="141">
        <v>0</v>
      </c>
      <c r="DV187" s="141">
        <v>-1511495</v>
      </c>
      <c r="DW187" s="856">
        <v>39162473</v>
      </c>
      <c r="DX187" s="856">
        <v>0</v>
      </c>
      <c r="DY187" s="857">
        <v>39162473</v>
      </c>
      <c r="DZ187" t="s">
        <v>1753</v>
      </c>
    </row>
    <row r="188" spans="1:130" ht="12.75" x14ac:dyDescent="0.2">
      <c r="A188" s="764">
        <v>181</v>
      </c>
      <c r="B188" s="765" t="s">
        <v>247</v>
      </c>
      <c r="C188" s="766" t="s">
        <v>1217</v>
      </c>
      <c r="D188" s="767" t="s">
        <v>1220</v>
      </c>
      <c r="E188" s="768" t="s">
        <v>246</v>
      </c>
      <c r="F188" s="867">
        <v>43465</v>
      </c>
      <c r="G188" s="141">
        <v>72132110</v>
      </c>
      <c r="H188" s="141">
        <v>0</v>
      </c>
      <c r="I188" s="141">
        <v>72132110</v>
      </c>
      <c r="J188" s="141">
        <v>49.1</v>
      </c>
      <c r="K188" s="141">
        <v>35416866</v>
      </c>
      <c r="L188" s="141">
        <v>0</v>
      </c>
      <c r="M188" s="141">
        <v>177084</v>
      </c>
      <c r="N188" s="141">
        <v>0</v>
      </c>
      <c r="O188" s="141">
        <v>35593950</v>
      </c>
      <c r="P188" s="141">
        <v>0</v>
      </c>
      <c r="Q188" s="141">
        <v>35593950</v>
      </c>
      <c r="R188" s="141">
        <v>-539497</v>
      </c>
      <c r="S188" s="141">
        <v>0</v>
      </c>
      <c r="T188" s="141">
        <v>-539497</v>
      </c>
      <c r="U188" s="141">
        <v>74940</v>
      </c>
      <c r="V188" s="141">
        <v>0</v>
      </c>
      <c r="W188" s="141">
        <v>74940</v>
      </c>
      <c r="X188" s="141">
        <v>-464557</v>
      </c>
      <c r="Y188" s="141">
        <v>0</v>
      </c>
      <c r="Z188" s="141">
        <v>-566</v>
      </c>
      <c r="AA188" s="141">
        <v>0</v>
      </c>
      <c r="AB188" s="141">
        <v>-465123</v>
      </c>
      <c r="AC188" s="141">
        <v>0</v>
      </c>
      <c r="AD188" s="141">
        <v>-465123</v>
      </c>
      <c r="AE188" s="141">
        <v>465123</v>
      </c>
      <c r="AF188" s="141">
        <v>0</v>
      </c>
      <c r="AG188" s="141">
        <v>465123</v>
      </c>
      <c r="AH188" s="141">
        <v>-3726362</v>
      </c>
      <c r="AI188" s="141">
        <v>0</v>
      </c>
      <c r="AJ188" s="141">
        <v>-3726362</v>
      </c>
      <c r="AK188" s="141">
        <v>-7611</v>
      </c>
      <c r="AL188" s="141">
        <v>0</v>
      </c>
      <c r="AM188" s="141">
        <v>-7611</v>
      </c>
      <c r="AN188" s="141">
        <v>615018</v>
      </c>
      <c r="AO188" s="141">
        <v>0</v>
      </c>
      <c r="AP188" s="141">
        <v>615018</v>
      </c>
      <c r="AQ188" s="141">
        <v>-3111344</v>
      </c>
      <c r="AR188" s="141">
        <v>0</v>
      </c>
      <c r="AS188" s="141">
        <v>-3111344</v>
      </c>
      <c r="AT188" s="141">
        <v>-2062735</v>
      </c>
      <c r="AU188" s="141">
        <v>0</v>
      </c>
      <c r="AV188" s="141">
        <v>-2062735</v>
      </c>
      <c r="AW188" s="141">
        <v>-46844</v>
      </c>
      <c r="AX188" s="141">
        <v>0</v>
      </c>
      <c r="AY188" s="141">
        <v>-46844</v>
      </c>
      <c r="AZ188" s="141">
        <v>-22286</v>
      </c>
      <c r="BA188" s="141">
        <v>0</v>
      </c>
      <c r="BB188" s="141">
        <v>-22286</v>
      </c>
      <c r="BC188" s="141">
        <v>-5243209</v>
      </c>
      <c r="BD188" s="141">
        <v>0</v>
      </c>
      <c r="BE188" s="141">
        <v>124224</v>
      </c>
      <c r="BF188" s="141">
        <v>0</v>
      </c>
      <c r="BG188" s="141">
        <v>-5118985</v>
      </c>
      <c r="BH188" s="141">
        <v>0</v>
      </c>
      <c r="BI188" s="141">
        <v>-5118985</v>
      </c>
      <c r="BJ188" s="141">
        <v>0</v>
      </c>
      <c r="BK188" s="141">
        <v>0</v>
      </c>
      <c r="BL188" s="141">
        <v>0</v>
      </c>
      <c r="BM188" s="141">
        <v>-485785</v>
      </c>
      <c r="BN188" s="141">
        <v>0</v>
      </c>
      <c r="BO188" s="141">
        <v>-485785</v>
      </c>
      <c r="BP188" s="141">
        <v>-485785</v>
      </c>
      <c r="BQ188" s="141">
        <v>0</v>
      </c>
      <c r="BR188" s="141">
        <v>-222304</v>
      </c>
      <c r="BS188" s="141">
        <v>0</v>
      </c>
      <c r="BT188" s="141">
        <v>-708089</v>
      </c>
      <c r="BU188" s="141">
        <v>0</v>
      </c>
      <c r="BV188" s="141">
        <v>-708089</v>
      </c>
      <c r="BW188" s="141">
        <v>-81966</v>
      </c>
      <c r="BX188" s="141">
        <v>0</v>
      </c>
      <c r="BY188" s="141">
        <v>-81966</v>
      </c>
      <c r="BZ188" s="141">
        <v>-11047</v>
      </c>
      <c r="CA188" s="141">
        <v>0</v>
      </c>
      <c r="CB188" s="141">
        <v>-11047</v>
      </c>
      <c r="CC188" s="141">
        <v>-99</v>
      </c>
      <c r="CD188" s="141">
        <v>0</v>
      </c>
      <c r="CE188" s="141">
        <v>-99</v>
      </c>
      <c r="CF188" s="141">
        <v>0</v>
      </c>
      <c r="CG188" s="141">
        <v>0</v>
      </c>
      <c r="CH188" s="141">
        <v>0</v>
      </c>
      <c r="CI188" s="141">
        <v>-22286</v>
      </c>
      <c r="CJ188" s="141">
        <v>0</v>
      </c>
      <c r="CK188" s="141">
        <v>-22286</v>
      </c>
      <c r="CL188" s="141">
        <v>0</v>
      </c>
      <c r="CM188" s="141">
        <v>0</v>
      </c>
      <c r="CN188" s="141">
        <v>0</v>
      </c>
      <c r="CO188" s="141">
        <v>0</v>
      </c>
      <c r="CP188" s="141">
        <v>0</v>
      </c>
      <c r="CQ188" s="141">
        <v>-115398</v>
      </c>
      <c r="CR188" s="141">
        <v>0</v>
      </c>
      <c r="CS188" s="141">
        <v>40913</v>
      </c>
      <c r="CT188" s="141">
        <v>0</v>
      </c>
      <c r="CU188" s="141">
        <v>-74485</v>
      </c>
      <c r="CV188" s="141">
        <v>0</v>
      </c>
      <c r="CW188" s="141">
        <v>-74485</v>
      </c>
      <c r="CX188" s="141">
        <v>0</v>
      </c>
      <c r="CY188" s="141">
        <v>0</v>
      </c>
      <c r="CZ188" s="141">
        <v>0</v>
      </c>
      <c r="DA188" s="141">
        <v>-1500</v>
      </c>
      <c r="DB188" s="141">
        <v>0</v>
      </c>
      <c r="DC188" s="141">
        <v>-1500</v>
      </c>
      <c r="DD188" s="141">
        <v>-25785</v>
      </c>
      <c r="DE188" s="141">
        <v>0</v>
      </c>
      <c r="DF188" s="141">
        <v>-25785</v>
      </c>
      <c r="DG188" s="141">
        <v>-37000</v>
      </c>
      <c r="DH188" s="141">
        <v>0</v>
      </c>
      <c r="DI188" s="141">
        <v>-37000</v>
      </c>
      <c r="DJ188" s="141">
        <v>0</v>
      </c>
      <c r="DK188" s="141">
        <v>0</v>
      </c>
      <c r="DL188" s="141">
        <v>0</v>
      </c>
      <c r="DM188" s="141">
        <v>-665174</v>
      </c>
      <c r="DN188" s="141">
        <v>0</v>
      </c>
      <c r="DO188" s="141">
        <v>-665174</v>
      </c>
      <c r="DP188" s="141">
        <v>-729459</v>
      </c>
      <c r="DQ188" s="141">
        <v>0</v>
      </c>
      <c r="DR188" s="141">
        <v>0</v>
      </c>
      <c r="DS188" s="141">
        <v>0</v>
      </c>
      <c r="DT188" s="141">
        <v>-729459</v>
      </c>
      <c r="DU188" s="141">
        <v>0</v>
      </c>
      <c r="DV188" s="141">
        <v>-729459</v>
      </c>
      <c r="DW188" s="856">
        <v>28497809</v>
      </c>
      <c r="DX188" s="856">
        <v>0</v>
      </c>
      <c r="DY188" s="857">
        <v>28497809</v>
      </c>
      <c r="DZ188" t="s">
        <v>1754</v>
      </c>
    </row>
    <row r="189" spans="1:130" ht="12.75" x14ac:dyDescent="0.2">
      <c r="A189" s="764">
        <v>182</v>
      </c>
      <c r="B189" s="765" t="s">
        <v>249</v>
      </c>
      <c r="C189" s="766" t="s">
        <v>529</v>
      </c>
      <c r="D189" s="767" t="s">
        <v>1225</v>
      </c>
      <c r="E189" s="768" t="s">
        <v>588</v>
      </c>
      <c r="F189" s="867">
        <v>43465</v>
      </c>
      <c r="G189" s="141">
        <v>189228583</v>
      </c>
      <c r="H189" s="141">
        <v>6576700</v>
      </c>
      <c r="I189" s="141">
        <v>195805283</v>
      </c>
      <c r="J189" s="141">
        <v>49.1</v>
      </c>
      <c r="K189" s="141">
        <v>92911234</v>
      </c>
      <c r="L189" s="141">
        <v>3229160</v>
      </c>
      <c r="M189" s="141">
        <v>306327</v>
      </c>
      <c r="N189" s="141">
        <v>0</v>
      </c>
      <c r="O189" s="141">
        <v>93217561</v>
      </c>
      <c r="P189" s="141">
        <v>3229160</v>
      </c>
      <c r="Q189" s="141">
        <v>96446721</v>
      </c>
      <c r="R189" s="141">
        <v>-593430</v>
      </c>
      <c r="S189" s="141">
        <v>-1709</v>
      </c>
      <c r="T189" s="141">
        <v>-595139</v>
      </c>
      <c r="U189" s="141">
        <v>3928923</v>
      </c>
      <c r="V189" s="141">
        <v>0</v>
      </c>
      <c r="W189" s="141">
        <v>3928923</v>
      </c>
      <c r="X189" s="141">
        <v>3335493</v>
      </c>
      <c r="Y189" s="141">
        <v>-1709</v>
      </c>
      <c r="Z189" s="141">
        <v>0</v>
      </c>
      <c r="AA189" s="141">
        <v>0</v>
      </c>
      <c r="AB189" s="141">
        <v>3335493</v>
      </c>
      <c r="AC189" s="141">
        <v>-1709</v>
      </c>
      <c r="AD189" s="141">
        <v>3333784</v>
      </c>
      <c r="AE189" s="141">
        <v>-3335493</v>
      </c>
      <c r="AF189" s="141">
        <v>1709</v>
      </c>
      <c r="AG189" s="141">
        <v>-3333784</v>
      </c>
      <c r="AH189" s="141">
        <v>-5819264</v>
      </c>
      <c r="AI189" s="141">
        <v>-9403</v>
      </c>
      <c r="AJ189" s="141">
        <v>-5828667</v>
      </c>
      <c r="AK189" s="141">
        <v>-26189</v>
      </c>
      <c r="AL189" s="141">
        <v>0</v>
      </c>
      <c r="AM189" s="141">
        <v>-26189</v>
      </c>
      <c r="AN189" s="141">
        <v>1929319</v>
      </c>
      <c r="AO189" s="141">
        <v>78839</v>
      </c>
      <c r="AP189" s="141">
        <v>2008158</v>
      </c>
      <c r="AQ189" s="141">
        <v>-3889945</v>
      </c>
      <c r="AR189" s="141">
        <v>69436</v>
      </c>
      <c r="AS189" s="141">
        <v>-3820509</v>
      </c>
      <c r="AT189" s="141">
        <v>-2755367</v>
      </c>
      <c r="AU189" s="141">
        <v>0</v>
      </c>
      <c r="AV189" s="141">
        <v>-2755367</v>
      </c>
      <c r="AW189" s="141">
        <v>-48112</v>
      </c>
      <c r="AX189" s="141">
        <v>0</v>
      </c>
      <c r="AY189" s="141">
        <v>-48112</v>
      </c>
      <c r="AZ189" s="141">
        <v>-13369</v>
      </c>
      <c r="BA189" s="141">
        <v>0</v>
      </c>
      <c r="BB189" s="141">
        <v>-13369</v>
      </c>
      <c r="BC189" s="141">
        <v>-6706793</v>
      </c>
      <c r="BD189" s="141">
        <v>69436</v>
      </c>
      <c r="BE189" s="141">
        <v>0</v>
      </c>
      <c r="BF189" s="141">
        <v>0</v>
      </c>
      <c r="BG189" s="141">
        <v>-6706793</v>
      </c>
      <c r="BH189" s="141">
        <v>69436</v>
      </c>
      <c r="BI189" s="141">
        <v>-6637357</v>
      </c>
      <c r="BJ189" s="141">
        <v>0</v>
      </c>
      <c r="BK189" s="141">
        <v>0</v>
      </c>
      <c r="BL189" s="141">
        <v>0</v>
      </c>
      <c r="BM189" s="141">
        <v>-1851466</v>
      </c>
      <c r="BN189" s="141">
        <v>-1041509</v>
      </c>
      <c r="BO189" s="141">
        <v>-2892975</v>
      </c>
      <c r="BP189" s="141">
        <v>-1851466</v>
      </c>
      <c r="BQ189" s="141">
        <v>-1041509</v>
      </c>
      <c r="BR189" s="141">
        <v>-500000</v>
      </c>
      <c r="BS189" s="141">
        <v>0</v>
      </c>
      <c r="BT189" s="141">
        <v>-2351466</v>
      </c>
      <c r="BU189" s="141">
        <v>-1041509</v>
      </c>
      <c r="BV189" s="141">
        <v>-3392975</v>
      </c>
      <c r="BW189" s="141">
        <v>-91444</v>
      </c>
      <c r="BX189" s="141">
        <v>0</v>
      </c>
      <c r="BY189" s="141">
        <v>-91444</v>
      </c>
      <c r="BZ189" s="141">
        <v>-105470</v>
      </c>
      <c r="CA189" s="141">
        <v>0</v>
      </c>
      <c r="CB189" s="141">
        <v>-105470</v>
      </c>
      <c r="CC189" s="141">
        <v>-7116</v>
      </c>
      <c r="CD189" s="141">
        <v>0</v>
      </c>
      <c r="CE189" s="141">
        <v>-7116</v>
      </c>
      <c r="CF189" s="141">
        <v>0</v>
      </c>
      <c r="CG189" s="141">
        <v>0</v>
      </c>
      <c r="CH189" s="141">
        <v>0</v>
      </c>
      <c r="CI189" s="141">
        <v>0</v>
      </c>
      <c r="CJ189" s="141">
        <v>0</v>
      </c>
      <c r="CK189" s="141">
        <v>0</v>
      </c>
      <c r="CL189" s="141">
        <v>0</v>
      </c>
      <c r="CM189" s="141">
        <v>-81176</v>
      </c>
      <c r="CN189" s="141">
        <v>-81176</v>
      </c>
      <c r="CO189" s="141">
        <v>-81176</v>
      </c>
      <c r="CP189" s="141">
        <v>0</v>
      </c>
      <c r="CQ189" s="141">
        <v>-204030</v>
      </c>
      <c r="CR189" s="141">
        <v>-81176</v>
      </c>
      <c r="CS189" s="141">
        <v>0</v>
      </c>
      <c r="CT189" s="141">
        <v>0</v>
      </c>
      <c r="CU189" s="141">
        <v>-204030</v>
      </c>
      <c r="CV189" s="141">
        <v>-81176</v>
      </c>
      <c r="CW189" s="141">
        <v>-285206</v>
      </c>
      <c r="CX189" s="141">
        <v>-13369</v>
      </c>
      <c r="CY189" s="141">
        <v>0</v>
      </c>
      <c r="CZ189" s="141">
        <v>-13369</v>
      </c>
      <c r="DA189" s="141">
        <v>0</v>
      </c>
      <c r="DB189" s="141">
        <v>0</v>
      </c>
      <c r="DC189" s="141">
        <v>0</v>
      </c>
      <c r="DD189" s="141">
        <v>-31119</v>
      </c>
      <c r="DE189" s="141">
        <v>0</v>
      </c>
      <c r="DF189" s="141">
        <v>-31119</v>
      </c>
      <c r="DG189" s="141">
        <v>-56000</v>
      </c>
      <c r="DH189" s="141">
        <v>0</v>
      </c>
      <c r="DI189" s="141">
        <v>-56000</v>
      </c>
      <c r="DJ189" s="141">
        <v>0</v>
      </c>
      <c r="DK189" s="141">
        <v>0</v>
      </c>
      <c r="DL189" s="141">
        <v>0</v>
      </c>
      <c r="DM189" s="141">
        <v>-599612</v>
      </c>
      <c r="DN189" s="141">
        <v>0</v>
      </c>
      <c r="DO189" s="141">
        <v>-599612</v>
      </c>
      <c r="DP189" s="141">
        <v>-700100</v>
      </c>
      <c r="DQ189" s="141">
        <v>0</v>
      </c>
      <c r="DR189" s="141">
        <v>0</v>
      </c>
      <c r="DS189" s="141">
        <v>0</v>
      </c>
      <c r="DT189" s="141">
        <v>-700100</v>
      </c>
      <c r="DU189" s="141">
        <v>0</v>
      </c>
      <c r="DV189" s="141">
        <v>-700100</v>
      </c>
      <c r="DW189" s="856">
        <v>86590665</v>
      </c>
      <c r="DX189" s="856">
        <v>2174202</v>
      </c>
      <c r="DY189" s="857">
        <v>88764867</v>
      </c>
      <c r="DZ189" t="s">
        <v>1755</v>
      </c>
    </row>
    <row r="190" spans="1:130" ht="12.75" x14ac:dyDescent="0.2">
      <c r="A190" s="764">
        <v>183</v>
      </c>
      <c r="B190" s="765" t="s">
        <v>251</v>
      </c>
      <c r="C190" s="766" t="s">
        <v>1217</v>
      </c>
      <c r="D190" s="767" t="s">
        <v>1221</v>
      </c>
      <c r="E190" s="768" t="s">
        <v>250</v>
      </c>
      <c r="F190" s="867">
        <v>43453</v>
      </c>
      <c r="G190" s="141">
        <v>80881518</v>
      </c>
      <c r="H190" s="141">
        <v>692780</v>
      </c>
      <c r="I190" s="141">
        <v>81574298</v>
      </c>
      <c r="J190" s="141">
        <v>49.1</v>
      </c>
      <c r="K190" s="141">
        <v>39712825</v>
      </c>
      <c r="L190" s="141">
        <v>340155</v>
      </c>
      <c r="M190" s="141">
        <v>-569503</v>
      </c>
      <c r="N190" s="141">
        <v>0</v>
      </c>
      <c r="O190" s="141">
        <v>39143322</v>
      </c>
      <c r="P190" s="141">
        <v>340155</v>
      </c>
      <c r="Q190" s="141">
        <v>39483477</v>
      </c>
      <c r="R190" s="141">
        <v>-1337747</v>
      </c>
      <c r="S190" s="141">
        <v>-29861</v>
      </c>
      <c r="T190" s="141">
        <v>-1367608</v>
      </c>
      <c r="U190" s="141">
        <v>118403</v>
      </c>
      <c r="V190" s="141">
        <v>0</v>
      </c>
      <c r="W190" s="141">
        <v>118403</v>
      </c>
      <c r="X190" s="141">
        <v>-1219344</v>
      </c>
      <c r="Y190" s="141">
        <v>-29861</v>
      </c>
      <c r="Z190" s="141">
        <v>0</v>
      </c>
      <c r="AA190" s="141">
        <v>0</v>
      </c>
      <c r="AB190" s="141">
        <v>-1219344</v>
      </c>
      <c r="AC190" s="141">
        <v>-29861</v>
      </c>
      <c r="AD190" s="141">
        <v>-1249205</v>
      </c>
      <c r="AE190" s="141">
        <v>1219344</v>
      </c>
      <c r="AF190" s="141">
        <v>29861</v>
      </c>
      <c r="AG190" s="141">
        <v>1249205</v>
      </c>
      <c r="AH190" s="141">
        <v>-7210455</v>
      </c>
      <c r="AI190" s="141">
        <v>-39661</v>
      </c>
      <c r="AJ190" s="141">
        <v>-7250116</v>
      </c>
      <c r="AK190" s="141">
        <v>0</v>
      </c>
      <c r="AL190" s="141">
        <v>0</v>
      </c>
      <c r="AM190" s="141">
        <v>0</v>
      </c>
      <c r="AN190" s="141">
        <v>540473</v>
      </c>
      <c r="AO190" s="141">
        <v>5133</v>
      </c>
      <c r="AP190" s="141">
        <v>545606</v>
      </c>
      <c r="AQ190" s="141">
        <v>-6669982</v>
      </c>
      <c r="AR190" s="141">
        <v>-34528</v>
      </c>
      <c r="AS190" s="141">
        <v>-6704510</v>
      </c>
      <c r="AT190" s="141">
        <v>-2256949</v>
      </c>
      <c r="AU190" s="141">
        <v>0</v>
      </c>
      <c r="AV190" s="141">
        <v>-2256949</v>
      </c>
      <c r="AW190" s="141">
        <v>-40188</v>
      </c>
      <c r="AX190" s="141">
        <v>0</v>
      </c>
      <c r="AY190" s="141">
        <v>-40188</v>
      </c>
      <c r="AZ190" s="141">
        <v>-78316</v>
      </c>
      <c r="BA190" s="141">
        <v>0</v>
      </c>
      <c r="BB190" s="141">
        <v>-78316</v>
      </c>
      <c r="BC190" s="141">
        <v>-9045435</v>
      </c>
      <c r="BD190" s="141">
        <v>-34528</v>
      </c>
      <c r="BE190" s="141">
        <v>0</v>
      </c>
      <c r="BF190" s="141">
        <v>0</v>
      </c>
      <c r="BG190" s="141">
        <v>-9045435</v>
      </c>
      <c r="BH190" s="141">
        <v>-34528</v>
      </c>
      <c r="BI190" s="141">
        <v>-9079963</v>
      </c>
      <c r="BJ190" s="141">
        <v>0</v>
      </c>
      <c r="BK190" s="141">
        <v>0</v>
      </c>
      <c r="BL190" s="141">
        <v>0</v>
      </c>
      <c r="BM190" s="141">
        <v>-349393</v>
      </c>
      <c r="BN190" s="141">
        <v>-3352</v>
      </c>
      <c r="BO190" s="141">
        <v>-352745</v>
      </c>
      <c r="BP190" s="141">
        <v>-349393</v>
      </c>
      <c r="BQ190" s="141">
        <v>-3352</v>
      </c>
      <c r="BR190" s="141">
        <v>-34939</v>
      </c>
      <c r="BS190" s="141">
        <v>0</v>
      </c>
      <c r="BT190" s="141">
        <v>-384332</v>
      </c>
      <c r="BU190" s="141">
        <v>-3352</v>
      </c>
      <c r="BV190" s="141">
        <v>-387684</v>
      </c>
      <c r="BW190" s="141">
        <v>-4119</v>
      </c>
      <c r="BX190" s="141">
        <v>0</v>
      </c>
      <c r="BY190" s="141">
        <v>-4119</v>
      </c>
      <c r="BZ190" s="141">
        <v>0</v>
      </c>
      <c r="CA190" s="141">
        <v>0</v>
      </c>
      <c r="CB190" s="141">
        <v>0</v>
      </c>
      <c r="CC190" s="141">
        <v>0</v>
      </c>
      <c r="CD190" s="141">
        <v>0</v>
      </c>
      <c r="CE190" s="141">
        <v>0</v>
      </c>
      <c r="CF190" s="141">
        <v>0</v>
      </c>
      <c r="CG190" s="141">
        <v>0</v>
      </c>
      <c r="CH190" s="141">
        <v>0</v>
      </c>
      <c r="CI190" s="141">
        <v>0</v>
      </c>
      <c r="CJ190" s="141">
        <v>0</v>
      </c>
      <c r="CK190" s="141">
        <v>0</v>
      </c>
      <c r="CL190" s="141">
        <v>0</v>
      </c>
      <c r="CM190" s="141">
        <v>-272414</v>
      </c>
      <c r="CN190" s="141">
        <v>-272414</v>
      </c>
      <c r="CO190" s="141">
        <v>-272414</v>
      </c>
      <c r="CP190" s="141">
        <v>0</v>
      </c>
      <c r="CQ190" s="141">
        <v>-4119</v>
      </c>
      <c r="CR190" s="141">
        <v>-272414</v>
      </c>
      <c r="CS190" s="141">
        <v>0</v>
      </c>
      <c r="CT190" s="141">
        <v>0</v>
      </c>
      <c r="CU190" s="141">
        <v>-4119</v>
      </c>
      <c r="CV190" s="141">
        <v>-272414</v>
      </c>
      <c r="CW190" s="141">
        <v>-276533</v>
      </c>
      <c r="CX190" s="141">
        <v>-82183</v>
      </c>
      <c r="CY190" s="141">
        <v>0</v>
      </c>
      <c r="CZ190" s="141">
        <v>-82183</v>
      </c>
      <c r="DA190" s="141">
        <v>-1500</v>
      </c>
      <c r="DB190" s="141">
        <v>0</v>
      </c>
      <c r="DC190" s="141">
        <v>-1500</v>
      </c>
      <c r="DD190" s="141">
        <v>-78925</v>
      </c>
      <c r="DE190" s="141">
        <v>0</v>
      </c>
      <c r="DF190" s="141">
        <v>-78925</v>
      </c>
      <c r="DG190" s="141">
        <v>-105493</v>
      </c>
      <c r="DH190" s="141">
        <v>0</v>
      </c>
      <c r="DI190" s="141">
        <v>-105493</v>
      </c>
      <c r="DJ190" s="141">
        <v>0</v>
      </c>
      <c r="DK190" s="141">
        <v>0</v>
      </c>
      <c r="DL190" s="141">
        <v>0</v>
      </c>
      <c r="DM190" s="141">
        <v>-992745</v>
      </c>
      <c r="DN190" s="141">
        <v>0</v>
      </c>
      <c r="DO190" s="141">
        <v>-992745</v>
      </c>
      <c r="DP190" s="141">
        <v>-1260846</v>
      </c>
      <c r="DQ190" s="141">
        <v>0</v>
      </c>
      <c r="DR190" s="141">
        <v>0</v>
      </c>
      <c r="DS190" s="141">
        <v>0</v>
      </c>
      <c r="DT190" s="141">
        <v>-1260846</v>
      </c>
      <c r="DU190" s="141">
        <v>0</v>
      </c>
      <c r="DV190" s="141">
        <v>-1260846</v>
      </c>
      <c r="DW190" s="856">
        <v>27229246</v>
      </c>
      <c r="DX190" s="856">
        <v>0</v>
      </c>
      <c r="DY190" s="857">
        <v>27229246</v>
      </c>
      <c r="DZ190" t="s">
        <v>1756</v>
      </c>
    </row>
    <row r="191" spans="1:130" ht="12.75" x14ac:dyDescent="0.2">
      <c r="A191" s="764">
        <v>184</v>
      </c>
      <c r="B191" s="765" t="s">
        <v>253</v>
      </c>
      <c r="C191" s="766" t="s">
        <v>529</v>
      </c>
      <c r="D191" s="767" t="s">
        <v>1226</v>
      </c>
      <c r="E191" s="768" t="s">
        <v>533</v>
      </c>
      <c r="F191" s="867">
        <v>43468</v>
      </c>
      <c r="G191" s="141">
        <v>161129026</v>
      </c>
      <c r="H191" s="141">
        <v>2503860</v>
      </c>
      <c r="I191" s="141">
        <v>163632886</v>
      </c>
      <c r="J191" s="141">
        <v>49.1</v>
      </c>
      <c r="K191" s="141">
        <v>79114352</v>
      </c>
      <c r="L191" s="141">
        <v>1229395</v>
      </c>
      <c r="M191" s="141">
        <v>-2197654</v>
      </c>
      <c r="N191" s="141">
        <v>58544</v>
      </c>
      <c r="O191" s="141">
        <v>76916698</v>
      </c>
      <c r="P191" s="141">
        <v>1287939</v>
      </c>
      <c r="Q191" s="141">
        <v>78204637</v>
      </c>
      <c r="R191" s="141">
        <v>-397683</v>
      </c>
      <c r="S191" s="141">
        <v>0</v>
      </c>
      <c r="T191" s="141">
        <v>-397683</v>
      </c>
      <c r="U191" s="141">
        <v>630345</v>
      </c>
      <c r="V191" s="141">
        <v>59762</v>
      </c>
      <c r="W191" s="141">
        <v>690107</v>
      </c>
      <c r="X191" s="141">
        <v>232662</v>
      </c>
      <c r="Y191" s="141">
        <v>59762</v>
      </c>
      <c r="Z191" s="141">
        <v>0</v>
      </c>
      <c r="AA191" s="141">
        <v>0</v>
      </c>
      <c r="AB191" s="141">
        <v>232662</v>
      </c>
      <c r="AC191" s="141">
        <v>59762</v>
      </c>
      <c r="AD191" s="141">
        <v>292424</v>
      </c>
      <c r="AE191" s="141">
        <v>-232662</v>
      </c>
      <c r="AF191" s="141">
        <v>-59762</v>
      </c>
      <c r="AG191" s="141">
        <v>-292424</v>
      </c>
      <c r="AH191" s="141">
        <v>-6713251</v>
      </c>
      <c r="AI191" s="141">
        <v>-71745</v>
      </c>
      <c r="AJ191" s="141">
        <v>-6784996</v>
      </c>
      <c r="AK191" s="141">
        <v>-24591</v>
      </c>
      <c r="AL191" s="141">
        <v>0</v>
      </c>
      <c r="AM191" s="141">
        <v>-24591</v>
      </c>
      <c r="AN191" s="141">
        <v>1444093</v>
      </c>
      <c r="AO191" s="141">
        <v>24445</v>
      </c>
      <c r="AP191" s="141">
        <v>1468538</v>
      </c>
      <c r="AQ191" s="141">
        <v>-5269158</v>
      </c>
      <c r="AR191" s="141">
        <v>-47300</v>
      </c>
      <c r="AS191" s="141">
        <v>-5316458</v>
      </c>
      <c r="AT191" s="141">
        <v>-5891648</v>
      </c>
      <c r="AU191" s="141">
        <v>-343561</v>
      </c>
      <c r="AV191" s="141">
        <v>-6235209</v>
      </c>
      <c r="AW191" s="141">
        <v>-102577</v>
      </c>
      <c r="AX191" s="141">
        <v>0</v>
      </c>
      <c r="AY191" s="141">
        <v>-102577</v>
      </c>
      <c r="AZ191" s="141">
        <v>-9525</v>
      </c>
      <c r="BA191" s="141">
        <v>0</v>
      </c>
      <c r="BB191" s="141">
        <v>-9525</v>
      </c>
      <c r="BC191" s="141">
        <v>-11272908</v>
      </c>
      <c r="BD191" s="141">
        <v>-390861</v>
      </c>
      <c r="BE191" s="141">
        <v>0</v>
      </c>
      <c r="BF191" s="141">
        <v>0</v>
      </c>
      <c r="BG191" s="141">
        <v>-11272908</v>
      </c>
      <c r="BH191" s="141">
        <v>-390861</v>
      </c>
      <c r="BI191" s="141">
        <v>-11663769</v>
      </c>
      <c r="BJ191" s="141">
        <v>-7500</v>
      </c>
      <c r="BK191" s="141">
        <v>0</v>
      </c>
      <c r="BL191" s="141">
        <v>-7500</v>
      </c>
      <c r="BM191" s="141">
        <v>-1506155</v>
      </c>
      <c r="BN191" s="141">
        <v>-41926</v>
      </c>
      <c r="BO191" s="141">
        <v>-1548081</v>
      </c>
      <c r="BP191" s="141">
        <v>-1513655</v>
      </c>
      <c r="BQ191" s="141">
        <v>-41926</v>
      </c>
      <c r="BR191" s="141">
        <v>0</v>
      </c>
      <c r="BS191" s="141">
        <v>0</v>
      </c>
      <c r="BT191" s="141">
        <v>-1513655</v>
      </c>
      <c r="BU191" s="141">
        <v>-41926</v>
      </c>
      <c r="BV191" s="141">
        <v>-1555581</v>
      </c>
      <c r="BW191" s="141">
        <v>-60164</v>
      </c>
      <c r="BX191" s="141">
        <v>0</v>
      </c>
      <c r="BY191" s="141">
        <v>-60164</v>
      </c>
      <c r="BZ191" s="141">
        <v>-321093</v>
      </c>
      <c r="CA191" s="141">
        <v>0</v>
      </c>
      <c r="CB191" s="141">
        <v>-321093</v>
      </c>
      <c r="CC191" s="141">
        <v>0</v>
      </c>
      <c r="CD191" s="141">
        <v>0</v>
      </c>
      <c r="CE191" s="141">
        <v>0</v>
      </c>
      <c r="CF191" s="141">
        <v>0</v>
      </c>
      <c r="CG191" s="141">
        <v>0</v>
      </c>
      <c r="CH191" s="141">
        <v>0</v>
      </c>
      <c r="CI191" s="141">
        <v>0</v>
      </c>
      <c r="CJ191" s="141">
        <v>0</v>
      </c>
      <c r="CK191" s="141">
        <v>0</v>
      </c>
      <c r="CL191" s="141">
        <v>0</v>
      </c>
      <c r="CM191" s="141">
        <v>0</v>
      </c>
      <c r="CN191" s="141">
        <v>0</v>
      </c>
      <c r="CO191" s="141">
        <v>0</v>
      </c>
      <c r="CP191" s="141">
        <v>0</v>
      </c>
      <c r="CQ191" s="141">
        <v>-381257</v>
      </c>
      <c r="CR191" s="141">
        <v>0</v>
      </c>
      <c r="CS191" s="141">
        <v>0</v>
      </c>
      <c r="CT191" s="141">
        <v>0</v>
      </c>
      <c r="CU191" s="141">
        <v>-381257</v>
      </c>
      <c r="CV191" s="141">
        <v>0</v>
      </c>
      <c r="CW191" s="141">
        <v>-381257</v>
      </c>
      <c r="CX191" s="141">
        <v>-9387</v>
      </c>
      <c r="CY191" s="141">
        <v>0</v>
      </c>
      <c r="CZ191" s="141">
        <v>-9387</v>
      </c>
      <c r="DA191" s="141">
        <v>-1500</v>
      </c>
      <c r="DB191" s="141">
        <v>0</v>
      </c>
      <c r="DC191" s="141">
        <v>-1500</v>
      </c>
      <c r="DD191" s="141">
        <v>-1896</v>
      </c>
      <c r="DE191" s="141">
        <v>0</v>
      </c>
      <c r="DF191" s="141">
        <v>-1896</v>
      </c>
      <c r="DG191" s="141">
        <v>-58363</v>
      </c>
      <c r="DH191" s="141">
        <v>0</v>
      </c>
      <c r="DI191" s="141">
        <v>-58363</v>
      </c>
      <c r="DJ191" s="141">
        <v>0</v>
      </c>
      <c r="DK191" s="141">
        <v>0</v>
      </c>
      <c r="DL191" s="141">
        <v>0</v>
      </c>
      <c r="DM191" s="141">
        <v>-1198350</v>
      </c>
      <c r="DN191" s="141">
        <v>0</v>
      </c>
      <c r="DO191" s="141">
        <v>-1198350</v>
      </c>
      <c r="DP191" s="141">
        <v>-1269496</v>
      </c>
      <c r="DQ191" s="141">
        <v>0</v>
      </c>
      <c r="DR191" s="141">
        <v>0</v>
      </c>
      <c r="DS191" s="141">
        <v>0</v>
      </c>
      <c r="DT191" s="141">
        <v>-1269496</v>
      </c>
      <c r="DU191" s="141">
        <v>0</v>
      </c>
      <c r="DV191" s="141">
        <v>-1269496</v>
      </c>
      <c r="DW191" s="856">
        <v>62712044</v>
      </c>
      <c r="DX191" s="856">
        <v>914914</v>
      </c>
      <c r="DY191" s="857">
        <v>63626958</v>
      </c>
      <c r="DZ191" t="s">
        <v>1757</v>
      </c>
    </row>
    <row r="192" spans="1:130" ht="12.75" x14ac:dyDescent="0.2">
      <c r="A192" s="764">
        <v>185</v>
      </c>
      <c r="B192" s="765" t="s">
        <v>255</v>
      </c>
      <c r="C192" s="766" t="s">
        <v>1224</v>
      </c>
      <c r="D192" s="767" t="s">
        <v>1229</v>
      </c>
      <c r="E192" s="768" t="s">
        <v>254</v>
      </c>
      <c r="F192" s="867">
        <v>43468</v>
      </c>
      <c r="G192" s="141">
        <v>149003706</v>
      </c>
      <c r="H192" s="141">
        <v>1617885</v>
      </c>
      <c r="I192" s="141">
        <v>150621591</v>
      </c>
      <c r="J192" s="141">
        <v>49.1</v>
      </c>
      <c r="K192" s="141">
        <v>73160820</v>
      </c>
      <c r="L192" s="141">
        <v>794382</v>
      </c>
      <c r="M192" s="141">
        <v>0</v>
      </c>
      <c r="N192" s="141">
        <v>0</v>
      </c>
      <c r="O192" s="141">
        <v>73160820</v>
      </c>
      <c r="P192" s="141">
        <v>794382</v>
      </c>
      <c r="Q192" s="141">
        <v>73955202</v>
      </c>
      <c r="R192" s="141">
        <v>-897871</v>
      </c>
      <c r="S192" s="141">
        <v>-12059</v>
      </c>
      <c r="T192" s="141">
        <v>-909930</v>
      </c>
      <c r="U192" s="141">
        <v>1302945</v>
      </c>
      <c r="V192" s="141">
        <v>0</v>
      </c>
      <c r="W192" s="141">
        <v>1302945</v>
      </c>
      <c r="X192" s="141">
        <v>405074</v>
      </c>
      <c r="Y192" s="141">
        <v>-12059</v>
      </c>
      <c r="Z192" s="141">
        <v>0</v>
      </c>
      <c r="AA192" s="141">
        <v>0</v>
      </c>
      <c r="AB192" s="141">
        <v>405074</v>
      </c>
      <c r="AC192" s="141">
        <v>-12059</v>
      </c>
      <c r="AD192" s="141">
        <v>393015</v>
      </c>
      <c r="AE192" s="141">
        <v>-405074</v>
      </c>
      <c r="AF192" s="141">
        <v>12059</v>
      </c>
      <c r="AG192" s="141">
        <v>-393015</v>
      </c>
      <c r="AH192" s="141">
        <v>-6240870</v>
      </c>
      <c r="AI192" s="141">
        <v>-19424</v>
      </c>
      <c r="AJ192" s="141">
        <v>-6260294</v>
      </c>
      <c r="AK192" s="141">
        <v>-23390</v>
      </c>
      <c r="AL192" s="141">
        <v>0</v>
      </c>
      <c r="AM192" s="141">
        <v>-23390</v>
      </c>
      <c r="AN192" s="141">
        <v>1405809</v>
      </c>
      <c r="AO192" s="141">
        <v>18901</v>
      </c>
      <c r="AP192" s="141">
        <v>1424710</v>
      </c>
      <c r="AQ192" s="141">
        <v>-4835061</v>
      </c>
      <c r="AR192" s="141">
        <v>-523</v>
      </c>
      <c r="AS192" s="141">
        <v>-4835584</v>
      </c>
      <c r="AT192" s="141">
        <v>-4584480</v>
      </c>
      <c r="AU192" s="141">
        <v>0</v>
      </c>
      <c r="AV192" s="141">
        <v>-4584480</v>
      </c>
      <c r="AW192" s="141">
        <v>-66782</v>
      </c>
      <c r="AX192" s="141">
        <v>0</v>
      </c>
      <c r="AY192" s="141">
        <v>-66782</v>
      </c>
      <c r="AZ192" s="141">
        <v>0</v>
      </c>
      <c r="BA192" s="141">
        <v>0</v>
      </c>
      <c r="BB192" s="141">
        <v>0</v>
      </c>
      <c r="BC192" s="141">
        <v>-9486323</v>
      </c>
      <c r="BD192" s="141">
        <v>-523</v>
      </c>
      <c r="BE192" s="141">
        <v>-200000</v>
      </c>
      <c r="BF192" s="141">
        <v>0</v>
      </c>
      <c r="BG192" s="141">
        <v>-9686323</v>
      </c>
      <c r="BH192" s="141">
        <v>-523</v>
      </c>
      <c r="BI192" s="141">
        <v>-9686846</v>
      </c>
      <c r="BJ192" s="141">
        <v>0</v>
      </c>
      <c r="BK192" s="141">
        <v>0</v>
      </c>
      <c r="BL192" s="141">
        <v>0</v>
      </c>
      <c r="BM192" s="141">
        <v>-3000000</v>
      </c>
      <c r="BN192" s="141">
        <v>-4768</v>
      </c>
      <c r="BO192" s="141">
        <v>-3004768</v>
      </c>
      <c r="BP192" s="141">
        <v>-3000000</v>
      </c>
      <c r="BQ192" s="141">
        <v>-4768</v>
      </c>
      <c r="BR192" s="141">
        <v>0</v>
      </c>
      <c r="BS192" s="141">
        <v>0</v>
      </c>
      <c r="BT192" s="141">
        <v>-3000000</v>
      </c>
      <c r="BU192" s="141">
        <v>-4768</v>
      </c>
      <c r="BV192" s="141">
        <v>-3004768</v>
      </c>
      <c r="BW192" s="141">
        <v>-321757</v>
      </c>
      <c r="BX192" s="141">
        <v>0</v>
      </c>
      <c r="BY192" s="141">
        <v>-321757</v>
      </c>
      <c r="BZ192" s="141">
        <v>-20132</v>
      </c>
      <c r="CA192" s="141">
        <v>0</v>
      </c>
      <c r="CB192" s="141">
        <v>-20132</v>
      </c>
      <c r="CC192" s="141">
        <v>-16696</v>
      </c>
      <c r="CD192" s="141">
        <v>0</v>
      </c>
      <c r="CE192" s="141">
        <v>-16696</v>
      </c>
      <c r="CF192" s="141">
        <v>0</v>
      </c>
      <c r="CG192" s="141">
        <v>0</v>
      </c>
      <c r="CH192" s="141">
        <v>0</v>
      </c>
      <c r="CI192" s="141">
        <v>0</v>
      </c>
      <c r="CJ192" s="141">
        <v>0</v>
      </c>
      <c r="CK192" s="141">
        <v>0</v>
      </c>
      <c r="CL192" s="141">
        <v>0</v>
      </c>
      <c r="CM192" s="141">
        <v>-24187</v>
      </c>
      <c r="CN192" s="141">
        <v>-24187</v>
      </c>
      <c r="CO192" s="141">
        <v>-24187</v>
      </c>
      <c r="CP192" s="141">
        <v>0</v>
      </c>
      <c r="CQ192" s="141">
        <v>-358585</v>
      </c>
      <c r="CR192" s="141">
        <v>-24187</v>
      </c>
      <c r="CS192" s="141">
        <v>0</v>
      </c>
      <c r="CT192" s="141">
        <v>0</v>
      </c>
      <c r="CU192" s="141">
        <v>-358585</v>
      </c>
      <c r="CV192" s="141">
        <v>-24187</v>
      </c>
      <c r="CW192" s="141">
        <v>-382772</v>
      </c>
      <c r="CX192" s="141">
        <v>0</v>
      </c>
      <c r="CY192" s="141">
        <v>0</v>
      </c>
      <c r="CZ192" s="141">
        <v>0</v>
      </c>
      <c r="DA192" s="141">
        <v>0</v>
      </c>
      <c r="DB192" s="141">
        <v>0</v>
      </c>
      <c r="DC192" s="141">
        <v>0</v>
      </c>
      <c r="DD192" s="141">
        <v>-33396</v>
      </c>
      <c r="DE192" s="141">
        <v>0</v>
      </c>
      <c r="DF192" s="141">
        <v>-33396</v>
      </c>
      <c r="DG192" s="141">
        <v>-61000</v>
      </c>
      <c r="DH192" s="141">
        <v>0</v>
      </c>
      <c r="DI192" s="141">
        <v>-61000</v>
      </c>
      <c r="DJ192" s="141">
        <v>0</v>
      </c>
      <c r="DK192" s="141">
        <v>0</v>
      </c>
      <c r="DL192" s="141">
        <v>0</v>
      </c>
      <c r="DM192" s="141">
        <v>-937651</v>
      </c>
      <c r="DN192" s="141">
        <v>0</v>
      </c>
      <c r="DO192" s="141">
        <v>-937651</v>
      </c>
      <c r="DP192" s="141">
        <v>-1032047</v>
      </c>
      <c r="DQ192" s="141">
        <v>0</v>
      </c>
      <c r="DR192" s="141">
        <v>0</v>
      </c>
      <c r="DS192" s="141">
        <v>0</v>
      </c>
      <c r="DT192" s="141">
        <v>-1032047</v>
      </c>
      <c r="DU192" s="141">
        <v>0</v>
      </c>
      <c r="DV192" s="141">
        <v>-1032047</v>
      </c>
      <c r="DW192" s="856">
        <v>59488939</v>
      </c>
      <c r="DX192" s="856">
        <v>752845</v>
      </c>
      <c r="DY192" s="857">
        <v>60241784</v>
      </c>
      <c r="DZ192" t="s">
        <v>1758</v>
      </c>
    </row>
    <row r="193" spans="1:130" ht="12.75" x14ac:dyDescent="0.2">
      <c r="A193" s="764">
        <v>186</v>
      </c>
      <c r="B193" s="765" t="s">
        <v>257</v>
      </c>
      <c r="C193" s="766" t="s">
        <v>1217</v>
      </c>
      <c r="D193" s="767" t="s">
        <v>1227</v>
      </c>
      <c r="E193" s="768" t="s">
        <v>256</v>
      </c>
      <c r="F193" s="867">
        <v>43465</v>
      </c>
      <c r="G193" s="141">
        <v>116409001</v>
      </c>
      <c r="H193" s="141">
        <v>0</v>
      </c>
      <c r="I193" s="141">
        <v>116409001</v>
      </c>
      <c r="J193" s="141">
        <v>49.1</v>
      </c>
      <c r="K193" s="141">
        <v>57156819</v>
      </c>
      <c r="L193" s="141">
        <v>0</v>
      </c>
      <c r="M193" s="141">
        <v>656900</v>
      </c>
      <c r="N193" s="141">
        <v>0</v>
      </c>
      <c r="O193" s="141">
        <v>57813719</v>
      </c>
      <c r="P193" s="141">
        <v>0</v>
      </c>
      <c r="Q193" s="141">
        <v>57813719</v>
      </c>
      <c r="R193" s="141">
        <v>-327031.78999999998</v>
      </c>
      <c r="S193" s="141">
        <v>0</v>
      </c>
      <c r="T193" s="141">
        <v>-327031.78999999998</v>
      </c>
      <c r="U193" s="141">
        <v>239917.53</v>
      </c>
      <c r="V193" s="141">
        <v>0</v>
      </c>
      <c r="W193" s="141">
        <v>239917.53</v>
      </c>
      <c r="X193" s="141">
        <v>-87114.25999999998</v>
      </c>
      <c r="Y193" s="141">
        <v>0</v>
      </c>
      <c r="Z193" s="141">
        <v>0</v>
      </c>
      <c r="AA193" s="141">
        <v>0</v>
      </c>
      <c r="AB193" s="141">
        <v>-87114.25999999998</v>
      </c>
      <c r="AC193" s="141">
        <v>0</v>
      </c>
      <c r="AD193" s="141">
        <v>-87114.25999999998</v>
      </c>
      <c r="AE193" s="141">
        <v>87114.25999999998</v>
      </c>
      <c r="AF193" s="141">
        <v>0</v>
      </c>
      <c r="AG193" s="141">
        <v>87114.25999999998</v>
      </c>
      <c r="AH193" s="141">
        <v>-2435627</v>
      </c>
      <c r="AI193" s="141">
        <v>0</v>
      </c>
      <c r="AJ193" s="141">
        <v>-2435627</v>
      </c>
      <c r="AK193" s="141">
        <v>0</v>
      </c>
      <c r="AL193" s="141">
        <v>0</v>
      </c>
      <c r="AM193" s="141">
        <v>0</v>
      </c>
      <c r="AN193" s="141">
        <v>1277444.82</v>
      </c>
      <c r="AO193" s="141">
        <v>0</v>
      </c>
      <c r="AP193" s="141">
        <v>1277444.82</v>
      </c>
      <c r="AQ193" s="141">
        <v>-1158182.18</v>
      </c>
      <c r="AR193" s="141">
        <v>0</v>
      </c>
      <c r="AS193" s="141">
        <v>-1158182.18</v>
      </c>
      <c r="AT193" s="141">
        <v>-1021544.28</v>
      </c>
      <c r="AU193" s="141">
        <v>0</v>
      </c>
      <c r="AV193" s="141">
        <v>-1021544.28</v>
      </c>
      <c r="AW193" s="141">
        <v>-32366.880000000001</v>
      </c>
      <c r="AX193" s="141">
        <v>0</v>
      </c>
      <c r="AY193" s="141">
        <v>-32366.880000000001</v>
      </c>
      <c r="AZ193" s="141">
        <v>-10520</v>
      </c>
      <c r="BA193" s="141">
        <v>0</v>
      </c>
      <c r="BB193" s="141">
        <v>-10520</v>
      </c>
      <c r="BC193" s="141">
        <v>-2222613.34</v>
      </c>
      <c r="BD193" s="141">
        <v>0</v>
      </c>
      <c r="BE193" s="141">
        <v>0</v>
      </c>
      <c r="BF193" s="141">
        <v>0</v>
      </c>
      <c r="BG193" s="141">
        <v>-2222613.34</v>
      </c>
      <c r="BH193" s="141">
        <v>0</v>
      </c>
      <c r="BI193" s="141">
        <v>-2222613.34</v>
      </c>
      <c r="BJ193" s="141">
        <v>0</v>
      </c>
      <c r="BK193" s="141">
        <v>0</v>
      </c>
      <c r="BL193" s="141">
        <v>0</v>
      </c>
      <c r="BM193" s="141">
        <v>-1082287</v>
      </c>
      <c r="BN193" s="141">
        <v>0</v>
      </c>
      <c r="BO193" s="141">
        <v>-1082287</v>
      </c>
      <c r="BP193" s="141">
        <v>-1082287</v>
      </c>
      <c r="BQ193" s="141">
        <v>0</v>
      </c>
      <c r="BR193" s="141">
        <v>0</v>
      </c>
      <c r="BS193" s="141">
        <v>0</v>
      </c>
      <c r="BT193" s="141">
        <v>-1082287</v>
      </c>
      <c r="BU193" s="141">
        <v>0</v>
      </c>
      <c r="BV193" s="141">
        <v>-1082287</v>
      </c>
      <c r="BW193" s="141">
        <v>-7284</v>
      </c>
      <c r="BX193" s="141">
        <v>0</v>
      </c>
      <c r="BY193" s="141">
        <v>-7284</v>
      </c>
      <c r="BZ193" s="141">
        <v>-13311</v>
      </c>
      <c r="CA193" s="141">
        <v>0</v>
      </c>
      <c r="CB193" s="141">
        <v>-13311</v>
      </c>
      <c r="CC193" s="141">
        <v>-1828</v>
      </c>
      <c r="CD193" s="141">
        <v>0</v>
      </c>
      <c r="CE193" s="141">
        <v>-1828</v>
      </c>
      <c r="CF193" s="141">
        <v>0</v>
      </c>
      <c r="CG193" s="141">
        <v>0</v>
      </c>
      <c r="CH193" s="141">
        <v>0</v>
      </c>
      <c r="CI193" s="141">
        <v>0</v>
      </c>
      <c r="CJ193" s="141">
        <v>0</v>
      </c>
      <c r="CK193" s="141">
        <v>0</v>
      </c>
      <c r="CL193" s="141">
        <v>0</v>
      </c>
      <c r="CM193" s="141">
        <v>0</v>
      </c>
      <c r="CN193" s="141">
        <v>0</v>
      </c>
      <c r="CO193" s="141">
        <v>0</v>
      </c>
      <c r="CP193" s="141">
        <v>0</v>
      </c>
      <c r="CQ193" s="141">
        <v>-22423</v>
      </c>
      <c r="CR193" s="141">
        <v>0</v>
      </c>
      <c r="CS193" s="141">
        <v>0</v>
      </c>
      <c r="CT193" s="141">
        <v>0</v>
      </c>
      <c r="CU193" s="141">
        <v>-22423</v>
      </c>
      <c r="CV193" s="141">
        <v>0</v>
      </c>
      <c r="CW193" s="141">
        <v>-22423</v>
      </c>
      <c r="CX193" s="141">
        <v>-10520</v>
      </c>
      <c r="CY193" s="141">
        <v>0</v>
      </c>
      <c r="CZ193" s="141">
        <v>-10520</v>
      </c>
      <c r="DA193" s="141">
        <v>0</v>
      </c>
      <c r="DB193" s="141">
        <v>0</v>
      </c>
      <c r="DC193" s="141">
        <v>0</v>
      </c>
      <c r="DD193" s="141">
        <v>-13318</v>
      </c>
      <c r="DE193" s="141">
        <v>0</v>
      </c>
      <c r="DF193" s="141">
        <v>-13318</v>
      </c>
      <c r="DG193" s="141">
        <v>-31000</v>
      </c>
      <c r="DH193" s="141">
        <v>0</v>
      </c>
      <c r="DI193" s="141">
        <v>-31000</v>
      </c>
      <c r="DJ193" s="141">
        <v>0</v>
      </c>
      <c r="DK193" s="141">
        <v>0</v>
      </c>
      <c r="DL193" s="141">
        <v>0</v>
      </c>
      <c r="DM193" s="141">
        <v>-178059.38</v>
      </c>
      <c r="DN193" s="141">
        <v>0</v>
      </c>
      <c r="DO193" s="141">
        <v>-178059.38</v>
      </c>
      <c r="DP193" s="141">
        <v>-232897.38</v>
      </c>
      <c r="DQ193" s="141">
        <v>0</v>
      </c>
      <c r="DR193" s="141">
        <v>0</v>
      </c>
      <c r="DS193" s="141">
        <v>0</v>
      </c>
      <c r="DT193" s="141">
        <v>-232897.38</v>
      </c>
      <c r="DU193" s="141">
        <v>0</v>
      </c>
      <c r="DV193" s="141">
        <v>-232897.38</v>
      </c>
      <c r="DW193" s="856">
        <v>54166384.020000003</v>
      </c>
      <c r="DX193" s="856">
        <v>0</v>
      </c>
      <c r="DY193" s="857">
        <v>54166384.020000003</v>
      </c>
      <c r="DZ193" t="s">
        <v>1759</v>
      </c>
    </row>
    <row r="194" spans="1:130" ht="12.75" x14ac:dyDescent="0.2">
      <c r="A194" s="764">
        <v>187</v>
      </c>
      <c r="B194" s="765" t="s">
        <v>263</v>
      </c>
      <c r="C194" s="766" t="s">
        <v>1217</v>
      </c>
      <c r="D194" s="767" t="s">
        <v>1220</v>
      </c>
      <c r="E194" s="768" t="s">
        <v>262</v>
      </c>
      <c r="F194" s="867">
        <v>43479</v>
      </c>
      <c r="G194" s="141">
        <v>140178505</v>
      </c>
      <c r="H194" s="141">
        <v>0</v>
      </c>
      <c r="I194" s="141">
        <v>140178505</v>
      </c>
      <c r="J194" s="141">
        <v>49.1</v>
      </c>
      <c r="K194" s="141">
        <v>68827646</v>
      </c>
      <c r="L194" s="141">
        <v>0</v>
      </c>
      <c r="M194" s="141">
        <v>3326790</v>
      </c>
      <c r="N194" s="141">
        <v>0</v>
      </c>
      <c r="O194" s="141">
        <v>72154436</v>
      </c>
      <c r="P194" s="141">
        <v>0</v>
      </c>
      <c r="Q194" s="141">
        <v>72154436</v>
      </c>
      <c r="R194" s="141">
        <v>-483257</v>
      </c>
      <c r="S194" s="141">
        <v>0</v>
      </c>
      <c r="T194" s="141">
        <v>-483257</v>
      </c>
      <c r="U194" s="141">
        <v>105631</v>
      </c>
      <c r="V194" s="141">
        <v>0</v>
      </c>
      <c r="W194" s="141">
        <v>105631</v>
      </c>
      <c r="X194" s="141">
        <v>-377626</v>
      </c>
      <c r="Y194" s="141">
        <v>0</v>
      </c>
      <c r="Z194" s="141">
        <v>0</v>
      </c>
      <c r="AA194" s="141">
        <v>0</v>
      </c>
      <c r="AB194" s="141">
        <v>-377626</v>
      </c>
      <c r="AC194" s="141">
        <v>0</v>
      </c>
      <c r="AD194" s="141">
        <v>-377626</v>
      </c>
      <c r="AE194" s="141">
        <v>377626</v>
      </c>
      <c r="AF194" s="141">
        <v>0</v>
      </c>
      <c r="AG194" s="141">
        <v>377626</v>
      </c>
      <c r="AH194" s="141">
        <v>-3262324</v>
      </c>
      <c r="AI194" s="141">
        <v>0</v>
      </c>
      <c r="AJ194" s="141">
        <v>-3262324</v>
      </c>
      <c r="AK194" s="141">
        <v>-14217</v>
      </c>
      <c r="AL194" s="141">
        <v>0</v>
      </c>
      <c r="AM194" s="141">
        <v>-14217</v>
      </c>
      <c r="AN194" s="141">
        <v>1454209</v>
      </c>
      <c r="AO194" s="141">
        <v>0</v>
      </c>
      <c r="AP194" s="141">
        <v>1454209</v>
      </c>
      <c r="AQ194" s="141">
        <v>-1808115</v>
      </c>
      <c r="AR194" s="141">
        <v>0</v>
      </c>
      <c r="AS194" s="141">
        <v>-1808115</v>
      </c>
      <c r="AT194" s="141">
        <v>-1752874</v>
      </c>
      <c r="AU194" s="141">
        <v>0</v>
      </c>
      <c r="AV194" s="141">
        <v>-1752874</v>
      </c>
      <c r="AW194" s="141">
        <v>-24545</v>
      </c>
      <c r="AX194" s="141">
        <v>0</v>
      </c>
      <c r="AY194" s="141">
        <v>-24545</v>
      </c>
      <c r="AZ194" s="141">
        <v>-7760</v>
      </c>
      <c r="BA194" s="141">
        <v>0</v>
      </c>
      <c r="BB194" s="141">
        <v>-7760</v>
      </c>
      <c r="BC194" s="141">
        <v>-3593294</v>
      </c>
      <c r="BD194" s="141">
        <v>0</v>
      </c>
      <c r="BE194" s="141">
        <v>-191000</v>
      </c>
      <c r="BF194" s="141">
        <v>0</v>
      </c>
      <c r="BG194" s="141">
        <v>-3784294</v>
      </c>
      <c r="BH194" s="141">
        <v>0</v>
      </c>
      <c r="BI194" s="141">
        <v>-3784294</v>
      </c>
      <c r="BJ194" s="141">
        <v>-600000</v>
      </c>
      <c r="BK194" s="141">
        <v>0</v>
      </c>
      <c r="BL194" s="141">
        <v>-600000</v>
      </c>
      <c r="BM194" s="141">
        <v>-700979</v>
      </c>
      <c r="BN194" s="141">
        <v>0</v>
      </c>
      <c r="BO194" s="141">
        <v>-700979</v>
      </c>
      <c r="BP194" s="141">
        <v>-1300979</v>
      </c>
      <c r="BQ194" s="141">
        <v>0</v>
      </c>
      <c r="BR194" s="141">
        <v>-1350646</v>
      </c>
      <c r="BS194" s="141">
        <v>0</v>
      </c>
      <c r="BT194" s="141">
        <v>-2651625</v>
      </c>
      <c r="BU194" s="141">
        <v>0</v>
      </c>
      <c r="BV194" s="141">
        <v>-2651625</v>
      </c>
      <c r="BW194" s="141">
        <v>-67619</v>
      </c>
      <c r="BX194" s="141">
        <v>0</v>
      </c>
      <c r="BY194" s="141">
        <v>-67619</v>
      </c>
      <c r="BZ194" s="141">
        <v>-101587</v>
      </c>
      <c r="CA194" s="141">
        <v>0</v>
      </c>
      <c r="CB194" s="141">
        <v>-101587</v>
      </c>
      <c r="CC194" s="141">
        <v>-1697</v>
      </c>
      <c r="CD194" s="141">
        <v>0</v>
      </c>
      <c r="CE194" s="141">
        <v>-1697</v>
      </c>
      <c r="CF194" s="141">
        <v>0</v>
      </c>
      <c r="CG194" s="141">
        <v>0</v>
      </c>
      <c r="CH194" s="141">
        <v>0</v>
      </c>
      <c r="CI194" s="141">
        <v>0</v>
      </c>
      <c r="CJ194" s="141">
        <v>0</v>
      </c>
      <c r="CK194" s="141">
        <v>0</v>
      </c>
      <c r="CL194" s="141">
        <v>0</v>
      </c>
      <c r="CM194" s="141">
        <v>0</v>
      </c>
      <c r="CN194" s="141">
        <v>0</v>
      </c>
      <c r="CO194" s="141">
        <v>0</v>
      </c>
      <c r="CP194" s="141">
        <v>0</v>
      </c>
      <c r="CQ194" s="141">
        <v>-170903</v>
      </c>
      <c r="CR194" s="141">
        <v>0</v>
      </c>
      <c r="CS194" s="141">
        <v>0</v>
      </c>
      <c r="CT194" s="141">
        <v>0</v>
      </c>
      <c r="CU194" s="141">
        <v>-170903</v>
      </c>
      <c r="CV194" s="141">
        <v>0</v>
      </c>
      <c r="CW194" s="141">
        <v>-170903</v>
      </c>
      <c r="CX194" s="141">
        <v>-7760</v>
      </c>
      <c r="CY194" s="141">
        <v>0</v>
      </c>
      <c r="CZ194" s="141">
        <v>-7760</v>
      </c>
      <c r="DA194" s="141">
        <v>-1500</v>
      </c>
      <c r="DB194" s="141">
        <v>0</v>
      </c>
      <c r="DC194" s="141">
        <v>-1500</v>
      </c>
      <c r="DD194" s="141">
        <v>-41080</v>
      </c>
      <c r="DE194" s="141">
        <v>0</v>
      </c>
      <c r="DF194" s="141">
        <v>-41080</v>
      </c>
      <c r="DG194" s="141">
        <v>-58675</v>
      </c>
      <c r="DH194" s="141">
        <v>0</v>
      </c>
      <c r="DI194" s="141">
        <v>-58675</v>
      </c>
      <c r="DJ194" s="141">
        <v>0</v>
      </c>
      <c r="DK194" s="141">
        <v>0</v>
      </c>
      <c r="DL194" s="141">
        <v>0</v>
      </c>
      <c r="DM194" s="141">
        <v>-363107</v>
      </c>
      <c r="DN194" s="141">
        <v>0</v>
      </c>
      <c r="DO194" s="141">
        <v>-363107</v>
      </c>
      <c r="DP194" s="141">
        <v>-472122</v>
      </c>
      <c r="DQ194" s="141">
        <v>0</v>
      </c>
      <c r="DR194" s="141">
        <v>0</v>
      </c>
      <c r="DS194" s="141">
        <v>0</v>
      </c>
      <c r="DT194" s="141">
        <v>-472122</v>
      </c>
      <c r="DU194" s="141">
        <v>0</v>
      </c>
      <c r="DV194" s="141">
        <v>-472122</v>
      </c>
      <c r="DW194" s="856">
        <v>64697866</v>
      </c>
      <c r="DX194" s="856">
        <v>0</v>
      </c>
      <c r="DY194" s="857">
        <v>64697866</v>
      </c>
      <c r="DZ194" t="s">
        <v>1760</v>
      </c>
    </row>
    <row r="195" spans="1:130" ht="12.75" x14ac:dyDescent="0.2">
      <c r="A195" s="764">
        <v>188</v>
      </c>
      <c r="B195" s="765" t="s">
        <v>265</v>
      </c>
      <c r="C195" s="766" t="s">
        <v>1217</v>
      </c>
      <c r="D195" s="767" t="s">
        <v>1220</v>
      </c>
      <c r="E195" s="768" t="s">
        <v>264</v>
      </c>
      <c r="F195" s="867">
        <v>43465</v>
      </c>
      <c r="G195" s="141">
        <v>237761234</v>
      </c>
      <c r="H195" s="141">
        <v>9981210</v>
      </c>
      <c r="I195" s="141">
        <v>247742444</v>
      </c>
      <c r="J195" s="141">
        <v>49.1</v>
      </c>
      <c r="K195" s="141">
        <v>116740766</v>
      </c>
      <c r="L195" s="141">
        <v>4900774</v>
      </c>
      <c r="M195" s="141">
        <v>0</v>
      </c>
      <c r="N195" s="141">
        <v>163000</v>
      </c>
      <c r="O195" s="141">
        <v>116740766</v>
      </c>
      <c r="P195" s="141">
        <v>5063774</v>
      </c>
      <c r="Q195" s="141">
        <v>121804540</v>
      </c>
      <c r="R195" s="141">
        <v>-590815</v>
      </c>
      <c r="S195" s="141">
        <v>-3222</v>
      </c>
      <c r="T195" s="141">
        <v>-594037</v>
      </c>
      <c r="U195" s="141">
        <v>1194642</v>
      </c>
      <c r="V195" s="141">
        <v>97937</v>
      </c>
      <c r="W195" s="141">
        <v>1292579</v>
      </c>
      <c r="X195" s="141">
        <v>603827</v>
      </c>
      <c r="Y195" s="141">
        <v>94715</v>
      </c>
      <c r="Z195" s="141">
        <v>0</v>
      </c>
      <c r="AA195" s="141">
        <v>0</v>
      </c>
      <c r="AB195" s="141">
        <v>603827</v>
      </c>
      <c r="AC195" s="141">
        <v>94715</v>
      </c>
      <c r="AD195" s="141">
        <v>698542</v>
      </c>
      <c r="AE195" s="141">
        <v>-603827</v>
      </c>
      <c r="AF195" s="141">
        <v>-94715</v>
      </c>
      <c r="AG195" s="141">
        <v>-698542</v>
      </c>
      <c r="AH195" s="141">
        <v>-5793351</v>
      </c>
      <c r="AI195" s="141">
        <v>-116119</v>
      </c>
      <c r="AJ195" s="141">
        <v>-5909470</v>
      </c>
      <c r="AK195" s="141">
        <v>0</v>
      </c>
      <c r="AL195" s="141">
        <v>0</v>
      </c>
      <c r="AM195" s="141">
        <v>0</v>
      </c>
      <c r="AN195" s="141">
        <v>2403677</v>
      </c>
      <c r="AO195" s="141">
        <v>97532</v>
      </c>
      <c r="AP195" s="141">
        <v>2501209</v>
      </c>
      <c r="AQ195" s="141">
        <v>-3389674</v>
      </c>
      <c r="AR195" s="141">
        <v>-18587</v>
      </c>
      <c r="AS195" s="141">
        <v>-3408261</v>
      </c>
      <c r="AT195" s="141">
        <v>-7616913</v>
      </c>
      <c r="AU195" s="141">
        <v>-73522</v>
      </c>
      <c r="AV195" s="141">
        <v>-7690435</v>
      </c>
      <c r="AW195" s="141">
        <v>-17025</v>
      </c>
      <c r="AX195" s="141">
        <v>0</v>
      </c>
      <c r="AY195" s="141">
        <v>-17025</v>
      </c>
      <c r="AZ195" s="141">
        <v>0</v>
      </c>
      <c r="BA195" s="141">
        <v>0</v>
      </c>
      <c r="BB195" s="141">
        <v>0</v>
      </c>
      <c r="BC195" s="141">
        <v>-11023612</v>
      </c>
      <c r="BD195" s="141">
        <v>-92109</v>
      </c>
      <c r="BE195" s="141">
        <v>0</v>
      </c>
      <c r="BF195" s="141">
        <v>0</v>
      </c>
      <c r="BG195" s="141">
        <v>-11023612</v>
      </c>
      <c r="BH195" s="141">
        <v>-92109</v>
      </c>
      <c r="BI195" s="141">
        <v>-11115721</v>
      </c>
      <c r="BJ195" s="141">
        <v>-150000</v>
      </c>
      <c r="BK195" s="141">
        <v>0</v>
      </c>
      <c r="BL195" s="141">
        <v>-150000</v>
      </c>
      <c r="BM195" s="141">
        <v>-1242194</v>
      </c>
      <c r="BN195" s="141">
        <v>-33037</v>
      </c>
      <c r="BO195" s="141">
        <v>-1275231</v>
      </c>
      <c r="BP195" s="141">
        <v>-1392194</v>
      </c>
      <c r="BQ195" s="141">
        <v>-33037</v>
      </c>
      <c r="BR195" s="141">
        <v>0</v>
      </c>
      <c r="BS195" s="141">
        <v>0</v>
      </c>
      <c r="BT195" s="141">
        <v>-1392194</v>
      </c>
      <c r="BU195" s="141">
        <v>-33037</v>
      </c>
      <c r="BV195" s="141">
        <v>-1425231</v>
      </c>
      <c r="BW195" s="141">
        <v>-242452</v>
      </c>
      <c r="BX195" s="141">
        <v>-2778</v>
      </c>
      <c r="BY195" s="141">
        <v>-245230</v>
      </c>
      <c r="BZ195" s="141">
        <v>-197893</v>
      </c>
      <c r="CA195" s="141">
        <v>0</v>
      </c>
      <c r="CB195" s="141">
        <v>-197893</v>
      </c>
      <c r="CC195" s="141">
        <v>-3248</v>
      </c>
      <c r="CD195" s="141">
        <v>0</v>
      </c>
      <c r="CE195" s="141">
        <v>-3248</v>
      </c>
      <c r="CF195" s="141">
        <v>0</v>
      </c>
      <c r="CG195" s="141">
        <v>0</v>
      </c>
      <c r="CH195" s="141">
        <v>0</v>
      </c>
      <c r="CI195" s="141">
        <v>0</v>
      </c>
      <c r="CJ195" s="141">
        <v>0</v>
      </c>
      <c r="CK195" s="141">
        <v>0</v>
      </c>
      <c r="CL195" s="141">
        <v>0</v>
      </c>
      <c r="CM195" s="141">
        <v>-623308</v>
      </c>
      <c r="CN195" s="141">
        <v>-623308</v>
      </c>
      <c r="CO195" s="141">
        <v>-623308</v>
      </c>
      <c r="CP195" s="141">
        <v>0</v>
      </c>
      <c r="CQ195" s="141">
        <v>-443593</v>
      </c>
      <c r="CR195" s="141">
        <v>-626086</v>
      </c>
      <c r="CS195" s="141">
        <v>0</v>
      </c>
      <c r="CT195" s="141">
        <v>0</v>
      </c>
      <c r="CU195" s="141">
        <v>-443593</v>
      </c>
      <c r="CV195" s="141">
        <v>-626086</v>
      </c>
      <c r="CW195" s="141">
        <v>-1069679</v>
      </c>
      <c r="CX195" s="141">
        <v>0</v>
      </c>
      <c r="CY195" s="141">
        <v>0</v>
      </c>
      <c r="CZ195" s="141">
        <v>0</v>
      </c>
      <c r="DA195" s="141">
        <v>0</v>
      </c>
      <c r="DB195" s="141">
        <v>0</v>
      </c>
      <c r="DC195" s="141">
        <v>0</v>
      </c>
      <c r="DD195" s="141">
        <v>-1494383</v>
      </c>
      <c r="DE195" s="141">
        <v>-1479</v>
      </c>
      <c r="DF195" s="141">
        <v>-1495862</v>
      </c>
      <c r="DG195" s="141">
        <v>-35608</v>
      </c>
      <c r="DH195" s="141">
        <v>-2366</v>
      </c>
      <c r="DI195" s="141">
        <v>-37974</v>
      </c>
      <c r="DJ195" s="141">
        <v>0</v>
      </c>
      <c r="DK195" s="141">
        <v>0</v>
      </c>
      <c r="DL195" s="141">
        <v>0</v>
      </c>
      <c r="DM195" s="141">
        <v>-1736160</v>
      </c>
      <c r="DN195" s="141">
        <v>-72884</v>
      </c>
      <c r="DO195" s="141">
        <v>-1809044</v>
      </c>
      <c r="DP195" s="141">
        <v>-3266151</v>
      </c>
      <c r="DQ195" s="141">
        <v>-76729</v>
      </c>
      <c r="DR195" s="141">
        <v>0</v>
      </c>
      <c r="DS195" s="141">
        <v>0</v>
      </c>
      <c r="DT195" s="141">
        <v>-3266151</v>
      </c>
      <c r="DU195" s="141">
        <v>-76729</v>
      </c>
      <c r="DV195" s="141">
        <v>-3342880</v>
      </c>
      <c r="DW195" s="856">
        <v>101219043</v>
      </c>
      <c r="DX195" s="856">
        <v>4330528</v>
      </c>
      <c r="DY195" s="857">
        <v>105549571</v>
      </c>
      <c r="DZ195" t="s">
        <v>1761</v>
      </c>
    </row>
    <row r="196" spans="1:130" ht="12.75" x14ac:dyDescent="0.2">
      <c r="A196" s="764">
        <v>189</v>
      </c>
      <c r="B196" s="765" t="s">
        <v>267</v>
      </c>
      <c r="C196" s="766" t="s">
        <v>529</v>
      </c>
      <c r="D196" s="767" t="s">
        <v>1229</v>
      </c>
      <c r="E196" s="768" t="s">
        <v>266</v>
      </c>
      <c r="F196" s="867">
        <v>43465</v>
      </c>
      <c r="G196" s="141">
        <v>225287327</v>
      </c>
      <c r="H196" s="141">
        <v>828100</v>
      </c>
      <c r="I196" s="141">
        <v>226115427</v>
      </c>
      <c r="J196" s="141">
        <v>49.1</v>
      </c>
      <c r="K196" s="141">
        <v>110616078</v>
      </c>
      <c r="L196" s="141">
        <v>406597</v>
      </c>
      <c r="M196" s="141">
        <v>997402</v>
      </c>
      <c r="N196" s="141">
        <v>40598</v>
      </c>
      <c r="O196" s="141">
        <v>111613480</v>
      </c>
      <c r="P196" s="141">
        <v>447195</v>
      </c>
      <c r="Q196" s="141">
        <v>112060675</v>
      </c>
      <c r="R196" s="141">
        <v>-2816378</v>
      </c>
      <c r="S196" s="141">
        <v>-11003</v>
      </c>
      <c r="T196" s="141">
        <v>-2827381</v>
      </c>
      <c r="U196" s="141">
        <v>922459</v>
      </c>
      <c r="V196" s="141">
        <v>0</v>
      </c>
      <c r="W196" s="141">
        <v>922459</v>
      </c>
      <c r="X196" s="141">
        <v>-1893919</v>
      </c>
      <c r="Y196" s="141">
        <v>-11003</v>
      </c>
      <c r="Z196" s="141">
        <v>0</v>
      </c>
      <c r="AA196" s="141">
        <v>0</v>
      </c>
      <c r="AB196" s="141">
        <v>-1893919</v>
      </c>
      <c r="AC196" s="141">
        <v>-11003</v>
      </c>
      <c r="AD196" s="141">
        <v>-1904922</v>
      </c>
      <c r="AE196" s="141">
        <v>1893919</v>
      </c>
      <c r="AF196" s="141">
        <v>11003</v>
      </c>
      <c r="AG196" s="141">
        <v>1904922</v>
      </c>
      <c r="AH196" s="141">
        <v>-13117031</v>
      </c>
      <c r="AI196" s="141">
        <v>-12391</v>
      </c>
      <c r="AJ196" s="141">
        <v>-13129422</v>
      </c>
      <c r="AK196" s="141">
        <v>-51833</v>
      </c>
      <c r="AL196" s="141">
        <v>-1179</v>
      </c>
      <c r="AM196" s="141">
        <v>-53012</v>
      </c>
      <c r="AN196" s="141">
        <v>1783491</v>
      </c>
      <c r="AO196" s="141">
        <v>5635</v>
      </c>
      <c r="AP196" s="141">
        <v>1789126</v>
      </c>
      <c r="AQ196" s="141">
        <v>-11333540</v>
      </c>
      <c r="AR196" s="141">
        <v>-6756</v>
      </c>
      <c r="AS196" s="141">
        <v>-11340296</v>
      </c>
      <c r="AT196" s="141">
        <v>-7078915</v>
      </c>
      <c r="AU196" s="141">
        <v>0</v>
      </c>
      <c r="AV196" s="141">
        <v>-7078915</v>
      </c>
      <c r="AW196" s="141">
        <v>-160290</v>
      </c>
      <c r="AX196" s="141">
        <v>0</v>
      </c>
      <c r="AY196" s="141">
        <v>-160290</v>
      </c>
      <c r="AZ196" s="141">
        <v>-83806</v>
      </c>
      <c r="BA196" s="141">
        <v>0</v>
      </c>
      <c r="BB196" s="141">
        <v>-83806</v>
      </c>
      <c r="BC196" s="141">
        <v>-18656551</v>
      </c>
      <c r="BD196" s="141">
        <v>-6756</v>
      </c>
      <c r="BE196" s="141">
        <v>-439912</v>
      </c>
      <c r="BF196" s="141">
        <v>0</v>
      </c>
      <c r="BG196" s="141">
        <v>-19096463</v>
      </c>
      <c r="BH196" s="141">
        <v>-6756</v>
      </c>
      <c r="BI196" s="141">
        <v>-19103219</v>
      </c>
      <c r="BJ196" s="141">
        <v>-100000</v>
      </c>
      <c r="BK196" s="141">
        <v>0</v>
      </c>
      <c r="BL196" s="141">
        <v>-100000</v>
      </c>
      <c r="BM196" s="141">
        <v>-2721711</v>
      </c>
      <c r="BN196" s="141">
        <v>-4196</v>
      </c>
      <c r="BO196" s="141">
        <v>-2725907</v>
      </c>
      <c r="BP196" s="141">
        <v>-2821711</v>
      </c>
      <c r="BQ196" s="141">
        <v>-4196</v>
      </c>
      <c r="BR196" s="141">
        <v>0</v>
      </c>
      <c r="BS196" s="141">
        <v>0</v>
      </c>
      <c r="BT196" s="141">
        <v>-2821711</v>
      </c>
      <c r="BU196" s="141">
        <v>-4196</v>
      </c>
      <c r="BV196" s="141">
        <v>-2825907</v>
      </c>
      <c r="BW196" s="141">
        <v>-650337</v>
      </c>
      <c r="BX196" s="141">
        <v>0</v>
      </c>
      <c r="BY196" s="141">
        <v>-650337</v>
      </c>
      <c r="BZ196" s="141">
        <v>-420523</v>
      </c>
      <c r="CA196" s="141">
        <v>0</v>
      </c>
      <c r="CB196" s="141">
        <v>-420523</v>
      </c>
      <c r="CC196" s="141">
        <v>-23254</v>
      </c>
      <c r="CD196" s="141">
        <v>0</v>
      </c>
      <c r="CE196" s="141">
        <v>-23254</v>
      </c>
      <c r="CF196" s="141">
        <v>0</v>
      </c>
      <c r="CG196" s="141">
        <v>0</v>
      </c>
      <c r="CH196" s="141">
        <v>0</v>
      </c>
      <c r="CI196" s="141">
        <v>-31843</v>
      </c>
      <c r="CJ196" s="141">
        <v>0</v>
      </c>
      <c r="CK196" s="141">
        <v>-31843</v>
      </c>
      <c r="CL196" s="141">
        <v>-150000</v>
      </c>
      <c r="CM196" s="141">
        <v>-96195</v>
      </c>
      <c r="CN196" s="141">
        <v>-246195</v>
      </c>
      <c r="CO196" s="141">
        <v>-96195</v>
      </c>
      <c r="CP196" s="141">
        <v>0</v>
      </c>
      <c r="CQ196" s="141">
        <v>-1275957</v>
      </c>
      <c r="CR196" s="141">
        <v>-96195</v>
      </c>
      <c r="CS196" s="141">
        <v>0</v>
      </c>
      <c r="CT196" s="141">
        <v>-40598</v>
      </c>
      <c r="CU196" s="141">
        <v>-1275957</v>
      </c>
      <c r="CV196" s="141">
        <v>-136793</v>
      </c>
      <c r="CW196" s="141">
        <v>-1412750</v>
      </c>
      <c r="CX196" s="141">
        <v>-83806</v>
      </c>
      <c r="CY196" s="141">
        <v>0</v>
      </c>
      <c r="CZ196" s="141">
        <v>-83806</v>
      </c>
      <c r="DA196" s="141">
        <v>-1500</v>
      </c>
      <c r="DB196" s="141">
        <v>0</v>
      </c>
      <c r="DC196" s="141">
        <v>-1500</v>
      </c>
      <c r="DD196" s="141">
        <v>-95251</v>
      </c>
      <c r="DE196" s="141">
        <v>0</v>
      </c>
      <c r="DF196" s="141">
        <v>-95251</v>
      </c>
      <c r="DG196" s="141">
        <v>-192575</v>
      </c>
      <c r="DH196" s="141">
        <v>0</v>
      </c>
      <c r="DI196" s="141">
        <v>-192575</v>
      </c>
      <c r="DJ196" s="141">
        <v>0</v>
      </c>
      <c r="DK196" s="141">
        <v>0</v>
      </c>
      <c r="DL196" s="141">
        <v>0</v>
      </c>
      <c r="DM196" s="141">
        <v>-1937328</v>
      </c>
      <c r="DN196" s="141">
        <v>0</v>
      </c>
      <c r="DO196" s="141">
        <v>-1937328</v>
      </c>
      <c r="DP196" s="141">
        <v>-2310460</v>
      </c>
      <c r="DQ196" s="141">
        <v>0</v>
      </c>
      <c r="DR196" s="141">
        <v>0</v>
      </c>
      <c r="DS196" s="141">
        <v>0</v>
      </c>
      <c r="DT196" s="141">
        <v>-2310460</v>
      </c>
      <c r="DU196" s="141">
        <v>0</v>
      </c>
      <c r="DV196" s="141">
        <v>-2310460</v>
      </c>
      <c r="DW196" s="856">
        <v>84214970</v>
      </c>
      <c r="DX196" s="856">
        <v>288447</v>
      </c>
      <c r="DY196" s="857">
        <v>84503417</v>
      </c>
      <c r="DZ196" t="s">
        <v>1762</v>
      </c>
    </row>
    <row r="197" spans="1:130" ht="12.75" x14ac:dyDescent="0.2">
      <c r="A197" s="764">
        <v>190</v>
      </c>
      <c r="B197" s="765" t="s">
        <v>269</v>
      </c>
      <c r="C197" s="766" t="s">
        <v>1217</v>
      </c>
      <c r="D197" s="767" t="s">
        <v>1221</v>
      </c>
      <c r="E197" s="768" t="s">
        <v>268</v>
      </c>
      <c r="F197" s="867">
        <v>43460</v>
      </c>
      <c r="G197" s="141">
        <v>200285093</v>
      </c>
      <c r="H197" s="141">
        <v>0</v>
      </c>
      <c r="I197" s="141">
        <v>200285093</v>
      </c>
      <c r="J197" s="141">
        <v>49.1</v>
      </c>
      <c r="K197" s="141">
        <v>98339981</v>
      </c>
      <c r="L197" s="141">
        <v>0</v>
      </c>
      <c r="M197" s="141">
        <v>-1966800</v>
      </c>
      <c r="N197" s="141">
        <v>0</v>
      </c>
      <c r="O197" s="141">
        <v>96373181</v>
      </c>
      <c r="P197" s="141">
        <v>0</v>
      </c>
      <c r="Q197" s="141">
        <v>96373181</v>
      </c>
      <c r="R197" s="141">
        <v>-857719</v>
      </c>
      <c r="S197" s="141">
        <v>0</v>
      </c>
      <c r="T197" s="141">
        <v>-857719</v>
      </c>
      <c r="U197" s="141">
        <v>1228484</v>
      </c>
      <c r="V197" s="141">
        <v>0</v>
      </c>
      <c r="W197" s="141">
        <v>1228484</v>
      </c>
      <c r="X197" s="141">
        <v>370765</v>
      </c>
      <c r="Y197" s="141">
        <v>0</v>
      </c>
      <c r="Z197" s="141">
        <v>0</v>
      </c>
      <c r="AA197" s="141">
        <v>0</v>
      </c>
      <c r="AB197" s="141">
        <v>370765</v>
      </c>
      <c r="AC197" s="141">
        <v>0</v>
      </c>
      <c r="AD197" s="141">
        <v>370765</v>
      </c>
      <c r="AE197" s="141">
        <v>-370765</v>
      </c>
      <c r="AF197" s="141">
        <v>0</v>
      </c>
      <c r="AG197" s="141">
        <v>-370765</v>
      </c>
      <c r="AH197" s="141">
        <v>-6383144</v>
      </c>
      <c r="AI197" s="141">
        <v>0</v>
      </c>
      <c r="AJ197" s="141">
        <v>-6383144</v>
      </c>
      <c r="AK197" s="141">
        <v>-22466</v>
      </c>
      <c r="AL197" s="141">
        <v>0</v>
      </c>
      <c r="AM197" s="141">
        <v>-22466</v>
      </c>
      <c r="AN197" s="141">
        <v>1917219</v>
      </c>
      <c r="AO197" s="141">
        <v>0</v>
      </c>
      <c r="AP197" s="141">
        <v>1917219</v>
      </c>
      <c r="AQ197" s="141">
        <v>-4465925</v>
      </c>
      <c r="AR197" s="141">
        <v>0</v>
      </c>
      <c r="AS197" s="141">
        <v>-4465925</v>
      </c>
      <c r="AT197" s="141">
        <v>-7639866</v>
      </c>
      <c r="AU197" s="141">
        <v>0</v>
      </c>
      <c r="AV197" s="141">
        <v>-7639866</v>
      </c>
      <c r="AW197" s="141">
        <v>-25296</v>
      </c>
      <c r="AX197" s="141">
        <v>0</v>
      </c>
      <c r="AY197" s="141">
        <v>-25296</v>
      </c>
      <c r="AZ197" s="141">
        <v>0</v>
      </c>
      <c r="BA197" s="141">
        <v>0</v>
      </c>
      <c r="BB197" s="141">
        <v>0</v>
      </c>
      <c r="BC197" s="141">
        <v>-12131087</v>
      </c>
      <c r="BD197" s="141">
        <v>0</v>
      </c>
      <c r="BE197" s="141">
        <v>0</v>
      </c>
      <c r="BF197" s="141">
        <v>0</v>
      </c>
      <c r="BG197" s="141">
        <v>-12131087</v>
      </c>
      <c r="BH197" s="141">
        <v>0</v>
      </c>
      <c r="BI197" s="141">
        <v>-12131087</v>
      </c>
      <c r="BJ197" s="141">
        <v>-75000</v>
      </c>
      <c r="BK197" s="141">
        <v>0</v>
      </c>
      <c r="BL197" s="141">
        <v>-75000</v>
      </c>
      <c r="BM197" s="141">
        <v>-5031723</v>
      </c>
      <c r="BN197" s="141">
        <v>0</v>
      </c>
      <c r="BO197" s="141">
        <v>-5031723</v>
      </c>
      <c r="BP197" s="141">
        <v>-5106723</v>
      </c>
      <c r="BQ197" s="141">
        <v>0</v>
      </c>
      <c r="BR197" s="141">
        <v>0</v>
      </c>
      <c r="BS197" s="141">
        <v>0</v>
      </c>
      <c r="BT197" s="141">
        <v>-5106723</v>
      </c>
      <c r="BU197" s="141">
        <v>0</v>
      </c>
      <c r="BV197" s="141">
        <v>-5106723</v>
      </c>
      <c r="BW197" s="141">
        <v>-122750</v>
      </c>
      <c r="BX197" s="141">
        <v>0</v>
      </c>
      <c r="BY197" s="141">
        <v>-122750</v>
      </c>
      <c r="BZ197" s="141">
        <v>-102292</v>
      </c>
      <c r="CA197" s="141">
        <v>0</v>
      </c>
      <c r="CB197" s="141">
        <v>-102292</v>
      </c>
      <c r="CC197" s="141">
        <v>0</v>
      </c>
      <c r="CD197" s="141">
        <v>0</v>
      </c>
      <c r="CE197" s="141">
        <v>0</v>
      </c>
      <c r="CF197" s="141">
        <v>0</v>
      </c>
      <c r="CG197" s="141">
        <v>0</v>
      </c>
      <c r="CH197" s="141">
        <v>0</v>
      </c>
      <c r="CI197" s="141">
        <v>0</v>
      </c>
      <c r="CJ197" s="141">
        <v>0</v>
      </c>
      <c r="CK197" s="141">
        <v>0</v>
      </c>
      <c r="CL197" s="141">
        <v>0</v>
      </c>
      <c r="CM197" s="141">
        <v>0</v>
      </c>
      <c r="CN197" s="141">
        <v>0</v>
      </c>
      <c r="CO197" s="141">
        <v>0</v>
      </c>
      <c r="CP197" s="141">
        <v>0</v>
      </c>
      <c r="CQ197" s="141">
        <v>-225042</v>
      </c>
      <c r="CR197" s="141">
        <v>0</v>
      </c>
      <c r="CS197" s="141">
        <v>0</v>
      </c>
      <c r="CT197" s="141">
        <v>0</v>
      </c>
      <c r="CU197" s="141">
        <v>-225042</v>
      </c>
      <c r="CV197" s="141">
        <v>0</v>
      </c>
      <c r="CW197" s="141">
        <v>-225042</v>
      </c>
      <c r="CX197" s="141">
        <v>0</v>
      </c>
      <c r="CY197" s="141">
        <v>0</v>
      </c>
      <c r="CZ197" s="141">
        <v>0</v>
      </c>
      <c r="DA197" s="141">
        <v>0</v>
      </c>
      <c r="DB197" s="141">
        <v>0</v>
      </c>
      <c r="DC197" s="141">
        <v>0</v>
      </c>
      <c r="DD197" s="141">
        <v>-25203</v>
      </c>
      <c r="DE197" s="141">
        <v>0</v>
      </c>
      <c r="DF197" s="141">
        <v>-25203</v>
      </c>
      <c r="DG197" s="141">
        <v>-96797</v>
      </c>
      <c r="DH197" s="141">
        <v>0</v>
      </c>
      <c r="DI197" s="141">
        <v>-96797</v>
      </c>
      <c r="DJ197" s="141">
        <v>0</v>
      </c>
      <c r="DK197" s="141">
        <v>0</v>
      </c>
      <c r="DL197" s="141">
        <v>0</v>
      </c>
      <c r="DM197" s="141">
        <v>-1818466</v>
      </c>
      <c r="DN197" s="141">
        <v>0</v>
      </c>
      <c r="DO197" s="141">
        <v>-1818466</v>
      </c>
      <c r="DP197" s="141">
        <v>-1940466</v>
      </c>
      <c r="DQ197" s="141">
        <v>0</v>
      </c>
      <c r="DR197" s="141">
        <v>0</v>
      </c>
      <c r="DS197" s="141">
        <v>0</v>
      </c>
      <c r="DT197" s="141">
        <v>-1940466</v>
      </c>
      <c r="DU197" s="141">
        <v>0</v>
      </c>
      <c r="DV197" s="141">
        <v>-1940466</v>
      </c>
      <c r="DW197" s="856">
        <v>77340628</v>
      </c>
      <c r="DX197" s="856">
        <v>0</v>
      </c>
      <c r="DY197" s="857">
        <v>77340628</v>
      </c>
      <c r="DZ197" t="s">
        <v>1763</v>
      </c>
    </row>
    <row r="198" spans="1:130" ht="12.75" x14ac:dyDescent="0.2">
      <c r="A198" s="764">
        <v>191</v>
      </c>
      <c r="B198" s="765" t="s">
        <v>271</v>
      </c>
      <c r="C198" s="766" t="s">
        <v>529</v>
      </c>
      <c r="D198" s="767" t="s">
        <v>1220</v>
      </c>
      <c r="E198" s="768" t="s">
        <v>606</v>
      </c>
      <c r="F198" s="867">
        <v>43487</v>
      </c>
      <c r="G198" s="141">
        <v>337835222</v>
      </c>
      <c r="H198" s="141">
        <v>26615438</v>
      </c>
      <c r="I198" s="141">
        <v>364450660</v>
      </c>
      <c r="J198" s="141">
        <v>49.1</v>
      </c>
      <c r="K198" s="141">
        <v>165877094</v>
      </c>
      <c r="L198" s="141">
        <v>13068180</v>
      </c>
      <c r="M198" s="141">
        <v>0</v>
      </c>
      <c r="N198" s="141">
        <v>0</v>
      </c>
      <c r="O198" s="141">
        <v>165877094</v>
      </c>
      <c r="P198" s="141">
        <v>13068180</v>
      </c>
      <c r="Q198" s="141">
        <v>178945274</v>
      </c>
      <c r="R198" s="141">
        <v>-3154066</v>
      </c>
      <c r="S198" s="141">
        <v>-95917</v>
      </c>
      <c r="T198" s="141">
        <v>-3249983</v>
      </c>
      <c r="U198" s="141">
        <v>883447</v>
      </c>
      <c r="V198" s="141">
        <v>10478</v>
      </c>
      <c r="W198" s="141">
        <v>893925</v>
      </c>
      <c r="X198" s="141">
        <v>-2270619</v>
      </c>
      <c r="Y198" s="141">
        <v>-85439</v>
      </c>
      <c r="Z198" s="141">
        <v>0</v>
      </c>
      <c r="AA198" s="141">
        <v>0</v>
      </c>
      <c r="AB198" s="141">
        <v>-2270619</v>
      </c>
      <c r="AC198" s="141">
        <v>-85439</v>
      </c>
      <c r="AD198" s="141">
        <v>-2356058</v>
      </c>
      <c r="AE198" s="141">
        <v>2270619</v>
      </c>
      <c r="AF198" s="141">
        <v>85439</v>
      </c>
      <c r="AG198" s="141">
        <v>2356058</v>
      </c>
      <c r="AH198" s="141">
        <v>-8640541</v>
      </c>
      <c r="AI198" s="141">
        <v>-625075</v>
      </c>
      <c r="AJ198" s="141">
        <v>-9265616</v>
      </c>
      <c r="AK198" s="141">
        <v>-37983</v>
      </c>
      <c r="AL198" s="141">
        <v>-5892</v>
      </c>
      <c r="AM198" s="141">
        <v>-43875</v>
      </c>
      <c r="AN198" s="141">
        <v>3452191</v>
      </c>
      <c r="AO198" s="141">
        <v>259842</v>
      </c>
      <c r="AP198" s="141">
        <v>3712033</v>
      </c>
      <c r="AQ198" s="141">
        <v>-5188350</v>
      </c>
      <c r="AR198" s="141">
        <v>-365233</v>
      </c>
      <c r="AS198" s="141">
        <v>-5553583</v>
      </c>
      <c r="AT198" s="141">
        <v>-16176571</v>
      </c>
      <c r="AU198" s="141">
        <v>-824702</v>
      </c>
      <c r="AV198" s="141">
        <v>-17001273</v>
      </c>
      <c r="AW198" s="141">
        <v>-68700</v>
      </c>
      <c r="AX198" s="141">
        <v>0</v>
      </c>
      <c r="AY198" s="141">
        <v>-68700</v>
      </c>
      <c r="AZ198" s="141">
        <v>0</v>
      </c>
      <c r="BA198" s="141">
        <v>0</v>
      </c>
      <c r="BB198" s="141">
        <v>0</v>
      </c>
      <c r="BC198" s="141">
        <v>-21433621</v>
      </c>
      <c r="BD198" s="141">
        <v>-1189935</v>
      </c>
      <c r="BE198" s="141">
        <v>0</v>
      </c>
      <c r="BF198" s="141">
        <v>0</v>
      </c>
      <c r="BG198" s="141">
        <v>-21433621</v>
      </c>
      <c r="BH198" s="141">
        <v>-1189935</v>
      </c>
      <c r="BI198" s="141">
        <v>-22623556</v>
      </c>
      <c r="BJ198" s="141">
        <v>-360000</v>
      </c>
      <c r="BK198" s="141">
        <v>-40000</v>
      </c>
      <c r="BL198" s="141">
        <v>-400000</v>
      </c>
      <c r="BM198" s="141">
        <v>-6735714</v>
      </c>
      <c r="BN198" s="141">
        <v>-524133</v>
      </c>
      <c r="BO198" s="141">
        <v>-7259847</v>
      </c>
      <c r="BP198" s="141">
        <v>-7095714</v>
      </c>
      <c r="BQ198" s="141">
        <v>-564133</v>
      </c>
      <c r="BR198" s="141">
        <v>0</v>
      </c>
      <c r="BS198" s="141">
        <v>0</v>
      </c>
      <c r="BT198" s="141">
        <v>-7095714</v>
      </c>
      <c r="BU198" s="141">
        <v>-564133</v>
      </c>
      <c r="BV198" s="141">
        <v>-7659847</v>
      </c>
      <c r="BW198" s="141">
        <v>-182106</v>
      </c>
      <c r="BX198" s="141">
        <v>-1811</v>
      </c>
      <c r="BY198" s="141">
        <v>-183917</v>
      </c>
      <c r="BZ198" s="141">
        <v>-293352</v>
      </c>
      <c r="CA198" s="141">
        <v>-61603</v>
      </c>
      <c r="CB198" s="141">
        <v>-354955</v>
      </c>
      <c r="CC198" s="141">
        <v>-863</v>
      </c>
      <c r="CD198" s="141">
        <v>0</v>
      </c>
      <c r="CE198" s="141">
        <v>-863</v>
      </c>
      <c r="CF198" s="141">
        <v>0</v>
      </c>
      <c r="CG198" s="141">
        <v>0</v>
      </c>
      <c r="CH198" s="141">
        <v>0</v>
      </c>
      <c r="CI198" s="141">
        <v>0</v>
      </c>
      <c r="CJ198" s="141">
        <v>0</v>
      </c>
      <c r="CK198" s="141">
        <v>0</v>
      </c>
      <c r="CL198" s="141">
        <v>0</v>
      </c>
      <c r="CM198" s="141">
        <v>0</v>
      </c>
      <c r="CN198" s="141">
        <v>0</v>
      </c>
      <c r="CO198" s="141">
        <v>0</v>
      </c>
      <c r="CP198" s="141">
        <v>0</v>
      </c>
      <c r="CQ198" s="141">
        <v>-476321</v>
      </c>
      <c r="CR198" s="141">
        <v>-63414</v>
      </c>
      <c r="CS198" s="141">
        <v>0</v>
      </c>
      <c r="CT198" s="141">
        <v>0</v>
      </c>
      <c r="CU198" s="141">
        <v>-476321</v>
      </c>
      <c r="CV198" s="141">
        <v>-63414</v>
      </c>
      <c r="CW198" s="141">
        <v>-539735</v>
      </c>
      <c r="CX198" s="141">
        <v>0</v>
      </c>
      <c r="CY198" s="141">
        <v>0</v>
      </c>
      <c r="CZ198" s="141">
        <v>0</v>
      </c>
      <c r="DA198" s="141">
        <v>-1500</v>
      </c>
      <c r="DB198" s="141">
        <v>0</v>
      </c>
      <c r="DC198" s="141">
        <v>-1500</v>
      </c>
      <c r="DD198" s="141">
        <v>-73541</v>
      </c>
      <c r="DE198" s="141">
        <v>-6562</v>
      </c>
      <c r="DF198" s="141">
        <v>-80103</v>
      </c>
      <c r="DG198" s="141">
        <v>-175200</v>
      </c>
      <c r="DH198" s="141">
        <v>-43800</v>
      </c>
      <c r="DI198" s="141">
        <v>-219000</v>
      </c>
      <c r="DJ198" s="141">
        <v>0</v>
      </c>
      <c r="DK198" s="141">
        <v>0</v>
      </c>
      <c r="DL198" s="141">
        <v>0</v>
      </c>
      <c r="DM198" s="141">
        <v>-2730222</v>
      </c>
      <c r="DN198" s="141">
        <v>-285000</v>
      </c>
      <c r="DO198" s="141">
        <v>-3015222</v>
      </c>
      <c r="DP198" s="141">
        <v>-2980463</v>
      </c>
      <c r="DQ198" s="141">
        <v>-335362</v>
      </c>
      <c r="DR198" s="141">
        <v>0</v>
      </c>
      <c r="DS198" s="141">
        <v>0</v>
      </c>
      <c r="DT198" s="141">
        <v>-2980463</v>
      </c>
      <c r="DU198" s="141">
        <v>-335362</v>
      </c>
      <c r="DV198" s="141">
        <v>-3315825</v>
      </c>
      <c r="DW198" s="856">
        <v>131620356</v>
      </c>
      <c r="DX198" s="856">
        <v>10829897</v>
      </c>
      <c r="DY198" s="857">
        <v>142450253</v>
      </c>
      <c r="DZ198" t="s">
        <v>1764</v>
      </c>
    </row>
    <row r="199" spans="1:130" ht="12.75" x14ac:dyDescent="0.2">
      <c r="A199" s="764">
        <v>192</v>
      </c>
      <c r="B199" s="765" t="s">
        <v>273</v>
      </c>
      <c r="C199" s="766" t="s">
        <v>1217</v>
      </c>
      <c r="D199" s="767" t="s">
        <v>1227</v>
      </c>
      <c r="E199" s="768" t="s">
        <v>272</v>
      </c>
      <c r="F199" s="867">
        <v>43465</v>
      </c>
      <c r="G199" s="141">
        <v>88063920</v>
      </c>
      <c r="H199" s="141">
        <v>0</v>
      </c>
      <c r="I199" s="141">
        <v>88063920</v>
      </c>
      <c r="J199" s="141">
        <v>49.1</v>
      </c>
      <c r="K199" s="141">
        <v>43239385</v>
      </c>
      <c r="L199" s="141">
        <v>0</v>
      </c>
      <c r="M199" s="141">
        <v>-176194</v>
      </c>
      <c r="N199" s="141">
        <v>0</v>
      </c>
      <c r="O199" s="141">
        <v>43063191</v>
      </c>
      <c r="P199" s="141">
        <v>0</v>
      </c>
      <c r="Q199" s="141">
        <v>43063191</v>
      </c>
      <c r="R199" s="141">
        <v>-192004</v>
      </c>
      <c r="S199" s="141">
        <v>0</v>
      </c>
      <c r="T199" s="141">
        <v>-192004</v>
      </c>
      <c r="U199" s="141">
        <v>336574</v>
      </c>
      <c r="V199" s="141">
        <v>0</v>
      </c>
      <c r="W199" s="141">
        <v>336574</v>
      </c>
      <c r="X199" s="141">
        <v>144570</v>
      </c>
      <c r="Y199" s="141">
        <v>0</v>
      </c>
      <c r="Z199" s="141">
        <v>0</v>
      </c>
      <c r="AA199" s="141">
        <v>0</v>
      </c>
      <c r="AB199" s="141">
        <v>144570</v>
      </c>
      <c r="AC199" s="141">
        <v>0</v>
      </c>
      <c r="AD199" s="141">
        <v>144570</v>
      </c>
      <c r="AE199" s="141">
        <v>-144570</v>
      </c>
      <c r="AF199" s="141">
        <v>0</v>
      </c>
      <c r="AG199" s="141">
        <v>-144570</v>
      </c>
      <c r="AH199" s="141">
        <v>-3668713</v>
      </c>
      <c r="AI199" s="141">
        <v>0</v>
      </c>
      <c r="AJ199" s="141">
        <v>-3668713</v>
      </c>
      <c r="AK199" s="141">
        <v>0</v>
      </c>
      <c r="AL199" s="141">
        <v>0</v>
      </c>
      <c r="AM199" s="141">
        <v>0</v>
      </c>
      <c r="AN199" s="141">
        <v>766231</v>
      </c>
      <c r="AO199" s="141">
        <v>0</v>
      </c>
      <c r="AP199" s="141">
        <v>766231</v>
      </c>
      <c r="AQ199" s="141">
        <v>-2902482</v>
      </c>
      <c r="AR199" s="141">
        <v>0</v>
      </c>
      <c r="AS199" s="141">
        <v>-2902482</v>
      </c>
      <c r="AT199" s="141">
        <v>-2178560</v>
      </c>
      <c r="AU199" s="141">
        <v>0</v>
      </c>
      <c r="AV199" s="141">
        <v>-2178560</v>
      </c>
      <c r="AW199" s="141">
        <v>-14818</v>
      </c>
      <c r="AX199" s="141">
        <v>0</v>
      </c>
      <c r="AY199" s="141">
        <v>-14818</v>
      </c>
      <c r="AZ199" s="141">
        <v>0</v>
      </c>
      <c r="BA199" s="141">
        <v>0</v>
      </c>
      <c r="BB199" s="141">
        <v>0</v>
      </c>
      <c r="BC199" s="141">
        <v>-5095860</v>
      </c>
      <c r="BD199" s="141">
        <v>0</v>
      </c>
      <c r="BE199" s="141">
        <v>0</v>
      </c>
      <c r="BF199" s="141">
        <v>0</v>
      </c>
      <c r="BG199" s="141">
        <v>-5095860</v>
      </c>
      <c r="BH199" s="141">
        <v>0</v>
      </c>
      <c r="BI199" s="141">
        <v>-5095860</v>
      </c>
      <c r="BJ199" s="141">
        <v>0</v>
      </c>
      <c r="BK199" s="141">
        <v>0</v>
      </c>
      <c r="BL199" s="141">
        <v>0</v>
      </c>
      <c r="BM199" s="141">
        <v>-1100000</v>
      </c>
      <c r="BN199" s="141">
        <v>0</v>
      </c>
      <c r="BO199" s="141">
        <v>-1100000</v>
      </c>
      <c r="BP199" s="141">
        <v>-1100000</v>
      </c>
      <c r="BQ199" s="141">
        <v>0</v>
      </c>
      <c r="BR199" s="141">
        <v>0</v>
      </c>
      <c r="BS199" s="141">
        <v>0</v>
      </c>
      <c r="BT199" s="141">
        <v>-1100000</v>
      </c>
      <c r="BU199" s="141">
        <v>0</v>
      </c>
      <c r="BV199" s="141">
        <v>-1100000</v>
      </c>
      <c r="BW199" s="141">
        <v>-9440</v>
      </c>
      <c r="BX199" s="141">
        <v>0</v>
      </c>
      <c r="BY199" s="141">
        <v>-9440</v>
      </c>
      <c r="BZ199" s="141">
        <v>-11170</v>
      </c>
      <c r="CA199" s="141">
        <v>0</v>
      </c>
      <c r="CB199" s="141">
        <v>-11170</v>
      </c>
      <c r="CC199" s="141">
        <v>0</v>
      </c>
      <c r="CD199" s="141">
        <v>0</v>
      </c>
      <c r="CE199" s="141">
        <v>0</v>
      </c>
      <c r="CF199" s="141">
        <v>0</v>
      </c>
      <c r="CG199" s="141">
        <v>0</v>
      </c>
      <c r="CH199" s="141">
        <v>0</v>
      </c>
      <c r="CI199" s="141">
        <v>0</v>
      </c>
      <c r="CJ199" s="141">
        <v>0</v>
      </c>
      <c r="CK199" s="141">
        <v>0</v>
      </c>
      <c r="CL199" s="141">
        <v>0</v>
      </c>
      <c r="CM199" s="141">
        <v>0</v>
      </c>
      <c r="CN199" s="141">
        <v>0</v>
      </c>
      <c r="CO199" s="141">
        <v>0</v>
      </c>
      <c r="CP199" s="141">
        <v>0</v>
      </c>
      <c r="CQ199" s="141">
        <v>-20610</v>
      </c>
      <c r="CR199" s="141">
        <v>0</v>
      </c>
      <c r="CS199" s="141">
        <v>0</v>
      </c>
      <c r="CT199" s="141">
        <v>0</v>
      </c>
      <c r="CU199" s="141">
        <v>-20610</v>
      </c>
      <c r="CV199" s="141">
        <v>0</v>
      </c>
      <c r="CW199" s="141">
        <v>-20610</v>
      </c>
      <c r="CX199" s="141">
        <v>0</v>
      </c>
      <c r="CY199" s="141">
        <v>0</v>
      </c>
      <c r="CZ199" s="141">
        <v>0</v>
      </c>
      <c r="DA199" s="141">
        <v>0</v>
      </c>
      <c r="DB199" s="141">
        <v>0</v>
      </c>
      <c r="DC199" s="141">
        <v>0</v>
      </c>
      <c r="DD199" s="141">
        <v>-12292</v>
      </c>
      <c r="DE199" s="141">
        <v>0</v>
      </c>
      <c r="DF199" s="141">
        <v>-12292</v>
      </c>
      <c r="DG199" s="141">
        <v>-26000</v>
      </c>
      <c r="DH199" s="141">
        <v>0</v>
      </c>
      <c r="DI199" s="141">
        <v>-26000</v>
      </c>
      <c r="DJ199" s="141">
        <v>0</v>
      </c>
      <c r="DK199" s="141">
        <v>0</v>
      </c>
      <c r="DL199" s="141">
        <v>0</v>
      </c>
      <c r="DM199" s="141">
        <v>-1074867</v>
      </c>
      <c r="DN199" s="141">
        <v>0</v>
      </c>
      <c r="DO199" s="141">
        <v>-1074867</v>
      </c>
      <c r="DP199" s="141">
        <v>-1113159</v>
      </c>
      <c r="DQ199" s="141">
        <v>0</v>
      </c>
      <c r="DR199" s="141">
        <v>0</v>
      </c>
      <c r="DS199" s="141">
        <v>0</v>
      </c>
      <c r="DT199" s="141">
        <v>-1113159</v>
      </c>
      <c r="DU199" s="141">
        <v>0</v>
      </c>
      <c r="DV199" s="141">
        <v>-1113159</v>
      </c>
      <c r="DW199" s="856">
        <v>35878132</v>
      </c>
      <c r="DX199" s="856">
        <v>0</v>
      </c>
      <c r="DY199" s="857">
        <v>35878132</v>
      </c>
      <c r="DZ199" t="s">
        <v>1765</v>
      </c>
    </row>
    <row r="200" spans="1:130" ht="12.75" x14ac:dyDescent="0.2">
      <c r="A200" s="764">
        <v>193</v>
      </c>
      <c r="B200" s="765" t="s">
        <v>275</v>
      </c>
      <c r="C200" s="766" t="s">
        <v>1217</v>
      </c>
      <c r="D200" s="767" t="s">
        <v>1220</v>
      </c>
      <c r="E200" s="768" t="s">
        <v>274</v>
      </c>
      <c r="F200" s="867">
        <v>43460</v>
      </c>
      <c r="G200" s="141">
        <v>34116332</v>
      </c>
      <c r="H200" s="141">
        <v>0</v>
      </c>
      <c r="I200" s="141">
        <v>34116332</v>
      </c>
      <c r="J200" s="141">
        <v>49.1</v>
      </c>
      <c r="K200" s="141">
        <v>16751119</v>
      </c>
      <c r="L200" s="141">
        <v>0</v>
      </c>
      <c r="M200" s="141">
        <v>290000</v>
      </c>
      <c r="N200" s="141">
        <v>0</v>
      </c>
      <c r="O200" s="141">
        <v>17041119</v>
      </c>
      <c r="P200" s="141">
        <v>0</v>
      </c>
      <c r="Q200" s="141">
        <v>17041119</v>
      </c>
      <c r="R200" s="141">
        <v>-198834</v>
      </c>
      <c r="S200" s="141">
        <v>0</v>
      </c>
      <c r="T200" s="141">
        <v>-198834</v>
      </c>
      <c r="U200" s="141">
        <v>2253</v>
      </c>
      <c r="V200" s="141">
        <v>0</v>
      </c>
      <c r="W200" s="141">
        <v>2253</v>
      </c>
      <c r="X200" s="141">
        <v>-196581</v>
      </c>
      <c r="Y200" s="141">
        <v>0</v>
      </c>
      <c r="Z200" s="141">
        <v>0</v>
      </c>
      <c r="AA200" s="141">
        <v>0</v>
      </c>
      <c r="AB200" s="141">
        <v>-196581</v>
      </c>
      <c r="AC200" s="141">
        <v>0</v>
      </c>
      <c r="AD200" s="141">
        <v>-196581</v>
      </c>
      <c r="AE200" s="141">
        <v>196581</v>
      </c>
      <c r="AF200" s="141">
        <v>0</v>
      </c>
      <c r="AG200" s="141">
        <v>196581</v>
      </c>
      <c r="AH200" s="141">
        <v>-1858181</v>
      </c>
      <c r="AI200" s="141">
        <v>0</v>
      </c>
      <c r="AJ200" s="141">
        <v>-1858181</v>
      </c>
      <c r="AK200" s="141">
        <v>-20000</v>
      </c>
      <c r="AL200" s="141">
        <v>0</v>
      </c>
      <c r="AM200" s="141">
        <v>-20000</v>
      </c>
      <c r="AN200" s="141">
        <v>277017</v>
      </c>
      <c r="AO200" s="141">
        <v>0</v>
      </c>
      <c r="AP200" s="141">
        <v>277017</v>
      </c>
      <c r="AQ200" s="141">
        <v>-1581164</v>
      </c>
      <c r="AR200" s="141">
        <v>0</v>
      </c>
      <c r="AS200" s="141">
        <v>-1581164</v>
      </c>
      <c r="AT200" s="141">
        <v>-1910889</v>
      </c>
      <c r="AU200" s="141">
        <v>0</v>
      </c>
      <c r="AV200" s="141">
        <v>-1910889</v>
      </c>
      <c r="AW200" s="141">
        <v>0</v>
      </c>
      <c r="AX200" s="141">
        <v>0</v>
      </c>
      <c r="AY200" s="141">
        <v>0</v>
      </c>
      <c r="AZ200" s="141">
        <v>0</v>
      </c>
      <c r="BA200" s="141">
        <v>0</v>
      </c>
      <c r="BB200" s="141">
        <v>0</v>
      </c>
      <c r="BC200" s="141">
        <v>-3492053</v>
      </c>
      <c r="BD200" s="141">
        <v>0</v>
      </c>
      <c r="BE200" s="141">
        <v>7500</v>
      </c>
      <c r="BF200" s="141">
        <v>0</v>
      </c>
      <c r="BG200" s="141">
        <v>-3484553</v>
      </c>
      <c r="BH200" s="141">
        <v>0</v>
      </c>
      <c r="BI200" s="141">
        <v>-3484553</v>
      </c>
      <c r="BJ200" s="141">
        <v>0</v>
      </c>
      <c r="BK200" s="141">
        <v>0</v>
      </c>
      <c r="BL200" s="141">
        <v>0</v>
      </c>
      <c r="BM200" s="141">
        <v>-208434</v>
      </c>
      <c r="BN200" s="141">
        <v>0</v>
      </c>
      <c r="BO200" s="141">
        <v>-208434</v>
      </c>
      <c r="BP200" s="141">
        <v>-208434</v>
      </c>
      <c r="BQ200" s="141">
        <v>0</v>
      </c>
      <c r="BR200" s="141">
        <v>0</v>
      </c>
      <c r="BS200" s="141">
        <v>0</v>
      </c>
      <c r="BT200" s="141">
        <v>-208434</v>
      </c>
      <c r="BU200" s="141">
        <v>0</v>
      </c>
      <c r="BV200" s="141">
        <v>-208434</v>
      </c>
      <c r="BW200" s="141">
        <v>-82099</v>
      </c>
      <c r="BX200" s="141">
        <v>0</v>
      </c>
      <c r="BY200" s="141">
        <v>-82099</v>
      </c>
      <c r="BZ200" s="141">
        <v>-13812</v>
      </c>
      <c r="CA200" s="141">
        <v>0</v>
      </c>
      <c r="CB200" s="141">
        <v>-13812</v>
      </c>
      <c r="CC200" s="141">
        <v>0</v>
      </c>
      <c r="CD200" s="141">
        <v>0</v>
      </c>
      <c r="CE200" s="141">
        <v>0</v>
      </c>
      <c r="CF200" s="141">
        <v>0</v>
      </c>
      <c r="CG200" s="141">
        <v>0</v>
      </c>
      <c r="CH200" s="141">
        <v>0</v>
      </c>
      <c r="CI200" s="141">
        <v>0</v>
      </c>
      <c r="CJ200" s="141">
        <v>0</v>
      </c>
      <c r="CK200" s="141">
        <v>0</v>
      </c>
      <c r="CL200" s="141">
        <v>0</v>
      </c>
      <c r="CM200" s="141">
        <v>0</v>
      </c>
      <c r="CN200" s="141">
        <v>0</v>
      </c>
      <c r="CO200" s="141">
        <v>0</v>
      </c>
      <c r="CP200" s="141">
        <v>0</v>
      </c>
      <c r="CQ200" s="141">
        <v>-95911</v>
      </c>
      <c r="CR200" s="141">
        <v>0</v>
      </c>
      <c r="CS200" s="141">
        <v>0</v>
      </c>
      <c r="CT200" s="141">
        <v>0</v>
      </c>
      <c r="CU200" s="141">
        <v>-95911</v>
      </c>
      <c r="CV200" s="141">
        <v>0</v>
      </c>
      <c r="CW200" s="141">
        <v>-95911</v>
      </c>
      <c r="CX200" s="141">
        <v>0</v>
      </c>
      <c r="CY200" s="141">
        <v>0</v>
      </c>
      <c r="CZ200" s="141">
        <v>0</v>
      </c>
      <c r="DA200" s="141">
        <v>0</v>
      </c>
      <c r="DB200" s="141">
        <v>0</v>
      </c>
      <c r="DC200" s="141">
        <v>0</v>
      </c>
      <c r="DD200" s="141">
        <v>-2500</v>
      </c>
      <c r="DE200" s="141">
        <v>0</v>
      </c>
      <c r="DF200" s="141">
        <v>-2500</v>
      </c>
      <c r="DG200" s="141">
        <v>-23933</v>
      </c>
      <c r="DH200" s="141">
        <v>0</v>
      </c>
      <c r="DI200" s="141">
        <v>-23933</v>
      </c>
      <c r="DJ200" s="141">
        <v>0</v>
      </c>
      <c r="DK200" s="141">
        <v>0</v>
      </c>
      <c r="DL200" s="141">
        <v>0</v>
      </c>
      <c r="DM200" s="141">
        <v>-326704</v>
      </c>
      <c r="DN200" s="141">
        <v>0</v>
      </c>
      <c r="DO200" s="141">
        <v>-326704</v>
      </c>
      <c r="DP200" s="141">
        <v>-353137</v>
      </c>
      <c r="DQ200" s="141">
        <v>0</v>
      </c>
      <c r="DR200" s="141">
        <v>0</v>
      </c>
      <c r="DS200" s="141">
        <v>0</v>
      </c>
      <c r="DT200" s="141">
        <v>-353137</v>
      </c>
      <c r="DU200" s="141">
        <v>0</v>
      </c>
      <c r="DV200" s="141">
        <v>-353137</v>
      </c>
      <c r="DW200" s="856">
        <v>12702503</v>
      </c>
      <c r="DX200" s="856">
        <v>0</v>
      </c>
      <c r="DY200" s="857">
        <v>12702503</v>
      </c>
      <c r="DZ200" t="s">
        <v>1766</v>
      </c>
    </row>
    <row r="201" spans="1:130" ht="12.75" x14ac:dyDescent="0.2">
      <c r="A201" s="764">
        <v>194</v>
      </c>
      <c r="B201" s="765" t="s">
        <v>277</v>
      </c>
      <c r="C201" s="766" t="s">
        <v>1224</v>
      </c>
      <c r="D201" s="767" t="s">
        <v>1219</v>
      </c>
      <c r="E201" s="768" t="s">
        <v>276</v>
      </c>
      <c r="F201" s="867">
        <v>43468</v>
      </c>
      <c r="G201" s="141">
        <v>157945654</v>
      </c>
      <c r="H201" s="141">
        <v>0</v>
      </c>
      <c r="I201" s="141">
        <v>157945654</v>
      </c>
      <c r="J201" s="141">
        <v>49.1</v>
      </c>
      <c r="K201" s="141">
        <v>77551316</v>
      </c>
      <c r="L201" s="141">
        <v>0</v>
      </c>
      <c r="M201" s="141">
        <v>-120960</v>
      </c>
      <c r="N201" s="141">
        <v>0</v>
      </c>
      <c r="O201" s="141">
        <v>77430356</v>
      </c>
      <c r="P201" s="141">
        <v>0</v>
      </c>
      <c r="Q201" s="141">
        <v>77430356</v>
      </c>
      <c r="R201" s="141">
        <v>-738111</v>
      </c>
      <c r="S201" s="141">
        <v>0</v>
      </c>
      <c r="T201" s="141">
        <v>-738111</v>
      </c>
      <c r="U201" s="141">
        <v>1510914</v>
      </c>
      <c r="V201" s="141">
        <v>0</v>
      </c>
      <c r="W201" s="141">
        <v>1510914</v>
      </c>
      <c r="X201" s="141">
        <v>772803</v>
      </c>
      <c r="Y201" s="141">
        <v>0</v>
      </c>
      <c r="Z201" s="141">
        <v>0</v>
      </c>
      <c r="AA201" s="141">
        <v>0</v>
      </c>
      <c r="AB201" s="141">
        <v>772803</v>
      </c>
      <c r="AC201" s="141">
        <v>0</v>
      </c>
      <c r="AD201" s="141">
        <v>772803</v>
      </c>
      <c r="AE201" s="141">
        <v>-772803</v>
      </c>
      <c r="AF201" s="141">
        <v>0</v>
      </c>
      <c r="AG201" s="141">
        <v>-772803</v>
      </c>
      <c r="AH201" s="141">
        <v>-9895372</v>
      </c>
      <c r="AI201" s="141">
        <v>0</v>
      </c>
      <c r="AJ201" s="141">
        <v>-9895372</v>
      </c>
      <c r="AK201" s="141">
        <v>0</v>
      </c>
      <c r="AL201" s="141">
        <v>0</v>
      </c>
      <c r="AM201" s="141">
        <v>0</v>
      </c>
      <c r="AN201" s="141">
        <v>1343087</v>
      </c>
      <c r="AO201" s="141">
        <v>0</v>
      </c>
      <c r="AP201" s="141">
        <v>1343087</v>
      </c>
      <c r="AQ201" s="141">
        <v>-8552285</v>
      </c>
      <c r="AR201" s="141">
        <v>0</v>
      </c>
      <c r="AS201" s="141">
        <v>-8552285</v>
      </c>
      <c r="AT201" s="141">
        <v>-6400298</v>
      </c>
      <c r="AU201" s="141">
        <v>0</v>
      </c>
      <c r="AV201" s="141">
        <v>-6400298</v>
      </c>
      <c r="AW201" s="141">
        <v>-92867</v>
      </c>
      <c r="AX201" s="141">
        <v>0</v>
      </c>
      <c r="AY201" s="141">
        <v>-92867</v>
      </c>
      <c r="AZ201" s="141">
        <v>-4410</v>
      </c>
      <c r="BA201" s="141">
        <v>0</v>
      </c>
      <c r="BB201" s="141">
        <v>-4410</v>
      </c>
      <c r="BC201" s="141">
        <v>-15049860</v>
      </c>
      <c r="BD201" s="141">
        <v>0</v>
      </c>
      <c r="BE201" s="141">
        <v>0</v>
      </c>
      <c r="BF201" s="141">
        <v>0</v>
      </c>
      <c r="BG201" s="141">
        <v>-15049860</v>
      </c>
      <c r="BH201" s="141">
        <v>0</v>
      </c>
      <c r="BI201" s="141">
        <v>-15049860</v>
      </c>
      <c r="BJ201" s="141">
        <v>0</v>
      </c>
      <c r="BK201" s="141">
        <v>0</v>
      </c>
      <c r="BL201" s="141">
        <v>0</v>
      </c>
      <c r="BM201" s="141">
        <v>-2052569</v>
      </c>
      <c r="BN201" s="141">
        <v>0</v>
      </c>
      <c r="BO201" s="141">
        <v>-2052569</v>
      </c>
      <c r="BP201" s="141">
        <v>-2052569</v>
      </c>
      <c r="BQ201" s="141">
        <v>0</v>
      </c>
      <c r="BR201" s="141">
        <v>0</v>
      </c>
      <c r="BS201" s="141">
        <v>0</v>
      </c>
      <c r="BT201" s="141">
        <v>-2052569</v>
      </c>
      <c r="BU201" s="141">
        <v>0</v>
      </c>
      <c r="BV201" s="141">
        <v>-2052569</v>
      </c>
      <c r="BW201" s="141">
        <v>-272243</v>
      </c>
      <c r="BX201" s="141">
        <v>0</v>
      </c>
      <c r="BY201" s="141">
        <v>-272243</v>
      </c>
      <c r="BZ201" s="141">
        <v>-166868</v>
      </c>
      <c r="CA201" s="141">
        <v>0</v>
      </c>
      <c r="CB201" s="141">
        <v>-166868</v>
      </c>
      <c r="CC201" s="141">
        <v>-1237</v>
      </c>
      <c r="CD201" s="141">
        <v>0</v>
      </c>
      <c r="CE201" s="141">
        <v>-1237</v>
      </c>
      <c r="CF201" s="141">
        <v>-907</v>
      </c>
      <c r="CG201" s="141">
        <v>0</v>
      </c>
      <c r="CH201" s="141">
        <v>-907</v>
      </c>
      <c r="CI201" s="141">
        <v>0</v>
      </c>
      <c r="CJ201" s="141">
        <v>0</v>
      </c>
      <c r="CK201" s="141">
        <v>0</v>
      </c>
      <c r="CL201" s="141">
        <v>0</v>
      </c>
      <c r="CM201" s="141">
        <v>0</v>
      </c>
      <c r="CN201" s="141">
        <v>0</v>
      </c>
      <c r="CO201" s="141">
        <v>0</v>
      </c>
      <c r="CP201" s="141">
        <v>0</v>
      </c>
      <c r="CQ201" s="141">
        <v>-441255</v>
      </c>
      <c r="CR201" s="141">
        <v>0</v>
      </c>
      <c r="CS201" s="141">
        <v>0</v>
      </c>
      <c r="CT201" s="141">
        <v>0</v>
      </c>
      <c r="CU201" s="141">
        <v>-441255</v>
      </c>
      <c r="CV201" s="141">
        <v>0</v>
      </c>
      <c r="CW201" s="141">
        <v>-441255</v>
      </c>
      <c r="CX201" s="141">
        <v>0</v>
      </c>
      <c r="CY201" s="141">
        <v>0</v>
      </c>
      <c r="CZ201" s="141">
        <v>0</v>
      </c>
      <c r="DA201" s="141">
        <v>0</v>
      </c>
      <c r="DB201" s="141">
        <v>0</v>
      </c>
      <c r="DC201" s="141">
        <v>0</v>
      </c>
      <c r="DD201" s="141">
        <v>-12135</v>
      </c>
      <c r="DE201" s="141">
        <v>0</v>
      </c>
      <c r="DF201" s="141">
        <v>-12135</v>
      </c>
      <c r="DG201" s="141">
        <v>-60000</v>
      </c>
      <c r="DH201" s="141">
        <v>0</v>
      </c>
      <c r="DI201" s="141">
        <v>-60000</v>
      </c>
      <c r="DJ201" s="141">
        <v>0</v>
      </c>
      <c r="DK201" s="141">
        <v>0</v>
      </c>
      <c r="DL201" s="141">
        <v>0</v>
      </c>
      <c r="DM201" s="141">
        <v>-1430936</v>
      </c>
      <c r="DN201" s="141">
        <v>0</v>
      </c>
      <c r="DO201" s="141">
        <v>-1430936</v>
      </c>
      <c r="DP201" s="141">
        <v>-1503071</v>
      </c>
      <c r="DQ201" s="141">
        <v>0</v>
      </c>
      <c r="DR201" s="141">
        <v>0</v>
      </c>
      <c r="DS201" s="141">
        <v>0</v>
      </c>
      <c r="DT201" s="141">
        <v>-1503071</v>
      </c>
      <c r="DU201" s="141">
        <v>0</v>
      </c>
      <c r="DV201" s="141">
        <v>-1503071</v>
      </c>
      <c r="DW201" s="856">
        <v>59156404</v>
      </c>
      <c r="DX201" s="856">
        <v>0</v>
      </c>
      <c r="DY201" s="857">
        <v>59156404</v>
      </c>
      <c r="DZ201" t="s">
        <v>1767</v>
      </c>
    </row>
    <row r="202" spans="1:130" ht="12.75" x14ac:dyDescent="0.2">
      <c r="A202" s="764">
        <v>195</v>
      </c>
      <c r="B202" s="765" t="s">
        <v>279</v>
      </c>
      <c r="C202" s="766" t="s">
        <v>1217</v>
      </c>
      <c r="D202" s="767" t="s">
        <v>1218</v>
      </c>
      <c r="E202" s="768" t="s">
        <v>278</v>
      </c>
      <c r="F202" s="867">
        <v>43486</v>
      </c>
      <c r="G202" s="141">
        <v>281527614</v>
      </c>
      <c r="H202" s="141">
        <v>0</v>
      </c>
      <c r="I202" s="141">
        <v>281527614</v>
      </c>
      <c r="J202" s="141">
        <v>49.1</v>
      </c>
      <c r="K202" s="141">
        <v>138230058</v>
      </c>
      <c r="L202" s="141">
        <v>0</v>
      </c>
      <c r="M202" s="141">
        <v>3325266</v>
      </c>
      <c r="N202" s="141">
        <v>0</v>
      </c>
      <c r="O202" s="141">
        <v>141555324</v>
      </c>
      <c r="P202" s="141">
        <v>0</v>
      </c>
      <c r="Q202" s="141">
        <v>141555324</v>
      </c>
      <c r="R202" s="141">
        <v>-703983</v>
      </c>
      <c r="S202" s="141">
        <v>0</v>
      </c>
      <c r="T202" s="141">
        <v>-703983</v>
      </c>
      <c r="U202" s="141">
        <v>745380</v>
      </c>
      <c r="V202" s="141">
        <v>0</v>
      </c>
      <c r="W202" s="141">
        <v>745380</v>
      </c>
      <c r="X202" s="141">
        <v>41397</v>
      </c>
      <c r="Y202" s="141">
        <v>0</v>
      </c>
      <c r="Z202" s="141">
        <v>0</v>
      </c>
      <c r="AA202" s="141">
        <v>0</v>
      </c>
      <c r="AB202" s="141">
        <v>41397</v>
      </c>
      <c r="AC202" s="141">
        <v>0</v>
      </c>
      <c r="AD202" s="141">
        <v>41397</v>
      </c>
      <c r="AE202" s="141">
        <v>-41397</v>
      </c>
      <c r="AF202" s="141">
        <v>0</v>
      </c>
      <c r="AG202" s="141">
        <v>-41397</v>
      </c>
      <c r="AH202" s="141">
        <v>-2306804</v>
      </c>
      <c r="AI202" s="141">
        <v>0</v>
      </c>
      <c r="AJ202" s="141">
        <v>-2306804</v>
      </c>
      <c r="AK202" s="141">
        <v>-3732</v>
      </c>
      <c r="AL202" s="141">
        <v>0</v>
      </c>
      <c r="AM202" s="141">
        <v>-3732</v>
      </c>
      <c r="AN202" s="141">
        <v>3127752</v>
      </c>
      <c r="AO202" s="141">
        <v>0</v>
      </c>
      <c r="AP202" s="141">
        <v>3127752</v>
      </c>
      <c r="AQ202" s="141">
        <v>820948</v>
      </c>
      <c r="AR202" s="141">
        <v>0</v>
      </c>
      <c r="AS202" s="141">
        <v>820948</v>
      </c>
      <c r="AT202" s="141">
        <v>-27440561</v>
      </c>
      <c r="AU202" s="141">
        <v>0</v>
      </c>
      <c r="AV202" s="141">
        <v>-27440561</v>
      </c>
      <c r="AW202" s="141">
        <v>-35502</v>
      </c>
      <c r="AX202" s="141">
        <v>0</v>
      </c>
      <c r="AY202" s="141">
        <v>-35502</v>
      </c>
      <c r="AZ202" s="141">
        <v>0</v>
      </c>
      <c r="BA202" s="141">
        <v>0</v>
      </c>
      <c r="BB202" s="141">
        <v>0</v>
      </c>
      <c r="BC202" s="141">
        <v>-26655115</v>
      </c>
      <c r="BD202" s="141">
        <v>0</v>
      </c>
      <c r="BE202" s="141">
        <v>0</v>
      </c>
      <c r="BF202" s="141">
        <v>0</v>
      </c>
      <c r="BG202" s="141">
        <v>-26655115</v>
      </c>
      <c r="BH202" s="141">
        <v>0</v>
      </c>
      <c r="BI202" s="141">
        <v>-26655115</v>
      </c>
      <c r="BJ202" s="141">
        <v>0</v>
      </c>
      <c r="BK202" s="141">
        <v>0</v>
      </c>
      <c r="BL202" s="141">
        <v>0</v>
      </c>
      <c r="BM202" s="141">
        <v>-1560125</v>
      </c>
      <c r="BN202" s="141">
        <v>0</v>
      </c>
      <c r="BO202" s="141">
        <v>-1560125</v>
      </c>
      <c r="BP202" s="141">
        <v>-1560125</v>
      </c>
      <c r="BQ202" s="141">
        <v>0</v>
      </c>
      <c r="BR202" s="141">
        <v>0</v>
      </c>
      <c r="BS202" s="141">
        <v>0</v>
      </c>
      <c r="BT202" s="141">
        <v>-1560125</v>
      </c>
      <c r="BU202" s="141">
        <v>0</v>
      </c>
      <c r="BV202" s="141">
        <v>-1560125</v>
      </c>
      <c r="BW202" s="141">
        <v>0</v>
      </c>
      <c r="BX202" s="141">
        <v>0</v>
      </c>
      <c r="BY202" s="141">
        <v>0</v>
      </c>
      <c r="BZ202" s="141">
        <v>-37549</v>
      </c>
      <c r="CA202" s="141">
        <v>0</v>
      </c>
      <c r="CB202" s="141">
        <v>-37549</v>
      </c>
      <c r="CC202" s="141">
        <v>0</v>
      </c>
      <c r="CD202" s="141">
        <v>0</v>
      </c>
      <c r="CE202" s="141">
        <v>0</v>
      </c>
      <c r="CF202" s="141">
        <v>0</v>
      </c>
      <c r="CG202" s="141">
        <v>0</v>
      </c>
      <c r="CH202" s="141">
        <v>0</v>
      </c>
      <c r="CI202" s="141">
        <v>0</v>
      </c>
      <c r="CJ202" s="141">
        <v>0</v>
      </c>
      <c r="CK202" s="141">
        <v>0</v>
      </c>
      <c r="CL202" s="141">
        <v>0</v>
      </c>
      <c r="CM202" s="141">
        <v>0</v>
      </c>
      <c r="CN202" s="141">
        <v>0</v>
      </c>
      <c r="CO202" s="141">
        <v>0</v>
      </c>
      <c r="CP202" s="141">
        <v>0</v>
      </c>
      <c r="CQ202" s="141">
        <v>-37549</v>
      </c>
      <c r="CR202" s="141">
        <v>0</v>
      </c>
      <c r="CS202" s="141">
        <v>0</v>
      </c>
      <c r="CT202" s="141">
        <v>0</v>
      </c>
      <c r="CU202" s="141">
        <v>-37549</v>
      </c>
      <c r="CV202" s="141">
        <v>0</v>
      </c>
      <c r="CW202" s="141">
        <v>-37549</v>
      </c>
      <c r="CX202" s="141">
        <v>0</v>
      </c>
      <c r="CY202" s="141">
        <v>0</v>
      </c>
      <c r="CZ202" s="141">
        <v>0</v>
      </c>
      <c r="DA202" s="141">
        <v>-1500</v>
      </c>
      <c r="DB202" s="141">
        <v>0</v>
      </c>
      <c r="DC202" s="141">
        <v>-1500</v>
      </c>
      <c r="DD202" s="141">
        <v>-8189</v>
      </c>
      <c r="DE202" s="141">
        <v>0</v>
      </c>
      <c r="DF202" s="141">
        <v>-8189</v>
      </c>
      <c r="DG202" s="141">
        <v>-96000</v>
      </c>
      <c r="DH202" s="141">
        <v>0</v>
      </c>
      <c r="DI202" s="141">
        <v>-96000</v>
      </c>
      <c r="DJ202" s="141">
        <v>-127387</v>
      </c>
      <c r="DK202" s="141">
        <v>0</v>
      </c>
      <c r="DL202" s="141">
        <v>-127387</v>
      </c>
      <c r="DM202" s="141">
        <v>-2809242</v>
      </c>
      <c r="DN202" s="141">
        <v>0</v>
      </c>
      <c r="DO202" s="141">
        <v>-2809242</v>
      </c>
      <c r="DP202" s="141">
        <v>-3042318</v>
      </c>
      <c r="DQ202" s="141">
        <v>0</v>
      </c>
      <c r="DR202" s="141">
        <v>0</v>
      </c>
      <c r="DS202" s="141">
        <v>0</v>
      </c>
      <c r="DT202" s="141">
        <v>-3042318</v>
      </c>
      <c r="DU202" s="141">
        <v>0</v>
      </c>
      <c r="DV202" s="141">
        <v>-3042318</v>
      </c>
      <c r="DW202" s="856">
        <v>110301614</v>
      </c>
      <c r="DX202" s="856">
        <v>0</v>
      </c>
      <c r="DY202" s="857">
        <v>110301614</v>
      </c>
      <c r="DZ202" t="s">
        <v>1768</v>
      </c>
    </row>
    <row r="203" spans="1:130" ht="12.75" x14ac:dyDescent="0.2">
      <c r="A203" s="764">
        <v>196</v>
      </c>
      <c r="B203" s="765" t="s">
        <v>281</v>
      </c>
      <c r="C203" s="766" t="s">
        <v>1217</v>
      </c>
      <c r="D203" s="767" t="s">
        <v>1219</v>
      </c>
      <c r="E203" s="768" t="s">
        <v>280</v>
      </c>
      <c r="F203" s="867">
        <v>43460</v>
      </c>
      <c r="G203" s="141">
        <v>52519712</v>
      </c>
      <c r="H203" s="141">
        <v>0</v>
      </c>
      <c r="I203" s="141">
        <v>52519712</v>
      </c>
      <c r="J203" s="141">
        <v>49.1</v>
      </c>
      <c r="K203" s="141">
        <v>25787179</v>
      </c>
      <c r="L203" s="141">
        <v>0</v>
      </c>
      <c r="M203" s="141">
        <v>-838083</v>
      </c>
      <c r="N203" s="141">
        <v>0</v>
      </c>
      <c r="O203" s="141">
        <v>24949096</v>
      </c>
      <c r="P203" s="141">
        <v>0</v>
      </c>
      <c r="Q203" s="141">
        <v>24949096</v>
      </c>
      <c r="R203" s="141">
        <v>-190753</v>
      </c>
      <c r="S203" s="141">
        <v>0</v>
      </c>
      <c r="T203" s="141">
        <v>-190753</v>
      </c>
      <c r="U203" s="141">
        <v>168619</v>
      </c>
      <c r="V203" s="141">
        <v>0</v>
      </c>
      <c r="W203" s="141">
        <v>168619</v>
      </c>
      <c r="X203" s="141">
        <v>-22134</v>
      </c>
      <c r="Y203" s="141">
        <v>0</v>
      </c>
      <c r="Z203" s="141">
        <v>0</v>
      </c>
      <c r="AA203" s="141">
        <v>0</v>
      </c>
      <c r="AB203" s="141">
        <v>-22134</v>
      </c>
      <c r="AC203" s="141">
        <v>0</v>
      </c>
      <c r="AD203" s="141">
        <v>-22134</v>
      </c>
      <c r="AE203" s="141">
        <v>22134</v>
      </c>
      <c r="AF203" s="141">
        <v>0</v>
      </c>
      <c r="AG203" s="141">
        <v>22134</v>
      </c>
      <c r="AH203" s="141">
        <v>-3813817</v>
      </c>
      <c r="AI203" s="141">
        <v>0</v>
      </c>
      <c r="AJ203" s="141">
        <v>-3813817</v>
      </c>
      <c r="AK203" s="141">
        <v>0</v>
      </c>
      <c r="AL203" s="141">
        <v>0</v>
      </c>
      <c r="AM203" s="141">
        <v>0</v>
      </c>
      <c r="AN203" s="141">
        <v>327326</v>
      </c>
      <c r="AO203" s="141">
        <v>0</v>
      </c>
      <c r="AP203" s="141">
        <v>327326</v>
      </c>
      <c r="AQ203" s="141">
        <v>-3486491</v>
      </c>
      <c r="AR203" s="141">
        <v>0</v>
      </c>
      <c r="AS203" s="141">
        <v>-3486491</v>
      </c>
      <c r="AT203" s="141">
        <v>-1296484</v>
      </c>
      <c r="AU203" s="141">
        <v>0</v>
      </c>
      <c r="AV203" s="141">
        <v>-1296484</v>
      </c>
      <c r="AW203" s="141">
        <v>-782</v>
      </c>
      <c r="AX203" s="141">
        <v>0</v>
      </c>
      <c r="AY203" s="141">
        <v>-782</v>
      </c>
      <c r="AZ203" s="141">
        <v>0</v>
      </c>
      <c r="BA203" s="141">
        <v>0</v>
      </c>
      <c r="BB203" s="141">
        <v>0</v>
      </c>
      <c r="BC203" s="141">
        <v>-4783757</v>
      </c>
      <c r="BD203" s="141">
        <v>0</v>
      </c>
      <c r="BE203" s="141">
        <v>-143513</v>
      </c>
      <c r="BF203" s="141">
        <v>0</v>
      </c>
      <c r="BG203" s="141">
        <v>-4927270</v>
      </c>
      <c r="BH203" s="141">
        <v>0</v>
      </c>
      <c r="BI203" s="141">
        <v>-4927270</v>
      </c>
      <c r="BJ203" s="141">
        <v>0</v>
      </c>
      <c r="BK203" s="141">
        <v>0</v>
      </c>
      <c r="BL203" s="141">
        <v>0</v>
      </c>
      <c r="BM203" s="141">
        <v>-628665</v>
      </c>
      <c r="BN203" s="141">
        <v>0</v>
      </c>
      <c r="BO203" s="141">
        <v>-628665</v>
      </c>
      <c r="BP203" s="141">
        <v>-628665</v>
      </c>
      <c r="BQ203" s="141">
        <v>0</v>
      </c>
      <c r="BR203" s="141">
        <v>-62867</v>
      </c>
      <c r="BS203" s="141">
        <v>0</v>
      </c>
      <c r="BT203" s="141">
        <v>-691532</v>
      </c>
      <c r="BU203" s="141">
        <v>0</v>
      </c>
      <c r="BV203" s="141">
        <v>-691532</v>
      </c>
      <c r="BW203" s="141">
        <v>-154832</v>
      </c>
      <c r="BX203" s="141">
        <v>0</v>
      </c>
      <c r="BY203" s="141">
        <v>-154832</v>
      </c>
      <c r="BZ203" s="141">
        <v>-76447</v>
      </c>
      <c r="CA203" s="141">
        <v>0</v>
      </c>
      <c r="CB203" s="141">
        <v>-76447</v>
      </c>
      <c r="CC203" s="141">
        <v>0</v>
      </c>
      <c r="CD203" s="141">
        <v>0</v>
      </c>
      <c r="CE203" s="141">
        <v>0</v>
      </c>
      <c r="CF203" s="141">
        <v>0</v>
      </c>
      <c r="CG203" s="141">
        <v>0</v>
      </c>
      <c r="CH203" s="141">
        <v>0</v>
      </c>
      <c r="CI203" s="141">
        <v>0</v>
      </c>
      <c r="CJ203" s="141">
        <v>0</v>
      </c>
      <c r="CK203" s="141">
        <v>0</v>
      </c>
      <c r="CL203" s="141">
        <v>0</v>
      </c>
      <c r="CM203" s="141">
        <v>0</v>
      </c>
      <c r="CN203" s="141">
        <v>0</v>
      </c>
      <c r="CO203" s="141">
        <v>0</v>
      </c>
      <c r="CP203" s="141">
        <v>0</v>
      </c>
      <c r="CQ203" s="141">
        <v>-231279</v>
      </c>
      <c r="CR203" s="141">
        <v>0</v>
      </c>
      <c r="CS203" s="141">
        <v>-60000</v>
      </c>
      <c r="CT203" s="141">
        <v>0</v>
      </c>
      <c r="CU203" s="141">
        <v>-291279</v>
      </c>
      <c r="CV203" s="141">
        <v>0</v>
      </c>
      <c r="CW203" s="141">
        <v>-291279</v>
      </c>
      <c r="CX203" s="141">
        <v>0</v>
      </c>
      <c r="CY203" s="141">
        <v>0</v>
      </c>
      <c r="CZ203" s="141">
        <v>0</v>
      </c>
      <c r="DA203" s="141">
        <v>0</v>
      </c>
      <c r="DB203" s="141">
        <v>0</v>
      </c>
      <c r="DC203" s="141">
        <v>0</v>
      </c>
      <c r="DD203" s="141">
        <v>-10112</v>
      </c>
      <c r="DE203" s="141">
        <v>0</v>
      </c>
      <c r="DF203" s="141">
        <v>-10112</v>
      </c>
      <c r="DG203" s="141">
        <v>-19772</v>
      </c>
      <c r="DH203" s="141">
        <v>0</v>
      </c>
      <c r="DI203" s="141">
        <v>-19772</v>
      </c>
      <c r="DJ203" s="141">
        <v>0</v>
      </c>
      <c r="DK203" s="141">
        <v>0</v>
      </c>
      <c r="DL203" s="141">
        <v>0</v>
      </c>
      <c r="DM203" s="141">
        <v>-370262</v>
      </c>
      <c r="DN203" s="141">
        <v>0</v>
      </c>
      <c r="DO203" s="141">
        <v>-370262</v>
      </c>
      <c r="DP203" s="141">
        <v>-400146</v>
      </c>
      <c r="DQ203" s="141">
        <v>0</v>
      </c>
      <c r="DR203" s="141">
        <v>-40015</v>
      </c>
      <c r="DS203" s="141">
        <v>0</v>
      </c>
      <c r="DT203" s="141">
        <v>-440161</v>
      </c>
      <c r="DU203" s="141">
        <v>0</v>
      </c>
      <c r="DV203" s="141">
        <v>-440161</v>
      </c>
      <c r="DW203" s="856">
        <v>18576720</v>
      </c>
      <c r="DX203" s="856">
        <v>0</v>
      </c>
      <c r="DY203" s="857">
        <v>18576720</v>
      </c>
      <c r="DZ203" t="s">
        <v>1769</v>
      </c>
    </row>
    <row r="204" spans="1:130" ht="12.75" x14ac:dyDescent="0.2">
      <c r="A204" s="764">
        <v>197</v>
      </c>
      <c r="B204" s="765" t="s">
        <v>283</v>
      </c>
      <c r="C204" s="766" t="s">
        <v>529</v>
      </c>
      <c r="D204" s="767" t="s">
        <v>1221</v>
      </c>
      <c r="E204" s="768" t="s">
        <v>545</v>
      </c>
      <c r="F204" s="867">
        <v>43460</v>
      </c>
      <c r="G204" s="141">
        <v>233783485</v>
      </c>
      <c r="H204" s="141">
        <v>0</v>
      </c>
      <c r="I204" s="141">
        <v>233783485</v>
      </c>
      <c r="J204" s="141">
        <v>49.1</v>
      </c>
      <c r="K204" s="141">
        <v>114787691</v>
      </c>
      <c r="L204" s="141">
        <v>0</v>
      </c>
      <c r="M204" s="141">
        <v>2492000</v>
      </c>
      <c r="N204" s="141">
        <v>0</v>
      </c>
      <c r="O204" s="141">
        <v>117279691</v>
      </c>
      <c r="P204" s="141">
        <v>0</v>
      </c>
      <c r="Q204" s="141">
        <v>117279691</v>
      </c>
      <c r="R204" s="141">
        <v>-404487</v>
      </c>
      <c r="S204" s="141">
        <v>0</v>
      </c>
      <c r="T204" s="141">
        <v>-404487</v>
      </c>
      <c r="U204" s="141">
        <v>2018871</v>
      </c>
      <c r="V204" s="141">
        <v>0</v>
      </c>
      <c r="W204" s="141">
        <v>2018871</v>
      </c>
      <c r="X204" s="141">
        <v>1614384</v>
      </c>
      <c r="Y204" s="141">
        <v>0</v>
      </c>
      <c r="Z204" s="141">
        <v>0</v>
      </c>
      <c r="AA204" s="141">
        <v>0</v>
      </c>
      <c r="AB204" s="141">
        <v>1614384</v>
      </c>
      <c r="AC204" s="141">
        <v>0</v>
      </c>
      <c r="AD204" s="141">
        <v>1614384</v>
      </c>
      <c r="AE204" s="141">
        <v>-1614384</v>
      </c>
      <c r="AF204" s="141">
        <v>0</v>
      </c>
      <c r="AG204" s="141">
        <v>-1614384</v>
      </c>
      <c r="AH204" s="141">
        <v>-6033018</v>
      </c>
      <c r="AI204" s="141">
        <v>0</v>
      </c>
      <c r="AJ204" s="141">
        <v>-6033018</v>
      </c>
      <c r="AK204" s="141">
        <v>0</v>
      </c>
      <c r="AL204" s="141">
        <v>0</v>
      </c>
      <c r="AM204" s="141">
        <v>0</v>
      </c>
      <c r="AN204" s="141">
        <v>2344223</v>
      </c>
      <c r="AO204" s="141">
        <v>0</v>
      </c>
      <c r="AP204" s="141">
        <v>2344223</v>
      </c>
      <c r="AQ204" s="141">
        <v>-3688795</v>
      </c>
      <c r="AR204" s="141">
        <v>0</v>
      </c>
      <c r="AS204" s="141">
        <v>-3688795</v>
      </c>
      <c r="AT204" s="141">
        <v>-7223242</v>
      </c>
      <c r="AU204" s="141">
        <v>0</v>
      </c>
      <c r="AV204" s="141">
        <v>-7223242</v>
      </c>
      <c r="AW204" s="141">
        <v>-65531</v>
      </c>
      <c r="AX204" s="141">
        <v>0</v>
      </c>
      <c r="AY204" s="141">
        <v>-65531</v>
      </c>
      <c r="AZ204" s="141">
        <v>-14141</v>
      </c>
      <c r="BA204" s="141">
        <v>0</v>
      </c>
      <c r="BB204" s="141">
        <v>-14141</v>
      </c>
      <c r="BC204" s="141">
        <v>-10991709</v>
      </c>
      <c r="BD204" s="141">
        <v>0</v>
      </c>
      <c r="BE204" s="141">
        <v>-593197</v>
      </c>
      <c r="BF204" s="141">
        <v>0</v>
      </c>
      <c r="BG204" s="141">
        <v>-11584906</v>
      </c>
      <c r="BH204" s="141">
        <v>0</v>
      </c>
      <c r="BI204" s="141">
        <v>-11584906</v>
      </c>
      <c r="BJ204" s="141">
        <v>0</v>
      </c>
      <c r="BK204" s="141">
        <v>0</v>
      </c>
      <c r="BL204" s="141">
        <v>0</v>
      </c>
      <c r="BM204" s="141">
        <v>-1336246</v>
      </c>
      <c r="BN204" s="141">
        <v>0</v>
      </c>
      <c r="BO204" s="141">
        <v>-1336246</v>
      </c>
      <c r="BP204" s="141">
        <v>-1336246</v>
      </c>
      <c r="BQ204" s="141">
        <v>0</v>
      </c>
      <c r="BR204" s="141">
        <v>-1424250</v>
      </c>
      <c r="BS204" s="141">
        <v>0</v>
      </c>
      <c r="BT204" s="141">
        <v>-2760496</v>
      </c>
      <c r="BU204" s="141">
        <v>0</v>
      </c>
      <c r="BV204" s="141">
        <v>-2760496</v>
      </c>
      <c r="BW204" s="141">
        <v>-290490</v>
      </c>
      <c r="BX204" s="141">
        <v>0</v>
      </c>
      <c r="BY204" s="141">
        <v>-290490</v>
      </c>
      <c r="BZ204" s="141">
        <v>-21309</v>
      </c>
      <c r="CA204" s="141">
        <v>0</v>
      </c>
      <c r="CB204" s="141">
        <v>-21309</v>
      </c>
      <c r="CC204" s="141">
        <v>-1021</v>
      </c>
      <c r="CD204" s="141">
        <v>0</v>
      </c>
      <c r="CE204" s="141">
        <v>-1021</v>
      </c>
      <c r="CF204" s="141">
        <v>0</v>
      </c>
      <c r="CG204" s="141">
        <v>0</v>
      </c>
      <c r="CH204" s="141">
        <v>0</v>
      </c>
      <c r="CI204" s="141">
        <v>0</v>
      </c>
      <c r="CJ204" s="141">
        <v>0</v>
      </c>
      <c r="CK204" s="141">
        <v>0</v>
      </c>
      <c r="CL204" s="141">
        <v>0</v>
      </c>
      <c r="CM204" s="141">
        <v>0</v>
      </c>
      <c r="CN204" s="141">
        <v>0</v>
      </c>
      <c r="CO204" s="141">
        <v>0</v>
      </c>
      <c r="CP204" s="141">
        <v>0</v>
      </c>
      <c r="CQ204" s="141">
        <v>-312820</v>
      </c>
      <c r="CR204" s="141">
        <v>0</v>
      </c>
      <c r="CS204" s="141">
        <v>-99339</v>
      </c>
      <c r="CT204" s="141">
        <v>0</v>
      </c>
      <c r="CU204" s="141">
        <v>-412159</v>
      </c>
      <c r="CV204" s="141">
        <v>0</v>
      </c>
      <c r="CW204" s="141">
        <v>-412159</v>
      </c>
      <c r="CX204" s="141">
        <v>-14141</v>
      </c>
      <c r="CY204" s="141">
        <v>0</v>
      </c>
      <c r="CZ204" s="141">
        <v>-14141</v>
      </c>
      <c r="DA204" s="141">
        <v>0</v>
      </c>
      <c r="DB204" s="141">
        <v>0</v>
      </c>
      <c r="DC204" s="141">
        <v>0</v>
      </c>
      <c r="DD204" s="141">
        <v>-15000</v>
      </c>
      <c r="DE204" s="141">
        <v>0</v>
      </c>
      <c r="DF204" s="141">
        <v>-15000</v>
      </c>
      <c r="DG204" s="141">
        <v>-54000</v>
      </c>
      <c r="DH204" s="141">
        <v>0</v>
      </c>
      <c r="DI204" s="141">
        <v>-54000</v>
      </c>
      <c r="DJ204" s="141">
        <v>0</v>
      </c>
      <c r="DK204" s="141">
        <v>0</v>
      </c>
      <c r="DL204" s="141">
        <v>0</v>
      </c>
      <c r="DM204" s="141">
        <v>-3224089</v>
      </c>
      <c r="DN204" s="141">
        <v>0</v>
      </c>
      <c r="DO204" s="141">
        <v>-3224089</v>
      </c>
      <c r="DP204" s="141">
        <v>-3307230</v>
      </c>
      <c r="DQ204" s="141">
        <v>0</v>
      </c>
      <c r="DR204" s="141">
        <v>0</v>
      </c>
      <c r="DS204" s="141">
        <v>0</v>
      </c>
      <c r="DT204" s="141">
        <v>-3307230</v>
      </c>
      <c r="DU204" s="141">
        <v>0</v>
      </c>
      <c r="DV204" s="141">
        <v>-3307230</v>
      </c>
      <c r="DW204" s="856">
        <v>100829284</v>
      </c>
      <c r="DX204" s="856">
        <v>0</v>
      </c>
      <c r="DY204" s="857">
        <v>100829284</v>
      </c>
      <c r="DZ204" t="s">
        <v>1770</v>
      </c>
    </row>
    <row r="205" spans="1:130" ht="12.75" x14ac:dyDescent="0.2">
      <c r="A205" s="764">
        <v>198</v>
      </c>
      <c r="B205" s="765" t="s">
        <v>285</v>
      </c>
      <c r="C205" s="766" t="s">
        <v>529</v>
      </c>
      <c r="D205" s="767" t="s">
        <v>1226</v>
      </c>
      <c r="E205" s="768" t="s">
        <v>562</v>
      </c>
      <c r="F205" s="867">
        <v>43481</v>
      </c>
      <c r="G205" s="141">
        <v>227974689</v>
      </c>
      <c r="H205" s="141">
        <v>21750</v>
      </c>
      <c r="I205" s="141">
        <v>227996439</v>
      </c>
      <c r="J205" s="141">
        <v>49.1</v>
      </c>
      <c r="K205" s="141">
        <v>111935572</v>
      </c>
      <c r="L205" s="141">
        <v>10679</v>
      </c>
      <c r="M205" s="141">
        <v>2848000</v>
      </c>
      <c r="N205" s="141">
        <v>45350</v>
      </c>
      <c r="O205" s="141">
        <v>114783572</v>
      </c>
      <c r="P205" s="141">
        <v>56029</v>
      </c>
      <c r="Q205" s="141">
        <v>114839601</v>
      </c>
      <c r="R205" s="141">
        <v>-745200</v>
      </c>
      <c r="S205" s="141">
        <v>0</v>
      </c>
      <c r="T205" s="141">
        <v>-745200</v>
      </c>
      <c r="U205" s="141">
        <v>2201497</v>
      </c>
      <c r="V205" s="141">
        <v>0</v>
      </c>
      <c r="W205" s="141">
        <v>2201497</v>
      </c>
      <c r="X205" s="141">
        <v>1456297</v>
      </c>
      <c r="Y205" s="141">
        <v>0</v>
      </c>
      <c r="Z205" s="141">
        <v>0</v>
      </c>
      <c r="AA205" s="141">
        <v>0</v>
      </c>
      <c r="AB205" s="141">
        <v>1456297</v>
      </c>
      <c r="AC205" s="141">
        <v>0</v>
      </c>
      <c r="AD205" s="141">
        <v>1456297</v>
      </c>
      <c r="AE205" s="141">
        <v>-1456297</v>
      </c>
      <c r="AF205" s="141">
        <v>0</v>
      </c>
      <c r="AG205" s="141">
        <v>-1456297</v>
      </c>
      <c r="AH205" s="141">
        <v>-8081738</v>
      </c>
      <c r="AI205" s="141">
        <v>0</v>
      </c>
      <c r="AJ205" s="141">
        <v>-8081738</v>
      </c>
      <c r="AK205" s="141">
        <v>-15098</v>
      </c>
      <c r="AL205" s="141">
        <v>0</v>
      </c>
      <c r="AM205" s="141">
        <v>-15098</v>
      </c>
      <c r="AN205" s="141">
        <v>2168706</v>
      </c>
      <c r="AO205" s="141">
        <v>0</v>
      </c>
      <c r="AP205" s="141">
        <v>2168706</v>
      </c>
      <c r="AQ205" s="141">
        <v>-5913032</v>
      </c>
      <c r="AR205" s="141">
        <v>0</v>
      </c>
      <c r="AS205" s="141">
        <v>-5913032</v>
      </c>
      <c r="AT205" s="141">
        <v>-11677199</v>
      </c>
      <c r="AU205" s="141">
        <v>0</v>
      </c>
      <c r="AV205" s="141">
        <v>-11677199</v>
      </c>
      <c r="AW205" s="141">
        <v>-12088</v>
      </c>
      <c r="AX205" s="141">
        <v>0</v>
      </c>
      <c r="AY205" s="141">
        <v>-12088</v>
      </c>
      <c r="AZ205" s="141">
        <v>0</v>
      </c>
      <c r="BA205" s="141">
        <v>0</v>
      </c>
      <c r="BB205" s="141">
        <v>0</v>
      </c>
      <c r="BC205" s="141">
        <v>-17602319</v>
      </c>
      <c r="BD205" s="141">
        <v>0</v>
      </c>
      <c r="BE205" s="141">
        <v>0</v>
      </c>
      <c r="BF205" s="141">
        <v>0</v>
      </c>
      <c r="BG205" s="141">
        <v>-17602319</v>
      </c>
      <c r="BH205" s="141">
        <v>0</v>
      </c>
      <c r="BI205" s="141">
        <v>-17602319</v>
      </c>
      <c r="BJ205" s="141">
        <v>0</v>
      </c>
      <c r="BK205" s="141">
        <v>0</v>
      </c>
      <c r="BL205" s="141">
        <v>0</v>
      </c>
      <c r="BM205" s="141">
        <v>-2345036</v>
      </c>
      <c r="BN205" s="141">
        <v>0</v>
      </c>
      <c r="BO205" s="141">
        <v>-2345036</v>
      </c>
      <c r="BP205" s="141">
        <v>-2345036</v>
      </c>
      <c r="BQ205" s="141">
        <v>0</v>
      </c>
      <c r="BR205" s="141">
        <v>0</v>
      </c>
      <c r="BS205" s="141">
        <v>0</v>
      </c>
      <c r="BT205" s="141">
        <v>-2345036</v>
      </c>
      <c r="BU205" s="141">
        <v>0</v>
      </c>
      <c r="BV205" s="141">
        <v>-2345036</v>
      </c>
      <c r="BW205" s="141">
        <v>0</v>
      </c>
      <c r="BX205" s="141">
        <v>0</v>
      </c>
      <c r="BY205" s="141">
        <v>0</v>
      </c>
      <c r="BZ205" s="141">
        <v>-1890</v>
      </c>
      <c r="CA205" s="141">
        <v>0</v>
      </c>
      <c r="CB205" s="141">
        <v>-1890</v>
      </c>
      <c r="CC205" s="141">
        <v>0</v>
      </c>
      <c r="CD205" s="141">
        <v>0</v>
      </c>
      <c r="CE205" s="141">
        <v>0</v>
      </c>
      <c r="CF205" s="141">
        <v>0</v>
      </c>
      <c r="CG205" s="141">
        <v>0</v>
      </c>
      <c r="CH205" s="141">
        <v>0</v>
      </c>
      <c r="CI205" s="141">
        <v>0</v>
      </c>
      <c r="CJ205" s="141">
        <v>0</v>
      </c>
      <c r="CK205" s="141">
        <v>0</v>
      </c>
      <c r="CL205" s="141">
        <v>-150000</v>
      </c>
      <c r="CM205" s="141">
        <v>-56029</v>
      </c>
      <c r="CN205" s="141">
        <v>-206029</v>
      </c>
      <c r="CO205" s="141">
        <v>-56029</v>
      </c>
      <c r="CP205" s="141">
        <v>0</v>
      </c>
      <c r="CQ205" s="141">
        <v>-151890</v>
      </c>
      <c r="CR205" s="141">
        <v>-56029</v>
      </c>
      <c r="CS205" s="141">
        <v>0</v>
      </c>
      <c r="CT205" s="141">
        <v>0</v>
      </c>
      <c r="CU205" s="141">
        <v>-151890</v>
      </c>
      <c r="CV205" s="141">
        <v>-56029</v>
      </c>
      <c r="CW205" s="141">
        <v>-207919</v>
      </c>
      <c r="CX205" s="141">
        <v>0</v>
      </c>
      <c r="CY205" s="141">
        <v>0</v>
      </c>
      <c r="CZ205" s="141">
        <v>0</v>
      </c>
      <c r="DA205" s="141">
        <v>-1600</v>
      </c>
      <c r="DB205" s="141">
        <v>0</v>
      </c>
      <c r="DC205" s="141">
        <v>-1600</v>
      </c>
      <c r="DD205" s="141">
        <v>-20000</v>
      </c>
      <c r="DE205" s="141">
        <v>0</v>
      </c>
      <c r="DF205" s="141">
        <v>-20000</v>
      </c>
      <c r="DG205" s="141">
        <v>-88698</v>
      </c>
      <c r="DH205" s="141">
        <v>0</v>
      </c>
      <c r="DI205" s="141">
        <v>-88698</v>
      </c>
      <c r="DJ205" s="141">
        <v>0</v>
      </c>
      <c r="DK205" s="141">
        <v>0</v>
      </c>
      <c r="DL205" s="141">
        <v>0</v>
      </c>
      <c r="DM205" s="141">
        <v>-2568995</v>
      </c>
      <c r="DN205" s="141">
        <v>0</v>
      </c>
      <c r="DO205" s="141">
        <v>-2568995</v>
      </c>
      <c r="DP205" s="141">
        <v>-2679293</v>
      </c>
      <c r="DQ205" s="141">
        <v>0</v>
      </c>
      <c r="DR205" s="141">
        <v>0</v>
      </c>
      <c r="DS205" s="141">
        <v>0</v>
      </c>
      <c r="DT205" s="141">
        <v>-2679293</v>
      </c>
      <c r="DU205" s="141">
        <v>0</v>
      </c>
      <c r="DV205" s="141">
        <v>-2679293</v>
      </c>
      <c r="DW205" s="856">
        <v>93461331</v>
      </c>
      <c r="DX205" s="856">
        <v>0</v>
      </c>
      <c r="DY205" s="857">
        <v>93461331</v>
      </c>
      <c r="DZ205" t="s">
        <v>1771</v>
      </c>
    </row>
    <row r="206" spans="1:130" ht="12.75" x14ac:dyDescent="0.2">
      <c r="A206" s="764">
        <v>199</v>
      </c>
      <c r="B206" s="765" t="s">
        <v>287</v>
      </c>
      <c r="C206" s="766" t="s">
        <v>529</v>
      </c>
      <c r="D206" s="767" t="s">
        <v>1218</v>
      </c>
      <c r="E206" s="768" t="s">
        <v>577</v>
      </c>
      <c r="F206" s="867">
        <v>43460</v>
      </c>
      <c r="G206" s="141">
        <v>218874932</v>
      </c>
      <c r="H206" s="141">
        <v>0</v>
      </c>
      <c r="I206" s="141">
        <v>218874932</v>
      </c>
      <c r="J206" s="141">
        <v>49.1</v>
      </c>
      <c r="K206" s="141">
        <v>107467592</v>
      </c>
      <c r="L206" s="141">
        <v>0</v>
      </c>
      <c r="M206" s="141">
        <v>0</v>
      </c>
      <c r="N206" s="141">
        <v>0</v>
      </c>
      <c r="O206" s="141">
        <v>107467592</v>
      </c>
      <c r="P206" s="141">
        <v>0</v>
      </c>
      <c r="Q206" s="141">
        <v>107467592</v>
      </c>
      <c r="R206" s="141">
        <v>0</v>
      </c>
      <c r="S206" s="141">
        <v>0</v>
      </c>
      <c r="T206" s="141">
        <v>0</v>
      </c>
      <c r="U206" s="141">
        <v>0</v>
      </c>
      <c r="V206" s="141">
        <v>0</v>
      </c>
      <c r="W206" s="141">
        <v>0</v>
      </c>
      <c r="X206" s="141">
        <v>0</v>
      </c>
      <c r="Y206" s="141">
        <v>0</v>
      </c>
      <c r="Z206" s="141">
        <v>0</v>
      </c>
      <c r="AA206" s="141">
        <v>0</v>
      </c>
      <c r="AB206" s="141">
        <v>0</v>
      </c>
      <c r="AC206" s="141">
        <v>0</v>
      </c>
      <c r="AD206" s="141">
        <v>0</v>
      </c>
      <c r="AE206" s="141">
        <v>0</v>
      </c>
      <c r="AF206" s="141">
        <v>0</v>
      </c>
      <c r="AG206" s="141">
        <v>0</v>
      </c>
      <c r="AH206" s="141">
        <v>-6295900</v>
      </c>
      <c r="AI206" s="141">
        <v>0</v>
      </c>
      <c r="AJ206" s="141">
        <v>-6295900</v>
      </c>
      <c r="AK206" s="141">
        <v>0</v>
      </c>
      <c r="AL206" s="141">
        <v>0</v>
      </c>
      <c r="AM206" s="141">
        <v>0</v>
      </c>
      <c r="AN206" s="141">
        <v>2212800</v>
      </c>
      <c r="AO206" s="141">
        <v>0</v>
      </c>
      <c r="AP206" s="141">
        <v>2212800</v>
      </c>
      <c r="AQ206" s="141">
        <v>-4083100</v>
      </c>
      <c r="AR206" s="141">
        <v>0</v>
      </c>
      <c r="AS206" s="141">
        <v>-4083100</v>
      </c>
      <c r="AT206" s="141">
        <v>-8513800</v>
      </c>
      <c r="AU206" s="141">
        <v>0</v>
      </c>
      <c r="AV206" s="141">
        <v>-8513800</v>
      </c>
      <c r="AW206" s="141">
        <v>-36800</v>
      </c>
      <c r="AX206" s="141">
        <v>0</v>
      </c>
      <c r="AY206" s="141">
        <v>-36800</v>
      </c>
      <c r="AZ206" s="141">
        <v>0</v>
      </c>
      <c r="BA206" s="141">
        <v>0</v>
      </c>
      <c r="BB206" s="141">
        <v>0</v>
      </c>
      <c r="BC206" s="141">
        <v>-12633700</v>
      </c>
      <c r="BD206" s="141">
        <v>0</v>
      </c>
      <c r="BE206" s="141">
        <v>0</v>
      </c>
      <c r="BF206" s="141">
        <v>0</v>
      </c>
      <c r="BG206" s="141">
        <v>-12633700</v>
      </c>
      <c r="BH206" s="141">
        <v>0</v>
      </c>
      <c r="BI206" s="141">
        <v>-12633700</v>
      </c>
      <c r="BJ206" s="141">
        <v>-31600</v>
      </c>
      <c r="BK206" s="141">
        <v>0</v>
      </c>
      <c r="BL206" s="141">
        <v>-31600</v>
      </c>
      <c r="BM206" s="141">
        <v>-2659600</v>
      </c>
      <c r="BN206" s="141">
        <v>0</v>
      </c>
      <c r="BO206" s="141">
        <v>-2659600</v>
      </c>
      <c r="BP206" s="141">
        <v>-2691200</v>
      </c>
      <c r="BQ206" s="141">
        <v>0</v>
      </c>
      <c r="BR206" s="141">
        <v>0</v>
      </c>
      <c r="BS206" s="141">
        <v>0</v>
      </c>
      <c r="BT206" s="141">
        <v>-2691200</v>
      </c>
      <c r="BU206" s="141">
        <v>0</v>
      </c>
      <c r="BV206" s="141">
        <v>-2691200</v>
      </c>
      <c r="BW206" s="141">
        <v>-213800</v>
      </c>
      <c r="BX206" s="141">
        <v>0</v>
      </c>
      <c r="BY206" s="141">
        <v>-213800</v>
      </c>
      <c r="BZ206" s="141">
        <v>0</v>
      </c>
      <c r="CA206" s="141">
        <v>0</v>
      </c>
      <c r="CB206" s="141">
        <v>0</v>
      </c>
      <c r="CC206" s="141">
        <v>-1000</v>
      </c>
      <c r="CD206" s="141">
        <v>0</v>
      </c>
      <c r="CE206" s="141">
        <v>-1000</v>
      </c>
      <c r="CF206" s="141">
        <v>0</v>
      </c>
      <c r="CG206" s="141">
        <v>0</v>
      </c>
      <c r="CH206" s="141">
        <v>0</v>
      </c>
      <c r="CI206" s="141">
        <v>0</v>
      </c>
      <c r="CJ206" s="141">
        <v>0</v>
      </c>
      <c r="CK206" s="141">
        <v>0</v>
      </c>
      <c r="CL206" s="141">
        <v>0</v>
      </c>
      <c r="CM206" s="141">
        <v>0</v>
      </c>
      <c r="CN206" s="141">
        <v>0</v>
      </c>
      <c r="CO206" s="141">
        <v>0</v>
      </c>
      <c r="CP206" s="141">
        <v>0</v>
      </c>
      <c r="CQ206" s="141">
        <v>-214800</v>
      </c>
      <c r="CR206" s="141">
        <v>0</v>
      </c>
      <c r="CS206" s="141">
        <v>0</v>
      </c>
      <c r="CT206" s="141">
        <v>0</v>
      </c>
      <c r="CU206" s="141">
        <v>-214800</v>
      </c>
      <c r="CV206" s="141">
        <v>0</v>
      </c>
      <c r="CW206" s="141">
        <v>-214800</v>
      </c>
      <c r="CX206" s="141">
        <v>0</v>
      </c>
      <c r="CY206" s="141">
        <v>0</v>
      </c>
      <c r="CZ206" s="141">
        <v>0</v>
      </c>
      <c r="DA206" s="141">
        <v>0</v>
      </c>
      <c r="DB206" s="141">
        <v>0</v>
      </c>
      <c r="DC206" s="141">
        <v>0</v>
      </c>
      <c r="DD206" s="141">
        <v>-15100</v>
      </c>
      <c r="DE206" s="141">
        <v>0</v>
      </c>
      <c r="DF206" s="141">
        <v>-15100</v>
      </c>
      <c r="DG206" s="141">
        <v>-100000</v>
      </c>
      <c r="DH206" s="141">
        <v>0</v>
      </c>
      <c r="DI206" s="141">
        <v>-100000</v>
      </c>
      <c r="DJ206" s="141">
        <v>0</v>
      </c>
      <c r="DK206" s="141">
        <v>0</v>
      </c>
      <c r="DL206" s="141">
        <v>0</v>
      </c>
      <c r="DM206" s="141">
        <v>-2000000</v>
      </c>
      <c r="DN206" s="141">
        <v>0</v>
      </c>
      <c r="DO206" s="141">
        <v>-2000000</v>
      </c>
      <c r="DP206" s="141">
        <v>-2115100</v>
      </c>
      <c r="DQ206" s="141">
        <v>0</v>
      </c>
      <c r="DR206" s="141">
        <v>0</v>
      </c>
      <c r="DS206" s="141">
        <v>0</v>
      </c>
      <c r="DT206" s="141">
        <v>-2115100</v>
      </c>
      <c r="DU206" s="141">
        <v>0</v>
      </c>
      <c r="DV206" s="141">
        <v>-2115100</v>
      </c>
      <c r="DW206" s="856">
        <v>89812792</v>
      </c>
      <c r="DX206" s="856">
        <v>0</v>
      </c>
      <c r="DY206" s="857">
        <v>89812792</v>
      </c>
      <c r="DZ206" t="s">
        <v>1772</v>
      </c>
    </row>
    <row r="207" spans="1:130" ht="12.75" x14ac:dyDescent="0.2">
      <c r="A207" s="764">
        <v>200</v>
      </c>
      <c r="B207" s="765" t="s">
        <v>289</v>
      </c>
      <c r="C207" s="766" t="s">
        <v>1217</v>
      </c>
      <c r="D207" s="767" t="s">
        <v>1219</v>
      </c>
      <c r="E207" s="768" t="s">
        <v>288</v>
      </c>
      <c r="F207" s="867">
        <v>43460</v>
      </c>
      <c r="G207" s="141">
        <v>152031110</v>
      </c>
      <c r="H207" s="141">
        <v>0</v>
      </c>
      <c r="I207" s="141">
        <v>152031110</v>
      </c>
      <c r="J207" s="141">
        <v>49.1</v>
      </c>
      <c r="K207" s="141">
        <v>74647275</v>
      </c>
      <c r="L207" s="141">
        <v>0</v>
      </c>
      <c r="M207" s="141">
        <v>0</v>
      </c>
      <c r="N207" s="141">
        <v>0</v>
      </c>
      <c r="O207" s="141">
        <v>74647275</v>
      </c>
      <c r="P207" s="141">
        <v>0</v>
      </c>
      <c r="Q207" s="141">
        <v>74647275</v>
      </c>
      <c r="R207" s="141">
        <v>-350366</v>
      </c>
      <c r="S207" s="141">
        <v>0</v>
      </c>
      <c r="T207" s="141">
        <v>-350366</v>
      </c>
      <c r="U207" s="141">
        <v>3584366</v>
      </c>
      <c r="V207" s="141">
        <v>0</v>
      </c>
      <c r="W207" s="141">
        <v>3584366</v>
      </c>
      <c r="X207" s="141">
        <v>3234000</v>
      </c>
      <c r="Y207" s="141">
        <v>0</v>
      </c>
      <c r="Z207" s="141">
        <v>0</v>
      </c>
      <c r="AA207" s="141">
        <v>0</v>
      </c>
      <c r="AB207" s="141">
        <v>3234000</v>
      </c>
      <c r="AC207" s="141">
        <v>0</v>
      </c>
      <c r="AD207" s="141">
        <v>3234000</v>
      </c>
      <c r="AE207" s="141">
        <v>-3234000</v>
      </c>
      <c r="AF207" s="141">
        <v>0</v>
      </c>
      <c r="AG207" s="141">
        <v>-3234000</v>
      </c>
      <c r="AH207" s="141">
        <v>-5427273</v>
      </c>
      <c r="AI207" s="141">
        <v>0</v>
      </c>
      <c r="AJ207" s="141">
        <v>-5427273</v>
      </c>
      <c r="AK207" s="141">
        <v>-3977</v>
      </c>
      <c r="AL207" s="141">
        <v>0</v>
      </c>
      <c r="AM207" s="141">
        <v>-3977</v>
      </c>
      <c r="AN207" s="141">
        <v>1458240</v>
      </c>
      <c r="AO207" s="141">
        <v>0</v>
      </c>
      <c r="AP207" s="141">
        <v>1458240</v>
      </c>
      <c r="AQ207" s="141">
        <v>-3969033</v>
      </c>
      <c r="AR207" s="141">
        <v>0</v>
      </c>
      <c r="AS207" s="141">
        <v>-3969033</v>
      </c>
      <c r="AT207" s="141">
        <v>-5681416</v>
      </c>
      <c r="AU207" s="141">
        <v>0</v>
      </c>
      <c r="AV207" s="141">
        <v>-5681416</v>
      </c>
      <c r="AW207" s="141">
        <v>-56803</v>
      </c>
      <c r="AX207" s="141">
        <v>0</v>
      </c>
      <c r="AY207" s="141">
        <v>-56803</v>
      </c>
      <c r="AZ207" s="141">
        <v>-5103</v>
      </c>
      <c r="BA207" s="141">
        <v>0</v>
      </c>
      <c r="BB207" s="141">
        <v>-5103</v>
      </c>
      <c r="BC207" s="141">
        <v>-9712355</v>
      </c>
      <c r="BD207" s="141">
        <v>0</v>
      </c>
      <c r="BE207" s="141">
        <v>-300000</v>
      </c>
      <c r="BF207" s="141">
        <v>0</v>
      </c>
      <c r="BG207" s="141">
        <v>-10012355</v>
      </c>
      <c r="BH207" s="141">
        <v>0</v>
      </c>
      <c r="BI207" s="141">
        <v>-10012355</v>
      </c>
      <c r="BJ207" s="141">
        <v>0</v>
      </c>
      <c r="BK207" s="141">
        <v>0</v>
      </c>
      <c r="BL207" s="141">
        <v>0</v>
      </c>
      <c r="BM207" s="141">
        <v>-1899829</v>
      </c>
      <c r="BN207" s="141">
        <v>0</v>
      </c>
      <c r="BO207" s="141">
        <v>-1899829</v>
      </c>
      <c r="BP207" s="141">
        <v>-1899829</v>
      </c>
      <c r="BQ207" s="141">
        <v>0</v>
      </c>
      <c r="BR207" s="141">
        <v>-1300000</v>
      </c>
      <c r="BS207" s="141">
        <v>0</v>
      </c>
      <c r="BT207" s="141">
        <v>-3199829</v>
      </c>
      <c r="BU207" s="141">
        <v>0</v>
      </c>
      <c r="BV207" s="141">
        <v>-3199829</v>
      </c>
      <c r="BW207" s="141">
        <v>-61404</v>
      </c>
      <c r="BX207" s="141">
        <v>0</v>
      </c>
      <c r="BY207" s="141">
        <v>-61404</v>
      </c>
      <c r="BZ207" s="141">
        <v>-24231</v>
      </c>
      <c r="CA207" s="141">
        <v>0</v>
      </c>
      <c r="CB207" s="141">
        <v>-24231</v>
      </c>
      <c r="CC207" s="141">
        <v>-312</v>
      </c>
      <c r="CD207" s="141">
        <v>0</v>
      </c>
      <c r="CE207" s="141">
        <v>-312</v>
      </c>
      <c r="CF207" s="141">
        <v>0</v>
      </c>
      <c r="CG207" s="141">
        <v>0</v>
      </c>
      <c r="CH207" s="141">
        <v>0</v>
      </c>
      <c r="CI207" s="141">
        <v>0</v>
      </c>
      <c r="CJ207" s="141">
        <v>0</v>
      </c>
      <c r="CK207" s="141">
        <v>0</v>
      </c>
      <c r="CL207" s="141">
        <v>0</v>
      </c>
      <c r="CM207" s="141">
        <v>0</v>
      </c>
      <c r="CN207" s="141">
        <v>0</v>
      </c>
      <c r="CO207" s="141">
        <v>0</v>
      </c>
      <c r="CP207" s="141">
        <v>0</v>
      </c>
      <c r="CQ207" s="141">
        <v>-85947</v>
      </c>
      <c r="CR207" s="141">
        <v>0</v>
      </c>
      <c r="CS207" s="141">
        <v>0</v>
      </c>
      <c r="CT207" s="141">
        <v>0</v>
      </c>
      <c r="CU207" s="141">
        <v>-85947</v>
      </c>
      <c r="CV207" s="141">
        <v>0</v>
      </c>
      <c r="CW207" s="141">
        <v>-85947</v>
      </c>
      <c r="CX207" s="141">
        <v>-4965</v>
      </c>
      <c r="CY207" s="141">
        <v>0</v>
      </c>
      <c r="CZ207" s="141">
        <v>-4965</v>
      </c>
      <c r="DA207" s="141">
        <v>0</v>
      </c>
      <c r="DB207" s="141">
        <v>0</v>
      </c>
      <c r="DC207" s="141">
        <v>0</v>
      </c>
      <c r="DD207" s="141">
        <v>-3435</v>
      </c>
      <c r="DE207" s="141">
        <v>0</v>
      </c>
      <c r="DF207" s="141">
        <v>-3435</v>
      </c>
      <c r="DG207" s="141">
        <v>-20000</v>
      </c>
      <c r="DH207" s="141">
        <v>0</v>
      </c>
      <c r="DI207" s="141">
        <v>-20000</v>
      </c>
      <c r="DJ207" s="141">
        <v>0</v>
      </c>
      <c r="DK207" s="141">
        <v>0</v>
      </c>
      <c r="DL207" s="141">
        <v>0</v>
      </c>
      <c r="DM207" s="141">
        <v>-1662532</v>
      </c>
      <c r="DN207" s="141">
        <v>0</v>
      </c>
      <c r="DO207" s="141">
        <v>-1662532</v>
      </c>
      <c r="DP207" s="141">
        <v>-1690932</v>
      </c>
      <c r="DQ207" s="141">
        <v>0</v>
      </c>
      <c r="DR207" s="141">
        <v>0</v>
      </c>
      <c r="DS207" s="141">
        <v>0</v>
      </c>
      <c r="DT207" s="141">
        <v>-1690932</v>
      </c>
      <c r="DU207" s="141">
        <v>0</v>
      </c>
      <c r="DV207" s="141">
        <v>-1690932</v>
      </c>
      <c r="DW207" s="856">
        <v>62892212</v>
      </c>
      <c r="DX207" s="856">
        <v>0</v>
      </c>
      <c r="DY207" s="857">
        <v>62892212</v>
      </c>
      <c r="DZ207" t="s">
        <v>1773</v>
      </c>
    </row>
    <row r="208" spans="1:130" ht="12.75" x14ac:dyDescent="0.2">
      <c r="A208" s="764">
        <v>201</v>
      </c>
      <c r="B208" s="765" t="s">
        <v>291</v>
      </c>
      <c r="C208" s="766" t="s">
        <v>529</v>
      </c>
      <c r="D208" s="767" t="s">
        <v>1218</v>
      </c>
      <c r="E208" s="768" t="s">
        <v>539</v>
      </c>
      <c r="F208" s="867">
        <v>43479</v>
      </c>
      <c r="G208" s="141">
        <v>314743168</v>
      </c>
      <c r="H208" s="141">
        <v>0</v>
      </c>
      <c r="I208" s="141">
        <v>314743168</v>
      </c>
      <c r="J208" s="141">
        <v>49.1</v>
      </c>
      <c r="K208" s="141">
        <v>154538895</v>
      </c>
      <c r="L208" s="141">
        <v>0</v>
      </c>
      <c r="M208" s="141">
        <v>0</v>
      </c>
      <c r="N208" s="141">
        <v>0</v>
      </c>
      <c r="O208" s="141">
        <v>154538895</v>
      </c>
      <c r="P208" s="141">
        <v>0</v>
      </c>
      <c r="Q208" s="141">
        <v>154538895</v>
      </c>
      <c r="R208" s="141">
        <v>-1710482</v>
      </c>
      <c r="S208" s="141">
        <v>0</v>
      </c>
      <c r="T208" s="141">
        <v>-1710482</v>
      </c>
      <c r="U208" s="141">
        <v>979918</v>
      </c>
      <c r="V208" s="141">
        <v>0</v>
      </c>
      <c r="W208" s="141">
        <v>979918</v>
      </c>
      <c r="X208" s="141">
        <v>-730564</v>
      </c>
      <c r="Y208" s="141">
        <v>0</v>
      </c>
      <c r="Z208" s="141">
        <v>0</v>
      </c>
      <c r="AA208" s="141">
        <v>0</v>
      </c>
      <c r="AB208" s="141">
        <v>-730564</v>
      </c>
      <c r="AC208" s="141">
        <v>0</v>
      </c>
      <c r="AD208" s="141">
        <v>-730564</v>
      </c>
      <c r="AE208" s="141">
        <v>730564</v>
      </c>
      <c r="AF208" s="141">
        <v>0</v>
      </c>
      <c r="AG208" s="141">
        <v>730564</v>
      </c>
      <c r="AH208" s="141">
        <v>-3558276</v>
      </c>
      <c r="AI208" s="141">
        <v>0</v>
      </c>
      <c r="AJ208" s="141">
        <v>-3558276</v>
      </c>
      <c r="AK208" s="141">
        <v>-12471</v>
      </c>
      <c r="AL208" s="141">
        <v>0</v>
      </c>
      <c r="AM208" s="141">
        <v>-12471</v>
      </c>
      <c r="AN208" s="141">
        <v>3497479</v>
      </c>
      <c r="AO208" s="141">
        <v>0</v>
      </c>
      <c r="AP208" s="141">
        <v>3497479</v>
      </c>
      <c r="AQ208" s="141">
        <v>-60797</v>
      </c>
      <c r="AR208" s="141">
        <v>0</v>
      </c>
      <c r="AS208" s="141">
        <v>-60797</v>
      </c>
      <c r="AT208" s="141">
        <v>-5257566</v>
      </c>
      <c r="AU208" s="141">
        <v>0</v>
      </c>
      <c r="AV208" s="141">
        <v>-5257566</v>
      </c>
      <c r="AW208" s="141">
        <v>-6794</v>
      </c>
      <c r="AX208" s="141">
        <v>0</v>
      </c>
      <c r="AY208" s="141">
        <v>-6794</v>
      </c>
      <c r="AZ208" s="141">
        <v>0</v>
      </c>
      <c r="BA208" s="141">
        <v>0</v>
      </c>
      <c r="BB208" s="141">
        <v>0</v>
      </c>
      <c r="BC208" s="141">
        <v>-5325157</v>
      </c>
      <c r="BD208" s="141">
        <v>0</v>
      </c>
      <c r="BE208" s="141">
        <v>0</v>
      </c>
      <c r="BF208" s="141">
        <v>0</v>
      </c>
      <c r="BG208" s="141">
        <v>-5325157</v>
      </c>
      <c r="BH208" s="141">
        <v>0</v>
      </c>
      <c r="BI208" s="141">
        <v>-5325157</v>
      </c>
      <c r="BJ208" s="141">
        <v>0</v>
      </c>
      <c r="BK208" s="141">
        <v>0</v>
      </c>
      <c r="BL208" s="141">
        <v>0</v>
      </c>
      <c r="BM208" s="141">
        <v>-5750400</v>
      </c>
      <c r="BN208" s="141">
        <v>0</v>
      </c>
      <c r="BO208" s="141">
        <v>-5750400</v>
      </c>
      <c r="BP208" s="141">
        <v>-5750400</v>
      </c>
      <c r="BQ208" s="141">
        <v>0</v>
      </c>
      <c r="BR208" s="141">
        <v>0</v>
      </c>
      <c r="BS208" s="141">
        <v>0</v>
      </c>
      <c r="BT208" s="141">
        <v>-5750400</v>
      </c>
      <c r="BU208" s="141">
        <v>0</v>
      </c>
      <c r="BV208" s="141">
        <v>-5750400</v>
      </c>
      <c r="BW208" s="141">
        <v>0</v>
      </c>
      <c r="BX208" s="141">
        <v>0</v>
      </c>
      <c r="BY208" s="141">
        <v>0</v>
      </c>
      <c r="BZ208" s="141">
        <v>0</v>
      </c>
      <c r="CA208" s="141">
        <v>0</v>
      </c>
      <c r="CB208" s="141">
        <v>0</v>
      </c>
      <c r="CC208" s="141">
        <v>0</v>
      </c>
      <c r="CD208" s="141">
        <v>0</v>
      </c>
      <c r="CE208" s="141">
        <v>0</v>
      </c>
      <c r="CF208" s="141">
        <v>0</v>
      </c>
      <c r="CG208" s="141">
        <v>0</v>
      </c>
      <c r="CH208" s="141">
        <v>0</v>
      </c>
      <c r="CI208" s="141">
        <v>0</v>
      </c>
      <c r="CJ208" s="141">
        <v>0</v>
      </c>
      <c r="CK208" s="141">
        <v>0</v>
      </c>
      <c r="CL208" s="141">
        <v>0</v>
      </c>
      <c r="CM208" s="141">
        <v>0</v>
      </c>
      <c r="CN208" s="141">
        <v>0</v>
      </c>
      <c r="CO208" s="141">
        <v>0</v>
      </c>
      <c r="CP208" s="141">
        <v>0</v>
      </c>
      <c r="CQ208" s="141">
        <v>0</v>
      </c>
      <c r="CR208" s="141">
        <v>0</v>
      </c>
      <c r="CS208" s="141">
        <v>0</v>
      </c>
      <c r="CT208" s="141">
        <v>0</v>
      </c>
      <c r="CU208" s="141">
        <v>0</v>
      </c>
      <c r="CV208" s="141">
        <v>0</v>
      </c>
      <c r="CW208" s="141">
        <v>0</v>
      </c>
      <c r="CX208" s="141">
        <v>0</v>
      </c>
      <c r="CY208" s="141">
        <v>0</v>
      </c>
      <c r="CZ208" s="141">
        <v>0</v>
      </c>
      <c r="DA208" s="141">
        <v>0</v>
      </c>
      <c r="DB208" s="141">
        <v>0</v>
      </c>
      <c r="DC208" s="141">
        <v>0</v>
      </c>
      <c r="DD208" s="141">
        <v>-61166</v>
      </c>
      <c r="DE208" s="141">
        <v>0</v>
      </c>
      <c r="DF208" s="141">
        <v>-61166</v>
      </c>
      <c r="DG208" s="141">
        <v>-202785</v>
      </c>
      <c r="DH208" s="141">
        <v>0</v>
      </c>
      <c r="DI208" s="141">
        <v>-202785</v>
      </c>
      <c r="DJ208" s="141">
        <v>0</v>
      </c>
      <c r="DK208" s="141">
        <v>0</v>
      </c>
      <c r="DL208" s="141">
        <v>0</v>
      </c>
      <c r="DM208" s="141">
        <v>-1693002</v>
      </c>
      <c r="DN208" s="141">
        <v>0</v>
      </c>
      <c r="DO208" s="141">
        <v>-1693002</v>
      </c>
      <c r="DP208" s="141">
        <v>-1956953</v>
      </c>
      <c r="DQ208" s="141">
        <v>0</v>
      </c>
      <c r="DR208" s="141">
        <v>0</v>
      </c>
      <c r="DS208" s="141">
        <v>0</v>
      </c>
      <c r="DT208" s="141">
        <v>-1956953</v>
      </c>
      <c r="DU208" s="141">
        <v>0</v>
      </c>
      <c r="DV208" s="141">
        <v>-1956953</v>
      </c>
      <c r="DW208" s="856">
        <v>140775821</v>
      </c>
      <c r="DX208" s="856">
        <v>0</v>
      </c>
      <c r="DY208" s="857">
        <v>140775821</v>
      </c>
      <c r="DZ208" t="s">
        <v>1774</v>
      </c>
    </row>
    <row r="209" spans="1:130" ht="12.75" x14ac:dyDescent="0.2">
      <c r="A209" s="764">
        <v>202</v>
      </c>
      <c r="B209" s="765" t="s">
        <v>293</v>
      </c>
      <c r="C209" s="766" t="s">
        <v>1222</v>
      </c>
      <c r="D209" s="767" t="s">
        <v>1223</v>
      </c>
      <c r="E209" s="768" t="s">
        <v>292</v>
      </c>
      <c r="F209" s="867">
        <v>43465</v>
      </c>
      <c r="G209" s="141">
        <v>153714385</v>
      </c>
      <c r="H209" s="141">
        <v>0</v>
      </c>
      <c r="I209" s="141">
        <v>153714385</v>
      </c>
      <c r="J209" s="141">
        <v>49.1</v>
      </c>
      <c r="K209" s="141">
        <v>75473763</v>
      </c>
      <c r="L209" s="141">
        <v>0</v>
      </c>
      <c r="M209" s="141">
        <v>-200000</v>
      </c>
      <c r="N209" s="141">
        <v>0</v>
      </c>
      <c r="O209" s="141">
        <v>75273763</v>
      </c>
      <c r="P209" s="141">
        <v>0</v>
      </c>
      <c r="Q209" s="141">
        <v>75273763</v>
      </c>
      <c r="R209" s="141">
        <v>-2025176</v>
      </c>
      <c r="S209" s="141">
        <v>0</v>
      </c>
      <c r="T209" s="141">
        <v>-2025176</v>
      </c>
      <c r="U209" s="141">
        <v>378329</v>
      </c>
      <c r="V209" s="141">
        <v>0</v>
      </c>
      <c r="W209" s="141">
        <v>378329</v>
      </c>
      <c r="X209" s="141">
        <v>-1646847</v>
      </c>
      <c r="Y209" s="141">
        <v>0</v>
      </c>
      <c r="Z209" s="141">
        <v>0</v>
      </c>
      <c r="AA209" s="141">
        <v>0</v>
      </c>
      <c r="AB209" s="141">
        <v>-1646847</v>
      </c>
      <c r="AC209" s="141">
        <v>0</v>
      </c>
      <c r="AD209" s="141">
        <v>-1646847</v>
      </c>
      <c r="AE209" s="141">
        <v>1646847</v>
      </c>
      <c r="AF209" s="141">
        <v>0</v>
      </c>
      <c r="AG209" s="141">
        <v>1646847</v>
      </c>
      <c r="AH209" s="141">
        <v>-7008554</v>
      </c>
      <c r="AI209" s="141">
        <v>0</v>
      </c>
      <c r="AJ209" s="141">
        <v>-7008554</v>
      </c>
      <c r="AK209" s="141">
        <v>-17532</v>
      </c>
      <c r="AL209" s="141">
        <v>0</v>
      </c>
      <c r="AM209" s="141">
        <v>-17532</v>
      </c>
      <c r="AN209" s="141">
        <v>1160671</v>
      </c>
      <c r="AO209" s="141">
        <v>0</v>
      </c>
      <c r="AP209" s="141">
        <v>1160671</v>
      </c>
      <c r="AQ209" s="141">
        <v>-5847883</v>
      </c>
      <c r="AR209" s="141">
        <v>0</v>
      </c>
      <c r="AS209" s="141">
        <v>-5847883</v>
      </c>
      <c r="AT209" s="141">
        <v>-5570821</v>
      </c>
      <c r="AU209" s="141">
        <v>0</v>
      </c>
      <c r="AV209" s="141">
        <v>-5570821</v>
      </c>
      <c r="AW209" s="141">
        <v>-134836</v>
      </c>
      <c r="AX209" s="141">
        <v>0</v>
      </c>
      <c r="AY209" s="141">
        <v>-134836</v>
      </c>
      <c r="AZ209" s="141">
        <v>0</v>
      </c>
      <c r="BA209" s="141">
        <v>0</v>
      </c>
      <c r="BB209" s="141">
        <v>0</v>
      </c>
      <c r="BC209" s="141">
        <v>-11553540</v>
      </c>
      <c r="BD209" s="141">
        <v>0</v>
      </c>
      <c r="BE209" s="141">
        <v>0</v>
      </c>
      <c r="BF209" s="141">
        <v>0</v>
      </c>
      <c r="BG209" s="141">
        <v>-11553540</v>
      </c>
      <c r="BH209" s="141">
        <v>0</v>
      </c>
      <c r="BI209" s="141">
        <v>-11553540</v>
      </c>
      <c r="BJ209" s="141">
        <v>0</v>
      </c>
      <c r="BK209" s="141">
        <v>0</v>
      </c>
      <c r="BL209" s="141">
        <v>0</v>
      </c>
      <c r="BM209" s="141">
        <v>-770619</v>
      </c>
      <c r="BN209" s="141">
        <v>0</v>
      </c>
      <c r="BO209" s="141">
        <v>-770619</v>
      </c>
      <c r="BP209" s="141">
        <v>-770619</v>
      </c>
      <c r="BQ209" s="141">
        <v>0</v>
      </c>
      <c r="BR209" s="141">
        <v>0</v>
      </c>
      <c r="BS209" s="141">
        <v>0</v>
      </c>
      <c r="BT209" s="141">
        <v>-770619</v>
      </c>
      <c r="BU209" s="141">
        <v>0</v>
      </c>
      <c r="BV209" s="141">
        <v>-770619</v>
      </c>
      <c r="BW209" s="141">
        <v>-148928</v>
      </c>
      <c r="BX209" s="141">
        <v>0</v>
      </c>
      <c r="BY209" s="141">
        <v>-148928</v>
      </c>
      <c r="BZ209" s="141">
        <v>-14476</v>
      </c>
      <c r="CA209" s="141">
        <v>0</v>
      </c>
      <c r="CB209" s="141">
        <v>-14476</v>
      </c>
      <c r="CC209" s="141">
        <v>0</v>
      </c>
      <c r="CD209" s="141">
        <v>0</v>
      </c>
      <c r="CE209" s="141">
        <v>0</v>
      </c>
      <c r="CF209" s="141">
        <v>0</v>
      </c>
      <c r="CG209" s="141">
        <v>0</v>
      </c>
      <c r="CH209" s="141">
        <v>0</v>
      </c>
      <c r="CI209" s="141">
        <v>0</v>
      </c>
      <c r="CJ209" s="141">
        <v>0</v>
      </c>
      <c r="CK209" s="141">
        <v>0</v>
      </c>
      <c r="CL209" s="141">
        <v>0</v>
      </c>
      <c r="CM209" s="141">
        <v>0</v>
      </c>
      <c r="CN209" s="141">
        <v>0</v>
      </c>
      <c r="CO209" s="141">
        <v>0</v>
      </c>
      <c r="CP209" s="141">
        <v>0</v>
      </c>
      <c r="CQ209" s="141">
        <v>-163404</v>
      </c>
      <c r="CR209" s="141">
        <v>0</v>
      </c>
      <c r="CS209" s="141">
        <v>0</v>
      </c>
      <c r="CT209" s="141">
        <v>0</v>
      </c>
      <c r="CU209" s="141">
        <v>-163404</v>
      </c>
      <c r="CV209" s="141">
        <v>0</v>
      </c>
      <c r="CW209" s="141">
        <v>-163404</v>
      </c>
      <c r="CX209" s="141">
        <v>0</v>
      </c>
      <c r="CY209" s="141">
        <v>0</v>
      </c>
      <c r="CZ209" s="141">
        <v>0</v>
      </c>
      <c r="DA209" s="141">
        <v>0</v>
      </c>
      <c r="DB209" s="141">
        <v>0</v>
      </c>
      <c r="DC209" s="141">
        <v>0</v>
      </c>
      <c r="DD209" s="141">
        <v>-153776</v>
      </c>
      <c r="DE209" s="141">
        <v>0</v>
      </c>
      <c r="DF209" s="141">
        <v>-153776</v>
      </c>
      <c r="DG209" s="141">
        <v>-199867</v>
      </c>
      <c r="DH209" s="141">
        <v>0</v>
      </c>
      <c r="DI209" s="141">
        <v>-199867</v>
      </c>
      <c r="DJ209" s="141">
        <v>0</v>
      </c>
      <c r="DK209" s="141">
        <v>0</v>
      </c>
      <c r="DL209" s="141">
        <v>0</v>
      </c>
      <c r="DM209" s="141">
        <v>-3725485</v>
      </c>
      <c r="DN209" s="141">
        <v>0</v>
      </c>
      <c r="DO209" s="141">
        <v>-3725485</v>
      </c>
      <c r="DP209" s="141">
        <v>-4079128</v>
      </c>
      <c r="DQ209" s="141">
        <v>0</v>
      </c>
      <c r="DR209" s="141">
        <v>0</v>
      </c>
      <c r="DS209" s="141">
        <v>0</v>
      </c>
      <c r="DT209" s="141">
        <v>-4079128</v>
      </c>
      <c r="DU209" s="141">
        <v>0</v>
      </c>
      <c r="DV209" s="141">
        <v>-4079128</v>
      </c>
      <c r="DW209" s="856">
        <v>57060225</v>
      </c>
      <c r="DX209" s="856">
        <v>0</v>
      </c>
      <c r="DY209" s="857">
        <v>57060225</v>
      </c>
      <c r="DZ209" t="s">
        <v>1775</v>
      </c>
    </row>
    <row r="210" spans="1:130" ht="12.75" x14ac:dyDescent="0.2">
      <c r="A210" s="764">
        <v>203</v>
      </c>
      <c r="B210" s="765" t="s">
        <v>295</v>
      </c>
      <c r="C210" s="766" t="s">
        <v>529</v>
      </c>
      <c r="D210" s="767" t="s">
        <v>1229</v>
      </c>
      <c r="E210" s="768" t="s">
        <v>896</v>
      </c>
      <c r="F210" s="867">
        <v>43474</v>
      </c>
      <c r="G210" s="141">
        <v>92245769</v>
      </c>
      <c r="H210" s="141">
        <v>3525500</v>
      </c>
      <c r="I210" s="141">
        <v>95771269</v>
      </c>
      <c r="J210" s="141">
        <v>49.1</v>
      </c>
      <c r="K210" s="141">
        <v>45292673</v>
      </c>
      <c r="L210" s="141">
        <v>1731021</v>
      </c>
      <c r="M210" s="141">
        <v>719400</v>
      </c>
      <c r="N210" s="141">
        <v>0</v>
      </c>
      <c r="O210" s="141">
        <v>46012073</v>
      </c>
      <c r="P210" s="141">
        <v>1731021</v>
      </c>
      <c r="Q210" s="141">
        <v>47743094</v>
      </c>
      <c r="R210" s="141">
        <v>-427038</v>
      </c>
      <c r="S210" s="141">
        <v>0</v>
      </c>
      <c r="T210" s="141">
        <v>-427038</v>
      </c>
      <c r="U210" s="141">
        <v>1232462</v>
      </c>
      <c r="V210" s="141">
        <v>10296</v>
      </c>
      <c r="W210" s="141">
        <v>1242758</v>
      </c>
      <c r="X210" s="141">
        <v>805424</v>
      </c>
      <c r="Y210" s="141">
        <v>10296</v>
      </c>
      <c r="Z210" s="141">
        <v>0</v>
      </c>
      <c r="AA210" s="141">
        <v>0</v>
      </c>
      <c r="AB210" s="141">
        <v>805424</v>
      </c>
      <c r="AC210" s="141">
        <v>10296</v>
      </c>
      <c r="AD210" s="141">
        <v>815720</v>
      </c>
      <c r="AE210" s="141">
        <v>-805424</v>
      </c>
      <c r="AF210" s="141">
        <v>-10296</v>
      </c>
      <c r="AG210" s="141">
        <v>-815720</v>
      </c>
      <c r="AH210" s="141">
        <v>-3943269</v>
      </c>
      <c r="AI210" s="141">
        <v>0</v>
      </c>
      <c r="AJ210" s="141">
        <v>-3943269</v>
      </c>
      <c r="AK210" s="141">
        <v>0</v>
      </c>
      <c r="AL210" s="141">
        <v>0</v>
      </c>
      <c r="AM210" s="141">
        <v>0</v>
      </c>
      <c r="AN210" s="141">
        <v>886678</v>
      </c>
      <c r="AO210" s="141">
        <v>45292</v>
      </c>
      <c r="AP210" s="141">
        <v>931970</v>
      </c>
      <c r="AQ210" s="141">
        <v>-3056591</v>
      </c>
      <c r="AR210" s="141">
        <v>45292</v>
      </c>
      <c r="AS210" s="141">
        <v>-3011299</v>
      </c>
      <c r="AT210" s="141">
        <v>-3581508</v>
      </c>
      <c r="AU210" s="141">
        <v>-20377</v>
      </c>
      <c r="AV210" s="141">
        <v>-3601885</v>
      </c>
      <c r="AW210" s="141">
        <v>-59259</v>
      </c>
      <c r="AX210" s="141">
        <v>0</v>
      </c>
      <c r="AY210" s="141">
        <v>-59259</v>
      </c>
      <c r="AZ210" s="141">
        <v>-2762</v>
      </c>
      <c r="BA210" s="141">
        <v>0</v>
      </c>
      <c r="BB210" s="141">
        <v>-2762</v>
      </c>
      <c r="BC210" s="141">
        <v>-6700120</v>
      </c>
      <c r="BD210" s="141">
        <v>24915</v>
      </c>
      <c r="BE210" s="141">
        <v>0</v>
      </c>
      <c r="BF210" s="141">
        <v>0</v>
      </c>
      <c r="BG210" s="141">
        <v>-6700120</v>
      </c>
      <c r="BH210" s="141">
        <v>24915</v>
      </c>
      <c r="BI210" s="141">
        <v>-6675205</v>
      </c>
      <c r="BJ210" s="141">
        <v>0</v>
      </c>
      <c r="BK210" s="141">
        <v>0</v>
      </c>
      <c r="BL210" s="141">
        <v>0</v>
      </c>
      <c r="BM210" s="141">
        <v>-754421</v>
      </c>
      <c r="BN210" s="141">
        <v>0</v>
      </c>
      <c r="BO210" s="141">
        <v>-754421</v>
      </c>
      <c r="BP210" s="141">
        <v>-754421</v>
      </c>
      <c r="BQ210" s="141">
        <v>0</v>
      </c>
      <c r="BR210" s="141">
        <v>0</v>
      </c>
      <c r="BS210" s="141">
        <v>0</v>
      </c>
      <c r="BT210" s="141">
        <v>-754421</v>
      </c>
      <c r="BU210" s="141">
        <v>0</v>
      </c>
      <c r="BV210" s="141">
        <v>-754421</v>
      </c>
      <c r="BW210" s="141">
        <v>-117184</v>
      </c>
      <c r="BX210" s="141">
        <v>0</v>
      </c>
      <c r="BY210" s="141">
        <v>-117184</v>
      </c>
      <c r="BZ210" s="141">
        <v>-37520</v>
      </c>
      <c r="CA210" s="141">
        <v>0</v>
      </c>
      <c r="CB210" s="141">
        <v>-37520</v>
      </c>
      <c r="CC210" s="141">
        <v>0</v>
      </c>
      <c r="CD210" s="141">
        <v>0</v>
      </c>
      <c r="CE210" s="141">
        <v>0</v>
      </c>
      <c r="CF210" s="141">
        <v>0</v>
      </c>
      <c r="CG210" s="141">
        <v>0</v>
      </c>
      <c r="CH210" s="141">
        <v>0</v>
      </c>
      <c r="CI210" s="141">
        <v>0</v>
      </c>
      <c r="CJ210" s="141">
        <v>0</v>
      </c>
      <c r="CK210" s="141">
        <v>0</v>
      </c>
      <c r="CL210" s="141">
        <v>0</v>
      </c>
      <c r="CM210" s="141">
        <v>0</v>
      </c>
      <c r="CN210" s="141">
        <v>0</v>
      </c>
      <c r="CO210" s="141">
        <v>0</v>
      </c>
      <c r="CP210" s="141">
        <v>0</v>
      </c>
      <c r="CQ210" s="141">
        <v>-154704</v>
      </c>
      <c r="CR210" s="141">
        <v>0</v>
      </c>
      <c r="CS210" s="141">
        <v>0</v>
      </c>
      <c r="CT210" s="141">
        <v>0</v>
      </c>
      <c r="CU210" s="141">
        <v>-154704</v>
      </c>
      <c r="CV210" s="141">
        <v>0</v>
      </c>
      <c r="CW210" s="141">
        <v>-154704</v>
      </c>
      <c r="CX210" s="141">
        <v>-2378</v>
      </c>
      <c r="CY210" s="141">
        <v>0</v>
      </c>
      <c r="CZ210" s="141">
        <v>-2378</v>
      </c>
      <c r="DA210" s="141">
        <v>0</v>
      </c>
      <c r="DB210" s="141">
        <v>0</v>
      </c>
      <c r="DC210" s="141">
        <v>0</v>
      </c>
      <c r="DD210" s="141">
        <v>-3225</v>
      </c>
      <c r="DE210" s="141">
        <v>0</v>
      </c>
      <c r="DF210" s="141">
        <v>-3225</v>
      </c>
      <c r="DG210" s="141">
        <v>-36000</v>
      </c>
      <c r="DH210" s="141">
        <v>0</v>
      </c>
      <c r="DI210" s="141">
        <v>-36000</v>
      </c>
      <c r="DJ210" s="141">
        <v>0</v>
      </c>
      <c r="DK210" s="141">
        <v>0</v>
      </c>
      <c r="DL210" s="141">
        <v>0</v>
      </c>
      <c r="DM210" s="141">
        <v>-779571</v>
      </c>
      <c r="DN210" s="141">
        <v>0</v>
      </c>
      <c r="DO210" s="141">
        <v>-779571</v>
      </c>
      <c r="DP210" s="141">
        <v>-821174</v>
      </c>
      <c r="DQ210" s="141">
        <v>0</v>
      </c>
      <c r="DR210" s="141">
        <v>0</v>
      </c>
      <c r="DS210" s="141">
        <v>0</v>
      </c>
      <c r="DT210" s="141">
        <v>-821174</v>
      </c>
      <c r="DU210" s="141">
        <v>0</v>
      </c>
      <c r="DV210" s="141">
        <v>-821174</v>
      </c>
      <c r="DW210" s="856">
        <v>38387078</v>
      </c>
      <c r="DX210" s="856">
        <v>1766232</v>
      </c>
      <c r="DY210" s="857">
        <v>40153310</v>
      </c>
      <c r="DZ210" t="s">
        <v>1776</v>
      </c>
    </row>
    <row r="211" spans="1:130" ht="12.75" x14ac:dyDescent="0.2">
      <c r="A211" s="764">
        <v>204</v>
      </c>
      <c r="B211" s="765" t="s">
        <v>297</v>
      </c>
      <c r="C211" s="766" t="s">
        <v>1217</v>
      </c>
      <c r="D211" s="767" t="s">
        <v>1227</v>
      </c>
      <c r="E211" s="768" t="s">
        <v>296</v>
      </c>
      <c r="F211" s="867">
        <v>45</v>
      </c>
      <c r="G211" s="141">
        <v>81213039</v>
      </c>
      <c r="H211" s="141">
        <v>0</v>
      </c>
      <c r="I211" s="141">
        <v>81213039</v>
      </c>
      <c r="J211" s="141">
        <v>49.1</v>
      </c>
      <c r="K211" s="141">
        <v>39875602</v>
      </c>
      <c r="L211" s="141">
        <v>0</v>
      </c>
      <c r="M211" s="141">
        <v>0</v>
      </c>
      <c r="N211" s="141">
        <v>0</v>
      </c>
      <c r="O211" s="141">
        <v>39875602</v>
      </c>
      <c r="P211" s="141">
        <v>0</v>
      </c>
      <c r="Q211" s="141">
        <v>39875602</v>
      </c>
      <c r="R211" s="141">
        <v>-137716</v>
      </c>
      <c r="S211" s="141">
        <v>0</v>
      </c>
      <c r="T211" s="141">
        <v>-137716</v>
      </c>
      <c r="U211" s="141">
        <v>711836</v>
      </c>
      <c r="V211" s="141">
        <v>0</v>
      </c>
      <c r="W211" s="141">
        <v>711836</v>
      </c>
      <c r="X211" s="141">
        <v>574120</v>
      </c>
      <c r="Y211" s="141">
        <v>0</v>
      </c>
      <c r="Z211" s="141">
        <v>0</v>
      </c>
      <c r="AA211" s="141">
        <v>0</v>
      </c>
      <c r="AB211" s="141">
        <v>574120</v>
      </c>
      <c r="AC211" s="141">
        <v>0</v>
      </c>
      <c r="AD211" s="141">
        <v>574120</v>
      </c>
      <c r="AE211" s="141">
        <v>-574120</v>
      </c>
      <c r="AF211" s="141">
        <v>0</v>
      </c>
      <c r="AG211" s="141">
        <v>-574120</v>
      </c>
      <c r="AH211" s="141">
        <v>-2694464</v>
      </c>
      <c r="AI211" s="141">
        <v>0</v>
      </c>
      <c r="AJ211" s="141">
        <v>-2694464</v>
      </c>
      <c r="AK211" s="141">
        <v>0</v>
      </c>
      <c r="AL211" s="141">
        <v>0</v>
      </c>
      <c r="AM211" s="141">
        <v>0</v>
      </c>
      <c r="AN211" s="141">
        <v>751387</v>
      </c>
      <c r="AO211" s="141">
        <v>0</v>
      </c>
      <c r="AP211" s="141">
        <v>751387</v>
      </c>
      <c r="AQ211" s="141">
        <v>-1943077</v>
      </c>
      <c r="AR211" s="141">
        <v>0</v>
      </c>
      <c r="AS211" s="141">
        <v>-1943077</v>
      </c>
      <c r="AT211" s="141">
        <v>-1300392</v>
      </c>
      <c r="AU211" s="141">
        <v>0</v>
      </c>
      <c r="AV211" s="141">
        <v>-1300392</v>
      </c>
      <c r="AW211" s="141">
        <v>-14485</v>
      </c>
      <c r="AX211" s="141">
        <v>0</v>
      </c>
      <c r="AY211" s="141">
        <v>-14485</v>
      </c>
      <c r="AZ211" s="141">
        <v>-1663</v>
      </c>
      <c r="BA211" s="141">
        <v>0</v>
      </c>
      <c r="BB211" s="141">
        <v>-1663</v>
      </c>
      <c r="BC211" s="141">
        <v>-3259617</v>
      </c>
      <c r="BD211" s="141">
        <v>0</v>
      </c>
      <c r="BE211" s="141">
        <v>0</v>
      </c>
      <c r="BF211" s="141">
        <v>0</v>
      </c>
      <c r="BG211" s="141">
        <v>-3259617</v>
      </c>
      <c r="BH211" s="141">
        <v>0</v>
      </c>
      <c r="BI211" s="141">
        <v>-3259617</v>
      </c>
      <c r="BJ211" s="141">
        <v>0</v>
      </c>
      <c r="BK211" s="141">
        <v>0</v>
      </c>
      <c r="BL211" s="141">
        <v>0</v>
      </c>
      <c r="BM211" s="141">
        <v>-1116517</v>
      </c>
      <c r="BN211" s="141">
        <v>0</v>
      </c>
      <c r="BO211" s="141">
        <v>-1116517</v>
      </c>
      <c r="BP211" s="141">
        <v>-1116517</v>
      </c>
      <c r="BQ211" s="141">
        <v>0</v>
      </c>
      <c r="BR211" s="141">
        <v>0</v>
      </c>
      <c r="BS211" s="141">
        <v>0</v>
      </c>
      <c r="BT211" s="141">
        <v>-1116517</v>
      </c>
      <c r="BU211" s="141">
        <v>0</v>
      </c>
      <c r="BV211" s="141">
        <v>-1116517</v>
      </c>
      <c r="BW211" s="141">
        <v>-26017</v>
      </c>
      <c r="BX211" s="141">
        <v>0</v>
      </c>
      <c r="BY211" s="141">
        <v>-26017</v>
      </c>
      <c r="BZ211" s="141">
        <v>-294444</v>
      </c>
      <c r="CA211" s="141">
        <v>0</v>
      </c>
      <c r="CB211" s="141">
        <v>-294444</v>
      </c>
      <c r="CC211" s="141">
        <v>0</v>
      </c>
      <c r="CD211" s="141">
        <v>0</v>
      </c>
      <c r="CE211" s="141">
        <v>0</v>
      </c>
      <c r="CF211" s="141">
        <v>0</v>
      </c>
      <c r="CG211" s="141">
        <v>0</v>
      </c>
      <c r="CH211" s="141">
        <v>0</v>
      </c>
      <c r="CI211" s="141">
        <v>0</v>
      </c>
      <c r="CJ211" s="141">
        <v>0</v>
      </c>
      <c r="CK211" s="141">
        <v>0</v>
      </c>
      <c r="CL211" s="141">
        <v>0</v>
      </c>
      <c r="CM211" s="141">
        <v>0</v>
      </c>
      <c r="CN211" s="141">
        <v>0</v>
      </c>
      <c r="CO211" s="141">
        <v>0</v>
      </c>
      <c r="CP211" s="141">
        <v>0</v>
      </c>
      <c r="CQ211" s="141">
        <v>-320461</v>
      </c>
      <c r="CR211" s="141">
        <v>0</v>
      </c>
      <c r="CS211" s="141">
        <v>0</v>
      </c>
      <c r="CT211" s="141">
        <v>0</v>
      </c>
      <c r="CU211" s="141">
        <v>-320461</v>
      </c>
      <c r="CV211" s="141">
        <v>0</v>
      </c>
      <c r="CW211" s="141">
        <v>-320461</v>
      </c>
      <c r="CX211" s="141">
        <v>-1663</v>
      </c>
      <c r="CY211" s="141">
        <v>0</v>
      </c>
      <c r="CZ211" s="141">
        <v>-1663</v>
      </c>
      <c r="DA211" s="141">
        <v>-1500</v>
      </c>
      <c r="DB211" s="141">
        <v>0</v>
      </c>
      <c r="DC211" s="141">
        <v>-1500</v>
      </c>
      <c r="DD211" s="141">
        <v>-7656</v>
      </c>
      <c r="DE211" s="141">
        <v>0</v>
      </c>
      <c r="DF211" s="141">
        <v>-7656</v>
      </c>
      <c r="DG211" s="141">
        <v>-2180</v>
      </c>
      <c r="DH211" s="141">
        <v>0</v>
      </c>
      <c r="DI211" s="141">
        <v>-2180</v>
      </c>
      <c r="DJ211" s="141">
        <v>0</v>
      </c>
      <c r="DK211" s="141">
        <v>0</v>
      </c>
      <c r="DL211" s="141">
        <v>0</v>
      </c>
      <c r="DM211" s="141">
        <v>-616452</v>
      </c>
      <c r="DN211" s="141">
        <v>0</v>
      </c>
      <c r="DO211" s="141">
        <v>-616452</v>
      </c>
      <c r="DP211" s="141">
        <v>-629451</v>
      </c>
      <c r="DQ211" s="141">
        <v>0</v>
      </c>
      <c r="DR211" s="141">
        <v>0</v>
      </c>
      <c r="DS211" s="141">
        <v>0</v>
      </c>
      <c r="DT211" s="141">
        <v>-629451</v>
      </c>
      <c r="DU211" s="141">
        <v>0</v>
      </c>
      <c r="DV211" s="141">
        <v>-629451</v>
      </c>
      <c r="DW211" s="856">
        <v>35123676</v>
      </c>
      <c r="DX211" s="856">
        <v>0</v>
      </c>
      <c r="DY211" s="857">
        <v>35123676</v>
      </c>
      <c r="DZ211" t="s">
        <v>1777</v>
      </c>
    </row>
    <row r="212" spans="1:130" ht="12.75" x14ac:dyDescent="0.2">
      <c r="A212" s="764">
        <v>205</v>
      </c>
      <c r="B212" s="765" t="s">
        <v>299</v>
      </c>
      <c r="C212" s="766" t="s">
        <v>1217</v>
      </c>
      <c r="D212" s="767" t="s">
        <v>1218</v>
      </c>
      <c r="E212" s="768" t="s">
        <v>298</v>
      </c>
      <c r="F212" s="867">
        <v>43472</v>
      </c>
      <c r="G212" s="141">
        <v>134691489</v>
      </c>
      <c r="H212" s="141">
        <v>0</v>
      </c>
      <c r="I212" s="141">
        <v>134691489</v>
      </c>
      <c r="J212" s="141">
        <v>49.1</v>
      </c>
      <c r="K212" s="141">
        <v>66133521</v>
      </c>
      <c r="L212" s="141">
        <v>0</v>
      </c>
      <c r="M212" s="141">
        <v>0</v>
      </c>
      <c r="N212" s="141">
        <v>0</v>
      </c>
      <c r="O212" s="141">
        <v>66133521</v>
      </c>
      <c r="P212" s="141">
        <v>0</v>
      </c>
      <c r="Q212" s="141">
        <v>66133521</v>
      </c>
      <c r="R212" s="141">
        <v>-537292</v>
      </c>
      <c r="S212" s="141">
        <v>0</v>
      </c>
      <c r="T212" s="141">
        <v>-537292</v>
      </c>
      <c r="U212" s="141">
        <v>366457</v>
      </c>
      <c r="V212" s="141">
        <v>0</v>
      </c>
      <c r="W212" s="141">
        <v>366457</v>
      </c>
      <c r="X212" s="141">
        <v>-170835</v>
      </c>
      <c r="Y212" s="141">
        <v>0</v>
      </c>
      <c r="Z212" s="141">
        <v>0</v>
      </c>
      <c r="AA212" s="141">
        <v>0</v>
      </c>
      <c r="AB212" s="141">
        <v>-170835</v>
      </c>
      <c r="AC212" s="141">
        <v>0</v>
      </c>
      <c r="AD212" s="141">
        <v>-170835</v>
      </c>
      <c r="AE212" s="141">
        <v>170835</v>
      </c>
      <c r="AF212" s="141">
        <v>0</v>
      </c>
      <c r="AG212" s="141">
        <v>170835</v>
      </c>
      <c r="AH212" s="141">
        <v>-3460567</v>
      </c>
      <c r="AI212" s="141">
        <v>0</v>
      </c>
      <c r="AJ212" s="141">
        <v>-3460567</v>
      </c>
      <c r="AK212" s="141">
        <v>-4280</v>
      </c>
      <c r="AL212" s="141">
        <v>0</v>
      </c>
      <c r="AM212" s="141">
        <v>-4280</v>
      </c>
      <c r="AN212" s="141">
        <v>1298603</v>
      </c>
      <c r="AO212" s="141">
        <v>0</v>
      </c>
      <c r="AP212" s="141">
        <v>1298603</v>
      </c>
      <c r="AQ212" s="141">
        <v>-2161964</v>
      </c>
      <c r="AR212" s="141">
        <v>0</v>
      </c>
      <c r="AS212" s="141">
        <v>-2161964</v>
      </c>
      <c r="AT212" s="141">
        <v>-4215966</v>
      </c>
      <c r="AU212" s="141">
        <v>0</v>
      </c>
      <c r="AV212" s="141">
        <v>-4215966</v>
      </c>
      <c r="AW212" s="141">
        <v>-68695</v>
      </c>
      <c r="AX212" s="141">
        <v>0</v>
      </c>
      <c r="AY212" s="141">
        <v>-68695</v>
      </c>
      <c r="AZ212" s="141">
        <v>0</v>
      </c>
      <c r="BA212" s="141">
        <v>0</v>
      </c>
      <c r="BB212" s="141">
        <v>0</v>
      </c>
      <c r="BC212" s="141">
        <v>-6446625</v>
      </c>
      <c r="BD212" s="141">
        <v>0</v>
      </c>
      <c r="BE212" s="141">
        <v>0</v>
      </c>
      <c r="BF212" s="141">
        <v>0</v>
      </c>
      <c r="BG212" s="141">
        <v>-6446625</v>
      </c>
      <c r="BH212" s="141">
        <v>0</v>
      </c>
      <c r="BI212" s="141">
        <v>-6446625</v>
      </c>
      <c r="BJ212" s="141">
        <v>-250000</v>
      </c>
      <c r="BK212" s="141">
        <v>0</v>
      </c>
      <c r="BL212" s="141">
        <v>-250000</v>
      </c>
      <c r="BM212" s="141">
        <v>-2638765</v>
      </c>
      <c r="BN212" s="141">
        <v>0</v>
      </c>
      <c r="BO212" s="141">
        <v>-2638765</v>
      </c>
      <c r="BP212" s="141">
        <v>-2888765</v>
      </c>
      <c r="BQ212" s="141">
        <v>0</v>
      </c>
      <c r="BR212" s="141">
        <v>0</v>
      </c>
      <c r="BS212" s="141">
        <v>0</v>
      </c>
      <c r="BT212" s="141">
        <v>-2888765</v>
      </c>
      <c r="BU212" s="141">
        <v>0</v>
      </c>
      <c r="BV212" s="141">
        <v>-2888765</v>
      </c>
      <c r="BW212" s="141">
        <v>-58000</v>
      </c>
      <c r="BX212" s="141">
        <v>0</v>
      </c>
      <c r="BY212" s="141">
        <v>-58000</v>
      </c>
      <c r="BZ212" s="141">
        <v>-8000</v>
      </c>
      <c r="CA212" s="141">
        <v>0</v>
      </c>
      <c r="CB212" s="141">
        <v>-8000</v>
      </c>
      <c r="CC212" s="141">
        <v>-2000</v>
      </c>
      <c r="CD212" s="141">
        <v>0</v>
      </c>
      <c r="CE212" s="141">
        <v>-2000</v>
      </c>
      <c r="CF212" s="141">
        <v>0</v>
      </c>
      <c r="CG212" s="141">
        <v>0</v>
      </c>
      <c r="CH212" s="141">
        <v>0</v>
      </c>
      <c r="CI212" s="141">
        <v>0</v>
      </c>
      <c r="CJ212" s="141">
        <v>0</v>
      </c>
      <c r="CK212" s="141">
        <v>0</v>
      </c>
      <c r="CL212" s="141">
        <v>0</v>
      </c>
      <c r="CM212" s="141">
        <v>0</v>
      </c>
      <c r="CN212" s="141">
        <v>0</v>
      </c>
      <c r="CO212" s="141">
        <v>0</v>
      </c>
      <c r="CP212" s="141">
        <v>0</v>
      </c>
      <c r="CQ212" s="141">
        <v>-68000</v>
      </c>
      <c r="CR212" s="141">
        <v>0</v>
      </c>
      <c r="CS212" s="141">
        <v>0</v>
      </c>
      <c r="CT212" s="141">
        <v>0</v>
      </c>
      <c r="CU212" s="141">
        <v>-68000</v>
      </c>
      <c r="CV212" s="141">
        <v>0</v>
      </c>
      <c r="CW212" s="141">
        <v>-68000</v>
      </c>
      <c r="CX212" s="141">
        <v>0</v>
      </c>
      <c r="CY212" s="141">
        <v>0</v>
      </c>
      <c r="CZ212" s="141">
        <v>0</v>
      </c>
      <c r="DA212" s="141">
        <v>0</v>
      </c>
      <c r="DB212" s="141">
        <v>0</v>
      </c>
      <c r="DC212" s="141">
        <v>0</v>
      </c>
      <c r="DD212" s="141">
        <v>-24000</v>
      </c>
      <c r="DE212" s="141">
        <v>0</v>
      </c>
      <c r="DF212" s="141">
        <v>-24000</v>
      </c>
      <c r="DG212" s="141">
        <v>0</v>
      </c>
      <c r="DH212" s="141">
        <v>0</v>
      </c>
      <c r="DI212" s="141">
        <v>0</v>
      </c>
      <c r="DJ212" s="141">
        <v>0</v>
      </c>
      <c r="DK212" s="141">
        <v>0</v>
      </c>
      <c r="DL212" s="141">
        <v>0</v>
      </c>
      <c r="DM212" s="141">
        <v>-1920000</v>
      </c>
      <c r="DN212" s="141">
        <v>0</v>
      </c>
      <c r="DO212" s="141">
        <v>-1920000</v>
      </c>
      <c r="DP212" s="141">
        <v>-1944000</v>
      </c>
      <c r="DQ212" s="141">
        <v>0</v>
      </c>
      <c r="DR212" s="141">
        <v>0</v>
      </c>
      <c r="DS212" s="141">
        <v>0</v>
      </c>
      <c r="DT212" s="141">
        <v>-1944000</v>
      </c>
      <c r="DU212" s="141">
        <v>0</v>
      </c>
      <c r="DV212" s="141">
        <v>-1944000</v>
      </c>
      <c r="DW212" s="856">
        <v>54615296</v>
      </c>
      <c r="DX212" s="856">
        <v>0</v>
      </c>
      <c r="DY212" s="857">
        <v>54615296</v>
      </c>
      <c r="DZ212" t="s">
        <v>1778</v>
      </c>
    </row>
    <row r="213" spans="1:130" ht="12.75" x14ac:dyDescent="0.2">
      <c r="A213" s="764">
        <v>206</v>
      </c>
      <c r="B213" s="765" t="s">
        <v>301</v>
      </c>
      <c r="C213" s="766" t="s">
        <v>1217</v>
      </c>
      <c r="D213" s="767" t="s">
        <v>1219</v>
      </c>
      <c r="E213" s="768" t="s">
        <v>300</v>
      </c>
      <c r="F213" s="867">
        <v>43474</v>
      </c>
      <c r="G213" s="141">
        <v>37954873</v>
      </c>
      <c r="H213" s="141">
        <v>4382500</v>
      </c>
      <c r="I213" s="141">
        <v>42337373</v>
      </c>
      <c r="J213" s="141">
        <v>49.1</v>
      </c>
      <c r="K213" s="141">
        <v>18635843</v>
      </c>
      <c r="L213" s="141">
        <v>2151808</v>
      </c>
      <c r="M213" s="141">
        <v>0</v>
      </c>
      <c r="N213" s="141">
        <v>0</v>
      </c>
      <c r="O213" s="141">
        <v>18635843</v>
      </c>
      <c r="P213" s="141">
        <v>2151808</v>
      </c>
      <c r="Q213" s="141">
        <v>20787651</v>
      </c>
      <c r="R213" s="141">
        <v>-210377</v>
      </c>
      <c r="S213" s="141">
        <v>0</v>
      </c>
      <c r="T213" s="141">
        <v>-210377</v>
      </c>
      <c r="U213" s="141">
        <v>41779</v>
      </c>
      <c r="V213" s="141">
        <v>0</v>
      </c>
      <c r="W213" s="141">
        <v>41779</v>
      </c>
      <c r="X213" s="141">
        <v>-168598</v>
      </c>
      <c r="Y213" s="141">
        <v>0</v>
      </c>
      <c r="Z213" s="141">
        <v>0</v>
      </c>
      <c r="AA213" s="141">
        <v>0</v>
      </c>
      <c r="AB213" s="141">
        <v>-168598</v>
      </c>
      <c r="AC213" s="141">
        <v>0</v>
      </c>
      <c r="AD213" s="141">
        <v>-168598</v>
      </c>
      <c r="AE213" s="141">
        <v>168598</v>
      </c>
      <c r="AF213" s="141">
        <v>0</v>
      </c>
      <c r="AG213" s="141">
        <v>168598</v>
      </c>
      <c r="AH213" s="141">
        <v>-3117714</v>
      </c>
      <c r="AI213" s="141">
        <v>0</v>
      </c>
      <c r="AJ213" s="141">
        <v>-3117714</v>
      </c>
      <c r="AK213" s="141">
        <v>-16705</v>
      </c>
      <c r="AL213" s="141">
        <v>0</v>
      </c>
      <c r="AM213" s="141">
        <v>-16705</v>
      </c>
      <c r="AN213" s="141">
        <v>283675</v>
      </c>
      <c r="AO213" s="141">
        <v>56972</v>
      </c>
      <c r="AP213" s="141">
        <v>340647</v>
      </c>
      <c r="AQ213" s="141">
        <v>-2834039</v>
      </c>
      <c r="AR213" s="141">
        <v>56972</v>
      </c>
      <c r="AS213" s="141">
        <v>-2777067</v>
      </c>
      <c r="AT213" s="141">
        <v>-1103709</v>
      </c>
      <c r="AU213" s="141">
        <v>0</v>
      </c>
      <c r="AV213" s="141">
        <v>-1103709</v>
      </c>
      <c r="AW213" s="141">
        <v>-44170</v>
      </c>
      <c r="AX213" s="141">
        <v>0</v>
      </c>
      <c r="AY213" s="141">
        <v>-44170</v>
      </c>
      <c r="AZ213" s="141">
        <v>-20101</v>
      </c>
      <c r="BA213" s="141">
        <v>0</v>
      </c>
      <c r="BB213" s="141">
        <v>-20101</v>
      </c>
      <c r="BC213" s="141">
        <v>-4002019</v>
      </c>
      <c r="BD213" s="141">
        <v>56972</v>
      </c>
      <c r="BE213" s="141">
        <v>0</v>
      </c>
      <c r="BF213" s="141">
        <v>0</v>
      </c>
      <c r="BG213" s="141">
        <v>-4002019</v>
      </c>
      <c r="BH213" s="141">
        <v>56972</v>
      </c>
      <c r="BI213" s="141">
        <v>-3945047</v>
      </c>
      <c r="BJ213" s="141">
        <v>0</v>
      </c>
      <c r="BK213" s="141">
        <v>0</v>
      </c>
      <c r="BL213" s="141">
        <v>0</v>
      </c>
      <c r="BM213" s="141">
        <v>-308307</v>
      </c>
      <c r="BN213" s="141">
        <v>0</v>
      </c>
      <c r="BO213" s="141">
        <v>-308307</v>
      </c>
      <c r="BP213" s="141">
        <v>-308307</v>
      </c>
      <c r="BQ213" s="141">
        <v>0</v>
      </c>
      <c r="BR213" s="141">
        <v>0</v>
      </c>
      <c r="BS213" s="141">
        <v>0</v>
      </c>
      <c r="BT213" s="141">
        <v>-308307</v>
      </c>
      <c r="BU213" s="141">
        <v>0</v>
      </c>
      <c r="BV213" s="141">
        <v>-308307</v>
      </c>
      <c r="BW213" s="141">
        <v>-33368</v>
      </c>
      <c r="BX213" s="141">
        <v>0</v>
      </c>
      <c r="BY213" s="141">
        <v>-33368</v>
      </c>
      <c r="BZ213" s="141">
        <v>0</v>
      </c>
      <c r="CA213" s="141">
        <v>0</v>
      </c>
      <c r="CB213" s="141">
        <v>0</v>
      </c>
      <c r="CC213" s="141">
        <v>0</v>
      </c>
      <c r="CD213" s="141">
        <v>0</v>
      </c>
      <c r="CE213" s="141">
        <v>0</v>
      </c>
      <c r="CF213" s="141">
        <v>0</v>
      </c>
      <c r="CG213" s="141">
        <v>0</v>
      </c>
      <c r="CH213" s="141">
        <v>0</v>
      </c>
      <c r="CI213" s="141">
        <v>-1964</v>
      </c>
      <c r="CJ213" s="141">
        <v>0</v>
      </c>
      <c r="CK213" s="141">
        <v>-1964</v>
      </c>
      <c r="CL213" s="141">
        <v>0</v>
      </c>
      <c r="CM213" s="141">
        <v>0</v>
      </c>
      <c r="CN213" s="141">
        <v>0</v>
      </c>
      <c r="CO213" s="141">
        <v>0</v>
      </c>
      <c r="CP213" s="141">
        <v>0</v>
      </c>
      <c r="CQ213" s="141">
        <v>-35332</v>
      </c>
      <c r="CR213" s="141">
        <v>0</v>
      </c>
      <c r="CS213" s="141">
        <v>0</v>
      </c>
      <c r="CT213" s="141">
        <v>0</v>
      </c>
      <c r="CU213" s="141">
        <v>-35332</v>
      </c>
      <c r="CV213" s="141">
        <v>0</v>
      </c>
      <c r="CW213" s="141">
        <v>-35332</v>
      </c>
      <c r="CX213" s="141">
        <v>-20101</v>
      </c>
      <c r="CY213" s="141">
        <v>0</v>
      </c>
      <c r="CZ213" s="141">
        <v>-20101</v>
      </c>
      <c r="DA213" s="141">
        <v>0</v>
      </c>
      <c r="DB213" s="141">
        <v>0</v>
      </c>
      <c r="DC213" s="141">
        <v>0</v>
      </c>
      <c r="DD213" s="141">
        <v>-13319</v>
      </c>
      <c r="DE213" s="141">
        <v>0</v>
      </c>
      <c r="DF213" s="141">
        <v>-13319</v>
      </c>
      <c r="DG213" s="141">
        <v>-20826</v>
      </c>
      <c r="DH213" s="141">
        <v>0</v>
      </c>
      <c r="DI213" s="141">
        <v>-20826</v>
      </c>
      <c r="DJ213" s="141">
        <v>0</v>
      </c>
      <c r="DK213" s="141">
        <v>0</v>
      </c>
      <c r="DL213" s="141">
        <v>0</v>
      </c>
      <c r="DM213" s="141">
        <v>-500000</v>
      </c>
      <c r="DN213" s="141">
        <v>0</v>
      </c>
      <c r="DO213" s="141">
        <v>-500000</v>
      </c>
      <c r="DP213" s="141">
        <v>-554246</v>
      </c>
      <c r="DQ213" s="141">
        <v>0</v>
      </c>
      <c r="DR213" s="141">
        <v>0</v>
      </c>
      <c r="DS213" s="141">
        <v>0</v>
      </c>
      <c r="DT213" s="141">
        <v>-554246</v>
      </c>
      <c r="DU213" s="141">
        <v>0</v>
      </c>
      <c r="DV213" s="141">
        <v>-554246</v>
      </c>
      <c r="DW213" s="856">
        <v>13567341</v>
      </c>
      <c r="DX213" s="856">
        <v>2208780</v>
      </c>
      <c r="DY213" s="857">
        <v>15776121</v>
      </c>
      <c r="DZ213" t="s">
        <v>1779</v>
      </c>
    </row>
    <row r="214" spans="1:130" ht="12.75" x14ac:dyDescent="0.2">
      <c r="A214" s="764">
        <v>207</v>
      </c>
      <c r="B214" s="765" t="s">
        <v>303</v>
      </c>
      <c r="C214" s="766" t="s">
        <v>1222</v>
      </c>
      <c r="D214" s="767" t="s">
        <v>1223</v>
      </c>
      <c r="E214" s="768" t="s">
        <v>302</v>
      </c>
      <c r="F214" s="867">
        <v>43460</v>
      </c>
      <c r="G214" s="141">
        <v>226841855</v>
      </c>
      <c r="H214" s="141">
        <v>0</v>
      </c>
      <c r="I214" s="141">
        <v>226841855</v>
      </c>
      <c r="J214" s="141">
        <v>49.1</v>
      </c>
      <c r="K214" s="141">
        <v>111379351</v>
      </c>
      <c r="L214" s="141">
        <v>0</v>
      </c>
      <c r="M214" s="141">
        <v>0</v>
      </c>
      <c r="N214" s="141">
        <v>0</v>
      </c>
      <c r="O214" s="141">
        <v>111379351</v>
      </c>
      <c r="P214" s="141">
        <v>0</v>
      </c>
      <c r="Q214" s="141">
        <v>111379351</v>
      </c>
      <c r="R214" s="141">
        <v>-939780</v>
      </c>
      <c r="S214" s="141">
        <v>0</v>
      </c>
      <c r="T214" s="141">
        <v>-939780</v>
      </c>
      <c r="U214" s="141">
        <v>243761</v>
      </c>
      <c r="V214" s="141">
        <v>0</v>
      </c>
      <c r="W214" s="141">
        <v>243761</v>
      </c>
      <c r="X214" s="141">
        <v>-696019</v>
      </c>
      <c r="Y214" s="141">
        <v>0</v>
      </c>
      <c r="Z214" s="141">
        <v>0</v>
      </c>
      <c r="AA214" s="141">
        <v>0</v>
      </c>
      <c r="AB214" s="141">
        <v>-696019</v>
      </c>
      <c r="AC214" s="141">
        <v>0</v>
      </c>
      <c r="AD214" s="141">
        <v>-696019</v>
      </c>
      <c r="AE214" s="141">
        <v>696019</v>
      </c>
      <c r="AF214" s="141">
        <v>0</v>
      </c>
      <c r="AG214" s="141">
        <v>696019</v>
      </c>
      <c r="AH214" s="141">
        <v>-4577891</v>
      </c>
      <c r="AI214" s="141">
        <v>0</v>
      </c>
      <c r="AJ214" s="141">
        <v>-4577891</v>
      </c>
      <c r="AK214" s="141">
        <v>0</v>
      </c>
      <c r="AL214" s="141">
        <v>0</v>
      </c>
      <c r="AM214" s="141">
        <v>0</v>
      </c>
      <c r="AN214" s="141">
        <v>1858873</v>
      </c>
      <c r="AO214" s="141">
        <v>0</v>
      </c>
      <c r="AP214" s="141">
        <v>1858873</v>
      </c>
      <c r="AQ214" s="141">
        <v>-2719018</v>
      </c>
      <c r="AR214" s="141">
        <v>0</v>
      </c>
      <c r="AS214" s="141">
        <v>-2719018</v>
      </c>
      <c r="AT214" s="141">
        <v>-11337084</v>
      </c>
      <c r="AU214" s="141">
        <v>0</v>
      </c>
      <c r="AV214" s="141">
        <v>-11337084</v>
      </c>
      <c r="AW214" s="141">
        <v>-73390</v>
      </c>
      <c r="AX214" s="141">
        <v>0</v>
      </c>
      <c r="AY214" s="141">
        <v>-73390</v>
      </c>
      <c r="AZ214" s="141">
        <v>0</v>
      </c>
      <c r="BA214" s="141">
        <v>0</v>
      </c>
      <c r="BB214" s="141">
        <v>0</v>
      </c>
      <c r="BC214" s="141">
        <v>-14129492</v>
      </c>
      <c r="BD214" s="141">
        <v>0</v>
      </c>
      <c r="BE214" s="141">
        <v>0</v>
      </c>
      <c r="BF214" s="141">
        <v>0</v>
      </c>
      <c r="BG214" s="141">
        <v>-14129492</v>
      </c>
      <c r="BH214" s="141">
        <v>0</v>
      </c>
      <c r="BI214" s="141">
        <v>-14129492</v>
      </c>
      <c r="BJ214" s="141">
        <v>0</v>
      </c>
      <c r="BK214" s="141">
        <v>0</v>
      </c>
      <c r="BL214" s="141">
        <v>0</v>
      </c>
      <c r="BM214" s="141">
        <v>-1605735</v>
      </c>
      <c r="BN214" s="141">
        <v>0</v>
      </c>
      <c r="BO214" s="141">
        <v>-1605735</v>
      </c>
      <c r="BP214" s="141">
        <v>-1605735</v>
      </c>
      <c r="BQ214" s="141">
        <v>0</v>
      </c>
      <c r="BR214" s="141">
        <v>0</v>
      </c>
      <c r="BS214" s="141">
        <v>0</v>
      </c>
      <c r="BT214" s="141">
        <v>-1605735</v>
      </c>
      <c r="BU214" s="141">
        <v>0</v>
      </c>
      <c r="BV214" s="141">
        <v>-1605735</v>
      </c>
      <c r="BW214" s="141">
        <v>-99056</v>
      </c>
      <c r="BX214" s="141">
        <v>0</v>
      </c>
      <c r="BY214" s="141">
        <v>-99056</v>
      </c>
      <c r="BZ214" s="141">
        <v>-73017</v>
      </c>
      <c r="CA214" s="141">
        <v>0</v>
      </c>
      <c r="CB214" s="141">
        <v>-73017</v>
      </c>
      <c r="CC214" s="141">
        <v>-7282</v>
      </c>
      <c r="CD214" s="141">
        <v>0</v>
      </c>
      <c r="CE214" s="141">
        <v>-7282</v>
      </c>
      <c r="CF214" s="141">
        <v>0</v>
      </c>
      <c r="CG214" s="141">
        <v>0</v>
      </c>
      <c r="CH214" s="141">
        <v>0</v>
      </c>
      <c r="CI214" s="141">
        <v>0</v>
      </c>
      <c r="CJ214" s="141">
        <v>0</v>
      </c>
      <c r="CK214" s="141">
        <v>0</v>
      </c>
      <c r="CL214" s="141">
        <v>0</v>
      </c>
      <c r="CM214" s="141">
        <v>0</v>
      </c>
      <c r="CN214" s="141">
        <v>0</v>
      </c>
      <c r="CO214" s="141">
        <v>0</v>
      </c>
      <c r="CP214" s="141">
        <v>0</v>
      </c>
      <c r="CQ214" s="141">
        <v>-179355</v>
      </c>
      <c r="CR214" s="141">
        <v>0</v>
      </c>
      <c r="CS214" s="141">
        <v>0</v>
      </c>
      <c r="CT214" s="141">
        <v>0</v>
      </c>
      <c r="CU214" s="141">
        <v>-179355</v>
      </c>
      <c r="CV214" s="141">
        <v>0</v>
      </c>
      <c r="CW214" s="141">
        <v>-179355</v>
      </c>
      <c r="CX214" s="141">
        <v>0</v>
      </c>
      <c r="CY214" s="141">
        <v>0</v>
      </c>
      <c r="CZ214" s="141">
        <v>0</v>
      </c>
      <c r="DA214" s="141">
        <v>0</v>
      </c>
      <c r="DB214" s="141">
        <v>0</v>
      </c>
      <c r="DC214" s="141">
        <v>0</v>
      </c>
      <c r="DD214" s="141">
        <v>-33099</v>
      </c>
      <c r="DE214" s="141">
        <v>0</v>
      </c>
      <c r="DF214" s="141">
        <v>-33099</v>
      </c>
      <c r="DG214" s="141">
        <v>-133000</v>
      </c>
      <c r="DH214" s="141">
        <v>0</v>
      </c>
      <c r="DI214" s="141">
        <v>-133000</v>
      </c>
      <c r="DJ214" s="141">
        <v>0</v>
      </c>
      <c r="DK214" s="141">
        <v>0</v>
      </c>
      <c r="DL214" s="141">
        <v>0</v>
      </c>
      <c r="DM214" s="141">
        <v>-4437500</v>
      </c>
      <c r="DN214" s="141">
        <v>0</v>
      </c>
      <c r="DO214" s="141">
        <v>-4437500</v>
      </c>
      <c r="DP214" s="141">
        <v>-4603599</v>
      </c>
      <c r="DQ214" s="141">
        <v>0</v>
      </c>
      <c r="DR214" s="141">
        <v>0</v>
      </c>
      <c r="DS214" s="141">
        <v>0</v>
      </c>
      <c r="DT214" s="141">
        <v>-4603599</v>
      </c>
      <c r="DU214" s="141">
        <v>0</v>
      </c>
      <c r="DV214" s="141">
        <v>-4603599</v>
      </c>
      <c r="DW214" s="856">
        <v>90165151</v>
      </c>
      <c r="DX214" s="856">
        <v>0</v>
      </c>
      <c r="DY214" s="857">
        <v>90165151</v>
      </c>
      <c r="DZ214" t="s">
        <v>1780</v>
      </c>
    </row>
    <row r="215" spans="1:130" ht="12.75" x14ac:dyDescent="0.2">
      <c r="A215" s="764">
        <v>208</v>
      </c>
      <c r="B215" s="765" t="s">
        <v>305</v>
      </c>
      <c r="C215" s="766" t="s">
        <v>1217</v>
      </c>
      <c r="D215" s="767" t="s">
        <v>1225</v>
      </c>
      <c r="E215" s="768" t="s">
        <v>304</v>
      </c>
      <c r="F215" s="867">
        <v>43481</v>
      </c>
      <c r="G215" s="141">
        <v>37906986</v>
      </c>
      <c r="H215" s="141">
        <v>0</v>
      </c>
      <c r="I215" s="141">
        <v>37906986</v>
      </c>
      <c r="J215" s="141">
        <v>49.1</v>
      </c>
      <c r="K215" s="141">
        <v>18612330</v>
      </c>
      <c r="L215" s="141">
        <v>0</v>
      </c>
      <c r="M215" s="141">
        <v>25333</v>
      </c>
      <c r="N215" s="141">
        <v>0</v>
      </c>
      <c r="O215" s="141">
        <v>18637663</v>
      </c>
      <c r="P215" s="141">
        <v>0</v>
      </c>
      <c r="Q215" s="141">
        <v>18637663</v>
      </c>
      <c r="R215" s="141">
        <v>-566217</v>
      </c>
      <c r="S215" s="141">
        <v>0</v>
      </c>
      <c r="T215" s="141">
        <v>-566217</v>
      </c>
      <c r="U215" s="141">
        <v>349591</v>
      </c>
      <c r="V215" s="141">
        <v>0</v>
      </c>
      <c r="W215" s="141">
        <v>349591</v>
      </c>
      <c r="X215" s="141">
        <v>-216626</v>
      </c>
      <c r="Y215" s="141">
        <v>0</v>
      </c>
      <c r="Z215" s="141">
        <v>0</v>
      </c>
      <c r="AA215" s="141">
        <v>0</v>
      </c>
      <c r="AB215" s="141">
        <v>-216626</v>
      </c>
      <c r="AC215" s="141">
        <v>0</v>
      </c>
      <c r="AD215" s="141">
        <v>-216626</v>
      </c>
      <c r="AE215" s="141">
        <v>216626</v>
      </c>
      <c r="AF215" s="141">
        <v>0</v>
      </c>
      <c r="AG215" s="141">
        <v>216626</v>
      </c>
      <c r="AH215" s="141">
        <v>-3136184</v>
      </c>
      <c r="AI215" s="141">
        <v>0</v>
      </c>
      <c r="AJ215" s="141">
        <v>-3136184</v>
      </c>
      <c r="AK215" s="141">
        <v>-80822</v>
      </c>
      <c r="AL215" s="141">
        <v>0</v>
      </c>
      <c r="AM215" s="141">
        <v>-80822</v>
      </c>
      <c r="AN215" s="141">
        <v>258991</v>
      </c>
      <c r="AO215" s="141">
        <v>0</v>
      </c>
      <c r="AP215" s="141">
        <v>258991</v>
      </c>
      <c r="AQ215" s="141">
        <v>-2877193</v>
      </c>
      <c r="AR215" s="141">
        <v>0</v>
      </c>
      <c r="AS215" s="141">
        <v>-2877193</v>
      </c>
      <c r="AT215" s="141">
        <v>-898526</v>
      </c>
      <c r="AU215" s="141">
        <v>0</v>
      </c>
      <c r="AV215" s="141">
        <v>-898526</v>
      </c>
      <c r="AW215" s="141">
        <v>-46549</v>
      </c>
      <c r="AX215" s="141">
        <v>0</v>
      </c>
      <c r="AY215" s="141">
        <v>-46549</v>
      </c>
      <c r="AZ215" s="141">
        <v>-44056</v>
      </c>
      <c r="BA215" s="141">
        <v>0</v>
      </c>
      <c r="BB215" s="141">
        <v>-44056</v>
      </c>
      <c r="BC215" s="141">
        <v>-3866324</v>
      </c>
      <c r="BD215" s="141">
        <v>0</v>
      </c>
      <c r="BE215" s="141">
        <v>0</v>
      </c>
      <c r="BF215" s="141">
        <v>0</v>
      </c>
      <c r="BG215" s="141">
        <v>-3866324</v>
      </c>
      <c r="BH215" s="141">
        <v>0</v>
      </c>
      <c r="BI215" s="141">
        <v>-3866324</v>
      </c>
      <c r="BJ215" s="141">
        <v>0</v>
      </c>
      <c r="BK215" s="141">
        <v>0</v>
      </c>
      <c r="BL215" s="141">
        <v>0</v>
      </c>
      <c r="BM215" s="141">
        <v>-176361</v>
      </c>
      <c r="BN215" s="141">
        <v>0</v>
      </c>
      <c r="BO215" s="141">
        <v>-176361</v>
      </c>
      <c r="BP215" s="141">
        <v>-176361</v>
      </c>
      <c r="BQ215" s="141">
        <v>0</v>
      </c>
      <c r="BR215" s="141">
        <v>0</v>
      </c>
      <c r="BS215" s="141">
        <v>0</v>
      </c>
      <c r="BT215" s="141">
        <v>-176361</v>
      </c>
      <c r="BU215" s="141">
        <v>0</v>
      </c>
      <c r="BV215" s="141">
        <v>-176361</v>
      </c>
      <c r="BW215" s="141">
        <v>-65113</v>
      </c>
      <c r="BX215" s="141">
        <v>0</v>
      </c>
      <c r="BY215" s="141">
        <v>-65113</v>
      </c>
      <c r="BZ215" s="141">
        <v>-54251</v>
      </c>
      <c r="CA215" s="141">
        <v>0</v>
      </c>
      <c r="CB215" s="141">
        <v>-54251</v>
      </c>
      <c r="CC215" s="141">
        <v>-1386</v>
      </c>
      <c r="CD215" s="141">
        <v>0</v>
      </c>
      <c r="CE215" s="141">
        <v>-1386</v>
      </c>
      <c r="CF215" s="141">
        <v>-44056</v>
      </c>
      <c r="CG215" s="141">
        <v>0</v>
      </c>
      <c r="CH215" s="141">
        <v>-44056</v>
      </c>
      <c r="CI215" s="141">
        <v>0</v>
      </c>
      <c r="CJ215" s="141">
        <v>0</v>
      </c>
      <c r="CK215" s="141">
        <v>0</v>
      </c>
      <c r="CL215" s="141">
        <v>0</v>
      </c>
      <c r="CM215" s="141">
        <v>0</v>
      </c>
      <c r="CN215" s="141">
        <v>0</v>
      </c>
      <c r="CO215" s="141">
        <v>0</v>
      </c>
      <c r="CP215" s="141">
        <v>0</v>
      </c>
      <c r="CQ215" s="141">
        <v>-164806</v>
      </c>
      <c r="CR215" s="141">
        <v>0</v>
      </c>
      <c r="CS215" s="141">
        <v>0</v>
      </c>
      <c r="CT215" s="141">
        <v>0</v>
      </c>
      <c r="CU215" s="141">
        <v>-164806</v>
      </c>
      <c r="CV215" s="141">
        <v>0</v>
      </c>
      <c r="CW215" s="141">
        <v>-164806</v>
      </c>
      <c r="CX215" s="141">
        <v>-44056</v>
      </c>
      <c r="CY215" s="141">
        <v>0</v>
      </c>
      <c r="CZ215" s="141">
        <v>-44056</v>
      </c>
      <c r="DA215" s="141">
        <v>0</v>
      </c>
      <c r="DB215" s="141">
        <v>0</v>
      </c>
      <c r="DC215" s="141">
        <v>0</v>
      </c>
      <c r="DD215" s="141">
        <v>-28881</v>
      </c>
      <c r="DE215" s="141">
        <v>0</v>
      </c>
      <c r="DF215" s="141">
        <v>-28881</v>
      </c>
      <c r="DG215" s="141">
        <v>-44000</v>
      </c>
      <c r="DH215" s="141">
        <v>0</v>
      </c>
      <c r="DI215" s="141">
        <v>-44000</v>
      </c>
      <c r="DJ215" s="141">
        <v>-12666</v>
      </c>
      <c r="DK215" s="141">
        <v>0</v>
      </c>
      <c r="DL215" s="141">
        <v>-12666</v>
      </c>
      <c r="DM215" s="141">
        <v>-695387</v>
      </c>
      <c r="DN215" s="141">
        <v>0</v>
      </c>
      <c r="DO215" s="141">
        <v>-695387</v>
      </c>
      <c r="DP215" s="141">
        <v>-824990</v>
      </c>
      <c r="DQ215" s="141">
        <v>0</v>
      </c>
      <c r="DR215" s="141">
        <v>0</v>
      </c>
      <c r="DS215" s="141">
        <v>0</v>
      </c>
      <c r="DT215" s="141">
        <v>-824990</v>
      </c>
      <c r="DU215" s="141">
        <v>0</v>
      </c>
      <c r="DV215" s="141">
        <v>-824990</v>
      </c>
      <c r="DW215" s="856">
        <v>13388556</v>
      </c>
      <c r="DX215" s="856">
        <v>0</v>
      </c>
      <c r="DY215" s="857">
        <v>13388556</v>
      </c>
      <c r="DZ215" t="s">
        <v>1781</v>
      </c>
    </row>
    <row r="216" spans="1:130" ht="12.75" x14ac:dyDescent="0.2">
      <c r="A216" s="764">
        <v>209</v>
      </c>
      <c r="B216" s="765" t="s">
        <v>307</v>
      </c>
      <c r="C216" s="766" t="s">
        <v>1224</v>
      </c>
      <c r="D216" s="767" t="s">
        <v>1219</v>
      </c>
      <c r="E216" s="768" t="s">
        <v>306</v>
      </c>
      <c r="F216" s="867">
        <v>43479</v>
      </c>
      <c r="G216" s="141">
        <v>168757357</v>
      </c>
      <c r="H216" s="141">
        <v>0</v>
      </c>
      <c r="I216" s="141">
        <v>168757357</v>
      </c>
      <c r="J216" s="141">
        <v>49.1</v>
      </c>
      <c r="K216" s="141">
        <v>82859862</v>
      </c>
      <c r="L216" s="141">
        <v>0</v>
      </c>
      <c r="M216" s="141">
        <v>1509580</v>
      </c>
      <c r="N216" s="141">
        <v>0</v>
      </c>
      <c r="O216" s="141">
        <v>84369442</v>
      </c>
      <c r="P216" s="141">
        <v>0</v>
      </c>
      <c r="Q216" s="141">
        <v>84369442</v>
      </c>
      <c r="R216" s="141">
        <v>-671225</v>
      </c>
      <c r="S216" s="141">
        <v>0</v>
      </c>
      <c r="T216" s="141">
        <v>-671225</v>
      </c>
      <c r="U216" s="141">
        <v>1013058</v>
      </c>
      <c r="V216" s="141">
        <v>0</v>
      </c>
      <c r="W216" s="141">
        <v>1013058</v>
      </c>
      <c r="X216" s="141">
        <v>341833</v>
      </c>
      <c r="Y216" s="141">
        <v>0</v>
      </c>
      <c r="Z216" s="141">
        <v>0</v>
      </c>
      <c r="AA216" s="141">
        <v>0</v>
      </c>
      <c r="AB216" s="141">
        <v>341833</v>
      </c>
      <c r="AC216" s="141">
        <v>0</v>
      </c>
      <c r="AD216" s="141">
        <v>341833</v>
      </c>
      <c r="AE216" s="141">
        <v>-341833</v>
      </c>
      <c r="AF216" s="141">
        <v>0</v>
      </c>
      <c r="AG216" s="141">
        <v>-341833</v>
      </c>
      <c r="AH216" s="141">
        <v>-8468963</v>
      </c>
      <c r="AI216" s="141">
        <v>0</v>
      </c>
      <c r="AJ216" s="141">
        <v>-8468963</v>
      </c>
      <c r="AK216" s="141">
        <v>-2291</v>
      </c>
      <c r="AL216" s="141">
        <v>0</v>
      </c>
      <c r="AM216" s="141">
        <v>-2291</v>
      </c>
      <c r="AN216" s="141">
        <v>1533390</v>
      </c>
      <c r="AO216" s="141">
        <v>0</v>
      </c>
      <c r="AP216" s="141">
        <v>1533390</v>
      </c>
      <c r="AQ216" s="141">
        <v>-6935573</v>
      </c>
      <c r="AR216" s="141">
        <v>0</v>
      </c>
      <c r="AS216" s="141">
        <v>-6935573</v>
      </c>
      <c r="AT216" s="141">
        <v>-3997818</v>
      </c>
      <c r="AU216" s="141">
        <v>0</v>
      </c>
      <c r="AV216" s="141">
        <v>-3997818</v>
      </c>
      <c r="AW216" s="141">
        <v>-53374</v>
      </c>
      <c r="AX216" s="141">
        <v>0</v>
      </c>
      <c r="AY216" s="141">
        <v>-53374</v>
      </c>
      <c r="AZ216" s="141">
        <v>0</v>
      </c>
      <c r="BA216" s="141">
        <v>0</v>
      </c>
      <c r="BB216" s="141">
        <v>0</v>
      </c>
      <c r="BC216" s="141">
        <v>-10986765</v>
      </c>
      <c r="BD216" s="141">
        <v>0</v>
      </c>
      <c r="BE216" s="141">
        <v>0</v>
      </c>
      <c r="BF216" s="141">
        <v>0</v>
      </c>
      <c r="BG216" s="141">
        <v>-10986765</v>
      </c>
      <c r="BH216" s="141">
        <v>0</v>
      </c>
      <c r="BI216" s="141">
        <v>-10986765</v>
      </c>
      <c r="BJ216" s="141">
        <v>-200000</v>
      </c>
      <c r="BK216" s="141">
        <v>0</v>
      </c>
      <c r="BL216" s="141">
        <v>-200000</v>
      </c>
      <c r="BM216" s="141">
        <v>-3500000</v>
      </c>
      <c r="BN216" s="141">
        <v>0</v>
      </c>
      <c r="BO216" s="141">
        <v>-3500000</v>
      </c>
      <c r="BP216" s="141">
        <v>-3700000</v>
      </c>
      <c r="BQ216" s="141">
        <v>0</v>
      </c>
      <c r="BR216" s="141">
        <v>0</v>
      </c>
      <c r="BS216" s="141">
        <v>0</v>
      </c>
      <c r="BT216" s="141">
        <v>-3700000</v>
      </c>
      <c r="BU216" s="141">
        <v>0</v>
      </c>
      <c r="BV216" s="141">
        <v>-3700000</v>
      </c>
      <c r="BW216" s="141">
        <v>-96000</v>
      </c>
      <c r="BX216" s="141">
        <v>0</v>
      </c>
      <c r="BY216" s="141">
        <v>-96000</v>
      </c>
      <c r="BZ216" s="141">
        <v>-44200</v>
      </c>
      <c r="CA216" s="141">
        <v>0</v>
      </c>
      <c r="CB216" s="141">
        <v>-44200</v>
      </c>
      <c r="CC216" s="141">
        <v>-9364</v>
      </c>
      <c r="CD216" s="141">
        <v>0</v>
      </c>
      <c r="CE216" s="141">
        <v>-9364</v>
      </c>
      <c r="CF216" s="141">
        <v>0</v>
      </c>
      <c r="CG216" s="141">
        <v>0</v>
      </c>
      <c r="CH216" s="141">
        <v>0</v>
      </c>
      <c r="CI216" s="141">
        <v>0</v>
      </c>
      <c r="CJ216" s="141">
        <v>0</v>
      </c>
      <c r="CK216" s="141">
        <v>0</v>
      </c>
      <c r="CL216" s="141">
        <v>-1000000</v>
      </c>
      <c r="CM216" s="141">
        <v>0</v>
      </c>
      <c r="CN216" s="141">
        <v>-1000000</v>
      </c>
      <c r="CO216" s="141">
        <v>0</v>
      </c>
      <c r="CP216" s="141">
        <v>0</v>
      </c>
      <c r="CQ216" s="141">
        <v>-1149564</v>
      </c>
      <c r="CR216" s="141">
        <v>0</v>
      </c>
      <c r="CS216" s="141">
        <v>0</v>
      </c>
      <c r="CT216" s="141">
        <v>0</v>
      </c>
      <c r="CU216" s="141">
        <v>-1149564</v>
      </c>
      <c r="CV216" s="141">
        <v>0</v>
      </c>
      <c r="CW216" s="141">
        <v>-1149564</v>
      </c>
      <c r="CX216" s="141">
        <v>0</v>
      </c>
      <c r="CY216" s="141">
        <v>0</v>
      </c>
      <c r="CZ216" s="141">
        <v>0</v>
      </c>
      <c r="DA216" s="141">
        <v>0</v>
      </c>
      <c r="DB216" s="141">
        <v>0</v>
      </c>
      <c r="DC216" s="141">
        <v>0</v>
      </c>
      <c r="DD216" s="141">
        <v>-84180</v>
      </c>
      <c r="DE216" s="141">
        <v>0</v>
      </c>
      <c r="DF216" s="141">
        <v>-84180</v>
      </c>
      <c r="DG216" s="141">
        <v>-51766</v>
      </c>
      <c r="DH216" s="141">
        <v>0</v>
      </c>
      <c r="DI216" s="141">
        <v>-51766</v>
      </c>
      <c r="DJ216" s="141">
        <v>0</v>
      </c>
      <c r="DK216" s="141">
        <v>0</v>
      </c>
      <c r="DL216" s="141">
        <v>0</v>
      </c>
      <c r="DM216" s="141">
        <v>-1500000</v>
      </c>
      <c r="DN216" s="141">
        <v>0</v>
      </c>
      <c r="DO216" s="141">
        <v>-1500000</v>
      </c>
      <c r="DP216" s="141">
        <v>-1635946</v>
      </c>
      <c r="DQ216" s="141">
        <v>0</v>
      </c>
      <c r="DR216" s="141">
        <v>0</v>
      </c>
      <c r="DS216" s="141">
        <v>0</v>
      </c>
      <c r="DT216" s="141">
        <v>-1635946</v>
      </c>
      <c r="DU216" s="141">
        <v>0</v>
      </c>
      <c r="DV216" s="141">
        <v>-1635946</v>
      </c>
      <c r="DW216" s="856">
        <v>67239000</v>
      </c>
      <c r="DX216" s="856">
        <v>0</v>
      </c>
      <c r="DY216" s="857">
        <v>67239000</v>
      </c>
      <c r="DZ216" t="s">
        <v>1782</v>
      </c>
    </row>
    <row r="217" spans="1:130" ht="12.75" x14ac:dyDescent="0.2">
      <c r="A217" s="764">
        <v>210</v>
      </c>
      <c r="B217" s="765" t="s">
        <v>309</v>
      </c>
      <c r="C217" s="766" t="s">
        <v>1217</v>
      </c>
      <c r="D217" s="767" t="s">
        <v>1221</v>
      </c>
      <c r="E217" s="768" t="s">
        <v>308</v>
      </c>
      <c r="F217" s="867">
        <v>43480</v>
      </c>
      <c r="G217" s="141">
        <v>45608811</v>
      </c>
      <c r="H217" s="141">
        <v>0</v>
      </c>
      <c r="I217" s="141">
        <v>45608811</v>
      </c>
      <c r="J217" s="141">
        <v>49.1</v>
      </c>
      <c r="K217" s="141">
        <v>22393926</v>
      </c>
      <c r="L217" s="141">
        <v>0</v>
      </c>
      <c r="M217" s="141">
        <v>0</v>
      </c>
      <c r="N217" s="141">
        <v>0</v>
      </c>
      <c r="O217" s="141">
        <v>22393926</v>
      </c>
      <c r="P217" s="141">
        <v>0</v>
      </c>
      <c r="Q217" s="141">
        <v>22393926</v>
      </c>
      <c r="R217" s="141">
        <v>-203852</v>
      </c>
      <c r="S217" s="141">
        <v>0</v>
      </c>
      <c r="T217" s="141">
        <v>-203852</v>
      </c>
      <c r="U217" s="141">
        <v>79493</v>
      </c>
      <c r="V217" s="141">
        <v>0</v>
      </c>
      <c r="W217" s="141">
        <v>79493</v>
      </c>
      <c r="X217" s="141">
        <v>-124359</v>
      </c>
      <c r="Y217" s="141">
        <v>0</v>
      </c>
      <c r="Z217" s="141">
        <v>0</v>
      </c>
      <c r="AA217" s="141">
        <v>0</v>
      </c>
      <c r="AB217" s="141">
        <v>-124359</v>
      </c>
      <c r="AC217" s="141">
        <v>0</v>
      </c>
      <c r="AD217" s="141">
        <v>-124359</v>
      </c>
      <c r="AE217" s="141">
        <v>124359</v>
      </c>
      <c r="AF217" s="141">
        <v>0</v>
      </c>
      <c r="AG217" s="141">
        <v>124359</v>
      </c>
      <c r="AH217" s="141">
        <v>-3551063</v>
      </c>
      <c r="AI217" s="141">
        <v>0</v>
      </c>
      <c r="AJ217" s="141">
        <v>-3551063</v>
      </c>
      <c r="AK217" s="141">
        <v>-6537</v>
      </c>
      <c r="AL217" s="141">
        <v>0</v>
      </c>
      <c r="AM217" s="141">
        <v>-6537</v>
      </c>
      <c r="AN217" s="141">
        <v>314121</v>
      </c>
      <c r="AO217" s="141">
        <v>0</v>
      </c>
      <c r="AP217" s="141">
        <v>314121</v>
      </c>
      <c r="AQ217" s="141">
        <v>-3236942</v>
      </c>
      <c r="AR217" s="141">
        <v>0</v>
      </c>
      <c r="AS217" s="141">
        <v>-3236942</v>
      </c>
      <c r="AT217" s="141">
        <v>-1487350</v>
      </c>
      <c r="AU217" s="141">
        <v>0</v>
      </c>
      <c r="AV217" s="141">
        <v>-1487350</v>
      </c>
      <c r="AW217" s="141">
        <v>-13102</v>
      </c>
      <c r="AX217" s="141">
        <v>0</v>
      </c>
      <c r="AY217" s="141">
        <v>-13102</v>
      </c>
      <c r="AZ217" s="141">
        <v>0</v>
      </c>
      <c r="BA217" s="141">
        <v>0</v>
      </c>
      <c r="BB217" s="141">
        <v>0</v>
      </c>
      <c r="BC217" s="141">
        <v>-4737394</v>
      </c>
      <c r="BD217" s="141">
        <v>0</v>
      </c>
      <c r="BE217" s="141">
        <v>0</v>
      </c>
      <c r="BF217" s="141">
        <v>0</v>
      </c>
      <c r="BG217" s="141">
        <v>-4737394</v>
      </c>
      <c r="BH217" s="141">
        <v>0</v>
      </c>
      <c r="BI217" s="141">
        <v>-4737394</v>
      </c>
      <c r="BJ217" s="141">
        <v>0</v>
      </c>
      <c r="BK217" s="141">
        <v>0</v>
      </c>
      <c r="BL217" s="141">
        <v>0</v>
      </c>
      <c r="BM217" s="141">
        <v>-305894</v>
      </c>
      <c r="BN217" s="141">
        <v>0</v>
      </c>
      <c r="BO217" s="141">
        <v>-305894</v>
      </c>
      <c r="BP217" s="141">
        <v>-305894</v>
      </c>
      <c r="BQ217" s="141">
        <v>0</v>
      </c>
      <c r="BR217" s="141">
        <v>0</v>
      </c>
      <c r="BS217" s="141">
        <v>0</v>
      </c>
      <c r="BT217" s="141">
        <v>-305894</v>
      </c>
      <c r="BU217" s="141">
        <v>0</v>
      </c>
      <c r="BV217" s="141">
        <v>-305894</v>
      </c>
      <c r="BW217" s="141">
        <v>-6899</v>
      </c>
      <c r="BX217" s="141">
        <v>0</v>
      </c>
      <c r="BY217" s="141">
        <v>-6899</v>
      </c>
      <c r="BZ217" s="141">
        <v>0</v>
      </c>
      <c r="CA217" s="141">
        <v>0</v>
      </c>
      <c r="CB217" s="141">
        <v>0</v>
      </c>
      <c r="CC217" s="141">
        <v>0</v>
      </c>
      <c r="CD217" s="141">
        <v>0</v>
      </c>
      <c r="CE217" s="141">
        <v>0</v>
      </c>
      <c r="CF217" s="141">
        <v>0</v>
      </c>
      <c r="CG217" s="141">
        <v>0</v>
      </c>
      <c r="CH217" s="141">
        <v>0</v>
      </c>
      <c r="CI217" s="141">
        <v>0</v>
      </c>
      <c r="CJ217" s="141">
        <v>0</v>
      </c>
      <c r="CK217" s="141">
        <v>0</v>
      </c>
      <c r="CL217" s="141">
        <v>0</v>
      </c>
      <c r="CM217" s="141">
        <v>0</v>
      </c>
      <c r="CN217" s="141">
        <v>0</v>
      </c>
      <c r="CO217" s="141">
        <v>0</v>
      </c>
      <c r="CP217" s="141">
        <v>0</v>
      </c>
      <c r="CQ217" s="141">
        <v>-6899</v>
      </c>
      <c r="CR217" s="141">
        <v>0</v>
      </c>
      <c r="CS217" s="141">
        <v>0</v>
      </c>
      <c r="CT217" s="141">
        <v>0</v>
      </c>
      <c r="CU217" s="141">
        <v>-6899</v>
      </c>
      <c r="CV217" s="141">
        <v>0</v>
      </c>
      <c r="CW217" s="141">
        <v>-6899</v>
      </c>
      <c r="CX217" s="141">
        <v>0</v>
      </c>
      <c r="CY217" s="141">
        <v>0</v>
      </c>
      <c r="CZ217" s="141">
        <v>0</v>
      </c>
      <c r="DA217" s="141">
        <v>0</v>
      </c>
      <c r="DB217" s="141">
        <v>0</v>
      </c>
      <c r="DC217" s="141">
        <v>0</v>
      </c>
      <c r="DD217" s="141">
        <v>-4348</v>
      </c>
      <c r="DE217" s="141">
        <v>0</v>
      </c>
      <c r="DF217" s="141">
        <v>-4348</v>
      </c>
      <c r="DG217" s="141">
        <v>-25000</v>
      </c>
      <c r="DH217" s="141">
        <v>0</v>
      </c>
      <c r="DI217" s="141">
        <v>-25000</v>
      </c>
      <c r="DJ217" s="141">
        <v>0</v>
      </c>
      <c r="DK217" s="141">
        <v>0</v>
      </c>
      <c r="DL217" s="141">
        <v>0</v>
      </c>
      <c r="DM217" s="141">
        <v>-883759</v>
      </c>
      <c r="DN217" s="141">
        <v>0</v>
      </c>
      <c r="DO217" s="141">
        <v>-883759</v>
      </c>
      <c r="DP217" s="141">
        <v>-913107</v>
      </c>
      <c r="DQ217" s="141">
        <v>0</v>
      </c>
      <c r="DR217" s="141">
        <v>0</v>
      </c>
      <c r="DS217" s="141">
        <v>0</v>
      </c>
      <c r="DT217" s="141">
        <v>-913107</v>
      </c>
      <c r="DU217" s="141">
        <v>0</v>
      </c>
      <c r="DV217" s="141">
        <v>-913107</v>
      </c>
      <c r="DW217" s="856">
        <v>16306273</v>
      </c>
      <c r="DX217" s="856">
        <v>0</v>
      </c>
      <c r="DY217" s="857">
        <v>16306273</v>
      </c>
      <c r="DZ217" t="s">
        <v>1783</v>
      </c>
    </row>
    <row r="218" spans="1:130" ht="12.75" x14ac:dyDescent="0.2">
      <c r="A218" s="764">
        <v>211</v>
      </c>
      <c r="B218" s="765" t="s">
        <v>311</v>
      </c>
      <c r="C218" s="766" t="s">
        <v>1217</v>
      </c>
      <c r="D218" s="767" t="s">
        <v>1219</v>
      </c>
      <c r="E218" s="768" t="s">
        <v>310</v>
      </c>
      <c r="F218" s="867">
        <v>43465</v>
      </c>
      <c r="G218" s="141">
        <v>36242702</v>
      </c>
      <c r="H218" s="141">
        <v>0</v>
      </c>
      <c r="I218" s="141">
        <v>36242702</v>
      </c>
      <c r="J218" s="141">
        <v>49.1</v>
      </c>
      <c r="K218" s="141">
        <v>17795167</v>
      </c>
      <c r="L218" s="141">
        <v>0</v>
      </c>
      <c r="M218" s="141">
        <v>0</v>
      </c>
      <c r="N218" s="141">
        <v>0</v>
      </c>
      <c r="O218" s="141">
        <v>17795167</v>
      </c>
      <c r="P218" s="141">
        <v>0</v>
      </c>
      <c r="Q218" s="141">
        <v>17795167</v>
      </c>
      <c r="R218" s="141">
        <v>-189189</v>
      </c>
      <c r="S218" s="141">
        <v>0</v>
      </c>
      <c r="T218" s="141">
        <v>-189189</v>
      </c>
      <c r="U218" s="141">
        <v>217089</v>
      </c>
      <c r="V218" s="141">
        <v>0</v>
      </c>
      <c r="W218" s="141">
        <v>217089</v>
      </c>
      <c r="X218" s="141">
        <v>27900</v>
      </c>
      <c r="Y218" s="141">
        <v>0</v>
      </c>
      <c r="Z218" s="141">
        <v>0</v>
      </c>
      <c r="AA218" s="141">
        <v>0</v>
      </c>
      <c r="AB218" s="141">
        <v>27900</v>
      </c>
      <c r="AC218" s="141">
        <v>0</v>
      </c>
      <c r="AD218" s="141">
        <v>27900</v>
      </c>
      <c r="AE218" s="141">
        <v>-27900</v>
      </c>
      <c r="AF218" s="141">
        <v>0</v>
      </c>
      <c r="AG218" s="141">
        <v>-27900</v>
      </c>
      <c r="AH218" s="141">
        <v>-3164892</v>
      </c>
      <c r="AI218" s="141">
        <v>0</v>
      </c>
      <c r="AJ218" s="141">
        <v>-3164892</v>
      </c>
      <c r="AK218" s="141">
        <v>0</v>
      </c>
      <c r="AL218" s="141">
        <v>0</v>
      </c>
      <c r="AM218" s="141">
        <v>0</v>
      </c>
      <c r="AN218" s="141">
        <v>269780</v>
      </c>
      <c r="AO218" s="141">
        <v>0</v>
      </c>
      <c r="AP218" s="141">
        <v>269780</v>
      </c>
      <c r="AQ218" s="141">
        <v>-2895112</v>
      </c>
      <c r="AR218" s="141">
        <v>0</v>
      </c>
      <c r="AS218" s="141">
        <v>-2895112</v>
      </c>
      <c r="AT218" s="141">
        <v>-564505</v>
      </c>
      <c r="AU218" s="141">
        <v>0</v>
      </c>
      <c r="AV218" s="141">
        <v>-564505</v>
      </c>
      <c r="AW218" s="141">
        <v>-53067</v>
      </c>
      <c r="AX218" s="141">
        <v>0</v>
      </c>
      <c r="AY218" s="141">
        <v>-53067</v>
      </c>
      <c r="AZ218" s="141">
        <v>-1033</v>
      </c>
      <c r="BA218" s="141">
        <v>0</v>
      </c>
      <c r="BB218" s="141">
        <v>-1033</v>
      </c>
      <c r="BC218" s="141">
        <v>-3513717</v>
      </c>
      <c r="BD218" s="141">
        <v>0</v>
      </c>
      <c r="BE218" s="141">
        <v>0</v>
      </c>
      <c r="BF218" s="141">
        <v>0</v>
      </c>
      <c r="BG218" s="141">
        <v>-3513717</v>
      </c>
      <c r="BH218" s="141">
        <v>0</v>
      </c>
      <c r="BI218" s="141">
        <v>-3513717</v>
      </c>
      <c r="BJ218" s="141">
        <v>0</v>
      </c>
      <c r="BK218" s="141">
        <v>0</v>
      </c>
      <c r="BL218" s="141">
        <v>0</v>
      </c>
      <c r="BM218" s="141">
        <v>-601856</v>
      </c>
      <c r="BN218" s="141">
        <v>0</v>
      </c>
      <c r="BO218" s="141">
        <v>-601856</v>
      </c>
      <c r="BP218" s="141">
        <v>-601856</v>
      </c>
      <c r="BQ218" s="141">
        <v>0</v>
      </c>
      <c r="BR218" s="141">
        <v>-150000</v>
      </c>
      <c r="BS218" s="141">
        <v>0</v>
      </c>
      <c r="BT218" s="141">
        <v>-751856</v>
      </c>
      <c r="BU218" s="141">
        <v>0</v>
      </c>
      <c r="BV218" s="141">
        <v>-751856</v>
      </c>
      <c r="BW218" s="141">
        <v>-63757</v>
      </c>
      <c r="BX218" s="141">
        <v>0</v>
      </c>
      <c r="BY218" s="141">
        <v>-63757</v>
      </c>
      <c r="BZ218" s="141">
        <v>-26044</v>
      </c>
      <c r="CA218" s="141">
        <v>0</v>
      </c>
      <c r="CB218" s="141">
        <v>-26044</v>
      </c>
      <c r="CC218" s="141">
        <v>-3399</v>
      </c>
      <c r="CD218" s="141">
        <v>0</v>
      </c>
      <c r="CE218" s="141">
        <v>-3399</v>
      </c>
      <c r="CF218" s="141">
        <v>0</v>
      </c>
      <c r="CG218" s="141">
        <v>0</v>
      </c>
      <c r="CH218" s="141">
        <v>0</v>
      </c>
      <c r="CI218" s="141">
        <v>0</v>
      </c>
      <c r="CJ218" s="141">
        <v>0</v>
      </c>
      <c r="CK218" s="141">
        <v>0</v>
      </c>
      <c r="CL218" s="141">
        <v>0</v>
      </c>
      <c r="CM218" s="141">
        <v>0</v>
      </c>
      <c r="CN218" s="141">
        <v>0</v>
      </c>
      <c r="CO218" s="141">
        <v>0</v>
      </c>
      <c r="CP218" s="141">
        <v>0</v>
      </c>
      <c r="CQ218" s="141">
        <v>-93200</v>
      </c>
      <c r="CR218" s="141">
        <v>0</v>
      </c>
      <c r="CS218" s="141">
        <v>0</v>
      </c>
      <c r="CT218" s="141">
        <v>0</v>
      </c>
      <c r="CU218" s="141">
        <v>-93200</v>
      </c>
      <c r="CV218" s="141">
        <v>0</v>
      </c>
      <c r="CW218" s="141">
        <v>-93200</v>
      </c>
      <c r="CX218" s="141">
        <v>-1033</v>
      </c>
      <c r="CY218" s="141">
        <v>0</v>
      </c>
      <c r="CZ218" s="141">
        <v>-1033</v>
      </c>
      <c r="DA218" s="141">
        <v>0</v>
      </c>
      <c r="DB218" s="141">
        <v>0</v>
      </c>
      <c r="DC218" s="141">
        <v>0</v>
      </c>
      <c r="DD218" s="141">
        <v>-4715</v>
      </c>
      <c r="DE218" s="141">
        <v>0</v>
      </c>
      <c r="DF218" s="141">
        <v>-4715</v>
      </c>
      <c r="DG218" s="141">
        <v>-14500</v>
      </c>
      <c r="DH218" s="141">
        <v>0</v>
      </c>
      <c r="DI218" s="141">
        <v>-14500</v>
      </c>
      <c r="DJ218" s="141">
        <v>0</v>
      </c>
      <c r="DK218" s="141">
        <v>0</v>
      </c>
      <c r="DL218" s="141">
        <v>0</v>
      </c>
      <c r="DM218" s="141">
        <v>-213347</v>
      </c>
      <c r="DN218" s="141">
        <v>0</v>
      </c>
      <c r="DO218" s="141">
        <v>-213347</v>
      </c>
      <c r="DP218" s="141">
        <v>-233595</v>
      </c>
      <c r="DQ218" s="141">
        <v>0</v>
      </c>
      <c r="DR218" s="141">
        <v>0</v>
      </c>
      <c r="DS218" s="141">
        <v>0</v>
      </c>
      <c r="DT218" s="141">
        <v>-233595</v>
      </c>
      <c r="DU218" s="141">
        <v>0</v>
      </c>
      <c r="DV218" s="141">
        <v>-233595</v>
      </c>
      <c r="DW218" s="856">
        <v>13230699</v>
      </c>
      <c r="DX218" s="856">
        <v>0</v>
      </c>
      <c r="DY218" s="857">
        <v>13230699</v>
      </c>
      <c r="DZ218" t="s">
        <v>1784</v>
      </c>
    </row>
    <row r="219" spans="1:130" ht="12.75" x14ac:dyDescent="0.2">
      <c r="A219" s="764">
        <v>212</v>
      </c>
      <c r="B219" s="765" t="s">
        <v>313</v>
      </c>
      <c r="C219" s="766" t="s">
        <v>1217</v>
      </c>
      <c r="D219" s="767" t="s">
        <v>1218</v>
      </c>
      <c r="E219" s="768" t="s">
        <v>312</v>
      </c>
      <c r="F219" s="867">
        <v>43481</v>
      </c>
      <c r="G219" s="141">
        <v>55458947</v>
      </c>
      <c r="H219" s="141">
        <v>0</v>
      </c>
      <c r="I219" s="141">
        <v>55458947</v>
      </c>
      <c r="J219" s="141">
        <v>49.1</v>
      </c>
      <c r="K219" s="141">
        <v>27230343</v>
      </c>
      <c r="L219" s="141">
        <v>0</v>
      </c>
      <c r="M219" s="141">
        <v>0</v>
      </c>
      <c r="N219" s="141">
        <v>0</v>
      </c>
      <c r="O219" s="141">
        <v>27230343</v>
      </c>
      <c r="P219" s="141">
        <v>0</v>
      </c>
      <c r="Q219" s="141">
        <v>27230343</v>
      </c>
      <c r="R219" s="141">
        <v>-603307</v>
      </c>
      <c r="S219" s="141">
        <v>0</v>
      </c>
      <c r="T219" s="141">
        <v>-603307</v>
      </c>
      <c r="U219" s="141">
        <v>128753</v>
      </c>
      <c r="V219" s="141">
        <v>0</v>
      </c>
      <c r="W219" s="141">
        <v>128753</v>
      </c>
      <c r="X219" s="141">
        <v>-474554</v>
      </c>
      <c r="Y219" s="141">
        <v>0</v>
      </c>
      <c r="Z219" s="141">
        <v>0</v>
      </c>
      <c r="AA219" s="141">
        <v>0</v>
      </c>
      <c r="AB219" s="141">
        <v>-474554</v>
      </c>
      <c r="AC219" s="141">
        <v>0</v>
      </c>
      <c r="AD219" s="141">
        <v>-474554</v>
      </c>
      <c r="AE219" s="141">
        <v>474554</v>
      </c>
      <c r="AF219" s="141">
        <v>0</v>
      </c>
      <c r="AG219" s="141">
        <v>474554</v>
      </c>
      <c r="AH219" s="141">
        <v>-4753069</v>
      </c>
      <c r="AI219" s="141">
        <v>0</v>
      </c>
      <c r="AJ219" s="141">
        <v>-4753069</v>
      </c>
      <c r="AK219" s="141">
        <v>0</v>
      </c>
      <c r="AL219" s="141">
        <v>0</v>
      </c>
      <c r="AM219" s="141">
        <v>0</v>
      </c>
      <c r="AN219" s="141">
        <v>388265</v>
      </c>
      <c r="AO219" s="141">
        <v>0</v>
      </c>
      <c r="AP219" s="141">
        <v>388265</v>
      </c>
      <c r="AQ219" s="141">
        <v>-4364804</v>
      </c>
      <c r="AR219" s="141">
        <v>0</v>
      </c>
      <c r="AS219" s="141">
        <v>-4364804</v>
      </c>
      <c r="AT219" s="141">
        <v>-2501426</v>
      </c>
      <c r="AU219" s="141">
        <v>0</v>
      </c>
      <c r="AV219" s="141">
        <v>-2501426</v>
      </c>
      <c r="AW219" s="141">
        <v>-77061</v>
      </c>
      <c r="AX219" s="141">
        <v>0</v>
      </c>
      <c r="AY219" s="141">
        <v>-77061</v>
      </c>
      <c r="AZ219" s="141">
        <v>-38684</v>
      </c>
      <c r="BA219" s="141">
        <v>0</v>
      </c>
      <c r="BB219" s="141">
        <v>-38684</v>
      </c>
      <c r="BC219" s="141">
        <v>-6981975</v>
      </c>
      <c r="BD219" s="141">
        <v>0</v>
      </c>
      <c r="BE219" s="141">
        <v>0</v>
      </c>
      <c r="BF219" s="141">
        <v>0</v>
      </c>
      <c r="BG219" s="141">
        <v>-6981975</v>
      </c>
      <c r="BH219" s="141">
        <v>0</v>
      </c>
      <c r="BI219" s="141">
        <v>-6981975</v>
      </c>
      <c r="BJ219" s="141">
        <v>0</v>
      </c>
      <c r="BK219" s="141">
        <v>0</v>
      </c>
      <c r="BL219" s="141">
        <v>0</v>
      </c>
      <c r="BM219" s="141">
        <v>-360918</v>
      </c>
      <c r="BN219" s="141">
        <v>0</v>
      </c>
      <c r="BO219" s="141">
        <v>-360918</v>
      </c>
      <c r="BP219" s="141">
        <v>-360918</v>
      </c>
      <c r="BQ219" s="141">
        <v>0</v>
      </c>
      <c r="BR219" s="141">
        <v>0</v>
      </c>
      <c r="BS219" s="141">
        <v>0</v>
      </c>
      <c r="BT219" s="141">
        <v>-360918</v>
      </c>
      <c r="BU219" s="141">
        <v>0</v>
      </c>
      <c r="BV219" s="141">
        <v>-360918</v>
      </c>
      <c r="BW219" s="141">
        <v>-29699</v>
      </c>
      <c r="BX219" s="141">
        <v>0</v>
      </c>
      <c r="BY219" s="141">
        <v>-29699</v>
      </c>
      <c r="BZ219" s="141">
        <v>0</v>
      </c>
      <c r="CA219" s="141">
        <v>0</v>
      </c>
      <c r="CB219" s="141">
        <v>0</v>
      </c>
      <c r="CC219" s="141">
        <v>-4541</v>
      </c>
      <c r="CD219" s="141">
        <v>0</v>
      </c>
      <c r="CE219" s="141">
        <v>-4541</v>
      </c>
      <c r="CF219" s="141">
        <v>0</v>
      </c>
      <c r="CG219" s="141">
        <v>0</v>
      </c>
      <c r="CH219" s="141">
        <v>0</v>
      </c>
      <c r="CI219" s="141">
        <v>0</v>
      </c>
      <c r="CJ219" s="141">
        <v>0</v>
      </c>
      <c r="CK219" s="141">
        <v>0</v>
      </c>
      <c r="CL219" s="141">
        <v>0</v>
      </c>
      <c r="CM219" s="141">
        <v>0</v>
      </c>
      <c r="CN219" s="141">
        <v>0</v>
      </c>
      <c r="CO219" s="141">
        <v>0</v>
      </c>
      <c r="CP219" s="141">
        <v>0</v>
      </c>
      <c r="CQ219" s="141">
        <v>-34240</v>
      </c>
      <c r="CR219" s="141">
        <v>0</v>
      </c>
      <c r="CS219" s="141">
        <v>0</v>
      </c>
      <c r="CT219" s="141">
        <v>0</v>
      </c>
      <c r="CU219" s="141">
        <v>-34240</v>
      </c>
      <c r="CV219" s="141">
        <v>0</v>
      </c>
      <c r="CW219" s="141">
        <v>-34240</v>
      </c>
      <c r="CX219" s="141">
        <v>-38684</v>
      </c>
      <c r="CY219" s="141">
        <v>0</v>
      </c>
      <c r="CZ219" s="141">
        <v>-38684</v>
      </c>
      <c r="DA219" s="141">
        <v>0</v>
      </c>
      <c r="DB219" s="141">
        <v>0</v>
      </c>
      <c r="DC219" s="141">
        <v>0</v>
      </c>
      <c r="DD219" s="141">
        <v>-45852</v>
      </c>
      <c r="DE219" s="141">
        <v>0</v>
      </c>
      <c r="DF219" s="141">
        <v>-45852</v>
      </c>
      <c r="DG219" s="141">
        <v>-13224</v>
      </c>
      <c r="DH219" s="141">
        <v>0</v>
      </c>
      <c r="DI219" s="141">
        <v>-13224</v>
      </c>
      <c r="DJ219" s="141">
        <v>0</v>
      </c>
      <c r="DK219" s="141">
        <v>0</v>
      </c>
      <c r="DL219" s="141">
        <v>0</v>
      </c>
      <c r="DM219" s="141">
        <v>-876356</v>
      </c>
      <c r="DN219" s="141">
        <v>0</v>
      </c>
      <c r="DO219" s="141">
        <v>-876356</v>
      </c>
      <c r="DP219" s="141">
        <v>-974116</v>
      </c>
      <c r="DQ219" s="141">
        <v>0</v>
      </c>
      <c r="DR219" s="141">
        <v>0</v>
      </c>
      <c r="DS219" s="141">
        <v>0</v>
      </c>
      <c r="DT219" s="141">
        <v>-974116</v>
      </c>
      <c r="DU219" s="141">
        <v>0</v>
      </c>
      <c r="DV219" s="141">
        <v>-974116</v>
      </c>
      <c r="DW219" s="856">
        <v>18404540</v>
      </c>
      <c r="DX219" s="856">
        <v>0</v>
      </c>
      <c r="DY219" s="857">
        <v>18404540</v>
      </c>
      <c r="DZ219" t="s">
        <v>1785</v>
      </c>
    </row>
    <row r="220" spans="1:130" ht="12.75" x14ac:dyDescent="0.2">
      <c r="A220" s="764">
        <v>213</v>
      </c>
      <c r="B220" s="765" t="s">
        <v>315</v>
      </c>
      <c r="C220" s="766" t="s">
        <v>1224</v>
      </c>
      <c r="D220" s="767" t="s">
        <v>1225</v>
      </c>
      <c r="E220" s="768" t="s">
        <v>314</v>
      </c>
      <c r="F220" s="867">
        <v>43465</v>
      </c>
      <c r="G220" s="141">
        <v>187006168</v>
      </c>
      <c r="H220" s="141">
        <v>2122625</v>
      </c>
      <c r="I220" s="141">
        <v>189128793</v>
      </c>
      <c r="J220" s="141">
        <v>49.1</v>
      </c>
      <c r="K220" s="141">
        <v>91820028</v>
      </c>
      <c r="L220" s="141">
        <v>1042209</v>
      </c>
      <c r="M220" s="141">
        <v>1250000</v>
      </c>
      <c r="N220" s="141">
        <v>0</v>
      </c>
      <c r="O220" s="141">
        <v>93070028</v>
      </c>
      <c r="P220" s="141">
        <v>1042209</v>
      </c>
      <c r="Q220" s="141">
        <v>94112237</v>
      </c>
      <c r="R220" s="141">
        <v>-634443</v>
      </c>
      <c r="S220" s="141">
        <v>-5821</v>
      </c>
      <c r="T220" s="141">
        <v>-640264</v>
      </c>
      <c r="U220" s="141">
        <v>2458334</v>
      </c>
      <c r="V220" s="141">
        <v>0</v>
      </c>
      <c r="W220" s="141">
        <v>2458334</v>
      </c>
      <c r="X220" s="141">
        <v>1823891</v>
      </c>
      <c r="Y220" s="141">
        <v>-5821</v>
      </c>
      <c r="Z220" s="141">
        <v>0</v>
      </c>
      <c r="AA220" s="141">
        <v>0</v>
      </c>
      <c r="AB220" s="141">
        <v>1823891</v>
      </c>
      <c r="AC220" s="141">
        <v>-5821</v>
      </c>
      <c r="AD220" s="141">
        <v>1818070</v>
      </c>
      <c r="AE220" s="141">
        <v>-1823891</v>
      </c>
      <c r="AF220" s="141">
        <v>5821</v>
      </c>
      <c r="AG220" s="141">
        <v>-1818070</v>
      </c>
      <c r="AH220" s="141">
        <v>-8653301</v>
      </c>
      <c r="AI220" s="141">
        <v>-28920</v>
      </c>
      <c r="AJ220" s="141">
        <v>-8682221</v>
      </c>
      <c r="AK220" s="141">
        <v>-21578</v>
      </c>
      <c r="AL220" s="141">
        <v>0</v>
      </c>
      <c r="AM220" s="141">
        <v>-21578</v>
      </c>
      <c r="AN220" s="141">
        <v>1782081</v>
      </c>
      <c r="AO220" s="141">
        <v>14845</v>
      </c>
      <c r="AP220" s="141">
        <v>1796926</v>
      </c>
      <c r="AQ220" s="141">
        <v>-6871220</v>
      </c>
      <c r="AR220" s="141">
        <v>-14075</v>
      </c>
      <c r="AS220" s="141">
        <v>-6885295</v>
      </c>
      <c r="AT220" s="141">
        <v>-5585837</v>
      </c>
      <c r="AU220" s="141">
        <v>-119952</v>
      </c>
      <c r="AV220" s="141">
        <v>-5705789</v>
      </c>
      <c r="AW220" s="141">
        <v>-16329</v>
      </c>
      <c r="AX220" s="141">
        <v>0</v>
      </c>
      <c r="AY220" s="141">
        <v>-16329</v>
      </c>
      <c r="AZ220" s="141">
        <v>-14343</v>
      </c>
      <c r="BA220" s="141">
        <v>0</v>
      </c>
      <c r="BB220" s="141">
        <v>-14343</v>
      </c>
      <c r="BC220" s="141">
        <v>-12487729</v>
      </c>
      <c r="BD220" s="141">
        <v>-134027</v>
      </c>
      <c r="BE220" s="141">
        <v>-248000</v>
      </c>
      <c r="BF220" s="141">
        <v>0</v>
      </c>
      <c r="BG220" s="141">
        <v>-12735729</v>
      </c>
      <c r="BH220" s="141">
        <v>-134027</v>
      </c>
      <c r="BI220" s="141">
        <v>-12869756</v>
      </c>
      <c r="BJ220" s="141">
        <v>0</v>
      </c>
      <c r="BK220" s="141">
        <v>0</v>
      </c>
      <c r="BL220" s="141">
        <v>0</v>
      </c>
      <c r="BM220" s="141">
        <v>-2260058</v>
      </c>
      <c r="BN220" s="141">
        <v>0</v>
      </c>
      <c r="BO220" s="141">
        <v>-2260058</v>
      </c>
      <c r="BP220" s="141">
        <v>-2260058</v>
      </c>
      <c r="BQ220" s="141">
        <v>0</v>
      </c>
      <c r="BR220" s="141">
        <v>0</v>
      </c>
      <c r="BS220" s="141">
        <v>0</v>
      </c>
      <c r="BT220" s="141">
        <v>-2260058</v>
      </c>
      <c r="BU220" s="141">
        <v>0</v>
      </c>
      <c r="BV220" s="141">
        <v>-2260058</v>
      </c>
      <c r="BW220" s="141">
        <v>-105183</v>
      </c>
      <c r="BX220" s="141">
        <v>0</v>
      </c>
      <c r="BY220" s="141">
        <v>-105183</v>
      </c>
      <c r="BZ220" s="141">
        <v>-656907</v>
      </c>
      <c r="CA220" s="141">
        <v>0</v>
      </c>
      <c r="CB220" s="141">
        <v>-656907</v>
      </c>
      <c r="CC220" s="141">
        <v>-4082</v>
      </c>
      <c r="CD220" s="141">
        <v>0</v>
      </c>
      <c r="CE220" s="141">
        <v>-4082</v>
      </c>
      <c r="CF220" s="141">
        <v>0</v>
      </c>
      <c r="CG220" s="141">
        <v>0</v>
      </c>
      <c r="CH220" s="141">
        <v>0</v>
      </c>
      <c r="CI220" s="141">
        <v>0</v>
      </c>
      <c r="CJ220" s="141">
        <v>0</v>
      </c>
      <c r="CK220" s="141">
        <v>0</v>
      </c>
      <c r="CL220" s="141">
        <v>0</v>
      </c>
      <c r="CM220" s="141">
        <v>-206859</v>
      </c>
      <c r="CN220" s="141">
        <v>-206859</v>
      </c>
      <c r="CO220" s="141">
        <v>-206859</v>
      </c>
      <c r="CP220" s="141">
        <v>0</v>
      </c>
      <c r="CQ220" s="141">
        <v>-766172</v>
      </c>
      <c r="CR220" s="141">
        <v>-206859</v>
      </c>
      <c r="CS220" s="141">
        <v>0</v>
      </c>
      <c r="CT220" s="141">
        <v>0</v>
      </c>
      <c r="CU220" s="141">
        <v>-766172</v>
      </c>
      <c r="CV220" s="141">
        <v>-206859</v>
      </c>
      <c r="CW220" s="141">
        <v>-973031</v>
      </c>
      <c r="CX220" s="141">
        <v>-14343</v>
      </c>
      <c r="CY220" s="141">
        <v>0</v>
      </c>
      <c r="CZ220" s="141">
        <v>-14343</v>
      </c>
      <c r="DA220" s="141">
        <v>0</v>
      </c>
      <c r="DB220" s="141">
        <v>0</v>
      </c>
      <c r="DC220" s="141">
        <v>0</v>
      </c>
      <c r="DD220" s="141">
        <v>-28282</v>
      </c>
      <c r="DE220" s="141">
        <v>0</v>
      </c>
      <c r="DF220" s="141">
        <v>-28282</v>
      </c>
      <c r="DG220" s="141">
        <v>-27650</v>
      </c>
      <c r="DH220" s="141">
        <v>0</v>
      </c>
      <c r="DI220" s="141">
        <v>-27650</v>
      </c>
      <c r="DJ220" s="141">
        <v>0</v>
      </c>
      <c r="DK220" s="141">
        <v>0</v>
      </c>
      <c r="DL220" s="141">
        <v>0</v>
      </c>
      <c r="DM220" s="141">
        <v>-1086593</v>
      </c>
      <c r="DN220" s="141">
        <v>0</v>
      </c>
      <c r="DO220" s="141">
        <v>-1086593</v>
      </c>
      <c r="DP220" s="141">
        <v>-1156868</v>
      </c>
      <c r="DQ220" s="141">
        <v>0</v>
      </c>
      <c r="DR220" s="141">
        <v>0</v>
      </c>
      <c r="DS220" s="141">
        <v>0</v>
      </c>
      <c r="DT220" s="141">
        <v>-1156868</v>
      </c>
      <c r="DU220" s="141">
        <v>0</v>
      </c>
      <c r="DV220" s="141">
        <v>-1156868</v>
      </c>
      <c r="DW220" s="856">
        <v>77975092</v>
      </c>
      <c r="DX220" s="856">
        <v>695502</v>
      </c>
      <c r="DY220" s="857">
        <v>78670594</v>
      </c>
      <c r="DZ220" t="s">
        <v>1786</v>
      </c>
    </row>
    <row r="221" spans="1:130" ht="12.75" x14ac:dyDescent="0.2">
      <c r="A221" s="764">
        <v>214</v>
      </c>
      <c r="B221" s="765" t="s">
        <v>317</v>
      </c>
      <c r="C221" s="766" t="s">
        <v>1217</v>
      </c>
      <c r="D221" s="767" t="s">
        <v>1227</v>
      </c>
      <c r="E221" s="768" t="s">
        <v>316</v>
      </c>
      <c r="F221" s="867">
        <v>43468</v>
      </c>
      <c r="G221" s="141">
        <v>127100960</v>
      </c>
      <c r="H221" s="141">
        <v>0</v>
      </c>
      <c r="I221" s="141">
        <v>127100960</v>
      </c>
      <c r="J221" s="141">
        <v>49.1</v>
      </c>
      <c r="K221" s="141">
        <v>62406571</v>
      </c>
      <c r="L221" s="141">
        <v>0</v>
      </c>
      <c r="M221" s="141">
        <v>734329</v>
      </c>
      <c r="N221" s="141">
        <v>0</v>
      </c>
      <c r="O221" s="141">
        <v>63140900</v>
      </c>
      <c r="P221" s="141">
        <v>0</v>
      </c>
      <c r="Q221" s="141">
        <v>63140900</v>
      </c>
      <c r="R221" s="141">
        <v>-316368</v>
      </c>
      <c r="S221" s="141">
        <v>0</v>
      </c>
      <c r="T221" s="141">
        <v>-316368</v>
      </c>
      <c r="U221" s="141">
        <v>823499</v>
      </c>
      <c r="V221" s="141">
        <v>0</v>
      </c>
      <c r="W221" s="141">
        <v>823499</v>
      </c>
      <c r="X221" s="141">
        <v>507131</v>
      </c>
      <c r="Y221" s="141">
        <v>0</v>
      </c>
      <c r="Z221" s="141">
        <v>0</v>
      </c>
      <c r="AA221" s="141">
        <v>0</v>
      </c>
      <c r="AB221" s="141">
        <v>507131</v>
      </c>
      <c r="AC221" s="141">
        <v>0</v>
      </c>
      <c r="AD221" s="141">
        <v>507131</v>
      </c>
      <c r="AE221" s="141">
        <v>-507131</v>
      </c>
      <c r="AF221" s="141">
        <v>0</v>
      </c>
      <c r="AG221" s="141">
        <v>-507131</v>
      </c>
      <c r="AH221" s="141">
        <v>-3269661</v>
      </c>
      <c r="AI221" s="141">
        <v>0</v>
      </c>
      <c r="AJ221" s="141">
        <v>-3269661</v>
      </c>
      <c r="AK221" s="141">
        <v>0</v>
      </c>
      <c r="AL221" s="141">
        <v>0</v>
      </c>
      <c r="AM221" s="141">
        <v>0</v>
      </c>
      <c r="AN221" s="141">
        <v>1314984</v>
      </c>
      <c r="AO221" s="141">
        <v>0</v>
      </c>
      <c r="AP221" s="141">
        <v>1314984</v>
      </c>
      <c r="AQ221" s="141">
        <v>-1954677</v>
      </c>
      <c r="AR221" s="141">
        <v>0</v>
      </c>
      <c r="AS221" s="141">
        <v>-1954677</v>
      </c>
      <c r="AT221" s="141">
        <v>-3234980</v>
      </c>
      <c r="AU221" s="141">
        <v>0</v>
      </c>
      <c r="AV221" s="141">
        <v>-3234980</v>
      </c>
      <c r="AW221" s="141">
        <v>-74453</v>
      </c>
      <c r="AX221" s="141">
        <v>0</v>
      </c>
      <c r="AY221" s="141">
        <v>-74453</v>
      </c>
      <c r="AZ221" s="141">
        <v>-7516</v>
      </c>
      <c r="BA221" s="141">
        <v>0</v>
      </c>
      <c r="BB221" s="141">
        <v>-7516</v>
      </c>
      <c r="BC221" s="141">
        <v>-5271626</v>
      </c>
      <c r="BD221" s="141">
        <v>0</v>
      </c>
      <c r="BE221" s="141">
        <v>19443</v>
      </c>
      <c r="BF221" s="141">
        <v>0</v>
      </c>
      <c r="BG221" s="141">
        <v>-5252183</v>
      </c>
      <c r="BH221" s="141">
        <v>0</v>
      </c>
      <c r="BI221" s="141">
        <v>-5252183</v>
      </c>
      <c r="BJ221" s="141">
        <v>-200000</v>
      </c>
      <c r="BK221" s="141">
        <v>0</v>
      </c>
      <c r="BL221" s="141">
        <v>-200000</v>
      </c>
      <c r="BM221" s="141">
        <v>-1159572</v>
      </c>
      <c r="BN221" s="141">
        <v>0</v>
      </c>
      <c r="BO221" s="141">
        <v>-1159572</v>
      </c>
      <c r="BP221" s="141">
        <v>-1359572</v>
      </c>
      <c r="BQ221" s="141">
        <v>0</v>
      </c>
      <c r="BR221" s="141">
        <v>0</v>
      </c>
      <c r="BS221" s="141">
        <v>0</v>
      </c>
      <c r="BT221" s="141">
        <v>-1359572</v>
      </c>
      <c r="BU221" s="141">
        <v>0</v>
      </c>
      <c r="BV221" s="141">
        <v>-1359572</v>
      </c>
      <c r="BW221" s="141">
        <v>-106404</v>
      </c>
      <c r="BX221" s="141">
        <v>0</v>
      </c>
      <c r="BY221" s="141">
        <v>-106404</v>
      </c>
      <c r="BZ221" s="141">
        <v>-7365</v>
      </c>
      <c r="CA221" s="141">
        <v>0</v>
      </c>
      <c r="CB221" s="141">
        <v>-7365</v>
      </c>
      <c r="CC221" s="141">
        <v>0</v>
      </c>
      <c r="CD221" s="141">
        <v>0</v>
      </c>
      <c r="CE221" s="141">
        <v>0</v>
      </c>
      <c r="CF221" s="141">
        <v>0</v>
      </c>
      <c r="CG221" s="141">
        <v>0</v>
      </c>
      <c r="CH221" s="141">
        <v>0</v>
      </c>
      <c r="CI221" s="141">
        <v>0</v>
      </c>
      <c r="CJ221" s="141">
        <v>0</v>
      </c>
      <c r="CK221" s="141">
        <v>0</v>
      </c>
      <c r="CL221" s="141">
        <v>0</v>
      </c>
      <c r="CM221" s="141">
        <v>0</v>
      </c>
      <c r="CN221" s="141">
        <v>0</v>
      </c>
      <c r="CO221" s="141">
        <v>0</v>
      </c>
      <c r="CP221" s="141">
        <v>0</v>
      </c>
      <c r="CQ221" s="141">
        <v>-113769</v>
      </c>
      <c r="CR221" s="141">
        <v>0</v>
      </c>
      <c r="CS221" s="141">
        <v>0</v>
      </c>
      <c r="CT221" s="141">
        <v>0</v>
      </c>
      <c r="CU221" s="141">
        <v>-113769</v>
      </c>
      <c r="CV221" s="141">
        <v>0</v>
      </c>
      <c r="CW221" s="141">
        <v>-113769</v>
      </c>
      <c r="CX221" s="141">
        <v>-7516</v>
      </c>
      <c r="CY221" s="141">
        <v>0</v>
      </c>
      <c r="CZ221" s="141">
        <v>-7516</v>
      </c>
      <c r="DA221" s="141">
        <v>0</v>
      </c>
      <c r="DB221" s="141">
        <v>0</v>
      </c>
      <c r="DC221" s="141">
        <v>0</v>
      </c>
      <c r="DD221" s="141">
        <v>-21644</v>
      </c>
      <c r="DE221" s="141">
        <v>0</v>
      </c>
      <c r="DF221" s="141">
        <v>-21644</v>
      </c>
      <c r="DG221" s="141">
        <v>-55641</v>
      </c>
      <c r="DH221" s="141">
        <v>0</v>
      </c>
      <c r="DI221" s="141">
        <v>-55641</v>
      </c>
      <c r="DJ221" s="141">
        <v>0</v>
      </c>
      <c r="DK221" s="141">
        <v>0</v>
      </c>
      <c r="DL221" s="141">
        <v>0</v>
      </c>
      <c r="DM221" s="141">
        <v>-500000</v>
      </c>
      <c r="DN221" s="141">
        <v>0</v>
      </c>
      <c r="DO221" s="141">
        <v>-500000</v>
      </c>
      <c r="DP221" s="141">
        <v>-584801</v>
      </c>
      <c r="DQ221" s="141">
        <v>0</v>
      </c>
      <c r="DR221" s="141">
        <v>0</v>
      </c>
      <c r="DS221" s="141">
        <v>0</v>
      </c>
      <c r="DT221" s="141">
        <v>-584801</v>
      </c>
      <c r="DU221" s="141">
        <v>0</v>
      </c>
      <c r="DV221" s="141">
        <v>-584801</v>
      </c>
      <c r="DW221" s="856">
        <v>56337706</v>
      </c>
      <c r="DX221" s="856">
        <v>0</v>
      </c>
      <c r="DY221" s="857">
        <v>56337706</v>
      </c>
      <c r="DZ221" t="s">
        <v>1787</v>
      </c>
    </row>
    <row r="222" spans="1:130" ht="12.75" x14ac:dyDescent="0.2">
      <c r="A222" s="764">
        <v>215</v>
      </c>
      <c r="B222" s="765" t="s">
        <v>319</v>
      </c>
      <c r="C222" s="766" t="s">
        <v>1217</v>
      </c>
      <c r="D222" s="767" t="s">
        <v>1218</v>
      </c>
      <c r="E222" s="768" t="s">
        <v>318</v>
      </c>
      <c r="F222" s="867">
        <v>43465</v>
      </c>
      <c r="G222" s="141">
        <v>138578710</v>
      </c>
      <c r="H222" s="141">
        <v>1142250</v>
      </c>
      <c r="I222" s="141">
        <v>139720960</v>
      </c>
      <c r="J222" s="141">
        <v>49.1</v>
      </c>
      <c r="K222" s="141">
        <v>68042147</v>
      </c>
      <c r="L222" s="141">
        <v>560845</v>
      </c>
      <c r="M222" s="141">
        <v>-500000</v>
      </c>
      <c r="N222" s="141">
        <v>0</v>
      </c>
      <c r="O222" s="141">
        <v>67542147</v>
      </c>
      <c r="P222" s="141">
        <v>560845</v>
      </c>
      <c r="Q222" s="141">
        <v>68102992</v>
      </c>
      <c r="R222" s="141">
        <v>-636099</v>
      </c>
      <c r="S222" s="141">
        <v>-2949</v>
      </c>
      <c r="T222" s="141">
        <v>-639048</v>
      </c>
      <c r="U222" s="141">
        <v>208260</v>
      </c>
      <c r="V222" s="141">
        <v>0</v>
      </c>
      <c r="W222" s="141">
        <v>208260</v>
      </c>
      <c r="X222" s="141">
        <v>-427839</v>
      </c>
      <c r="Y222" s="141">
        <v>-2949</v>
      </c>
      <c r="Z222" s="141">
        <v>0</v>
      </c>
      <c r="AA222" s="141">
        <v>0</v>
      </c>
      <c r="AB222" s="141">
        <v>-427839</v>
      </c>
      <c r="AC222" s="141">
        <v>-2949</v>
      </c>
      <c r="AD222" s="141">
        <v>-430788</v>
      </c>
      <c r="AE222" s="141">
        <v>427839</v>
      </c>
      <c r="AF222" s="141">
        <v>2949</v>
      </c>
      <c r="AG222" s="141">
        <v>430788</v>
      </c>
      <c r="AH222" s="141">
        <v>-2246474</v>
      </c>
      <c r="AI222" s="141">
        <v>0</v>
      </c>
      <c r="AJ222" s="141">
        <v>-2246474</v>
      </c>
      <c r="AK222" s="141">
        <v>0</v>
      </c>
      <c r="AL222" s="141">
        <v>0</v>
      </c>
      <c r="AM222" s="141">
        <v>0</v>
      </c>
      <c r="AN222" s="141">
        <v>1551838</v>
      </c>
      <c r="AO222" s="141">
        <v>0</v>
      </c>
      <c r="AP222" s="141">
        <v>1551838</v>
      </c>
      <c r="AQ222" s="141">
        <v>-694636</v>
      </c>
      <c r="AR222" s="141">
        <v>0</v>
      </c>
      <c r="AS222" s="141">
        <v>-694636</v>
      </c>
      <c r="AT222" s="141">
        <v>-4023043</v>
      </c>
      <c r="AU222" s="141">
        <v>0</v>
      </c>
      <c r="AV222" s="141">
        <v>-4023043</v>
      </c>
      <c r="AW222" s="141">
        <v>-37840</v>
      </c>
      <c r="AX222" s="141">
        <v>0</v>
      </c>
      <c r="AY222" s="141">
        <v>-37840</v>
      </c>
      <c r="AZ222" s="141">
        <v>0</v>
      </c>
      <c r="BA222" s="141">
        <v>0</v>
      </c>
      <c r="BB222" s="141">
        <v>0</v>
      </c>
      <c r="BC222" s="141">
        <v>-4755519</v>
      </c>
      <c r="BD222" s="141">
        <v>0</v>
      </c>
      <c r="BE222" s="141">
        <v>0</v>
      </c>
      <c r="BF222" s="141">
        <v>0</v>
      </c>
      <c r="BG222" s="141">
        <v>-4755519</v>
      </c>
      <c r="BH222" s="141">
        <v>0</v>
      </c>
      <c r="BI222" s="141">
        <v>-4755519</v>
      </c>
      <c r="BJ222" s="141">
        <v>0</v>
      </c>
      <c r="BK222" s="141">
        <v>0</v>
      </c>
      <c r="BL222" s="141">
        <v>0</v>
      </c>
      <c r="BM222" s="141">
        <v>-2193163</v>
      </c>
      <c r="BN222" s="141">
        <v>-882</v>
      </c>
      <c r="BO222" s="141">
        <v>-2194045</v>
      </c>
      <c r="BP222" s="141">
        <v>-2193163</v>
      </c>
      <c r="BQ222" s="141">
        <v>-882</v>
      </c>
      <c r="BR222" s="141">
        <v>0</v>
      </c>
      <c r="BS222" s="141">
        <v>0</v>
      </c>
      <c r="BT222" s="141">
        <v>-2193163</v>
      </c>
      <c r="BU222" s="141">
        <v>-882</v>
      </c>
      <c r="BV222" s="141">
        <v>-2194045</v>
      </c>
      <c r="BW222" s="141">
        <v>-20477</v>
      </c>
      <c r="BX222" s="141">
        <v>0</v>
      </c>
      <c r="BY222" s="141">
        <v>-20477</v>
      </c>
      <c r="BZ222" s="141">
        <v>0</v>
      </c>
      <c r="CA222" s="141">
        <v>0</v>
      </c>
      <c r="CB222" s="141">
        <v>0</v>
      </c>
      <c r="CC222" s="141">
        <v>0</v>
      </c>
      <c r="CD222" s="141">
        <v>0</v>
      </c>
      <c r="CE222" s="141">
        <v>0</v>
      </c>
      <c r="CF222" s="141">
        <v>0</v>
      </c>
      <c r="CG222" s="141">
        <v>0</v>
      </c>
      <c r="CH222" s="141">
        <v>0</v>
      </c>
      <c r="CI222" s="141">
        <v>0</v>
      </c>
      <c r="CJ222" s="141">
        <v>0</v>
      </c>
      <c r="CK222" s="141">
        <v>0</v>
      </c>
      <c r="CL222" s="141">
        <v>0</v>
      </c>
      <c r="CM222" s="141">
        <v>0</v>
      </c>
      <c r="CN222" s="141">
        <v>0</v>
      </c>
      <c r="CO222" s="141">
        <v>0</v>
      </c>
      <c r="CP222" s="141">
        <v>0</v>
      </c>
      <c r="CQ222" s="141">
        <v>-20477</v>
      </c>
      <c r="CR222" s="141">
        <v>0</v>
      </c>
      <c r="CS222" s="141">
        <v>0</v>
      </c>
      <c r="CT222" s="141">
        <v>0</v>
      </c>
      <c r="CU222" s="141">
        <v>-20477</v>
      </c>
      <c r="CV222" s="141">
        <v>0</v>
      </c>
      <c r="CW222" s="141">
        <v>-20477</v>
      </c>
      <c r="CX222" s="141">
        <v>-18891</v>
      </c>
      <c r="CY222" s="141">
        <v>0</v>
      </c>
      <c r="CZ222" s="141">
        <v>-18891</v>
      </c>
      <c r="DA222" s="141">
        <v>0</v>
      </c>
      <c r="DB222" s="141">
        <v>0</v>
      </c>
      <c r="DC222" s="141">
        <v>0</v>
      </c>
      <c r="DD222" s="141">
        <v>-23975</v>
      </c>
      <c r="DE222" s="141">
        <v>0</v>
      </c>
      <c r="DF222" s="141">
        <v>-23975</v>
      </c>
      <c r="DG222" s="141">
        <v>-64211</v>
      </c>
      <c r="DH222" s="141">
        <v>-711</v>
      </c>
      <c r="DI222" s="141">
        <v>-64922</v>
      </c>
      <c r="DJ222" s="141">
        <v>0</v>
      </c>
      <c r="DK222" s="141">
        <v>0</v>
      </c>
      <c r="DL222" s="141">
        <v>0</v>
      </c>
      <c r="DM222" s="141">
        <v>-608000</v>
      </c>
      <c r="DN222" s="141">
        <v>0</v>
      </c>
      <c r="DO222" s="141">
        <v>-608000</v>
      </c>
      <c r="DP222" s="141">
        <v>-715077</v>
      </c>
      <c r="DQ222" s="141">
        <v>-711</v>
      </c>
      <c r="DR222" s="141">
        <v>0</v>
      </c>
      <c r="DS222" s="141">
        <v>0</v>
      </c>
      <c r="DT222" s="141">
        <v>-715077</v>
      </c>
      <c r="DU222" s="141">
        <v>-711</v>
      </c>
      <c r="DV222" s="141">
        <v>-715788</v>
      </c>
      <c r="DW222" s="856">
        <v>59430072</v>
      </c>
      <c r="DX222" s="856">
        <v>556303</v>
      </c>
      <c r="DY222" s="857">
        <v>59986375</v>
      </c>
      <c r="DZ222" t="s">
        <v>1788</v>
      </c>
    </row>
    <row r="223" spans="1:130" ht="12.75" x14ac:dyDescent="0.2">
      <c r="A223" s="764">
        <v>216</v>
      </c>
      <c r="B223" s="765" t="s">
        <v>321</v>
      </c>
      <c r="C223" s="766" t="s">
        <v>1217</v>
      </c>
      <c r="D223" s="767" t="s">
        <v>1220</v>
      </c>
      <c r="E223" s="768" t="s">
        <v>320</v>
      </c>
      <c r="F223" s="867">
        <v>43482</v>
      </c>
      <c r="G223" s="141">
        <v>70716100</v>
      </c>
      <c r="H223" s="141">
        <v>0</v>
      </c>
      <c r="I223" s="141">
        <v>70716100</v>
      </c>
      <c r="J223" s="141">
        <v>49.1</v>
      </c>
      <c r="K223" s="141">
        <v>34721605</v>
      </c>
      <c r="L223" s="141">
        <v>0</v>
      </c>
      <c r="M223" s="141">
        <v>0</v>
      </c>
      <c r="N223" s="141">
        <v>0</v>
      </c>
      <c r="O223" s="141">
        <v>34721605</v>
      </c>
      <c r="P223" s="141">
        <v>0</v>
      </c>
      <c r="Q223" s="141">
        <v>34721605</v>
      </c>
      <c r="R223" s="141">
        <v>-529892</v>
      </c>
      <c r="S223" s="141">
        <v>0</v>
      </c>
      <c r="T223" s="141">
        <v>-529892</v>
      </c>
      <c r="U223" s="141">
        <v>2546432</v>
      </c>
      <c r="V223" s="141">
        <v>0</v>
      </c>
      <c r="W223" s="141">
        <v>2546432</v>
      </c>
      <c r="X223" s="141">
        <v>2016540</v>
      </c>
      <c r="Y223" s="141">
        <v>0</v>
      </c>
      <c r="Z223" s="141">
        <v>0</v>
      </c>
      <c r="AA223" s="141">
        <v>0</v>
      </c>
      <c r="AB223" s="141">
        <v>2016540</v>
      </c>
      <c r="AC223" s="141">
        <v>0</v>
      </c>
      <c r="AD223" s="141">
        <v>2016540</v>
      </c>
      <c r="AE223" s="141">
        <v>-2016540</v>
      </c>
      <c r="AF223" s="141">
        <v>0</v>
      </c>
      <c r="AG223" s="141">
        <v>-2016540</v>
      </c>
      <c r="AH223" s="141">
        <v>-3100019</v>
      </c>
      <c r="AI223" s="141">
        <v>0</v>
      </c>
      <c r="AJ223" s="141">
        <v>-3100019</v>
      </c>
      <c r="AK223" s="141">
        <v>-2623</v>
      </c>
      <c r="AL223" s="141">
        <v>0</v>
      </c>
      <c r="AM223" s="141">
        <v>-2623</v>
      </c>
      <c r="AN223" s="141">
        <v>625230</v>
      </c>
      <c r="AO223" s="141">
        <v>0</v>
      </c>
      <c r="AP223" s="141">
        <v>625230</v>
      </c>
      <c r="AQ223" s="141">
        <v>-2474789</v>
      </c>
      <c r="AR223" s="141">
        <v>0</v>
      </c>
      <c r="AS223" s="141">
        <v>-2474789</v>
      </c>
      <c r="AT223" s="141">
        <v>-3017182</v>
      </c>
      <c r="AU223" s="141">
        <v>0</v>
      </c>
      <c r="AV223" s="141">
        <v>-3017182</v>
      </c>
      <c r="AW223" s="141">
        <v>-76284</v>
      </c>
      <c r="AX223" s="141">
        <v>0</v>
      </c>
      <c r="AY223" s="141">
        <v>-76284</v>
      </c>
      <c r="AZ223" s="141">
        <v>-6233</v>
      </c>
      <c r="BA223" s="141">
        <v>0</v>
      </c>
      <c r="BB223" s="141">
        <v>-6233</v>
      </c>
      <c r="BC223" s="141">
        <v>-5574488</v>
      </c>
      <c r="BD223" s="141">
        <v>0</v>
      </c>
      <c r="BE223" s="141">
        <v>0</v>
      </c>
      <c r="BF223" s="141">
        <v>0</v>
      </c>
      <c r="BG223" s="141">
        <v>-5574488</v>
      </c>
      <c r="BH223" s="141">
        <v>0</v>
      </c>
      <c r="BI223" s="141">
        <v>-5574488</v>
      </c>
      <c r="BJ223" s="141">
        <v>0</v>
      </c>
      <c r="BK223" s="141">
        <v>0</v>
      </c>
      <c r="BL223" s="141">
        <v>0</v>
      </c>
      <c r="BM223" s="141">
        <v>-114044</v>
      </c>
      <c r="BN223" s="141">
        <v>0</v>
      </c>
      <c r="BO223" s="141">
        <v>-114044</v>
      </c>
      <c r="BP223" s="141">
        <v>-114044</v>
      </c>
      <c r="BQ223" s="141">
        <v>0</v>
      </c>
      <c r="BR223" s="141">
        <v>0</v>
      </c>
      <c r="BS223" s="141">
        <v>0</v>
      </c>
      <c r="BT223" s="141">
        <v>-114044</v>
      </c>
      <c r="BU223" s="141">
        <v>0</v>
      </c>
      <c r="BV223" s="141">
        <v>-114044</v>
      </c>
      <c r="BW223" s="141">
        <v>-14633</v>
      </c>
      <c r="BX223" s="141">
        <v>0</v>
      </c>
      <c r="BY223" s="141">
        <v>-14633</v>
      </c>
      <c r="BZ223" s="141">
        <v>-26445</v>
      </c>
      <c r="CA223" s="141">
        <v>0</v>
      </c>
      <c r="CB223" s="141">
        <v>-26445</v>
      </c>
      <c r="CC223" s="141">
        <v>-144</v>
      </c>
      <c r="CD223" s="141">
        <v>0</v>
      </c>
      <c r="CE223" s="141">
        <v>-144</v>
      </c>
      <c r="CF223" s="141">
        <v>0</v>
      </c>
      <c r="CG223" s="141">
        <v>0</v>
      </c>
      <c r="CH223" s="141">
        <v>0</v>
      </c>
      <c r="CI223" s="141">
        <v>-1765</v>
      </c>
      <c r="CJ223" s="141">
        <v>0</v>
      </c>
      <c r="CK223" s="141">
        <v>-1765</v>
      </c>
      <c r="CL223" s="141">
        <v>0</v>
      </c>
      <c r="CM223" s="141">
        <v>0</v>
      </c>
      <c r="CN223" s="141">
        <v>0</v>
      </c>
      <c r="CO223" s="141">
        <v>0</v>
      </c>
      <c r="CP223" s="141">
        <v>0</v>
      </c>
      <c r="CQ223" s="141">
        <v>-42987</v>
      </c>
      <c r="CR223" s="141">
        <v>0</v>
      </c>
      <c r="CS223" s="141">
        <v>0</v>
      </c>
      <c r="CT223" s="141">
        <v>0</v>
      </c>
      <c r="CU223" s="141">
        <v>-42987</v>
      </c>
      <c r="CV223" s="141">
        <v>0</v>
      </c>
      <c r="CW223" s="141">
        <v>-42987</v>
      </c>
      <c r="CX223" s="141">
        <v>-6030</v>
      </c>
      <c r="CY223" s="141">
        <v>0</v>
      </c>
      <c r="CZ223" s="141">
        <v>-6030</v>
      </c>
      <c r="DA223" s="141">
        <v>0</v>
      </c>
      <c r="DB223" s="141">
        <v>0</v>
      </c>
      <c r="DC223" s="141">
        <v>0</v>
      </c>
      <c r="DD223" s="141">
        <v>-35443</v>
      </c>
      <c r="DE223" s="141">
        <v>0</v>
      </c>
      <c r="DF223" s="141">
        <v>-35443</v>
      </c>
      <c r="DG223" s="141">
        <v>-53318</v>
      </c>
      <c r="DH223" s="141">
        <v>0</v>
      </c>
      <c r="DI223" s="141">
        <v>-53318</v>
      </c>
      <c r="DJ223" s="141">
        <v>0</v>
      </c>
      <c r="DK223" s="141">
        <v>0</v>
      </c>
      <c r="DL223" s="141">
        <v>0</v>
      </c>
      <c r="DM223" s="141">
        <v>-622093</v>
      </c>
      <c r="DN223" s="141">
        <v>0</v>
      </c>
      <c r="DO223" s="141">
        <v>-622093</v>
      </c>
      <c r="DP223" s="141">
        <v>-716884</v>
      </c>
      <c r="DQ223" s="141">
        <v>0</v>
      </c>
      <c r="DR223" s="141">
        <v>0</v>
      </c>
      <c r="DS223" s="141">
        <v>0</v>
      </c>
      <c r="DT223" s="141">
        <v>-716884</v>
      </c>
      <c r="DU223" s="141">
        <v>0</v>
      </c>
      <c r="DV223" s="141">
        <v>-716884</v>
      </c>
      <c r="DW223" s="856">
        <v>30289742</v>
      </c>
      <c r="DX223" s="856">
        <v>0</v>
      </c>
      <c r="DY223" s="857">
        <v>30289742</v>
      </c>
      <c r="DZ223" t="s">
        <v>1789</v>
      </c>
    </row>
    <row r="224" spans="1:130" ht="12.75" x14ac:dyDescent="0.2">
      <c r="A224" s="764">
        <v>217</v>
      </c>
      <c r="B224" s="765" t="s">
        <v>323</v>
      </c>
      <c r="C224" s="766" t="s">
        <v>1217</v>
      </c>
      <c r="D224" s="767" t="s">
        <v>1218</v>
      </c>
      <c r="E224" s="768" t="s">
        <v>322</v>
      </c>
      <c r="F224" s="867">
        <v>43465</v>
      </c>
      <c r="G224" s="141">
        <v>121283969</v>
      </c>
      <c r="H224" s="141">
        <v>0</v>
      </c>
      <c r="I224" s="141">
        <v>121283969</v>
      </c>
      <c r="J224" s="141">
        <v>49.1</v>
      </c>
      <c r="K224" s="141">
        <v>59550429</v>
      </c>
      <c r="L224" s="141">
        <v>0</v>
      </c>
      <c r="M224" s="141">
        <v>853358</v>
      </c>
      <c r="N224" s="141">
        <v>0</v>
      </c>
      <c r="O224" s="141">
        <v>60403787</v>
      </c>
      <c r="P224" s="141">
        <v>0</v>
      </c>
      <c r="Q224" s="141">
        <v>60403787</v>
      </c>
      <c r="R224" s="141">
        <v>-574899</v>
      </c>
      <c r="S224" s="141">
        <v>0</v>
      </c>
      <c r="T224" s="141">
        <v>-574899</v>
      </c>
      <c r="U224" s="141">
        <v>458529</v>
      </c>
      <c r="V224" s="141">
        <v>0</v>
      </c>
      <c r="W224" s="141">
        <v>458529</v>
      </c>
      <c r="X224" s="141">
        <v>-116370</v>
      </c>
      <c r="Y224" s="141">
        <v>0</v>
      </c>
      <c r="Z224" s="141">
        <v>0</v>
      </c>
      <c r="AA224" s="141">
        <v>0</v>
      </c>
      <c r="AB224" s="141">
        <v>-116370</v>
      </c>
      <c r="AC224" s="141">
        <v>0</v>
      </c>
      <c r="AD224" s="141">
        <v>-116370</v>
      </c>
      <c r="AE224" s="141">
        <v>116370</v>
      </c>
      <c r="AF224" s="141">
        <v>0</v>
      </c>
      <c r="AG224" s="141">
        <v>116370</v>
      </c>
      <c r="AH224" s="141">
        <v>-2224730</v>
      </c>
      <c r="AI224" s="141">
        <v>0</v>
      </c>
      <c r="AJ224" s="141">
        <v>-2224730</v>
      </c>
      <c r="AK224" s="141">
        <v>-4665</v>
      </c>
      <c r="AL224" s="141">
        <v>0</v>
      </c>
      <c r="AM224" s="141">
        <v>-4665</v>
      </c>
      <c r="AN224" s="141">
        <v>1263191</v>
      </c>
      <c r="AO224" s="141">
        <v>0</v>
      </c>
      <c r="AP224" s="141">
        <v>1263191</v>
      </c>
      <c r="AQ224" s="141">
        <v>-961539</v>
      </c>
      <c r="AR224" s="141">
        <v>0</v>
      </c>
      <c r="AS224" s="141">
        <v>-961539</v>
      </c>
      <c r="AT224" s="141">
        <v>-2023389</v>
      </c>
      <c r="AU224" s="141">
        <v>0</v>
      </c>
      <c r="AV224" s="141">
        <v>-2023389</v>
      </c>
      <c r="AW224" s="141">
        <v>-21047</v>
      </c>
      <c r="AX224" s="141">
        <v>0</v>
      </c>
      <c r="AY224" s="141">
        <v>-21047</v>
      </c>
      <c r="AZ224" s="141">
        <v>0</v>
      </c>
      <c r="BA224" s="141">
        <v>0</v>
      </c>
      <c r="BB224" s="141">
        <v>0</v>
      </c>
      <c r="BC224" s="141">
        <v>-3005975</v>
      </c>
      <c r="BD224" s="141">
        <v>0</v>
      </c>
      <c r="BE224" s="141">
        <v>0</v>
      </c>
      <c r="BF224" s="141">
        <v>0</v>
      </c>
      <c r="BG224" s="141">
        <v>-3005975</v>
      </c>
      <c r="BH224" s="141">
        <v>0</v>
      </c>
      <c r="BI224" s="141">
        <v>-3005975</v>
      </c>
      <c r="BJ224" s="141">
        <v>-199522</v>
      </c>
      <c r="BK224" s="141">
        <v>0</v>
      </c>
      <c r="BL224" s="141">
        <v>-199522</v>
      </c>
      <c r="BM224" s="141">
        <v>-1062186</v>
      </c>
      <c r="BN224" s="141">
        <v>0</v>
      </c>
      <c r="BO224" s="141">
        <v>-1062186</v>
      </c>
      <c r="BP224" s="141">
        <v>-1261708</v>
      </c>
      <c r="BQ224" s="141">
        <v>0</v>
      </c>
      <c r="BR224" s="141">
        <v>-358773</v>
      </c>
      <c r="BS224" s="141">
        <v>0</v>
      </c>
      <c r="BT224" s="141">
        <v>-1620481</v>
      </c>
      <c r="BU224" s="141">
        <v>0</v>
      </c>
      <c r="BV224" s="141">
        <v>-1620481</v>
      </c>
      <c r="BW224" s="141">
        <v>-60380</v>
      </c>
      <c r="BX224" s="141">
        <v>0</v>
      </c>
      <c r="BY224" s="141">
        <v>-60380</v>
      </c>
      <c r="BZ224" s="141">
        <v>-313695</v>
      </c>
      <c r="CA224" s="141">
        <v>0</v>
      </c>
      <c r="CB224" s="141">
        <v>-313695</v>
      </c>
      <c r="CC224" s="141">
        <v>-5262</v>
      </c>
      <c r="CD224" s="141">
        <v>0</v>
      </c>
      <c r="CE224" s="141">
        <v>-5262</v>
      </c>
      <c r="CF224" s="141">
        <v>0</v>
      </c>
      <c r="CG224" s="141">
        <v>0</v>
      </c>
      <c r="CH224" s="141">
        <v>0</v>
      </c>
      <c r="CI224" s="141">
        <v>0</v>
      </c>
      <c r="CJ224" s="141">
        <v>0</v>
      </c>
      <c r="CK224" s="141">
        <v>0</v>
      </c>
      <c r="CL224" s="141">
        <v>0</v>
      </c>
      <c r="CM224" s="141">
        <v>0</v>
      </c>
      <c r="CN224" s="141">
        <v>0</v>
      </c>
      <c r="CO224" s="141">
        <v>0</v>
      </c>
      <c r="CP224" s="141">
        <v>0</v>
      </c>
      <c r="CQ224" s="141">
        <v>-379337</v>
      </c>
      <c r="CR224" s="141">
        <v>0</v>
      </c>
      <c r="CS224" s="141">
        <v>-288041</v>
      </c>
      <c r="CT224" s="141">
        <v>0</v>
      </c>
      <c r="CU224" s="141">
        <v>-667378</v>
      </c>
      <c r="CV224" s="141">
        <v>0</v>
      </c>
      <c r="CW224" s="141">
        <v>-667378</v>
      </c>
      <c r="CX224" s="141">
        <v>0</v>
      </c>
      <c r="CY224" s="141">
        <v>0</v>
      </c>
      <c r="CZ224" s="141">
        <v>0</v>
      </c>
      <c r="DA224" s="141">
        <v>0</v>
      </c>
      <c r="DB224" s="141">
        <v>0</v>
      </c>
      <c r="DC224" s="141">
        <v>0</v>
      </c>
      <c r="DD224" s="141">
        <v>-35707</v>
      </c>
      <c r="DE224" s="141">
        <v>0</v>
      </c>
      <c r="DF224" s="141">
        <v>-35707</v>
      </c>
      <c r="DG224" s="141">
        <v>-62000</v>
      </c>
      <c r="DH224" s="141">
        <v>0</v>
      </c>
      <c r="DI224" s="141">
        <v>-62000</v>
      </c>
      <c r="DJ224" s="141">
        <v>0</v>
      </c>
      <c r="DK224" s="141">
        <v>0</v>
      </c>
      <c r="DL224" s="141">
        <v>0</v>
      </c>
      <c r="DM224" s="141">
        <v>-860032</v>
      </c>
      <c r="DN224" s="141">
        <v>0</v>
      </c>
      <c r="DO224" s="141">
        <v>-860032</v>
      </c>
      <c r="DP224" s="141">
        <v>-957739</v>
      </c>
      <c r="DQ224" s="141">
        <v>0</v>
      </c>
      <c r="DR224" s="141">
        <v>0</v>
      </c>
      <c r="DS224" s="141">
        <v>0</v>
      </c>
      <c r="DT224" s="141">
        <v>-957739</v>
      </c>
      <c r="DU224" s="141">
        <v>0</v>
      </c>
      <c r="DV224" s="141">
        <v>-957739</v>
      </c>
      <c r="DW224" s="856">
        <v>54035844</v>
      </c>
      <c r="DX224" s="856">
        <v>0</v>
      </c>
      <c r="DY224" s="857">
        <v>54035844</v>
      </c>
      <c r="DZ224" t="s">
        <v>1790</v>
      </c>
    </row>
    <row r="225" spans="1:130" ht="12.75" x14ac:dyDescent="0.2">
      <c r="A225" s="764">
        <v>218</v>
      </c>
      <c r="B225" s="765" t="s">
        <v>325</v>
      </c>
      <c r="C225" s="766" t="s">
        <v>529</v>
      </c>
      <c r="D225" s="767" t="s">
        <v>1220</v>
      </c>
      <c r="E225" s="768" t="s">
        <v>598</v>
      </c>
      <c r="F225" s="867">
        <v>43490</v>
      </c>
      <c r="G225" s="141">
        <v>32517863</v>
      </c>
      <c r="H225" s="141">
        <v>0</v>
      </c>
      <c r="I225" s="141">
        <v>32517863</v>
      </c>
      <c r="J225" s="141">
        <v>49.1</v>
      </c>
      <c r="K225" s="141">
        <v>15966271</v>
      </c>
      <c r="L225" s="141">
        <v>0</v>
      </c>
      <c r="M225" s="141">
        <v>0</v>
      </c>
      <c r="N225" s="141">
        <v>0</v>
      </c>
      <c r="O225" s="141">
        <v>15966271</v>
      </c>
      <c r="P225" s="141">
        <v>0</v>
      </c>
      <c r="Q225" s="141">
        <v>15966271</v>
      </c>
      <c r="R225" s="141">
        <v>-490861</v>
      </c>
      <c r="S225" s="141">
        <v>0</v>
      </c>
      <c r="T225" s="141">
        <v>-490861</v>
      </c>
      <c r="U225" s="141">
        <v>61798</v>
      </c>
      <c r="V225" s="141">
        <v>0</v>
      </c>
      <c r="W225" s="141">
        <v>61798</v>
      </c>
      <c r="X225" s="141">
        <v>-429063</v>
      </c>
      <c r="Y225" s="141">
        <v>0</v>
      </c>
      <c r="Z225" s="141">
        <v>0</v>
      </c>
      <c r="AA225" s="141">
        <v>0</v>
      </c>
      <c r="AB225" s="141">
        <v>-429063</v>
      </c>
      <c r="AC225" s="141">
        <v>0</v>
      </c>
      <c r="AD225" s="141">
        <v>-429063</v>
      </c>
      <c r="AE225" s="141">
        <v>429063</v>
      </c>
      <c r="AF225" s="141">
        <v>0</v>
      </c>
      <c r="AG225" s="141">
        <v>429063</v>
      </c>
      <c r="AH225" s="141">
        <v>-1849522</v>
      </c>
      <c r="AI225" s="141">
        <v>0</v>
      </c>
      <c r="AJ225" s="141">
        <v>-1849522</v>
      </c>
      <c r="AK225" s="141">
        <v>0</v>
      </c>
      <c r="AL225" s="141">
        <v>0</v>
      </c>
      <c r="AM225" s="141">
        <v>0</v>
      </c>
      <c r="AN225" s="141">
        <v>272079</v>
      </c>
      <c r="AO225" s="141">
        <v>0</v>
      </c>
      <c r="AP225" s="141">
        <v>272079</v>
      </c>
      <c r="AQ225" s="141">
        <v>-1577443</v>
      </c>
      <c r="AR225" s="141">
        <v>0</v>
      </c>
      <c r="AS225" s="141">
        <v>-1577443</v>
      </c>
      <c r="AT225" s="141">
        <v>-1690391</v>
      </c>
      <c r="AU225" s="141">
        <v>0</v>
      </c>
      <c r="AV225" s="141">
        <v>-1690391</v>
      </c>
      <c r="AW225" s="141">
        <v>-22960</v>
      </c>
      <c r="AX225" s="141">
        <v>0</v>
      </c>
      <c r="AY225" s="141">
        <v>-22960</v>
      </c>
      <c r="AZ225" s="141">
        <v>-10348</v>
      </c>
      <c r="BA225" s="141">
        <v>0</v>
      </c>
      <c r="BB225" s="141">
        <v>-10348</v>
      </c>
      <c r="BC225" s="141">
        <v>-3301142</v>
      </c>
      <c r="BD225" s="141">
        <v>0</v>
      </c>
      <c r="BE225" s="141">
        <v>0</v>
      </c>
      <c r="BF225" s="141">
        <v>0</v>
      </c>
      <c r="BG225" s="141">
        <v>-3301142</v>
      </c>
      <c r="BH225" s="141">
        <v>0</v>
      </c>
      <c r="BI225" s="141">
        <v>-3301142</v>
      </c>
      <c r="BJ225" s="141">
        <v>0</v>
      </c>
      <c r="BK225" s="141">
        <v>0</v>
      </c>
      <c r="BL225" s="141">
        <v>0</v>
      </c>
      <c r="BM225" s="141">
        <v>-148913</v>
      </c>
      <c r="BN225" s="141">
        <v>0</v>
      </c>
      <c r="BO225" s="141">
        <v>-148913</v>
      </c>
      <c r="BP225" s="141">
        <v>-148913</v>
      </c>
      <c r="BQ225" s="141">
        <v>0</v>
      </c>
      <c r="BR225" s="141">
        <v>0</v>
      </c>
      <c r="BS225" s="141">
        <v>0</v>
      </c>
      <c r="BT225" s="141">
        <v>-148913</v>
      </c>
      <c r="BU225" s="141">
        <v>0</v>
      </c>
      <c r="BV225" s="141">
        <v>-148913</v>
      </c>
      <c r="BW225" s="141">
        <v>-56401</v>
      </c>
      <c r="BX225" s="141">
        <v>0</v>
      </c>
      <c r="BY225" s="141">
        <v>-56401</v>
      </c>
      <c r="BZ225" s="141">
        <v>-23470</v>
      </c>
      <c r="CA225" s="141">
        <v>0</v>
      </c>
      <c r="CB225" s="141">
        <v>-23470</v>
      </c>
      <c r="CC225" s="141">
        <v>-2309</v>
      </c>
      <c r="CD225" s="141">
        <v>0</v>
      </c>
      <c r="CE225" s="141">
        <v>-2309</v>
      </c>
      <c r="CF225" s="141">
        <v>0</v>
      </c>
      <c r="CG225" s="141">
        <v>0</v>
      </c>
      <c r="CH225" s="141">
        <v>0</v>
      </c>
      <c r="CI225" s="141">
        <v>0</v>
      </c>
      <c r="CJ225" s="141">
        <v>0</v>
      </c>
      <c r="CK225" s="141">
        <v>0</v>
      </c>
      <c r="CL225" s="141">
        <v>0</v>
      </c>
      <c r="CM225" s="141">
        <v>0</v>
      </c>
      <c r="CN225" s="141">
        <v>0</v>
      </c>
      <c r="CO225" s="141">
        <v>0</v>
      </c>
      <c r="CP225" s="141">
        <v>0</v>
      </c>
      <c r="CQ225" s="141">
        <v>-82180</v>
      </c>
      <c r="CR225" s="141">
        <v>0</v>
      </c>
      <c r="CS225" s="141">
        <v>0</v>
      </c>
      <c r="CT225" s="141">
        <v>0</v>
      </c>
      <c r="CU225" s="141">
        <v>-82180</v>
      </c>
      <c r="CV225" s="141">
        <v>0</v>
      </c>
      <c r="CW225" s="141">
        <v>-82180</v>
      </c>
      <c r="CX225" s="141">
        <v>-10348</v>
      </c>
      <c r="CY225" s="141">
        <v>0</v>
      </c>
      <c r="CZ225" s="141">
        <v>-10348</v>
      </c>
      <c r="DA225" s="141">
        <v>0</v>
      </c>
      <c r="DB225" s="141">
        <v>0</v>
      </c>
      <c r="DC225" s="141">
        <v>0</v>
      </c>
      <c r="DD225" s="141">
        <v>-18247</v>
      </c>
      <c r="DE225" s="141">
        <v>0</v>
      </c>
      <c r="DF225" s="141">
        <v>-18247</v>
      </c>
      <c r="DG225" s="141">
        <v>-38000</v>
      </c>
      <c r="DH225" s="141">
        <v>0</v>
      </c>
      <c r="DI225" s="141">
        <v>-38000</v>
      </c>
      <c r="DJ225" s="141">
        <v>0</v>
      </c>
      <c r="DK225" s="141">
        <v>0</v>
      </c>
      <c r="DL225" s="141">
        <v>0</v>
      </c>
      <c r="DM225" s="141">
        <v>-165500</v>
      </c>
      <c r="DN225" s="141">
        <v>0</v>
      </c>
      <c r="DO225" s="141">
        <v>-165500</v>
      </c>
      <c r="DP225" s="141">
        <v>-232095</v>
      </c>
      <c r="DQ225" s="141">
        <v>0</v>
      </c>
      <c r="DR225" s="141">
        <v>0</v>
      </c>
      <c r="DS225" s="141">
        <v>0</v>
      </c>
      <c r="DT225" s="141">
        <v>-232095</v>
      </c>
      <c r="DU225" s="141">
        <v>0</v>
      </c>
      <c r="DV225" s="141">
        <v>-232095</v>
      </c>
      <c r="DW225" s="856">
        <v>11772878</v>
      </c>
      <c r="DX225" s="856">
        <v>0</v>
      </c>
      <c r="DY225" s="857">
        <v>11772878</v>
      </c>
      <c r="DZ225" t="s">
        <v>1791</v>
      </c>
    </row>
    <row r="226" spans="1:130" ht="12.75" x14ac:dyDescent="0.2">
      <c r="A226" s="764">
        <v>219</v>
      </c>
      <c r="B226" s="765" t="s">
        <v>327</v>
      </c>
      <c r="C226" s="766" t="s">
        <v>1217</v>
      </c>
      <c r="D226" s="767" t="s">
        <v>1225</v>
      </c>
      <c r="E226" s="768" t="s">
        <v>326</v>
      </c>
      <c r="F226" s="867">
        <v>43495</v>
      </c>
      <c r="G226" s="141">
        <v>48308248</v>
      </c>
      <c r="H226" s="141">
        <v>0</v>
      </c>
      <c r="I226" s="141">
        <v>48308248</v>
      </c>
      <c r="J226" s="141">
        <v>49.1</v>
      </c>
      <c r="K226" s="141">
        <v>23719350</v>
      </c>
      <c r="L226" s="141">
        <v>0</v>
      </c>
      <c r="M226" s="141">
        <v>95000</v>
      </c>
      <c r="N226" s="141">
        <v>0</v>
      </c>
      <c r="O226" s="141">
        <v>23814350</v>
      </c>
      <c r="P226" s="141">
        <v>0</v>
      </c>
      <c r="Q226" s="141">
        <v>23814350</v>
      </c>
      <c r="R226" s="141">
        <v>-583000</v>
      </c>
      <c r="S226" s="141">
        <v>0</v>
      </c>
      <c r="T226" s="141">
        <v>-583000</v>
      </c>
      <c r="U226" s="141">
        <v>101020</v>
      </c>
      <c r="V226" s="141">
        <v>0</v>
      </c>
      <c r="W226" s="141">
        <v>101020</v>
      </c>
      <c r="X226" s="141">
        <v>-481980</v>
      </c>
      <c r="Y226" s="141">
        <v>0</v>
      </c>
      <c r="Z226" s="141">
        <v>95000</v>
      </c>
      <c r="AA226" s="141">
        <v>0</v>
      </c>
      <c r="AB226" s="141">
        <v>-386980</v>
      </c>
      <c r="AC226" s="141">
        <v>0</v>
      </c>
      <c r="AD226" s="141">
        <v>-386980</v>
      </c>
      <c r="AE226" s="141">
        <v>386980</v>
      </c>
      <c r="AF226" s="141">
        <v>0</v>
      </c>
      <c r="AG226" s="141">
        <v>386980</v>
      </c>
      <c r="AH226" s="141">
        <v>-3600000</v>
      </c>
      <c r="AI226" s="141">
        <v>0</v>
      </c>
      <c r="AJ226" s="141">
        <v>-3600000</v>
      </c>
      <c r="AK226" s="141">
        <v>-11000</v>
      </c>
      <c r="AL226" s="141">
        <v>0</v>
      </c>
      <c r="AM226" s="141">
        <v>-11000</v>
      </c>
      <c r="AN226" s="141">
        <v>326000</v>
      </c>
      <c r="AO226" s="141">
        <v>0</v>
      </c>
      <c r="AP226" s="141">
        <v>326000</v>
      </c>
      <c r="AQ226" s="141">
        <v>-3274000</v>
      </c>
      <c r="AR226" s="141">
        <v>0</v>
      </c>
      <c r="AS226" s="141">
        <v>-3274000</v>
      </c>
      <c r="AT226" s="141">
        <v>-1070000</v>
      </c>
      <c r="AU226" s="141">
        <v>0</v>
      </c>
      <c r="AV226" s="141">
        <v>-1070000</v>
      </c>
      <c r="AW226" s="141">
        <v>-13200</v>
      </c>
      <c r="AX226" s="141">
        <v>0</v>
      </c>
      <c r="AY226" s="141">
        <v>-13200</v>
      </c>
      <c r="AZ226" s="141">
        <v>-32500</v>
      </c>
      <c r="BA226" s="141">
        <v>0</v>
      </c>
      <c r="BB226" s="141">
        <v>-32500</v>
      </c>
      <c r="BC226" s="141">
        <v>-4389700</v>
      </c>
      <c r="BD226" s="141">
        <v>0</v>
      </c>
      <c r="BE226" s="141">
        <v>0</v>
      </c>
      <c r="BF226" s="141">
        <v>0</v>
      </c>
      <c r="BG226" s="141">
        <v>-4389700</v>
      </c>
      <c r="BH226" s="141">
        <v>0</v>
      </c>
      <c r="BI226" s="141">
        <v>-4389700</v>
      </c>
      <c r="BJ226" s="141">
        <v>0</v>
      </c>
      <c r="BK226" s="141">
        <v>0</v>
      </c>
      <c r="BL226" s="141">
        <v>0</v>
      </c>
      <c r="BM226" s="141">
        <v>-330000</v>
      </c>
      <c r="BN226" s="141">
        <v>0</v>
      </c>
      <c r="BO226" s="141">
        <v>-330000</v>
      </c>
      <c r="BP226" s="141">
        <v>-330000</v>
      </c>
      <c r="BQ226" s="141">
        <v>0</v>
      </c>
      <c r="BR226" s="141">
        <v>-60000</v>
      </c>
      <c r="BS226" s="141">
        <v>0</v>
      </c>
      <c r="BT226" s="141">
        <v>-390000</v>
      </c>
      <c r="BU226" s="141">
        <v>0</v>
      </c>
      <c r="BV226" s="141">
        <v>-390000</v>
      </c>
      <c r="BW226" s="141">
        <v>-102000</v>
      </c>
      <c r="BX226" s="141">
        <v>0</v>
      </c>
      <c r="BY226" s="141">
        <v>-102000</v>
      </c>
      <c r="BZ226" s="141">
        <v>-55000</v>
      </c>
      <c r="CA226" s="141">
        <v>0</v>
      </c>
      <c r="CB226" s="141">
        <v>-55000</v>
      </c>
      <c r="CC226" s="141">
        <v>-3300</v>
      </c>
      <c r="CD226" s="141">
        <v>0</v>
      </c>
      <c r="CE226" s="141">
        <v>-3300</v>
      </c>
      <c r="CF226" s="141">
        <v>0</v>
      </c>
      <c r="CG226" s="141">
        <v>0</v>
      </c>
      <c r="CH226" s="141">
        <v>0</v>
      </c>
      <c r="CI226" s="141">
        <v>0</v>
      </c>
      <c r="CJ226" s="141">
        <v>0</v>
      </c>
      <c r="CK226" s="141">
        <v>0</v>
      </c>
      <c r="CL226" s="141">
        <v>0</v>
      </c>
      <c r="CM226" s="141">
        <v>0</v>
      </c>
      <c r="CN226" s="141">
        <v>0</v>
      </c>
      <c r="CO226" s="141">
        <v>0</v>
      </c>
      <c r="CP226" s="141">
        <v>0</v>
      </c>
      <c r="CQ226" s="141">
        <v>-160300</v>
      </c>
      <c r="CR226" s="141">
        <v>0</v>
      </c>
      <c r="CS226" s="141">
        <v>0</v>
      </c>
      <c r="CT226" s="141">
        <v>0</v>
      </c>
      <c r="CU226" s="141">
        <v>-160300</v>
      </c>
      <c r="CV226" s="141">
        <v>0</v>
      </c>
      <c r="CW226" s="141">
        <v>-160300</v>
      </c>
      <c r="CX226" s="141">
        <v>-32500</v>
      </c>
      <c r="CY226" s="141">
        <v>0</v>
      </c>
      <c r="CZ226" s="141">
        <v>-32500</v>
      </c>
      <c r="DA226" s="141">
        <v>-1500</v>
      </c>
      <c r="DB226" s="141">
        <v>0</v>
      </c>
      <c r="DC226" s="141">
        <v>-1500</v>
      </c>
      <c r="DD226" s="141">
        <v>-35000</v>
      </c>
      <c r="DE226" s="141">
        <v>0</v>
      </c>
      <c r="DF226" s="141">
        <v>-35000</v>
      </c>
      <c r="DG226" s="141">
        <v>-46500</v>
      </c>
      <c r="DH226" s="141">
        <v>0</v>
      </c>
      <c r="DI226" s="141">
        <v>-46500</v>
      </c>
      <c r="DJ226" s="141">
        <v>0</v>
      </c>
      <c r="DK226" s="141">
        <v>0</v>
      </c>
      <c r="DL226" s="141">
        <v>0</v>
      </c>
      <c r="DM226" s="141">
        <v>-560000</v>
      </c>
      <c r="DN226" s="141">
        <v>0</v>
      </c>
      <c r="DO226" s="141">
        <v>-560000</v>
      </c>
      <c r="DP226" s="141">
        <v>-675500</v>
      </c>
      <c r="DQ226" s="141">
        <v>0</v>
      </c>
      <c r="DR226" s="141">
        <v>0</v>
      </c>
      <c r="DS226" s="141">
        <v>0</v>
      </c>
      <c r="DT226" s="141">
        <v>-675500</v>
      </c>
      <c r="DU226" s="141">
        <v>0</v>
      </c>
      <c r="DV226" s="141">
        <v>-675500</v>
      </c>
      <c r="DW226" s="856">
        <v>17811870</v>
      </c>
      <c r="DX226" s="856">
        <v>0</v>
      </c>
      <c r="DY226" s="857">
        <v>17811870</v>
      </c>
      <c r="DZ226" t="s">
        <v>1792</v>
      </c>
    </row>
    <row r="227" spans="1:130" ht="12.75" x14ac:dyDescent="0.2">
      <c r="A227" s="764">
        <v>220</v>
      </c>
      <c r="B227" s="765" t="s">
        <v>329</v>
      </c>
      <c r="C227" s="766" t="s">
        <v>1224</v>
      </c>
      <c r="D227" s="767" t="s">
        <v>1219</v>
      </c>
      <c r="E227" s="768" t="s">
        <v>328</v>
      </c>
      <c r="F227" s="867">
        <v>43493</v>
      </c>
      <c r="G227" s="141">
        <v>242266762</v>
      </c>
      <c r="H227" s="141">
        <v>0</v>
      </c>
      <c r="I227" s="141">
        <v>242266762</v>
      </c>
      <c r="J227" s="141">
        <v>49.1</v>
      </c>
      <c r="K227" s="141">
        <v>118952980</v>
      </c>
      <c r="L227" s="141">
        <v>0</v>
      </c>
      <c r="M227" s="141">
        <v>3317481</v>
      </c>
      <c r="N227" s="141">
        <v>0</v>
      </c>
      <c r="O227" s="141">
        <v>122270461</v>
      </c>
      <c r="P227" s="141">
        <v>0</v>
      </c>
      <c r="Q227" s="141">
        <v>122270461</v>
      </c>
      <c r="R227" s="141">
        <v>-1256892</v>
      </c>
      <c r="S227" s="141">
        <v>0</v>
      </c>
      <c r="T227" s="141">
        <v>-1256892</v>
      </c>
      <c r="U227" s="141">
        <v>2820723</v>
      </c>
      <c r="V227" s="141">
        <v>0</v>
      </c>
      <c r="W227" s="141">
        <v>2820723</v>
      </c>
      <c r="X227" s="141">
        <v>1563831</v>
      </c>
      <c r="Y227" s="141">
        <v>0</v>
      </c>
      <c r="Z227" s="141">
        <v>0</v>
      </c>
      <c r="AA227" s="141">
        <v>0</v>
      </c>
      <c r="AB227" s="141">
        <v>1563831</v>
      </c>
      <c r="AC227" s="141">
        <v>0</v>
      </c>
      <c r="AD227" s="141">
        <v>1563831</v>
      </c>
      <c r="AE227" s="141">
        <v>-1563831</v>
      </c>
      <c r="AF227" s="141">
        <v>0</v>
      </c>
      <c r="AG227" s="141">
        <v>-1563831</v>
      </c>
      <c r="AH227" s="141">
        <v>-8348918</v>
      </c>
      <c r="AI227" s="141">
        <v>0</v>
      </c>
      <c r="AJ227" s="141">
        <v>-8348918</v>
      </c>
      <c r="AK227" s="141">
        <v>-13477</v>
      </c>
      <c r="AL227" s="141">
        <v>0</v>
      </c>
      <c r="AM227" s="141">
        <v>-13477</v>
      </c>
      <c r="AN227" s="141">
        <v>2297551</v>
      </c>
      <c r="AO227" s="141">
        <v>0</v>
      </c>
      <c r="AP227" s="141">
        <v>2297551</v>
      </c>
      <c r="AQ227" s="141">
        <v>-6051367</v>
      </c>
      <c r="AR227" s="141">
        <v>0</v>
      </c>
      <c r="AS227" s="141">
        <v>-6051367</v>
      </c>
      <c r="AT227" s="141">
        <v>-8708282</v>
      </c>
      <c r="AU227" s="141">
        <v>0</v>
      </c>
      <c r="AV227" s="141">
        <v>-8708282</v>
      </c>
      <c r="AW227" s="141">
        <v>-120871</v>
      </c>
      <c r="AX227" s="141">
        <v>0</v>
      </c>
      <c r="AY227" s="141">
        <v>-120871</v>
      </c>
      <c r="AZ227" s="141">
        <v>0</v>
      </c>
      <c r="BA227" s="141">
        <v>0</v>
      </c>
      <c r="BB227" s="141">
        <v>0</v>
      </c>
      <c r="BC227" s="141">
        <v>-14880520</v>
      </c>
      <c r="BD227" s="141">
        <v>0</v>
      </c>
      <c r="BE227" s="141">
        <v>-92713</v>
      </c>
      <c r="BF227" s="141">
        <v>0</v>
      </c>
      <c r="BG227" s="141">
        <v>-14973233</v>
      </c>
      <c r="BH227" s="141">
        <v>0</v>
      </c>
      <c r="BI227" s="141">
        <v>-14973233</v>
      </c>
      <c r="BJ227" s="141">
        <v>-14419</v>
      </c>
      <c r="BK227" s="141">
        <v>0</v>
      </c>
      <c r="BL227" s="141">
        <v>-14419</v>
      </c>
      <c r="BM227" s="141">
        <v>-5867433</v>
      </c>
      <c r="BN227" s="141">
        <v>0</v>
      </c>
      <c r="BO227" s="141">
        <v>-5867433</v>
      </c>
      <c r="BP227" s="141">
        <v>-5881852</v>
      </c>
      <c r="BQ227" s="141">
        <v>0</v>
      </c>
      <c r="BR227" s="141">
        <v>0</v>
      </c>
      <c r="BS227" s="141">
        <v>0</v>
      </c>
      <c r="BT227" s="141">
        <v>-5881852</v>
      </c>
      <c r="BU227" s="141">
        <v>0</v>
      </c>
      <c r="BV227" s="141">
        <v>-5881852</v>
      </c>
      <c r="BW227" s="141">
        <v>-256725</v>
      </c>
      <c r="BX227" s="141">
        <v>0</v>
      </c>
      <c r="BY227" s="141">
        <v>-256725</v>
      </c>
      <c r="BZ227" s="141">
        <v>-94875</v>
      </c>
      <c r="CA227" s="141">
        <v>0</v>
      </c>
      <c r="CB227" s="141">
        <v>-94875</v>
      </c>
      <c r="CC227" s="141">
        <v>-813</v>
      </c>
      <c r="CD227" s="141">
        <v>0</v>
      </c>
      <c r="CE227" s="141">
        <v>-813</v>
      </c>
      <c r="CF227" s="141">
        <v>0</v>
      </c>
      <c r="CG227" s="141">
        <v>0</v>
      </c>
      <c r="CH227" s="141">
        <v>0</v>
      </c>
      <c r="CI227" s="141">
        <v>0</v>
      </c>
      <c r="CJ227" s="141">
        <v>0</v>
      </c>
      <c r="CK227" s="141">
        <v>0</v>
      </c>
      <c r="CL227" s="141">
        <v>0</v>
      </c>
      <c r="CM227" s="141">
        <v>0</v>
      </c>
      <c r="CN227" s="141">
        <v>0</v>
      </c>
      <c r="CO227" s="141">
        <v>0</v>
      </c>
      <c r="CP227" s="141">
        <v>0</v>
      </c>
      <c r="CQ227" s="141">
        <v>-352413</v>
      </c>
      <c r="CR227" s="141">
        <v>0</v>
      </c>
      <c r="CS227" s="141">
        <v>0</v>
      </c>
      <c r="CT227" s="141">
        <v>0</v>
      </c>
      <c r="CU227" s="141">
        <v>-352413</v>
      </c>
      <c r="CV227" s="141">
        <v>0</v>
      </c>
      <c r="CW227" s="141">
        <v>-352413</v>
      </c>
      <c r="CX227" s="141">
        <v>0</v>
      </c>
      <c r="CY227" s="141">
        <v>0</v>
      </c>
      <c r="CZ227" s="141">
        <v>0</v>
      </c>
      <c r="DA227" s="141">
        <v>0</v>
      </c>
      <c r="DB227" s="141">
        <v>0</v>
      </c>
      <c r="DC227" s="141">
        <v>0</v>
      </c>
      <c r="DD227" s="141">
        <v>-6486</v>
      </c>
      <c r="DE227" s="141">
        <v>0</v>
      </c>
      <c r="DF227" s="141">
        <v>-6486</v>
      </c>
      <c r="DG227" s="141">
        <v>-51100</v>
      </c>
      <c r="DH227" s="141">
        <v>0</v>
      </c>
      <c r="DI227" s="141">
        <v>-51100</v>
      </c>
      <c r="DJ227" s="141">
        <v>0</v>
      </c>
      <c r="DK227" s="141">
        <v>0</v>
      </c>
      <c r="DL227" s="141">
        <v>0</v>
      </c>
      <c r="DM227" s="141">
        <v>-2227329</v>
      </c>
      <c r="DN227" s="141">
        <v>0</v>
      </c>
      <c r="DO227" s="141">
        <v>-2227329</v>
      </c>
      <c r="DP227" s="141">
        <v>-2284915</v>
      </c>
      <c r="DQ227" s="141">
        <v>0</v>
      </c>
      <c r="DR227" s="141">
        <v>0</v>
      </c>
      <c r="DS227" s="141">
        <v>0</v>
      </c>
      <c r="DT227" s="141">
        <v>-2284915</v>
      </c>
      <c r="DU227" s="141">
        <v>0</v>
      </c>
      <c r="DV227" s="141">
        <v>-2284915</v>
      </c>
      <c r="DW227" s="856">
        <v>100341879</v>
      </c>
      <c r="DX227" s="856">
        <v>0</v>
      </c>
      <c r="DY227" s="857">
        <v>100341879</v>
      </c>
      <c r="DZ227" t="s">
        <v>1793</v>
      </c>
    </row>
    <row r="228" spans="1:130" ht="12.75" x14ac:dyDescent="0.2">
      <c r="A228" s="764">
        <v>221</v>
      </c>
      <c r="B228" s="765" t="s">
        <v>331</v>
      </c>
      <c r="C228" s="766" t="s">
        <v>1224</v>
      </c>
      <c r="D228" s="767" t="s">
        <v>1227</v>
      </c>
      <c r="E228" s="768" t="s">
        <v>330</v>
      </c>
      <c r="F228" s="867">
        <v>43465</v>
      </c>
      <c r="G228" s="141">
        <v>258308205</v>
      </c>
      <c r="H228" s="141">
        <v>0</v>
      </c>
      <c r="I228" s="141">
        <v>258308205</v>
      </c>
      <c r="J228" s="141">
        <v>49.1</v>
      </c>
      <c r="K228" s="141">
        <v>126829329</v>
      </c>
      <c r="L228" s="141">
        <v>0</v>
      </c>
      <c r="M228" s="141">
        <v>0</v>
      </c>
      <c r="N228" s="141">
        <v>0</v>
      </c>
      <c r="O228" s="141">
        <v>126829329</v>
      </c>
      <c r="P228" s="141">
        <v>0</v>
      </c>
      <c r="Q228" s="141">
        <v>126829329</v>
      </c>
      <c r="R228" s="141">
        <v>-1472670</v>
      </c>
      <c r="S228" s="141">
        <v>0</v>
      </c>
      <c r="T228" s="141">
        <v>-1472670</v>
      </c>
      <c r="U228" s="141">
        <v>2705555</v>
      </c>
      <c r="V228" s="141">
        <v>0</v>
      </c>
      <c r="W228" s="141">
        <v>2705555</v>
      </c>
      <c r="X228" s="141">
        <v>1232885</v>
      </c>
      <c r="Y228" s="141">
        <v>0</v>
      </c>
      <c r="Z228" s="141">
        <v>0</v>
      </c>
      <c r="AA228" s="141">
        <v>0</v>
      </c>
      <c r="AB228" s="141">
        <v>1232885</v>
      </c>
      <c r="AC228" s="141">
        <v>0</v>
      </c>
      <c r="AD228" s="141">
        <v>1232885</v>
      </c>
      <c r="AE228" s="141">
        <v>-1232885</v>
      </c>
      <c r="AF228" s="141">
        <v>0</v>
      </c>
      <c r="AG228" s="141">
        <v>-1232885</v>
      </c>
      <c r="AH228" s="141">
        <v>-13550000</v>
      </c>
      <c r="AI228" s="141">
        <v>0</v>
      </c>
      <c r="AJ228" s="141">
        <v>-13550000</v>
      </c>
      <c r="AK228" s="141">
        <v>-42680</v>
      </c>
      <c r="AL228" s="141">
        <v>0</v>
      </c>
      <c r="AM228" s="141">
        <v>-42680</v>
      </c>
      <c r="AN228" s="141">
        <v>2295611</v>
      </c>
      <c r="AO228" s="141">
        <v>0</v>
      </c>
      <c r="AP228" s="141">
        <v>2295611</v>
      </c>
      <c r="AQ228" s="141">
        <v>-11254389</v>
      </c>
      <c r="AR228" s="141">
        <v>0</v>
      </c>
      <c r="AS228" s="141">
        <v>-11254389</v>
      </c>
      <c r="AT228" s="141">
        <v>-6365718</v>
      </c>
      <c r="AU228" s="141">
        <v>0</v>
      </c>
      <c r="AV228" s="141">
        <v>-6365718</v>
      </c>
      <c r="AW228" s="141">
        <v>-80477</v>
      </c>
      <c r="AX228" s="141">
        <v>0</v>
      </c>
      <c r="AY228" s="141">
        <v>-80477</v>
      </c>
      <c r="AZ228" s="141">
        <v>0</v>
      </c>
      <c r="BA228" s="141">
        <v>0</v>
      </c>
      <c r="BB228" s="141">
        <v>0</v>
      </c>
      <c r="BC228" s="141">
        <v>-17700584</v>
      </c>
      <c r="BD228" s="141">
        <v>0</v>
      </c>
      <c r="BE228" s="141">
        <v>0</v>
      </c>
      <c r="BF228" s="141">
        <v>0</v>
      </c>
      <c r="BG228" s="141">
        <v>-17700584</v>
      </c>
      <c r="BH228" s="141">
        <v>0</v>
      </c>
      <c r="BI228" s="141">
        <v>-17700584</v>
      </c>
      <c r="BJ228" s="141">
        <v>-127000</v>
      </c>
      <c r="BK228" s="141">
        <v>0</v>
      </c>
      <c r="BL228" s="141">
        <v>-127000</v>
      </c>
      <c r="BM228" s="141">
        <v>-3510000</v>
      </c>
      <c r="BN228" s="141">
        <v>0</v>
      </c>
      <c r="BO228" s="141">
        <v>-3510000</v>
      </c>
      <c r="BP228" s="141">
        <v>-3637000</v>
      </c>
      <c r="BQ228" s="141">
        <v>0</v>
      </c>
      <c r="BR228" s="141">
        <v>0</v>
      </c>
      <c r="BS228" s="141">
        <v>0</v>
      </c>
      <c r="BT228" s="141">
        <v>-3637000</v>
      </c>
      <c r="BU228" s="141">
        <v>0</v>
      </c>
      <c r="BV228" s="141">
        <v>-3637000</v>
      </c>
      <c r="BW228" s="141">
        <v>-430278</v>
      </c>
      <c r="BX228" s="141">
        <v>0</v>
      </c>
      <c r="BY228" s="141">
        <v>-430278</v>
      </c>
      <c r="BZ228" s="141">
        <v>-332601</v>
      </c>
      <c r="CA228" s="141">
        <v>0</v>
      </c>
      <c r="CB228" s="141">
        <v>-332601</v>
      </c>
      <c r="CC228" s="141">
        <v>-13084</v>
      </c>
      <c r="CD228" s="141">
        <v>0</v>
      </c>
      <c r="CE228" s="141">
        <v>-13084</v>
      </c>
      <c r="CF228" s="141">
        <v>0</v>
      </c>
      <c r="CG228" s="141">
        <v>0</v>
      </c>
      <c r="CH228" s="141">
        <v>0</v>
      </c>
      <c r="CI228" s="141">
        <v>0</v>
      </c>
      <c r="CJ228" s="141">
        <v>0</v>
      </c>
      <c r="CK228" s="141">
        <v>0</v>
      </c>
      <c r="CL228" s="141">
        <v>0</v>
      </c>
      <c r="CM228" s="141">
        <v>0</v>
      </c>
      <c r="CN228" s="141">
        <v>0</v>
      </c>
      <c r="CO228" s="141">
        <v>0</v>
      </c>
      <c r="CP228" s="141">
        <v>0</v>
      </c>
      <c r="CQ228" s="141">
        <v>-775963</v>
      </c>
      <c r="CR228" s="141">
        <v>0</v>
      </c>
      <c r="CS228" s="141">
        <v>0</v>
      </c>
      <c r="CT228" s="141">
        <v>0</v>
      </c>
      <c r="CU228" s="141">
        <v>-775963</v>
      </c>
      <c r="CV228" s="141">
        <v>0</v>
      </c>
      <c r="CW228" s="141">
        <v>-775963</v>
      </c>
      <c r="CX228" s="141">
        <v>0</v>
      </c>
      <c r="CY228" s="141">
        <v>0</v>
      </c>
      <c r="CZ228" s="141">
        <v>0</v>
      </c>
      <c r="DA228" s="141">
        <v>-1500</v>
      </c>
      <c r="DB228" s="141">
        <v>0</v>
      </c>
      <c r="DC228" s="141">
        <v>-1500</v>
      </c>
      <c r="DD228" s="141">
        <v>-35000</v>
      </c>
      <c r="DE228" s="141">
        <v>0</v>
      </c>
      <c r="DF228" s="141">
        <v>-35000</v>
      </c>
      <c r="DG228" s="141">
        <v>-76000</v>
      </c>
      <c r="DH228" s="141">
        <v>0</v>
      </c>
      <c r="DI228" s="141">
        <v>-76000</v>
      </c>
      <c r="DJ228" s="141">
        <v>0</v>
      </c>
      <c r="DK228" s="141">
        <v>0</v>
      </c>
      <c r="DL228" s="141">
        <v>0</v>
      </c>
      <c r="DM228" s="141">
        <v>-1692775</v>
      </c>
      <c r="DN228" s="141">
        <v>0</v>
      </c>
      <c r="DO228" s="141">
        <v>-1692775</v>
      </c>
      <c r="DP228" s="141">
        <v>-1805275</v>
      </c>
      <c r="DQ228" s="141">
        <v>0</v>
      </c>
      <c r="DR228" s="141">
        <v>0</v>
      </c>
      <c r="DS228" s="141">
        <v>0</v>
      </c>
      <c r="DT228" s="141">
        <v>-1805275</v>
      </c>
      <c r="DU228" s="141">
        <v>0</v>
      </c>
      <c r="DV228" s="141">
        <v>-1805275</v>
      </c>
      <c r="DW228" s="856">
        <v>104143392</v>
      </c>
      <c r="DX228" s="856">
        <v>0</v>
      </c>
      <c r="DY228" s="857">
        <v>104143392</v>
      </c>
      <c r="DZ228" t="s">
        <v>1794</v>
      </c>
    </row>
    <row r="229" spans="1:130" ht="12.75" x14ac:dyDescent="0.2">
      <c r="A229" s="764">
        <v>222</v>
      </c>
      <c r="B229" s="765" t="s">
        <v>333</v>
      </c>
      <c r="C229" s="766" t="s">
        <v>1217</v>
      </c>
      <c r="D229" s="767" t="s">
        <v>1225</v>
      </c>
      <c r="E229" s="768" t="s">
        <v>332</v>
      </c>
      <c r="F229" s="867">
        <v>43481</v>
      </c>
      <c r="G229" s="141">
        <v>104485899</v>
      </c>
      <c r="H229" s="141">
        <v>0</v>
      </c>
      <c r="I229" s="141">
        <v>104485899</v>
      </c>
      <c r="J229" s="141">
        <v>49.1</v>
      </c>
      <c r="K229" s="141">
        <v>51302576</v>
      </c>
      <c r="L229" s="141">
        <v>0</v>
      </c>
      <c r="M229" s="141">
        <v>0</v>
      </c>
      <c r="N229" s="141">
        <v>0</v>
      </c>
      <c r="O229" s="141">
        <v>51302576</v>
      </c>
      <c r="P229" s="141">
        <v>0</v>
      </c>
      <c r="Q229" s="141">
        <v>51302576</v>
      </c>
      <c r="R229" s="141">
        <v>-1755149</v>
      </c>
      <c r="S229" s="141">
        <v>0</v>
      </c>
      <c r="T229" s="141">
        <v>-1755149</v>
      </c>
      <c r="U229" s="141">
        <v>240573</v>
      </c>
      <c r="V229" s="141">
        <v>0</v>
      </c>
      <c r="W229" s="141">
        <v>240573</v>
      </c>
      <c r="X229" s="141">
        <v>-1514576</v>
      </c>
      <c r="Y229" s="141">
        <v>0</v>
      </c>
      <c r="Z229" s="141">
        <v>0</v>
      </c>
      <c r="AA229" s="141">
        <v>0</v>
      </c>
      <c r="AB229" s="141">
        <v>-1514576</v>
      </c>
      <c r="AC229" s="141">
        <v>0</v>
      </c>
      <c r="AD229" s="141">
        <v>-1514576</v>
      </c>
      <c r="AE229" s="141">
        <v>1514576</v>
      </c>
      <c r="AF229" s="141">
        <v>0</v>
      </c>
      <c r="AG229" s="141">
        <v>1514576</v>
      </c>
      <c r="AH229" s="141">
        <v>-9446500</v>
      </c>
      <c r="AI229" s="141">
        <v>0</v>
      </c>
      <c r="AJ229" s="141">
        <v>-9446500</v>
      </c>
      <c r="AK229" s="141">
        <v>-50072</v>
      </c>
      <c r="AL229" s="141">
        <v>0</v>
      </c>
      <c r="AM229" s="141">
        <v>-50072</v>
      </c>
      <c r="AN229" s="141">
        <v>732896</v>
      </c>
      <c r="AO229" s="141">
        <v>0</v>
      </c>
      <c r="AP229" s="141">
        <v>732896</v>
      </c>
      <c r="AQ229" s="141">
        <v>-8713604</v>
      </c>
      <c r="AR229" s="141">
        <v>0</v>
      </c>
      <c r="AS229" s="141">
        <v>-8713604</v>
      </c>
      <c r="AT229" s="141">
        <v>-2593282</v>
      </c>
      <c r="AU229" s="141">
        <v>0</v>
      </c>
      <c r="AV229" s="141">
        <v>-2593282</v>
      </c>
      <c r="AW229" s="141">
        <v>-113848</v>
      </c>
      <c r="AX229" s="141">
        <v>0</v>
      </c>
      <c r="AY229" s="141">
        <v>-113848</v>
      </c>
      <c r="AZ229" s="141">
        <v>-29554</v>
      </c>
      <c r="BA229" s="141">
        <v>0</v>
      </c>
      <c r="BB229" s="141">
        <v>-29554</v>
      </c>
      <c r="BC229" s="141">
        <v>-11450288</v>
      </c>
      <c r="BD229" s="141">
        <v>0</v>
      </c>
      <c r="BE229" s="141">
        <v>-303292</v>
      </c>
      <c r="BF229" s="141">
        <v>0</v>
      </c>
      <c r="BG229" s="141">
        <v>-11753580</v>
      </c>
      <c r="BH229" s="141">
        <v>0</v>
      </c>
      <c r="BI229" s="141">
        <v>-11753580</v>
      </c>
      <c r="BJ229" s="141">
        <v>-5000</v>
      </c>
      <c r="BK229" s="141">
        <v>0</v>
      </c>
      <c r="BL229" s="141">
        <v>-5000</v>
      </c>
      <c r="BM229" s="141">
        <v>-810203</v>
      </c>
      <c r="BN229" s="141">
        <v>0</v>
      </c>
      <c r="BO229" s="141">
        <v>-810203</v>
      </c>
      <c r="BP229" s="141">
        <v>-815203</v>
      </c>
      <c r="BQ229" s="141">
        <v>0</v>
      </c>
      <c r="BR229" s="141">
        <v>0</v>
      </c>
      <c r="BS229" s="141">
        <v>0</v>
      </c>
      <c r="BT229" s="141">
        <v>-815203</v>
      </c>
      <c r="BU229" s="141">
        <v>0</v>
      </c>
      <c r="BV229" s="141">
        <v>-815203</v>
      </c>
      <c r="BW229" s="141">
        <v>-224604</v>
      </c>
      <c r="BX229" s="141">
        <v>0</v>
      </c>
      <c r="BY229" s="141">
        <v>-224604</v>
      </c>
      <c r="BZ229" s="141">
        <v>-94194</v>
      </c>
      <c r="CA229" s="141">
        <v>0</v>
      </c>
      <c r="CB229" s="141">
        <v>-94194</v>
      </c>
      <c r="CC229" s="141">
        <v>0</v>
      </c>
      <c r="CD229" s="141">
        <v>0</v>
      </c>
      <c r="CE229" s="141">
        <v>0</v>
      </c>
      <c r="CF229" s="141">
        <v>0</v>
      </c>
      <c r="CG229" s="141">
        <v>0</v>
      </c>
      <c r="CH229" s="141">
        <v>0</v>
      </c>
      <c r="CI229" s="141">
        <v>0</v>
      </c>
      <c r="CJ229" s="141">
        <v>0</v>
      </c>
      <c r="CK229" s="141">
        <v>0</v>
      </c>
      <c r="CL229" s="141">
        <v>0</v>
      </c>
      <c r="CM229" s="141">
        <v>0</v>
      </c>
      <c r="CN229" s="141">
        <v>0</v>
      </c>
      <c r="CO229" s="141">
        <v>0</v>
      </c>
      <c r="CP229" s="141">
        <v>0</v>
      </c>
      <c r="CQ229" s="141">
        <v>-318798</v>
      </c>
      <c r="CR229" s="141">
        <v>0</v>
      </c>
      <c r="CS229" s="141">
        <v>0</v>
      </c>
      <c r="CT229" s="141">
        <v>0</v>
      </c>
      <c r="CU229" s="141">
        <v>-318798</v>
      </c>
      <c r="CV229" s="141">
        <v>0</v>
      </c>
      <c r="CW229" s="141">
        <v>-318798</v>
      </c>
      <c r="CX229" s="141">
        <v>-29554</v>
      </c>
      <c r="CY229" s="141">
        <v>0</v>
      </c>
      <c r="CZ229" s="141">
        <v>-29554</v>
      </c>
      <c r="DA229" s="141">
        <v>-1500</v>
      </c>
      <c r="DB229" s="141">
        <v>0</v>
      </c>
      <c r="DC229" s="141">
        <v>-1500</v>
      </c>
      <c r="DD229" s="141">
        <v>-66803</v>
      </c>
      <c r="DE229" s="141">
        <v>0</v>
      </c>
      <c r="DF229" s="141">
        <v>-66803</v>
      </c>
      <c r="DG229" s="141">
        <v>-125000</v>
      </c>
      <c r="DH229" s="141">
        <v>0</v>
      </c>
      <c r="DI229" s="141">
        <v>-125000</v>
      </c>
      <c r="DJ229" s="141">
        <v>0</v>
      </c>
      <c r="DK229" s="141">
        <v>0</v>
      </c>
      <c r="DL229" s="141">
        <v>0</v>
      </c>
      <c r="DM229" s="141">
        <v>-1470598</v>
      </c>
      <c r="DN229" s="141">
        <v>0</v>
      </c>
      <c r="DO229" s="141">
        <v>-1470598</v>
      </c>
      <c r="DP229" s="141">
        <v>-1693455</v>
      </c>
      <c r="DQ229" s="141">
        <v>0</v>
      </c>
      <c r="DR229" s="141">
        <v>0</v>
      </c>
      <c r="DS229" s="141">
        <v>0</v>
      </c>
      <c r="DT229" s="141">
        <v>-1693455</v>
      </c>
      <c r="DU229" s="141">
        <v>0</v>
      </c>
      <c r="DV229" s="141">
        <v>-1693455</v>
      </c>
      <c r="DW229" s="856">
        <v>35206964</v>
      </c>
      <c r="DX229" s="856">
        <v>0</v>
      </c>
      <c r="DY229" s="857">
        <v>35206964</v>
      </c>
      <c r="DZ229" t="s">
        <v>1795</v>
      </c>
    </row>
    <row r="230" spans="1:130" ht="12.75" x14ac:dyDescent="0.2">
      <c r="A230" s="764">
        <v>223</v>
      </c>
      <c r="B230" s="765" t="s">
        <v>335</v>
      </c>
      <c r="C230" s="766" t="s">
        <v>1217</v>
      </c>
      <c r="D230" s="767" t="s">
        <v>1226</v>
      </c>
      <c r="E230" s="768" t="s">
        <v>334</v>
      </c>
      <c r="F230" s="867">
        <v>43467</v>
      </c>
      <c r="G230" s="141">
        <v>105189789</v>
      </c>
      <c r="H230" s="141">
        <v>47500</v>
      </c>
      <c r="I230" s="141">
        <v>105237289</v>
      </c>
      <c r="J230" s="141">
        <v>49.1</v>
      </c>
      <c r="K230" s="141">
        <v>51648186</v>
      </c>
      <c r="L230" s="141">
        <v>23323</v>
      </c>
      <c r="M230" s="141">
        <v>949292</v>
      </c>
      <c r="N230" s="141">
        <v>0</v>
      </c>
      <c r="O230" s="141">
        <v>52597478</v>
      </c>
      <c r="P230" s="141">
        <v>23323</v>
      </c>
      <c r="Q230" s="141">
        <v>52620801</v>
      </c>
      <c r="R230" s="141">
        <v>-552783</v>
      </c>
      <c r="S230" s="141">
        <v>0</v>
      </c>
      <c r="T230" s="141">
        <v>-552783</v>
      </c>
      <c r="U230" s="141">
        <v>485606</v>
      </c>
      <c r="V230" s="141">
        <v>0</v>
      </c>
      <c r="W230" s="141">
        <v>485606</v>
      </c>
      <c r="X230" s="141">
        <v>-67177</v>
      </c>
      <c r="Y230" s="141">
        <v>0</v>
      </c>
      <c r="Z230" s="141">
        <v>0</v>
      </c>
      <c r="AA230" s="141">
        <v>0</v>
      </c>
      <c r="AB230" s="141">
        <v>-67177</v>
      </c>
      <c r="AC230" s="141">
        <v>0</v>
      </c>
      <c r="AD230" s="141">
        <v>-67177</v>
      </c>
      <c r="AE230" s="141">
        <v>67177</v>
      </c>
      <c r="AF230" s="141">
        <v>0</v>
      </c>
      <c r="AG230" s="141">
        <v>67177</v>
      </c>
      <c r="AH230" s="141">
        <v>-4798597</v>
      </c>
      <c r="AI230" s="141">
        <v>-5156</v>
      </c>
      <c r="AJ230" s="141">
        <v>-4803753</v>
      </c>
      <c r="AK230" s="141">
        <v>0</v>
      </c>
      <c r="AL230" s="141">
        <v>0</v>
      </c>
      <c r="AM230" s="141">
        <v>0</v>
      </c>
      <c r="AN230" s="141">
        <v>968282</v>
      </c>
      <c r="AO230" s="141">
        <v>481</v>
      </c>
      <c r="AP230" s="141">
        <v>968763</v>
      </c>
      <c r="AQ230" s="141">
        <v>-3830315</v>
      </c>
      <c r="AR230" s="141">
        <v>-4675</v>
      </c>
      <c r="AS230" s="141">
        <v>-3834990</v>
      </c>
      <c r="AT230" s="141">
        <v>-3065633</v>
      </c>
      <c r="AU230" s="141">
        <v>0</v>
      </c>
      <c r="AV230" s="141">
        <v>-3065633</v>
      </c>
      <c r="AW230" s="141">
        <v>-35142</v>
      </c>
      <c r="AX230" s="141">
        <v>0</v>
      </c>
      <c r="AY230" s="141">
        <v>-35142</v>
      </c>
      <c r="AZ230" s="141">
        <v>-58394</v>
      </c>
      <c r="BA230" s="141">
        <v>0</v>
      </c>
      <c r="BB230" s="141">
        <v>-58394</v>
      </c>
      <c r="BC230" s="141">
        <v>-6989484</v>
      </c>
      <c r="BD230" s="141">
        <v>-4675</v>
      </c>
      <c r="BE230" s="141">
        <v>-100889</v>
      </c>
      <c r="BF230" s="141">
        <v>0</v>
      </c>
      <c r="BG230" s="141">
        <v>-7090373</v>
      </c>
      <c r="BH230" s="141">
        <v>-4675</v>
      </c>
      <c r="BI230" s="141">
        <v>-7095048</v>
      </c>
      <c r="BJ230" s="141">
        <v>0</v>
      </c>
      <c r="BK230" s="141">
        <v>0</v>
      </c>
      <c r="BL230" s="141">
        <v>0</v>
      </c>
      <c r="BM230" s="141">
        <v>-1637223</v>
      </c>
      <c r="BN230" s="141">
        <v>0</v>
      </c>
      <c r="BO230" s="141">
        <v>-1637223</v>
      </c>
      <c r="BP230" s="141">
        <v>-1637223</v>
      </c>
      <c r="BQ230" s="141">
        <v>0</v>
      </c>
      <c r="BR230" s="141">
        <v>0</v>
      </c>
      <c r="BS230" s="141">
        <v>0</v>
      </c>
      <c r="BT230" s="141">
        <v>-1637223</v>
      </c>
      <c r="BU230" s="141">
        <v>0</v>
      </c>
      <c r="BV230" s="141">
        <v>-1637223</v>
      </c>
      <c r="BW230" s="141">
        <v>-88664</v>
      </c>
      <c r="BX230" s="141">
        <v>0</v>
      </c>
      <c r="BY230" s="141">
        <v>-88664</v>
      </c>
      <c r="BZ230" s="141">
        <v>-15539</v>
      </c>
      <c r="CA230" s="141">
        <v>0</v>
      </c>
      <c r="CB230" s="141">
        <v>-15539</v>
      </c>
      <c r="CC230" s="141">
        <v>0</v>
      </c>
      <c r="CD230" s="141">
        <v>0</v>
      </c>
      <c r="CE230" s="141">
        <v>0</v>
      </c>
      <c r="CF230" s="141">
        <v>0</v>
      </c>
      <c r="CG230" s="141">
        <v>0</v>
      </c>
      <c r="CH230" s="141">
        <v>0</v>
      </c>
      <c r="CI230" s="141">
        <v>0</v>
      </c>
      <c r="CJ230" s="141">
        <v>0</v>
      </c>
      <c r="CK230" s="141">
        <v>0</v>
      </c>
      <c r="CL230" s="141">
        <v>0</v>
      </c>
      <c r="CM230" s="141">
        <v>0</v>
      </c>
      <c r="CN230" s="141">
        <v>0</v>
      </c>
      <c r="CO230" s="141">
        <v>0</v>
      </c>
      <c r="CP230" s="141">
        <v>0</v>
      </c>
      <c r="CQ230" s="141">
        <v>-104203</v>
      </c>
      <c r="CR230" s="141">
        <v>0</v>
      </c>
      <c r="CS230" s="141">
        <v>0</v>
      </c>
      <c r="CT230" s="141">
        <v>0</v>
      </c>
      <c r="CU230" s="141">
        <v>-104203</v>
      </c>
      <c r="CV230" s="141">
        <v>0</v>
      </c>
      <c r="CW230" s="141">
        <v>-104203</v>
      </c>
      <c r="CX230" s="141">
        <v>-58394</v>
      </c>
      <c r="CY230" s="141">
        <v>0</v>
      </c>
      <c r="CZ230" s="141">
        <v>-58394</v>
      </c>
      <c r="DA230" s="141">
        <v>0</v>
      </c>
      <c r="DB230" s="141">
        <v>0</v>
      </c>
      <c r="DC230" s="141">
        <v>0</v>
      </c>
      <c r="DD230" s="141">
        <v>-50646</v>
      </c>
      <c r="DE230" s="141">
        <v>0</v>
      </c>
      <c r="DF230" s="141">
        <v>-50646</v>
      </c>
      <c r="DG230" s="141">
        <v>-61047</v>
      </c>
      <c r="DH230" s="141">
        <v>0</v>
      </c>
      <c r="DI230" s="141">
        <v>-61047</v>
      </c>
      <c r="DJ230" s="141">
        <v>0</v>
      </c>
      <c r="DK230" s="141">
        <v>0</v>
      </c>
      <c r="DL230" s="141">
        <v>0</v>
      </c>
      <c r="DM230" s="141">
        <v>-564301</v>
      </c>
      <c r="DN230" s="141">
        <v>0</v>
      </c>
      <c r="DO230" s="141">
        <v>-564301</v>
      </c>
      <c r="DP230" s="141">
        <v>-734388</v>
      </c>
      <c r="DQ230" s="141">
        <v>0</v>
      </c>
      <c r="DR230" s="141">
        <v>0</v>
      </c>
      <c r="DS230" s="141">
        <v>0</v>
      </c>
      <c r="DT230" s="141">
        <v>-734388</v>
      </c>
      <c r="DU230" s="141">
        <v>0</v>
      </c>
      <c r="DV230" s="141">
        <v>-734388</v>
      </c>
      <c r="DW230" s="856">
        <v>42964114</v>
      </c>
      <c r="DX230" s="856">
        <v>18648</v>
      </c>
      <c r="DY230" s="857">
        <v>42982762</v>
      </c>
      <c r="DZ230" t="s">
        <v>1796</v>
      </c>
    </row>
    <row r="231" spans="1:130" ht="12.75" x14ac:dyDescent="0.2">
      <c r="A231" s="764">
        <v>224</v>
      </c>
      <c r="B231" s="765" t="s">
        <v>337</v>
      </c>
      <c r="C231" s="766" t="s">
        <v>1224</v>
      </c>
      <c r="D231" s="767" t="s">
        <v>1219</v>
      </c>
      <c r="E231" s="768" t="s">
        <v>336</v>
      </c>
      <c r="F231" s="867">
        <v>43465</v>
      </c>
      <c r="G231" s="141">
        <v>182429172</v>
      </c>
      <c r="H231" s="141">
        <v>0</v>
      </c>
      <c r="I231" s="141">
        <v>182429172</v>
      </c>
      <c r="J231" s="141">
        <v>49.1</v>
      </c>
      <c r="K231" s="141">
        <v>89572723</v>
      </c>
      <c r="L231" s="141">
        <v>0</v>
      </c>
      <c r="M231" s="141">
        <v>34000</v>
      </c>
      <c r="N231" s="141">
        <v>0</v>
      </c>
      <c r="O231" s="141">
        <v>89606723</v>
      </c>
      <c r="P231" s="141">
        <v>0</v>
      </c>
      <c r="Q231" s="141">
        <v>89606723</v>
      </c>
      <c r="R231" s="141">
        <v>-1281143</v>
      </c>
      <c r="S231" s="141">
        <v>0</v>
      </c>
      <c r="T231" s="141">
        <v>-1281143</v>
      </c>
      <c r="U231" s="141">
        <v>1225590</v>
      </c>
      <c r="V231" s="141">
        <v>0</v>
      </c>
      <c r="W231" s="141">
        <v>1225590</v>
      </c>
      <c r="X231" s="141">
        <v>-55553</v>
      </c>
      <c r="Y231" s="141">
        <v>0</v>
      </c>
      <c r="Z231" s="141">
        <v>0</v>
      </c>
      <c r="AA231" s="141">
        <v>0</v>
      </c>
      <c r="AB231" s="141">
        <v>-55553</v>
      </c>
      <c r="AC231" s="141">
        <v>0</v>
      </c>
      <c r="AD231" s="141">
        <v>-55553</v>
      </c>
      <c r="AE231" s="141">
        <v>55553</v>
      </c>
      <c r="AF231" s="141">
        <v>0</v>
      </c>
      <c r="AG231" s="141">
        <v>55553</v>
      </c>
      <c r="AH231" s="141">
        <v>-9186740</v>
      </c>
      <c r="AI231" s="141">
        <v>0</v>
      </c>
      <c r="AJ231" s="141">
        <v>-9186740</v>
      </c>
      <c r="AK231" s="141">
        <v>0</v>
      </c>
      <c r="AL231" s="141">
        <v>0</v>
      </c>
      <c r="AM231" s="141">
        <v>0</v>
      </c>
      <c r="AN231" s="141">
        <v>1606083</v>
      </c>
      <c r="AO231" s="141">
        <v>0</v>
      </c>
      <c r="AP231" s="141">
        <v>1606083</v>
      </c>
      <c r="AQ231" s="141">
        <v>-7580657</v>
      </c>
      <c r="AR231" s="141">
        <v>0</v>
      </c>
      <c r="AS231" s="141">
        <v>-7580657</v>
      </c>
      <c r="AT231" s="141">
        <v>-4699427</v>
      </c>
      <c r="AU231" s="141">
        <v>0</v>
      </c>
      <c r="AV231" s="141">
        <v>-4699427</v>
      </c>
      <c r="AW231" s="141">
        <v>-26453</v>
      </c>
      <c r="AX231" s="141">
        <v>0</v>
      </c>
      <c r="AY231" s="141">
        <v>-26453</v>
      </c>
      <c r="AZ231" s="141">
        <v>-1228</v>
      </c>
      <c r="BA231" s="141">
        <v>0</v>
      </c>
      <c r="BB231" s="141">
        <v>-1228</v>
      </c>
      <c r="BC231" s="141">
        <v>-12307765</v>
      </c>
      <c r="BD231" s="141">
        <v>0</v>
      </c>
      <c r="BE231" s="141">
        <v>-300000</v>
      </c>
      <c r="BF231" s="141">
        <v>0</v>
      </c>
      <c r="BG231" s="141">
        <v>-12607765</v>
      </c>
      <c r="BH231" s="141">
        <v>0</v>
      </c>
      <c r="BI231" s="141">
        <v>-12607765</v>
      </c>
      <c r="BJ231" s="141">
        <v>0</v>
      </c>
      <c r="BK231" s="141">
        <v>0</v>
      </c>
      <c r="BL231" s="141">
        <v>0</v>
      </c>
      <c r="BM231" s="141">
        <v>-1771612</v>
      </c>
      <c r="BN231" s="141">
        <v>0</v>
      </c>
      <c r="BO231" s="141">
        <v>-1771612</v>
      </c>
      <c r="BP231" s="141">
        <v>-1771612</v>
      </c>
      <c r="BQ231" s="141">
        <v>0</v>
      </c>
      <c r="BR231" s="141">
        <v>-1000000</v>
      </c>
      <c r="BS231" s="141">
        <v>0</v>
      </c>
      <c r="BT231" s="141">
        <v>-2771612</v>
      </c>
      <c r="BU231" s="141">
        <v>0</v>
      </c>
      <c r="BV231" s="141">
        <v>-2771612</v>
      </c>
      <c r="BW231" s="141">
        <v>-251096</v>
      </c>
      <c r="BX231" s="141">
        <v>0</v>
      </c>
      <c r="BY231" s="141">
        <v>-251096</v>
      </c>
      <c r="BZ231" s="141">
        <v>-65000</v>
      </c>
      <c r="CA231" s="141">
        <v>0</v>
      </c>
      <c r="CB231" s="141">
        <v>-65000</v>
      </c>
      <c r="CC231" s="141">
        <v>0</v>
      </c>
      <c r="CD231" s="141">
        <v>0</v>
      </c>
      <c r="CE231" s="141">
        <v>0</v>
      </c>
      <c r="CF231" s="141">
        <v>0</v>
      </c>
      <c r="CG231" s="141">
        <v>0</v>
      </c>
      <c r="CH231" s="141">
        <v>0</v>
      </c>
      <c r="CI231" s="141">
        <v>0</v>
      </c>
      <c r="CJ231" s="141">
        <v>0</v>
      </c>
      <c r="CK231" s="141">
        <v>0</v>
      </c>
      <c r="CL231" s="141">
        <v>-20000</v>
      </c>
      <c r="CM231" s="141">
        <v>0</v>
      </c>
      <c r="CN231" s="141">
        <v>-20000</v>
      </c>
      <c r="CO231" s="141">
        <v>0</v>
      </c>
      <c r="CP231" s="141">
        <v>0</v>
      </c>
      <c r="CQ231" s="141">
        <v>-336096</v>
      </c>
      <c r="CR231" s="141">
        <v>0</v>
      </c>
      <c r="CS231" s="141">
        <v>0</v>
      </c>
      <c r="CT231" s="141">
        <v>0</v>
      </c>
      <c r="CU231" s="141">
        <v>-336096</v>
      </c>
      <c r="CV231" s="141">
        <v>0</v>
      </c>
      <c r="CW231" s="141">
        <v>-336096</v>
      </c>
      <c r="CX231" s="141">
        <v>0</v>
      </c>
      <c r="CY231" s="141">
        <v>0</v>
      </c>
      <c r="CZ231" s="141">
        <v>0</v>
      </c>
      <c r="DA231" s="141">
        <v>-1500</v>
      </c>
      <c r="DB231" s="141">
        <v>0</v>
      </c>
      <c r="DC231" s="141">
        <v>-1500</v>
      </c>
      <c r="DD231" s="141">
        <v>-23691</v>
      </c>
      <c r="DE231" s="141">
        <v>0</v>
      </c>
      <c r="DF231" s="141">
        <v>-23691</v>
      </c>
      <c r="DG231" s="141">
        <v>-110348</v>
      </c>
      <c r="DH231" s="141">
        <v>0</v>
      </c>
      <c r="DI231" s="141">
        <v>-110348</v>
      </c>
      <c r="DJ231" s="141">
        <v>0</v>
      </c>
      <c r="DK231" s="141">
        <v>0</v>
      </c>
      <c r="DL231" s="141">
        <v>0</v>
      </c>
      <c r="DM231" s="141">
        <v>-2841475</v>
      </c>
      <c r="DN231" s="141">
        <v>0</v>
      </c>
      <c r="DO231" s="141">
        <v>-2841475</v>
      </c>
      <c r="DP231" s="141">
        <v>-2977014</v>
      </c>
      <c r="DQ231" s="141">
        <v>0</v>
      </c>
      <c r="DR231" s="141">
        <v>0</v>
      </c>
      <c r="DS231" s="141">
        <v>0</v>
      </c>
      <c r="DT231" s="141">
        <v>-2977014</v>
      </c>
      <c r="DU231" s="141">
        <v>0</v>
      </c>
      <c r="DV231" s="141">
        <v>-2977014</v>
      </c>
      <c r="DW231" s="856">
        <v>70858683</v>
      </c>
      <c r="DX231" s="856">
        <v>0</v>
      </c>
      <c r="DY231" s="857">
        <v>70858683</v>
      </c>
      <c r="DZ231" t="s">
        <v>1797</v>
      </c>
    </row>
    <row r="232" spans="1:130" ht="12.75" x14ac:dyDescent="0.2">
      <c r="A232" s="764">
        <v>225</v>
      </c>
      <c r="B232" s="765" t="s">
        <v>339</v>
      </c>
      <c r="C232" s="766" t="s">
        <v>1217</v>
      </c>
      <c r="D232" s="767" t="s">
        <v>1225</v>
      </c>
      <c r="E232" s="768" t="s">
        <v>338</v>
      </c>
      <c r="F232" s="867">
        <v>43460</v>
      </c>
      <c r="G232" s="141">
        <v>88973555</v>
      </c>
      <c r="H232" s="141">
        <v>0</v>
      </c>
      <c r="I232" s="141">
        <v>88973555</v>
      </c>
      <c r="J232" s="141">
        <v>49.1</v>
      </c>
      <c r="K232" s="141">
        <v>43686016</v>
      </c>
      <c r="L232" s="141">
        <v>0</v>
      </c>
      <c r="M232" s="141">
        <v>0</v>
      </c>
      <c r="N232" s="141">
        <v>0</v>
      </c>
      <c r="O232" s="141">
        <v>43686016</v>
      </c>
      <c r="P232" s="141">
        <v>0</v>
      </c>
      <c r="Q232" s="141">
        <v>43686016</v>
      </c>
      <c r="R232" s="141">
        <v>-506406</v>
      </c>
      <c r="S232" s="141">
        <v>0</v>
      </c>
      <c r="T232" s="141">
        <v>-506406</v>
      </c>
      <c r="U232" s="141">
        <v>2067821</v>
      </c>
      <c r="V232" s="141">
        <v>0</v>
      </c>
      <c r="W232" s="141">
        <v>2067821</v>
      </c>
      <c r="X232" s="141">
        <v>1561415</v>
      </c>
      <c r="Y232" s="141">
        <v>0</v>
      </c>
      <c r="Z232" s="141">
        <v>0</v>
      </c>
      <c r="AA232" s="141">
        <v>0</v>
      </c>
      <c r="AB232" s="141">
        <v>1561415</v>
      </c>
      <c r="AC232" s="141">
        <v>0</v>
      </c>
      <c r="AD232" s="141">
        <v>1561415</v>
      </c>
      <c r="AE232" s="141">
        <v>-1561415</v>
      </c>
      <c r="AF232" s="141">
        <v>0</v>
      </c>
      <c r="AG232" s="141">
        <v>-1561415</v>
      </c>
      <c r="AH232" s="141">
        <v>-2915213</v>
      </c>
      <c r="AI232" s="141">
        <v>0</v>
      </c>
      <c r="AJ232" s="141">
        <v>-2915213</v>
      </c>
      <c r="AK232" s="141">
        <v>-13537</v>
      </c>
      <c r="AL232" s="141">
        <v>0</v>
      </c>
      <c r="AM232" s="141">
        <v>-13537</v>
      </c>
      <c r="AN232" s="141">
        <v>876947</v>
      </c>
      <c r="AO232" s="141">
        <v>0</v>
      </c>
      <c r="AP232" s="141">
        <v>876947</v>
      </c>
      <c r="AQ232" s="141">
        <v>-2038266</v>
      </c>
      <c r="AR232" s="141">
        <v>0</v>
      </c>
      <c r="AS232" s="141">
        <v>-2038266</v>
      </c>
      <c r="AT232" s="141">
        <v>-1629069</v>
      </c>
      <c r="AU232" s="141">
        <v>0</v>
      </c>
      <c r="AV232" s="141">
        <v>-1629069</v>
      </c>
      <c r="AW232" s="141">
        <v>-52867</v>
      </c>
      <c r="AX232" s="141">
        <v>0</v>
      </c>
      <c r="AY232" s="141">
        <v>-52867</v>
      </c>
      <c r="AZ232" s="141">
        <v>-13165</v>
      </c>
      <c r="BA232" s="141">
        <v>0</v>
      </c>
      <c r="BB232" s="141">
        <v>-13165</v>
      </c>
      <c r="BC232" s="141">
        <v>-3733367</v>
      </c>
      <c r="BD232" s="141">
        <v>0</v>
      </c>
      <c r="BE232" s="141">
        <v>0</v>
      </c>
      <c r="BF232" s="141">
        <v>0</v>
      </c>
      <c r="BG232" s="141">
        <v>-3733367</v>
      </c>
      <c r="BH232" s="141">
        <v>0</v>
      </c>
      <c r="BI232" s="141">
        <v>-3733367</v>
      </c>
      <c r="BJ232" s="141">
        <v>0</v>
      </c>
      <c r="BK232" s="141">
        <v>0</v>
      </c>
      <c r="BL232" s="141">
        <v>0</v>
      </c>
      <c r="BM232" s="141">
        <v>-301455</v>
      </c>
      <c r="BN232" s="141">
        <v>0</v>
      </c>
      <c r="BO232" s="141">
        <v>-301455</v>
      </c>
      <c r="BP232" s="141">
        <v>-301455</v>
      </c>
      <c r="BQ232" s="141">
        <v>0</v>
      </c>
      <c r="BR232" s="141">
        <v>0</v>
      </c>
      <c r="BS232" s="141">
        <v>0</v>
      </c>
      <c r="BT232" s="141">
        <v>-301455</v>
      </c>
      <c r="BU232" s="141">
        <v>0</v>
      </c>
      <c r="BV232" s="141">
        <v>-301455</v>
      </c>
      <c r="BW232" s="141">
        <v>-134596</v>
      </c>
      <c r="BX232" s="141">
        <v>0</v>
      </c>
      <c r="BY232" s="141">
        <v>-134596</v>
      </c>
      <c r="BZ232" s="141">
        <v>-13424</v>
      </c>
      <c r="CA232" s="141">
        <v>0</v>
      </c>
      <c r="CB232" s="141">
        <v>-13424</v>
      </c>
      <c r="CC232" s="141">
        <v>-2311</v>
      </c>
      <c r="CD232" s="141">
        <v>0</v>
      </c>
      <c r="CE232" s="141">
        <v>-2311</v>
      </c>
      <c r="CF232" s="141">
        <v>0</v>
      </c>
      <c r="CG232" s="141">
        <v>0</v>
      </c>
      <c r="CH232" s="141">
        <v>0</v>
      </c>
      <c r="CI232" s="141">
        <v>-1935</v>
      </c>
      <c r="CJ232" s="141">
        <v>0</v>
      </c>
      <c r="CK232" s="141">
        <v>-1935</v>
      </c>
      <c r="CL232" s="141">
        <v>0</v>
      </c>
      <c r="CM232" s="141">
        <v>0</v>
      </c>
      <c r="CN232" s="141">
        <v>0</v>
      </c>
      <c r="CO232" s="141">
        <v>0</v>
      </c>
      <c r="CP232" s="141">
        <v>0</v>
      </c>
      <c r="CQ232" s="141">
        <v>-152266</v>
      </c>
      <c r="CR232" s="141">
        <v>0</v>
      </c>
      <c r="CS232" s="141">
        <v>0</v>
      </c>
      <c r="CT232" s="141">
        <v>0</v>
      </c>
      <c r="CU232" s="141">
        <v>-152266</v>
      </c>
      <c r="CV232" s="141">
        <v>0</v>
      </c>
      <c r="CW232" s="141">
        <v>-152266</v>
      </c>
      <c r="CX232" s="141">
        <v>-13165</v>
      </c>
      <c r="CY232" s="141">
        <v>0</v>
      </c>
      <c r="CZ232" s="141">
        <v>-13165</v>
      </c>
      <c r="DA232" s="141">
        <v>-1500</v>
      </c>
      <c r="DB232" s="141">
        <v>0</v>
      </c>
      <c r="DC232" s="141">
        <v>-1500</v>
      </c>
      <c r="DD232" s="141">
        <v>-30139</v>
      </c>
      <c r="DE232" s="141">
        <v>0</v>
      </c>
      <c r="DF232" s="141">
        <v>-30139</v>
      </c>
      <c r="DG232" s="141">
        <v>-37000</v>
      </c>
      <c r="DH232" s="141">
        <v>0</v>
      </c>
      <c r="DI232" s="141">
        <v>-37000</v>
      </c>
      <c r="DJ232" s="141">
        <v>0</v>
      </c>
      <c r="DK232" s="141">
        <v>0</v>
      </c>
      <c r="DL232" s="141">
        <v>0</v>
      </c>
      <c r="DM232" s="141">
        <v>-457873</v>
      </c>
      <c r="DN232" s="141">
        <v>0</v>
      </c>
      <c r="DO232" s="141">
        <v>-457873</v>
      </c>
      <c r="DP232" s="141">
        <v>-539677</v>
      </c>
      <c r="DQ232" s="141">
        <v>0</v>
      </c>
      <c r="DR232" s="141">
        <v>0</v>
      </c>
      <c r="DS232" s="141">
        <v>0</v>
      </c>
      <c r="DT232" s="141">
        <v>-539677</v>
      </c>
      <c r="DU232" s="141">
        <v>0</v>
      </c>
      <c r="DV232" s="141">
        <v>-539677</v>
      </c>
      <c r="DW232" s="856">
        <v>40520666</v>
      </c>
      <c r="DX232" s="856">
        <v>0</v>
      </c>
      <c r="DY232" s="857">
        <v>40520666</v>
      </c>
      <c r="DZ232" t="s">
        <v>1798</v>
      </c>
    </row>
    <row r="233" spans="1:130" ht="12.75" x14ac:dyDescent="0.2">
      <c r="A233" s="764">
        <v>226</v>
      </c>
      <c r="B233" s="765" t="s">
        <v>341</v>
      </c>
      <c r="C233" s="766" t="s">
        <v>1217</v>
      </c>
      <c r="D233" s="767" t="s">
        <v>1218</v>
      </c>
      <c r="E233" s="768" t="s">
        <v>340</v>
      </c>
      <c r="F233" s="867">
        <v>43465</v>
      </c>
      <c r="G233" s="141">
        <v>93672478</v>
      </c>
      <c r="H233" s="141">
        <v>0</v>
      </c>
      <c r="I233" s="141">
        <v>93672478</v>
      </c>
      <c r="J233" s="141">
        <v>49.1</v>
      </c>
      <c r="K233" s="141">
        <v>45993187</v>
      </c>
      <c r="L233" s="141">
        <v>0</v>
      </c>
      <c r="M233" s="141">
        <v>0</v>
      </c>
      <c r="N233" s="141">
        <v>0</v>
      </c>
      <c r="O233" s="141">
        <v>45993187</v>
      </c>
      <c r="P233" s="141">
        <v>0</v>
      </c>
      <c r="Q233" s="141">
        <v>45993187</v>
      </c>
      <c r="R233" s="141">
        <v>-445024</v>
      </c>
      <c r="S233" s="141">
        <v>0</v>
      </c>
      <c r="T233" s="141">
        <v>-445024</v>
      </c>
      <c r="U233" s="141">
        <v>190370</v>
      </c>
      <c r="V233" s="141">
        <v>0</v>
      </c>
      <c r="W233" s="141">
        <v>190370</v>
      </c>
      <c r="X233" s="141">
        <v>-254654</v>
      </c>
      <c r="Y233" s="141">
        <v>0</v>
      </c>
      <c r="Z233" s="141">
        <v>0</v>
      </c>
      <c r="AA233" s="141">
        <v>0</v>
      </c>
      <c r="AB233" s="141">
        <v>-254654</v>
      </c>
      <c r="AC233" s="141">
        <v>0</v>
      </c>
      <c r="AD233" s="141">
        <v>-254654</v>
      </c>
      <c r="AE233" s="141">
        <v>254654</v>
      </c>
      <c r="AF233" s="141">
        <v>0</v>
      </c>
      <c r="AG233" s="141">
        <v>254654</v>
      </c>
      <c r="AH233" s="141">
        <v>-3947407</v>
      </c>
      <c r="AI233" s="141">
        <v>0</v>
      </c>
      <c r="AJ233" s="141">
        <v>-3947407</v>
      </c>
      <c r="AK233" s="141">
        <v>-21450</v>
      </c>
      <c r="AL233" s="141">
        <v>0</v>
      </c>
      <c r="AM233" s="141">
        <v>-21450</v>
      </c>
      <c r="AN233" s="141">
        <v>767420</v>
      </c>
      <c r="AO233" s="141">
        <v>0</v>
      </c>
      <c r="AP233" s="141">
        <v>767420</v>
      </c>
      <c r="AQ233" s="141">
        <v>-3179987</v>
      </c>
      <c r="AR233" s="141">
        <v>0</v>
      </c>
      <c r="AS233" s="141">
        <v>-3179987</v>
      </c>
      <c r="AT233" s="141">
        <v>-3191425</v>
      </c>
      <c r="AU233" s="141">
        <v>0</v>
      </c>
      <c r="AV233" s="141">
        <v>-3191425</v>
      </c>
      <c r="AW233" s="141">
        <v>-101694</v>
      </c>
      <c r="AX233" s="141">
        <v>0</v>
      </c>
      <c r="AY233" s="141">
        <v>-101694</v>
      </c>
      <c r="AZ233" s="141">
        <v>-13167</v>
      </c>
      <c r="BA233" s="141">
        <v>0</v>
      </c>
      <c r="BB233" s="141">
        <v>-13167</v>
      </c>
      <c r="BC233" s="141">
        <v>-6486273</v>
      </c>
      <c r="BD233" s="141">
        <v>0</v>
      </c>
      <c r="BE233" s="141">
        <v>0</v>
      </c>
      <c r="BF233" s="141">
        <v>0</v>
      </c>
      <c r="BG233" s="141">
        <v>-6486273</v>
      </c>
      <c r="BH233" s="141">
        <v>0</v>
      </c>
      <c r="BI233" s="141">
        <v>-6486273</v>
      </c>
      <c r="BJ233" s="141">
        <v>0</v>
      </c>
      <c r="BK233" s="141">
        <v>0</v>
      </c>
      <c r="BL233" s="141">
        <v>0</v>
      </c>
      <c r="BM233" s="141">
        <v>-1300524</v>
      </c>
      <c r="BN233" s="141">
        <v>0</v>
      </c>
      <c r="BO233" s="141">
        <v>-1300524</v>
      </c>
      <c r="BP233" s="141">
        <v>-1300524</v>
      </c>
      <c r="BQ233" s="141">
        <v>0</v>
      </c>
      <c r="BR233" s="141">
        <v>0</v>
      </c>
      <c r="BS233" s="141">
        <v>0</v>
      </c>
      <c r="BT233" s="141">
        <v>-1300524</v>
      </c>
      <c r="BU233" s="141">
        <v>0</v>
      </c>
      <c r="BV233" s="141">
        <v>-1300524</v>
      </c>
      <c r="BW233" s="141">
        <v>-121447</v>
      </c>
      <c r="BX233" s="141">
        <v>0</v>
      </c>
      <c r="BY233" s="141">
        <v>-121447</v>
      </c>
      <c r="BZ233" s="141">
        <v>-59431</v>
      </c>
      <c r="CA233" s="141">
        <v>0</v>
      </c>
      <c r="CB233" s="141">
        <v>-59431</v>
      </c>
      <c r="CC233" s="141">
        <v>0</v>
      </c>
      <c r="CD233" s="141">
        <v>0</v>
      </c>
      <c r="CE233" s="141">
        <v>0</v>
      </c>
      <c r="CF233" s="141">
        <v>0</v>
      </c>
      <c r="CG233" s="141">
        <v>0</v>
      </c>
      <c r="CH233" s="141">
        <v>0</v>
      </c>
      <c r="CI233" s="141">
        <v>-16538</v>
      </c>
      <c r="CJ233" s="141">
        <v>0</v>
      </c>
      <c r="CK233" s="141">
        <v>-16538</v>
      </c>
      <c r="CL233" s="141">
        <v>0</v>
      </c>
      <c r="CM233" s="141">
        <v>0</v>
      </c>
      <c r="CN233" s="141">
        <v>0</v>
      </c>
      <c r="CO233" s="141">
        <v>0</v>
      </c>
      <c r="CP233" s="141">
        <v>0</v>
      </c>
      <c r="CQ233" s="141">
        <v>-197416</v>
      </c>
      <c r="CR233" s="141">
        <v>0</v>
      </c>
      <c r="CS233" s="141">
        <v>0</v>
      </c>
      <c r="CT233" s="141">
        <v>0</v>
      </c>
      <c r="CU233" s="141">
        <v>-197416</v>
      </c>
      <c r="CV233" s="141">
        <v>0</v>
      </c>
      <c r="CW233" s="141">
        <v>-197416</v>
      </c>
      <c r="CX233" s="141">
        <v>-13167</v>
      </c>
      <c r="CY233" s="141">
        <v>0</v>
      </c>
      <c r="CZ233" s="141">
        <v>-13167</v>
      </c>
      <c r="DA233" s="141">
        <v>-1500</v>
      </c>
      <c r="DB233" s="141">
        <v>0</v>
      </c>
      <c r="DC233" s="141">
        <v>-1500</v>
      </c>
      <c r="DD233" s="141">
        <v>-32398</v>
      </c>
      <c r="DE233" s="141">
        <v>0</v>
      </c>
      <c r="DF233" s="141">
        <v>-32398</v>
      </c>
      <c r="DG233" s="141">
        <v>-44943</v>
      </c>
      <c r="DH233" s="141">
        <v>0</v>
      </c>
      <c r="DI233" s="141">
        <v>-44943</v>
      </c>
      <c r="DJ233" s="141">
        <v>0</v>
      </c>
      <c r="DK233" s="141">
        <v>0</v>
      </c>
      <c r="DL233" s="141">
        <v>0</v>
      </c>
      <c r="DM233" s="141">
        <v>-968153</v>
      </c>
      <c r="DN233" s="141">
        <v>0</v>
      </c>
      <c r="DO233" s="141">
        <v>-968153</v>
      </c>
      <c r="DP233" s="141">
        <v>-1060161</v>
      </c>
      <c r="DQ233" s="141">
        <v>0</v>
      </c>
      <c r="DR233" s="141">
        <v>0</v>
      </c>
      <c r="DS233" s="141">
        <v>0</v>
      </c>
      <c r="DT233" s="141">
        <v>-1060161</v>
      </c>
      <c r="DU233" s="141">
        <v>0</v>
      </c>
      <c r="DV233" s="141">
        <v>-1060161</v>
      </c>
      <c r="DW233" s="856">
        <v>36694159</v>
      </c>
      <c r="DX233" s="856">
        <v>0</v>
      </c>
      <c r="DY233" s="857">
        <v>36694159</v>
      </c>
      <c r="DZ233" t="s">
        <v>1799</v>
      </c>
    </row>
    <row r="234" spans="1:130" ht="12.75" x14ac:dyDescent="0.2">
      <c r="A234" s="764">
        <v>227</v>
      </c>
      <c r="B234" s="765" t="s">
        <v>343</v>
      </c>
      <c r="C234" s="766" t="s">
        <v>1224</v>
      </c>
      <c r="D234" s="767" t="s">
        <v>1225</v>
      </c>
      <c r="E234" s="768" t="s">
        <v>342</v>
      </c>
      <c r="F234" s="867">
        <v>43460</v>
      </c>
      <c r="G234" s="141">
        <v>540584492</v>
      </c>
      <c r="H234" s="141">
        <v>8336415</v>
      </c>
      <c r="I234" s="141">
        <v>548920907</v>
      </c>
      <c r="J234" s="141">
        <v>49.1</v>
      </c>
      <c r="K234" s="141">
        <v>265426986</v>
      </c>
      <c r="L234" s="141">
        <v>4093180</v>
      </c>
      <c r="M234" s="141">
        <v>-7990000</v>
      </c>
      <c r="N234" s="141">
        <v>1169021</v>
      </c>
      <c r="O234" s="141">
        <v>257436986</v>
      </c>
      <c r="P234" s="141">
        <v>5262201</v>
      </c>
      <c r="Q234" s="141">
        <v>262699187</v>
      </c>
      <c r="R234" s="141">
        <v>-1587011</v>
      </c>
      <c r="S234" s="141">
        <v>-2520</v>
      </c>
      <c r="T234" s="141">
        <v>-1589531</v>
      </c>
      <c r="U234" s="141">
        <v>4254725</v>
      </c>
      <c r="V234" s="141">
        <v>15147</v>
      </c>
      <c r="W234" s="141">
        <v>4269872</v>
      </c>
      <c r="X234" s="141">
        <v>2667714</v>
      </c>
      <c r="Y234" s="141">
        <v>12627</v>
      </c>
      <c r="Z234" s="141">
        <v>0</v>
      </c>
      <c r="AA234" s="141">
        <v>0</v>
      </c>
      <c r="AB234" s="141">
        <v>2667714</v>
      </c>
      <c r="AC234" s="141">
        <v>12627</v>
      </c>
      <c r="AD234" s="141">
        <v>2680341</v>
      </c>
      <c r="AE234" s="141">
        <v>-2667714</v>
      </c>
      <c r="AF234" s="141">
        <v>-12627</v>
      </c>
      <c r="AG234" s="141">
        <v>-2680341</v>
      </c>
      <c r="AH234" s="141">
        <v>-18779368</v>
      </c>
      <c r="AI234" s="141">
        <v>-32850</v>
      </c>
      <c r="AJ234" s="141">
        <v>-18812218</v>
      </c>
      <c r="AK234" s="141">
        <v>0</v>
      </c>
      <c r="AL234" s="141">
        <v>0</v>
      </c>
      <c r="AM234" s="141">
        <v>0</v>
      </c>
      <c r="AN234" s="141">
        <v>5448883</v>
      </c>
      <c r="AO234" s="141">
        <v>96545</v>
      </c>
      <c r="AP234" s="141">
        <v>5545428</v>
      </c>
      <c r="AQ234" s="141">
        <v>-13330485</v>
      </c>
      <c r="AR234" s="141">
        <v>63695</v>
      </c>
      <c r="AS234" s="141">
        <v>-13266790</v>
      </c>
      <c r="AT234" s="141">
        <v>-23340825</v>
      </c>
      <c r="AU234" s="141">
        <v>-221540</v>
      </c>
      <c r="AV234" s="141">
        <v>-23562365</v>
      </c>
      <c r="AW234" s="141">
        <v>-25000</v>
      </c>
      <c r="AX234" s="141">
        <v>0</v>
      </c>
      <c r="AY234" s="141">
        <v>-25000</v>
      </c>
      <c r="AZ234" s="141">
        <v>0</v>
      </c>
      <c r="BA234" s="141">
        <v>0</v>
      </c>
      <c r="BB234" s="141">
        <v>0</v>
      </c>
      <c r="BC234" s="141">
        <v>-36696310</v>
      </c>
      <c r="BD234" s="141">
        <v>-157845</v>
      </c>
      <c r="BE234" s="141">
        <v>0</v>
      </c>
      <c r="BF234" s="141">
        <v>0</v>
      </c>
      <c r="BG234" s="141">
        <v>-36696310</v>
      </c>
      <c r="BH234" s="141">
        <v>-157845</v>
      </c>
      <c r="BI234" s="141">
        <v>-36854155</v>
      </c>
      <c r="BJ234" s="141">
        <v>-607484</v>
      </c>
      <c r="BK234" s="141">
        <v>0</v>
      </c>
      <c r="BL234" s="141">
        <v>-607484</v>
      </c>
      <c r="BM234" s="141">
        <v>-6866581</v>
      </c>
      <c r="BN234" s="141">
        <v>-286503</v>
      </c>
      <c r="BO234" s="141">
        <v>-7153084</v>
      </c>
      <c r="BP234" s="141">
        <v>-7474065</v>
      </c>
      <c r="BQ234" s="141">
        <v>-286503</v>
      </c>
      <c r="BR234" s="141">
        <v>0</v>
      </c>
      <c r="BS234" s="141">
        <v>0</v>
      </c>
      <c r="BT234" s="141">
        <v>-7474065</v>
      </c>
      <c r="BU234" s="141">
        <v>-286503</v>
      </c>
      <c r="BV234" s="141">
        <v>-7760568</v>
      </c>
      <c r="BW234" s="141">
        <v>-3568</v>
      </c>
      <c r="BX234" s="141">
        <v>0</v>
      </c>
      <c r="BY234" s="141">
        <v>-3568</v>
      </c>
      <c r="BZ234" s="141">
        <v>-351809</v>
      </c>
      <c r="CA234" s="141">
        <v>0</v>
      </c>
      <c r="CB234" s="141">
        <v>-351809</v>
      </c>
      <c r="CC234" s="141">
        <v>0</v>
      </c>
      <c r="CD234" s="141">
        <v>0</v>
      </c>
      <c r="CE234" s="141">
        <v>0</v>
      </c>
      <c r="CF234" s="141">
        <v>0</v>
      </c>
      <c r="CG234" s="141">
        <v>0</v>
      </c>
      <c r="CH234" s="141">
        <v>0</v>
      </c>
      <c r="CI234" s="141">
        <v>0</v>
      </c>
      <c r="CJ234" s="141">
        <v>0</v>
      </c>
      <c r="CK234" s="141">
        <v>0</v>
      </c>
      <c r="CL234" s="141">
        <v>-1134474</v>
      </c>
      <c r="CM234" s="141">
        <v>0</v>
      </c>
      <c r="CN234" s="141">
        <v>-1134474</v>
      </c>
      <c r="CO234" s="141">
        <v>0</v>
      </c>
      <c r="CP234" s="141">
        <v>0</v>
      </c>
      <c r="CQ234" s="141">
        <v>-1489851</v>
      </c>
      <c r="CR234" s="141">
        <v>0</v>
      </c>
      <c r="CS234" s="141">
        <v>0</v>
      </c>
      <c r="CT234" s="141">
        <v>0</v>
      </c>
      <c r="CU234" s="141">
        <v>-1489851</v>
      </c>
      <c r="CV234" s="141">
        <v>0</v>
      </c>
      <c r="CW234" s="141">
        <v>-1489851</v>
      </c>
      <c r="CX234" s="141">
        <v>0</v>
      </c>
      <c r="CY234" s="141">
        <v>0</v>
      </c>
      <c r="CZ234" s="141">
        <v>0</v>
      </c>
      <c r="DA234" s="141">
        <v>0</v>
      </c>
      <c r="DB234" s="141">
        <v>0</v>
      </c>
      <c r="DC234" s="141">
        <v>0</v>
      </c>
      <c r="DD234" s="141">
        <v>-57529</v>
      </c>
      <c r="DE234" s="141">
        <v>0</v>
      </c>
      <c r="DF234" s="141">
        <v>-57529</v>
      </c>
      <c r="DG234" s="141">
        <v>-186500</v>
      </c>
      <c r="DH234" s="141">
        <v>0</v>
      </c>
      <c r="DI234" s="141">
        <v>-186500</v>
      </c>
      <c r="DJ234" s="141">
        <v>0</v>
      </c>
      <c r="DK234" s="141">
        <v>0</v>
      </c>
      <c r="DL234" s="141">
        <v>0</v>
      </c>
      <c r="DM234" s="141">
        <v>-3000000</v>
      </c>
      <c r="DN234" s="141">
        <v>0</v>
      </c>
      <c r="DO234" s="141">
        <v>-3000000</v>
      </c>
      <c r="DP234" s="141">
        <v>-3244029</v>
      </c>
      <c r="DQ234" s="141">
        <v>0</v>
      </c>
      <c r="DR234" s="141">
        <v>0</v>
      </c>
      <c r="DS234" s="141">
        <v>0</v>
      </c>
      <c r="DT234" s="141">
        <v>-3244029</v>
      </c>
      <c r="DU234" s="141">
        <v>0</v>
      </c>
      <c r="DV234" s="141">
        <v>-3244029</v>
      </c>
      <c r="DW234" s="856">
        <v>211200445</v>
      </c>
      <c r="DX234" s="856">
        <v>4830480</v>
      </c>
      <c r="DY234" s="857">
        <v>216030925</v>
      </c>
      <c r="DZ234" t="s">
        <v>1800</v>
      </c>
    </row>
    <row r="235" spans="1:130" ht="12.75" x14ac:dyDescent="0.2">
      <c r="A235" s="764">
        <v>228</v>
      </c>
      <c r="B235" s="765" t="s">
        <v>347</v>
      </c>
      <c r="C235" s="766" t="s">
        <v>529</v>
      </c>
      <c r="D235" s="767" t="s">
        <v>1227</v>
      </c>
      <c r="E235" s="768" t="s">
        <v>346</v>
      </c>
      <c r="F235" s="867">
        <v>43468</v>
      </c>
      <c r="G235" s="141">
        <v>233656232</v>
      </c>
      <c r="H235" s="141">
        <v>0</v>
      </c>
      <c r="I235" s="141">
        <v>233656232</v>
      </c>
      <c r="J235" s="141">
        <v>49.1</v>
      </c>
      <c r="K235" s="141">
        <v>114725210</v>
      </c>
      <c r="L235" s="141">
        <v>0</v>
      </c>
      <c r="M235" s="141">
        <v>442150</v>
      </c>
      <c r="N235" s="141">
        <v>0</v>
      </c>
      <c r="O235" s="141">
        <v>115167360</v>
      </c>
      <c r="P235" s="141">
        <v>0</v>
      </c>
      <c r="Q235" s="141">
        <v>115167360</v>
      </c>
      <c r="R235" s="141">
        <v>-3513604</v>
      </c>
      <c r="S235" s="141">
        <v>0</v>
      </c>
      <c r="T235" s="141">
        <v>-3513604</v>
      </c>
      <c r="U235" s="141">
        <v>952982</v>
      </c>
      <c r="V235" s="141">
        <v>0</v>
      </c>
      <c r="W235" s="141">
        <v>952982</v>
      </c>
      <c r="X235" s="141">
        <v>-2560622</v>
      </c>
      <c r="Y235" s="141">
        <v>0</v>
      </c>
      <c r="Z235" s="141">
        <v>0</v>
      </c>
      <c r="AA235" s="141">
        <v>0</v>
      </c>
      <c r="AB235" s="141">
        <v>-2560622</v>
      </c>
      <c r="AC235" s="141">
        <v>0</v>
      </c>
      <c r="AD235" s="141">
        <v>-2560622</v>
      </c>
      <c r="AE235" s="141">
        <v>2560622</v>
      </c>
      <c r="AF235" s="141">
        <v>0</v>
      </c>
      <c r="AG235" s="141">
        <v>2560622</v>
      </c>
      <c r="AH235" s="141">
        <v>-13818317</v>
      </c>
      <c r="AI235" s="141">
        <v>0</v>
      </c>
      <c r="AJ235" s="141">
        <v>-13818317</v>
      </c>
      <c r="AK235" s="141">
        <v>-37789</v>
      </c>
      <c r="AL235" s="141">
        <v>0</v>
      </c>
      <c r="AM235" s="141">
        <v>-37789</v>
      </c>
      <c r="AN235" s="141">
        <v>1814077</v>
      </c>
      <c r="AO235" s="141">
        <v>0</v>
      </c>
      <c r="AP235" s="141">
        <v>1814077</v>
      </c>
      <c r="AQ235" s="141">
        <v>-12004240</v>
      </c>
      <c r="AR235" s="141">
        <v>0</v>
      </c>
      <c r="AS235" s="141">
        <v>-12004240</v>
      </c>
      <c r="AT235" s="141">
        <v>-8678751</v>
      </c>
      <c r="AU235" s="141">
        <v>0</v>
      </c>
      <c r="AV235" s="141">
        <v>-8678751</v>
      </c>
      <c r="AW235" s="141">
        <v>-139390</v>
      </c>
      <c r="AX235" s="141">
        <v>0</v>
      </c>
      <c r="AY235" s="141">
        <v>-139390</v>
      </c>
      <c r="AZ235" s="141">
        <v>-34070</v>
      </c>
      <c r="BA235" s="141">
        <v>0</v>
      </c>
      <c r="BB235" s="141">
        <v>-34070</v>
      </c>
      <c r="BC235" s="141">
        <v>-20856451</v>
      </c>
      <c r="BD235" s="141">
        <v>0</v>
      </c>
      <c r="BE235" s="141">
        <v>0</v>
      </c>
      <c r="BF235" s="141">
        <v>0</v>
      </c>
      <c r="BG235" s="141">
        <v>-20856451</v>
      </c>
      <c r="BH235" s="141">
        <v>0</v>
      </c>
      <c r="BI235" s="141">
        <v>-20856451</v>
      </c>
      <c r="BJ235" s="141">
        <v>0</v>
      </c>
      <c r="BK235" s="141">
        <v>0</v>
      </c>
      <c r="BL235" s="141">
        <v>0</v>
      </c>
      <c r="BM235" s="141">
        <v>-1638579</v>
      </c>
      <c r="BN235" s="141">
        <v>0</v>
      </c>
      <c r="BO235" s="141">
        <v>-1638579</v>
      </c>
      <c r="BP235" s="141">
        <v>-1638579</v>
      </c>
      <c r="BQ235" s="141">
        <v>0</v>
      </c>
      <c r="BR235" s="141">
        <v>0</v>
      </c>
      <c r="BS235" s="141">
        <v>0</v>
      </c>
      <c r="BT235" s="141">
        <v>-1638579</v>
      </c>
      <c r="BU235" s="141">
        <v>0</v>
      </c>
      <c r="BV235" s="141">
        <v>-1638579</v>
      </c>
      <c r="BW235" s="141">
        <v>-507879</v>
      </c>
      <c r="BX235" s="141">
        <v>0</v>
      </c>
      <c r="BY235" s="141">
        <v>-507879</v>
      </c>
      <c r="BZ235" s="141">
        <v>-146195</v>
      </c>
      <c r="CA235" s="141">
        <v>0</v>
      </c>
      <c r="CB235" s="141">
        <v>-146195</v>
      </c>
      <c r="CC235" s="141">
        <v>-19500</v>
      </c>
      <c r="CD235" s="141">
        <v>0</v>
      </c>
      <c r="CE235" s="141">
        <v>-19500</v>
      </c>
      <c r="CF235" s="141">
        <v>0</v>
      </c>
      <c r="CG235" s="141">
        <v>0</v>
      </c>
      <c r="CH235" s="141">
        <v>0</v>
      </c>
      <c r="CI235" s="141">
        <v>0</v>
      </c>
      <c r="CJ235" s="141">
        <v>0</v>
      </c>
      <c r="CK235" s="141">
        <v>0</v>
      </c>
      <c r="CL235" s="141">
        <v>0</v>
      </c>
      <c r="CM235" s="141">
        <v>0</v>
      </c>
      <c r="CN235" s="141">
        <v>0</v>
      </c>
      <c r="CO235" s="141">
        <v>0</v>
      </c>
      <c r="CP235" s="141">
        <v>0</v>
      </c>
      <c r="CQ235" s="141">
        <v>-673574</v>
      </c>
      <c r="CR235" s="141">
        <v>0</v>
      </c>
      <c r="CS235" s="141">
        <v>0</v>
      </c>
      <c r="CT235" s="141">
        <v>0</v>
      </c>
      <c r="CU235" s="141">
        <v>-673574</v>
      </c>
      <c r="CV235" s="141">
        <v>0</v>
      </c>
      <c r="CW235" s="141">
        <v>-673574</v>
      </c>
      <c r="CX235" s="141">
        <v>-34070</v>
      </c>
      <c r="CY235" s="141">
        <v>0</v>
      </c>
      <c r="CZ235" s="141">
        <v>-34070</v>
      </c>
      <c r="DA235" s="141">
        <v>0</v>
      </c>
      <c r="DB235" s="141">
        <v>0</v>
      </c>
      <c r="DC235" s="141">
        <v>0</v>
      </c>
      <c r="DD235" s="141">
        <v>-202420</v>
      </c>
      <c r="DE235" s="141">
        <v>0</v>
      </c>
      <c r="DF235" s="141">
        <v>-202420</v>
      </c>
      <c r="DG235" s="141">
        <v>-261657</v>
      </c>
      <c r="DH235" s="141">
        <v>0</v>
      </c>
      <c r="DI235" s="141">
        <v>-261657</v>
      </c>
      <c r="DJ235" s="141">
        <v>0</v>
      </c>
      <c r="DK235" s="141">
        <v>0</v>
      </c>
      <c r="DL235" s="141">
        <v>0</v>
      </c>
      <c r="DM235" s="141">
        <v>-2400000</v>
      </c>
      <c r="DN235" s="141">
        <v>0</v>
      </c>
      <c r="DO235" s="141">
        <v>-2400000</v>
      </c>
      <c r="DP235" s="141">
        <v>-2898147</v>
      </c>
      <c r="DQ235" s="141">
        <v>0</v>
      </c>
      <c r="DR235" s="141">
        <v>0</v>
      </c>
      <c r="DS235" s="141">
        <v>0</v>
      </c>
      <c r="DT235" s="141">
        <v>-2898147</v>
      </c>
      <c r="DU235" s="141">
        <v>0</v>
      </c>
      <c r="DV235" s="141">
        <v>-2898147</v>
      </c>
      <c r="DW235" s="856">
        <v>86539987</v>
      </c>
      <c r="DX235" s="856">
        <v>0</v>
      </c>
      <c r="DY235" s="857">
        <v>86539987</v>
      </c>
      <c r="DZ235" t="s">
        <v>1801</v>
      </c>
    </row>
    <row r="236" spans="1:130" ht="12.75" x14ac:dyDescent="0.2">
      <c r="A236" s="764">
        <v>229</v>
      </c>
      <c r="B236" s="765" t="s">
        <v>349</v>
      </c>
      <c r="C236" s="766" t="s">
        <v>529</v>
      </c>
      <c r="D236" s="767" t="s">
        <v>1218</v>
      </c>
      <c r="E236" s="768" t="s">
        <v>540</v>
      </c>
      <c r="F236" s="867">
        <v>43465</v>
      </c>
      <c r="G236" s="141">
        <v>243572558</v>
      </c>
      <c r="H236" s="141">
        <v>0</v>
      </c>
      <c r="I236" s="141">
        <v>243572558</v>
      </c>
      <c r="J236" s="141">
        <v>49.1</v>
      </c>
      <c r="K236" s="141">
        <v>119594126</v>
      </c>
      <c r="L236" s="141">
        <v>0</v>
      </c>
      <c r="M236" s="141">
        <v>29731</v>
      </c>
      <c r="N236" s="141">
        <v>0</v>
      </c>
      <c r="O236" s="141">
        <v>119623857</v>
      </c>
      <c r="P236" s="141">
        <v>0</v>
      </c>
      <c r="Q236" s="141">
        <v>119623857</v>
      </c>
      <c r="R236" s="141">
        <v>-531928</v>
      </c>
      <c r="S236" s="141">
        <v>0</v>
      </c>
      <c r="T236" s="141">
        <v>-531928</v>
      </c>
      <c r="U236" s="141">
        <v>1578068</v>
      </c>
      <c r="V236" s="141">
        <v>0</v>
      </c>
      <c r="W236" s="141">
        <v>1578068</v>
      </c>
      <c r="X236" s="141">
        <v>1046140</v>
      </c>
      <c r="Y236" s="141">
        <v>0</v>
      </c>
      <c r="Z236" s="141">
        <v>0</v>
      </c>
      <c r="AA236" s="141">
        <v>0</v>
      </c>
      <c r="AB236" s="141">
        <v>1046140</v>
      </c>
      <c r="AC236" s="141">
        <v>0</v>
      </c>
      <c r="AD236" s="141">
        <v>1046140</v>
      </c>
      <c r="AE236" s="141">
        <v>-1046140</v>
      </c>
      <c r="AF236" s="141">
        <v>0</v>
      </c>
      <c r="AG236" s="141">
        <v>-1046140</v>
      </c>
      <c r="AH236" s="141">
        <v>-2884768</v>
      </c>
      <c r="AI236" s="141">
        <v>0</v>
      </c>
      <c r="AJ236" s="141">
        <v>-2884768</v>
      </c>
      <c r="AK236" s="141">
        <v>-7267</v>
      </c>
      <c r="AL236" s="141">
        <v>0</v>
      </c>
      <c r="AM236" s="141">
        <v>-7267</v>
      </c>
      <c r="AN236" s="141">
        <v>2716656</v>
      </c>
      <c r="AO236" s="141">
        <v>0</v>
      </c>
      <c r="AP236" s="141">
        <v>2716656</v>
      </c>
      <c r="AQ236" s="141">
        <v>-168112</v>
      </c>
      <c r="AR236" s="141">
        <v>0</v>
      </c>
      <c r="AS236" s="141">
        <v>-168112</v>
      </c>
      <c r="AT236" s="141">
        <v>-5100671</v>
      </c>
      <c r="AU236" s="141">
        <v>0</v>
      </c>
      <c r="AV236" s="141">
        <v>-5100671</v>
      </c>
      <c r="AW236" s="141">
        <v>0</v>
      </c>
      <c r="AX236" s="141">
        <v>0</v>
      </c>
      <c r="AY236" s="141">
        <v>0</v>
      </c>
      <c r="AZ236" s="141">
        <v>0</v>
      </c>
      <c r="BA236" s="141">
        <v>0</v>
      </c>
      <c r="BB236" s="141">
        <v>0</v>
      </c>
      <c r="BC236" s="141">
        <v>-5268783</v>
      </c>
      <c r="BD236" s="141">
        <v>0</v>
      </c>
      <c r="BE236" s="141">
        <v>0</v>
      </c>
      <c r="BF236" s="141">
        <v>0</v>
      </c>
      <c r="BG236" s="141">
        <v>-5268783</v>
      </c>
      <c r="BH236" s="141">
        <v>0</v>
      </c>
      <c r="BI236" s="141">
        <v>-5268783</v>
      </c>
      <c r="BJ236" s="141">
        <v>0</v>
      </c>
      <c r="BK236" s="141">
        <v>0</v>
      </c>
      <c r="BL236" s="141">
        <v>0</v>
      </c>
      <c r="BM236" s="141">
        <v>-3767696</v>
      </c>
      <c r="BN236" s="141">
        <v>0</v>
      </c>
      <c r="BO236" s="141">
        <v>-3767696</v>
      </c>
      <c r="BP236" s="141">
        <v>-3767696</v>
      </c>
      <c r="BQ236" s="141">
        <v>0</v>
      </c>
      <c r="BR236" s="141">
        <v>-206633</v>
      </c>
      <c r="BS236" s="141">
        <v>0</v>
      </c>
      <c r="BT236" s="141">
        <v>-3974329</v>
      </c>
      <c r="BU236" s="141">
        <v>0</v>
      </c>
      <c r="BV236" s="141">
        <v>-3974329</v>
      </c>
      <c r="BW236" s="141">
        <v>-122990</v>
      </c>
      <c r="BX236" s="141">
        <v>0</v>
      </c>
      <c r="BY236" s="141">
        <v>-122990</v>
      </c>
      <c r="BZ236" s="141">
        <v>-101699</v>
      </c>
      <c r="CA236" s="141">
        <v>0</v>
      </c>
      <c r="CB236" s="141">
        <v>-101699</v>
      </c>
      <c r="CC236" s="141">
        <v>0</v>
      </c>
      <c r="CD236" s="141">
        <v>0</v>
      </c>
      <c r="CE236" s="141">
        <v>0</v>
      </c>
      <c r="CF236" s="141">
        <v>0</v>
      </c>
      <c r="CG236" s="141">
        <v>0</v>
      </c>
      <c r="CH236" s="141">
        <v>0</v>
      </c>
      <c r="CI236" s="141">
        <v>0</v>
      </c>
      <c r="CJ236" s="141">
        <v>0</v>
      </c>
      <c r="CK236" s="141">
        <v>0</v>
      </c>
      <c r="CL236" s="141">
        <v>0</v>
      </c>
      <c r="CM236" s="141">
        <v>0</v>
      </c>
      <c r="CN236" s="141">
        <v>0</v>
      </c>
      <c r="CO236" s="141">
        <v>0</v>
      </c>
      <c r="CP236" s="141">
        <v>0</v>
      </c>
      <c r="CQ236" s="141">
        <v>-224689</v>
      </c>
      <c r="CR236" s="141">
        <v>0</v>
      </c>
      <c r="CS236" s="141">
        <v>0</v>
      </c>
      <c r="CT236" s="141">
        <v>0</v>
      </c>
      <c r="CU236" s="141">
        <v>-224689</v>
      </c>
      <c r="CV236" s="141">
        <v>0</v>
      </c>
      <c r="CW236" s="141">
        <v>-224689</v>
      </c>
      <c r="CX236" s="141">
        <v>0</v>
      </c>
      <c r="CY236" s="141">
        <v>0</v>
      </c>
      <c r="CZ236" s="141">
        <v>0</v>
      </c>
      <c r="DA236" s="141">
        <v>0</v>
      </c>
      <c r="DB236" s="141">
        <v>0</v>
      </c>
      <c r="DC236" s="141">
        <v>0</v>
      </c>
      <c r="DD236" s="141">
        <v>-21735</v>
      </c>
      <c r="DE236" s="141">
        <v>0</v>
      </c>
      <c r="DF236" s="141">
        <v>-21735</v>
      </c>
      <c r="DG236" s="141">
        <v>-69986</v>
      </c>
      <c r="DH236" s="141">
        <v>0</v>
      </c>
      <c r="DI236" s="141">
        <v>-69986</v>
      </c>
      <c r="DJ236" s="141">
        <v>0</v>
      </c>
      <c r="DK236" s="141">
        <v>0</v>
      </c>
      <c r="DL236" s="141">
        <v>0</v>
      </c>
      <c r="DM236" s="141">
        <v>-1990036</v>
      </c>
      <c r="DN236" s="141">
        <v>0</v>
      </c>
      <c r="DO236" s="141">
        <v>-1990036</v>
      </c>
      <c r="DP236" s="141">
        <v>-2081757</v>
      </c>
      <c r="DQ236" s="141">
        <v>0</v>
      </c>
      <c r="DR236" s="141">
        <v>0</v>
      </c>
      <c r="DS236" s="141">
        <v>0</v>
      </c>
      <c r="DT236" s="141">
        <v>-2081757</v>
      </c>
      <c r="DU236" s="141">
        <v>0</v>
      </c>
      <c r="DV236" s="141">
        <v>-2081757</v>
      </c>
      <c r="DW236" s="856">
        <v>109120439</v>
      </c>
      <c r="DX236" s="856">
        <v>0</v>
      </c>
      <c r="DY236" s="857">
        <v>109120439</v>
      </c>
      <c r="DZ236" t="s">
        <v>1802</v>
      </c>
    </row>
    <row r="237" spans="1:130" ht="12.75" x14ac:dyDescent="0.2">
      <c r="A237" s="764">
        <v>230</v>
      </c>
      <c r="B237" s="765" t="s">
        <v>351</v>
      </c>
      <c r="C237" s="766" t="s">
        <v>1224</v>
      </c>
      <c r="D237" s="767" t="s">
        <v>1227</v>
      </c>
      <c r="E237" s="768" t="s">
        <v>350</v>
      </c>
      <c r="F237" s="867">
        <v>43465</v>
      </c>
      <c r="G237" s="141">
        <v>267338896</v>
      </c>
      <c r="H237" s="141">
        <v>0</v>
      </c>
      <c r="I237" s="141">
        <v>267338896</v>
      </c>
      <c r="J237" s="141">
        <v>49.1</v>
      </c>
      <c r="K237" s="141">
        <v>131263398</v>
      </c>
      <c r="L237" s="141">
        <v>0</v>
      </c>
      <c r="M237" s="141">
        <v>1159359</v>
      </c>
      <c r="N237" s="141">
        <v>0</v>
      </c>
      <c r="O237" s="141">
        <v>132422757</v>
      </c>
      <c r="P237" s="141">
        <v>0</v>
      </c>
      <c r="Q237" s="141">
        <v>132422757</v>
      </c>
      <c r="R237" s="141">
        <v>-450656</v>
      </c>
      <c r="S237" s="141">
        <v>0</v>
      </c>
      <c r="T237" s="141">
        <v>-450656</v>
      </c>
      <c r="U237" s="141">
        <v>1716376</v>
      </c>
      <c r="V237" s="141">
        <v>0</v>
      </c>
      <c r="W237" s="141">
        <v>1716376</v>
      </c>
      <c r="X237" s="141">
        <v>1265720</v>
      </c>
      <c r="Y237" s="141">
        <v>0</v>
      </c>
      <c r="Z237" s="141">
        <v>0</v>
      </c>
      <c r="AA237" s="141">
        <v>0</v>
      </c>
      <c r="AB237" s="141">
        <v>1265720</v>
      </c>
      <c r="AC237" s="141">
        <v>0</v>
      </c>
      <c r="AD237" s="141">
        <v>1265720</v>
      </c>
      <c r="AE237" s="141">
        <v>-1265720</v>
      </c>
      <c r="AF237" s="141">
        <v>0</v>
      </c>
      <c r="AG237" s="141">
        <v>-1265720</v>
      </c>
      <c r="AH237" s="141">
        <v>-3817482</v>
      </c>
      <c r="AI237" s="141">
        <v>0</v>
      </c>
      <c r="AJ237" s="141">
        <v>-3817482</v>
      </c>
      <c r="AK237" s="141">
        <v>-5794</v>
      </c>
      <c r="AL237" s="141">
        <v>0</v>
      </c>
      <c r="AM237" s="141">
        <v>-5794</v>
      </c>
      <c r="AN237" s="141">
        <v>2861363</v>
      </c>
      <c r="AO237" s="141">
        <v>0</v>
      </c>
      <c r="AP237" s="141">
        <v>2861363</v>
      </c>
      <c r="AQ237" s="141">
        <v>-956119</v>
      </c>
      <c r="AR237" s="141">
        <v>0</v>
      </c>
      <c r="AS237" s="141">
        <v>-956119</v>
      </c>
      <c r="AT237" s="141">
        <v>-5500586</v>
      </c>
      <c r="AU237" s="141">
        <v>0</v>
      </c>
      <c r="AV237" s="141">
        <v>-5500586</v>
      </c>
      <c r="AW237" s="141">
        <v>-93890</v>
      </c>
      <c r="AX237" s="141">
        <v>0</v>
      </c>
      <c r="AY237" s="141">
        <v>-93890</v>
      </c>
      <c r="AZ237" s="141">
        <v>-1329</v>
      </c>
      <c r="BA237" s="141">
        <v>0</v>
      </c>
      <c r="BB237" s="141">
        <v>-1329</v>
      </c>
      <c r="BC237" s="141">
        <v>-6551924</v>
      </c>
      <c r="BD237" s="141">
        <v>0</v>
      </c>
      <c r="BE237" s="141">
        <v>-34475</v>
      </c>
      <c r="BF237" s="141">
        <v>0</v>
      </c>
      <c r="BG237" s="141">
        <v>-6586399</v>
      </c>
      <c r="BH237" s="141">
        <v>0</v>
      </c>
      <c r="BI237" s="141">
        <v>-6586399</v>
      </c>
      <c r="BJ237" s="141">
        <v>-87543</v>
      </c>
      <c r="BK237" s="141">
        <v>0</v>
      </c>
      <c r="BL237" s="141">
        <v>-87543</v>
      </c>
      <c r="BM237" s="141">
        <v>-3397966</v>
      </c>
      <c r="BN237" s="141">
        <v>0</v>
      </c>
      <c r="BO237" s="141">
        <v>-3397966</v>
      </c>
      <c r="BP237" s="141">
        <v>-3485509</v>
      </c>
      <c r="BQ237" s="141">
        <v>0</v>
      </c>
      <c r="BR237" s="141">
        <v>-394497</v>
      </c>
      <c r="BS237" s="141">
        <v>0</v>
      </c>
      <c r="BT237" s="141">
        <v>-3880006</v>
      </c>
      <c r="BU237" s="141">
        <v>0</v>
      </c>
      <c r="BV237" s="141">
        <v>-3880006</v>
      </c>
      <c r="BW237" s="141">
        <v>-42419</v>
      </c>
      <c r="BX237" s="141">
        <v>0</v>
      </c>
      <c r="BY237" s="141">
        <v>-42419</v>
      </c>
      <c r="BZ237" s="141">
        <v>-20622</v>
      </c>
      <c r="CA237" s="141">
        <v>0</v>
      </c>
      <c r="CB237" s="141">
        <v>-20622</v>
      </c>
      <c r="CC237" s="141">
        <v>0</v>
      </c>
      <c r="CD237" s="141">
        <v>0</v>
      </c>
      <c r="CE237" s="141">
        <v>0</v>
      </c>
      <c r="CF237" s="141">
        <v>0</v>
      </c>
      <c r="CG237" s="141">
        <v>0</v>
      </c>
      <c r="CH237" s="141">
        <v>0</v>
      </c>
      <c r="CI237" s="141">
        <v>0</v>
      </c>
      <c r="CJ237" s="141">
        <v>0</v>
      </c>
      <c r="CK237" s="141">
        <v>0</v>
      </c>
      <c r="CL237" s="141">
        <v>0</v>
      </c>
      <c r="CM237" s="141">
        <v>0</v>
      </c>
      <c r="CN237" s="141">
        <v>0</v>
      </c>
      <c r="CO237" s="141">
        <v>0</v>
      </c>
      <c r="CP237" s="141">
        <v>0</v>
      </c>
      <c r="CQ237" s="141">
        <v>-63041</v>
      </c>
      <c r="CR237" s="141">
        <v>0</v>
      </c>
      <c r="CS237" s="141">
        <v>0</v>
      </c>
      <c r="CT237" s="141">
        <v>0</v>
      </c>
      <c r="CU237" s="141">
        <v>-63041</v>
      </c>
      <c r="CV237" s="141">
        <v>0</v>
      </c>
      <c r="CW237" s="141">
        <v>-63041</v>
      </c>
      <c r="CX237" s="141">
        <v>-1329</v>
      </c>
      <c r="CY237" s="141">
        <v>0</v>
      </c>
      <c r="CZ237" s="141">
        <v>-1329</v>
      </c>
      <c r="DA237" s="141">
        <v>0</v>
      </c>
      <c r="DB237" s="141">
        <v>0</v>
      </c>
      <c r="DC237" s="141">
        <v>0</v>
      </c>
      <c r="DD237" s="141">
        <v>-21726</v>
      </c>
      <c r="DE237" s="141">
        <v>0</v>
      </c>
      <c r="DF237" s="141">
        <v>-21726</v>
      </c>
      <c r="DG237" s="141">
        <v>-45517</v>
      </c>
      <c r="DH237" s="141">
        <v>0</v>
      </c>
      <c r="DI237" s="141">
        <v>-45517</v>
      </c>
      <c r="DJ237" s="141">
        <v>0</v>
      </c>
      <c r="DK237" s="141">
        <v>0</v>
      </c>
      <c r="DL237" s="141">
        <v>0</v>
      </c>
      <c r="DM237" s="141">
        <v>-1372028</v>
      </c>
      <c r="DN237" s="141">
        <v>0</v>
      </c>
      <c r="DO237" s="141">
        <v>-1372028</v>
      </c>
      <c r="DP237" s="141">
        <v>-1440600</v>
      </c>
      <c r="DQ237" s="141">
        <v>0</v>
      </c>
      <c r="DR237" s="141">
        <v>0</v>
      </c>
      <c r="DS237" s="141">
        <v>0</v>
      </c>
      <c r="DT237" s="141">
        <v>-1440600</v>
      </c>
      <c r="DU237" s="141">
        <v>0</v>
      </c>
      <c r="DV237" s="141">
        <v>-1440600</v>
      </c>
      <c r="DW237" s="856">
        <v>121718431</v>
      </c>
      <c r="DX237" s="856">
        <v>0</v>
      </c>
      <c r="DY237" s="857">
        <v>121718431</v>
      </c>
      <c r="DZ237" t="s">
        <v>1803</v>
      </c>
    </row>
    <row r="238" spans="1:130" ht="12.75" x14ac:dyDescent="0.2">
      <c r="A238" s="764">
        <v>231</v>
      </c>
      <c r="B238" s="765" t="s">
        <v>1150</v>
      </c>
      <c r="C238" s="766" t="s">
        <v>1217</v>
      </c>
      <c r="D238" s="767" t="s">
        <v>1226</v>
      </c>
      <c r="E238" s="768" t="s">
        <v>1149</v>
      </c>
      <c r="F238" s="867">
        <v>43481</v>
      </c>
      <c r="G238" s="141">
        <v>148833060</v>
      </c>
      <c r="H238" s="141">
        <v>0</v>
      </c>
      <c r="I238" s="141">
        <v>148833060</v>
      </c>
      <c r="J238" s="141">
        <v>49.1</v>
      </c>
      <c r="K238" s="141">
        <v>73077032</v>
      </c>
      <c r="L238" s="141">
        <v>0</v>
      </c>
      <c r="M238" s="141">
        <v>470050</v>
      </c>
      <c r="N238" s="141">
        <v>0</v>
      </c>
      <c r="O238" s="141">
        <v>73547082</v>
      </c>
      <c r="P238" s="141">
        <v>0</v>
      </c>
      <c r="Q238" s="141">
        <v>73547082</v>
      </c>
      <c r="R238" s="141">
        <v>-700787</v>
      </c>
      <c r="S238" s="141">
        <v>0</v>
      </c>
      <c r="T238" s="141">
        <v>-700787</v>
      </c>
      <c r="U238" s="141">
        <v>1228889</v>
      </c>
      <c r="V238" s="141">
        <v>0</v>
      </c>
      <c r="W238" s="141">
        <v>1228889</v>
      </c>
      <c r="X238" s="141">
        <v>528102</v>
      </c>
      <c r="Y238" s="141">
        <v>0</v>
      </c>
      <c r="Z238" s="141">
        <v>0</v>
      </c>
      <c r="AA238" s="141">
        <v>0</v>
      </c>
      <c r="AB238" s="141">
        <v>528102</v>
      </c>
      <c r="AC238" s="141">
        <v>0</v>
      </c>
      <c r="AD238" s="141">
        <v>528102</v>
      </c>
      <c r="AE238" s="141">
        <v>-528102</v>
      </c>
      <c r="AF238" s="141">
        <v>0</v>
      </c>
      <c r="AG238" s="141">
        <v>-528102</v>
      </c>
      <c r="AH238" s="141">
        <v>-6975800</v>
      </c>
      <c r="AI238" s="141">
        <v>0</v>
      </c>
      <c r="AJ238" s="141">
        <v>-6975800</v>
      </c>
      <c r="AK238" s="141">
        <v>0</v>
      </c>
      <c r="AL238" s="141">
        <v>0</v>
      </c>
      <c r="AM238" s="141">
        <v>0</v>
      </c>
      <c r="AN238" s="141">
        <v>1329572</v>
      </c>
      <c r="AO238" s="141">
        <v>0</v>
      </c>
      <c r="AP238" s="141">
        <v>1329572</v>
      </c>
      <c r="AQ238" s="141">
        <v>-5646228</v>
      </c>
      <c r="AR238" s="141">
        <v>0</v>
      </c>
      <c r="AS238" s="141">
        <v>-5646228</v>
      </c>
      <c r="AT238" s="141">
        <v>-4779974</v>
      </c>
      <c r="AU238" s="141">
        <v>0</v>
      </c>
      <c r="AV238" s="141">
        <v>-4779974</v>
      </c>
      <c r="AW238" s="141">
        <v>-61789</v>
      </c>
      <c r="AX238" s="141">
        <v>0</v>
      </c>
      <c r="AY238" s="141">
        <v>-61789</v>
      </c>
      <c r="AZ238" s="141">
        <v>-58665</v>
      </c>
      <c r="BA238" s="141">
        <v>0</v>
      </c>
      <c r="BB238" s="141">
        <v>-58665</v>
      </c>
      <c r="BC238" s="141">
        <v>-10546656</v>
      </c>
      <c r="BD238" s="141">
        <v>0</v>
      </c>
      <c r="BE238" s="141">
        <v>-400000</v>
      </c>
      <c r="BF238" s="141">
        <v>0</v>
      </c>
      <c r="BG238" s="141">
        <v>-10946656</v>
      </c>
      <c r="BH238" s="141">
        <v>0</v>
      </c>
      <c r="BI238" s="141">
        <v>-10946656</v>
      </c>
      <c r="BJ238" s="141">
        <v>0</v>
      </c>
      <c r="BK238" s="141">
        <v>0</v>
      </c>
      <c r="BL238" s="141">
        <v>0</v>
      </c>
      <c r="BM238" s="141">
        <v>-1076572</v>
      </c>
      <c r="BN238" s="141">
        <v>0</v>
      </c>
      <c r="BO238" s="141">
        <v>-1076572</v>
      </c>
      <c r="BP238" s="141">
        <v>-1076572</v>
      </c>
      <c r="BQ238" s="141">
        <v>0</v>
      </c>
      <c r="BR238" s="141">
        <v>0</v>
      </c>
      <c r="BS238" s="141">
        <v>0</v>
      </c>
      <c r="BT238" s="141">
        <v>-1076572</v>
      </c>
      <c r="BU238" s="141">
        <v>0</v>
      </c>
      <c r="BV238" s="141">
        <v>-1076572</v>
      </c>
      <c r="BW238" s="141">
        <v>-434610</v>
      </c>
      <c r="BX238" s="141">
        <v>0</v>
      </c>
      <c r="BY238" s="141">
        <v>-434610</v>
      </c>
      <c r="BZ238" s="141">
        <v>-154778</v>
      </c>
      <c r="CA238" s="141">
        <v>0</v>
      </c>
      <c r="CB238" s="141">
        <v>-154778</v>
      </c>
      <c r="CC238" s="141">
        <v>-7612</v>
      </c>
      <c r="CD238" s="141">
        <v>0</v>
      </c>
      <c r="CE238" s="141">
        <v>-7612</v>
      </c>
      <c r="CF238" s="141">
        <v>0</v>
      </c>
      <c r="CG238" s="141">
        <v>0</v>
      </c>
      <c r="CH238" s="141">
        <v>0</v>
      </c>
      <c r="CI238" s="141">
        <v>-12733</v>
      </c>
      <c r="CJ238" s="141">
        <v>0</v>
      </c>
      <c r="CK238" s="141">
        <v>-12733</v>
      </c>
      <c r="CL238" s="141">
        <v>0</v>
      </c>
      <c r="CM238" s="141">
        <v>0</v>
      </c>
      <c r="CN238" s="141">
        <v>0</v>
      </c>
      <c r="CO238" s="141">
        <v>0</v>
      </c>
      <c r="CP238" s="141">
        <v>0</v>
      </c>
      <c r="CQ238" s="141">
        <v>-609733</v>
      </c>
      <c r="CR238" s="141">
        <v>0</v>
      </c>
      <c r="CS238" s="141">
        <v>0</v>
      </c>
      <c r="CT238" s="141">
        <v>0</v>
      </c>
      <c r="CU238" s="141">
        <v>-609733</v>
      </c>
      <c r="CV238" s="141">
        <v>0</v>
      </c>
      <c r="CW238" s="141">
        <v>-609733</v>
      </c>
      <c r="CX238" s="141">
        <v>-67803</v>
      </c>
      <c r="CY238" s="141">
        <v>0</v>
      </c>
      <c r="CZ238" s="141">
        <v>-67803</v>
      </c>
      <c r="DA238" s="141">
        <v>-4500</v>
      </c>
      <c r="DB238" s="141">
        <v>0</v>
      </c>
      <c r="DC238" s="141">
        <v>-4500</v>
      </c>
      <c r="DD238" s="141">
        <v>-57899</v>
      </c>
      <c r="DE238" s="141">
        <v>0</v>
      </c>
      <c r="DF238" s="141">
        <v>-57899</v>
      </c>
      <c r="DG238" s="141">
        <v>-84679</v>
      </c>
      <c r="DH238" s="141">
        <v>0</v>
      </c>
      <c r="DI238" s="141">
        <v>-84679</v>
      </c>
      <c r="DJ238" s="141">
        <v>0</v>
      </c>
      <c r="DK238" s="141">
        <v>0</v>
      </c>
      <c r="DL238" s="141">
        <v>0</v>
      </c>
      <c r="DM238" s="141">
        <v>-1332370</v>
      </c>
      <c r="DN238" s="141">
        <v>0</v>
      </c>
      <c r="DO238" s="141">
        <v>-1332370</v>
      </c>
      <c r="DP238" s="141">
        <v>-1547251</v>
      </c>
      <c r="DQ238" s="141">
        <v>0</v>
      </c>
      <c r="DR238" s="141">
        <v>0</v>
      </c>
      <c r="DS238" s="141">
        <v>0</v>
      </c>
      <c r="DT238" s="141">
        <v>-1547251</v>
      </c>
      <c r="DU238" s="141">
        <v>0</v>
      </c>
      <c r="DV238" s="141">
        <v>-1547251</v>
      </c>
      <c r="DW238" s="856">
        <v>59894972</v>
      </c>
      <c r="DX238" s="856">
        <v>0</v>
      </c>
      <c r="DY238" s="857">
        <v>59894972</v>
      </c>
      <c r="DZ238" t="s">
        <v>1804</v>
      </c>
    </row>
    <row r="239" spans="1:130" ht="12.75" x14ac:dyDescent="0.2">
      <c r="A239" s="764">
        <v>232</v>
      </c>
      <c r="B239" s="765" t="s">
        <v>353</v>
      </c>
      <c r="C239" s="766" t="s">
        <v>1217</v>
      </c>
      <c r="D239" s="767" t="s">
        <v>1218</v>
      </c>
      <c r="E239" s="768" t="s">
        <v>352</v>
      </c>
      <c r="F239" s="867">
        <v>43487</v>
      </c>
      <c r="G239" s="141">
        <v>81407112</v>
      </c>
      <c r="H239" s="141">
        <v>0</v>
      </c>
      <c r="I239" s="141">
        <v>81407112</v>
      </c>
      <c r="J239" s="141">
        <v>49.1</v>
      </c>
      <c r="K239" s="141">
        <v>39970892</v>
      </c>
      <c r="L239" s="141">
        <v>0</v>
      </c>
      <c r="M239" s="141">
        <v>500000</v>
      </c>
      <c r="N239" s="141">
        <v>0</v>
      </c>
      <c r="O239" s="141">
        <v>40470892</v>
      </c>
      <c r="P239" s="141">
        <v>0</v>
      </c>
      <c r="Q239" s="141">
        <v>40470892</v>
      </c>
      <c r="R239" s="141">
        <v>-574989</v>
      </c>
      <c r="S239" s="141">
        <v>0</v>
      </c>
      <c r="T239" s="141">
        <v>-574989</v>
      </c>
      <c r="U239" s="141">
        <v>160185</v>
      </c>
      <c r="V239" s="141">
        <v>0</v>
      </c>
      <c r="W239" s="141">
        <v>160185</v>
      </c>
      <c r="X239" s="141">
        <v>-414804</v>
      </c>
      <c r="Y239" s="141">
        <v>0</v>
      </c>
      <c r="Z239" s="141">
        <v>0</v>
      </c>
      <c r="AA239" s="141">
        <v>0</v>
      </c>
      <c r="AB239" s="141">
        <v>-414804</v>
      </c>
      <c r="AC239" s="141">
        <v>0</v>
      </c>
      <c r="AD239" s="141">
        <v>-414804</v>
      </c>
      <c r="AE239" s="141">
        <v>414804</v>
      </c>
      <c r="AF239" s="141">
        <v>0</v>
      </c>
      <c r="AG239" s="141">
        <v>414804</v>
      </c>
      <c r="AH239" s="141">
        <v>-1722606</v>
      </c>
      <c r="AI239" s="141">
        <v>0</v>
      </c>
      <c r="AJ239" s="141">
        <v>-1722606</v>
      </c>
      <c r="AK239" s="141">
        <v>-1571</v>
      </c>
      <c r="AL239" s="141">
        <v>0</v>
      </c>
      <c r="AM239" s="141">
        <v>-1571</v>
      </c>
      <c r="AN239" s="141">
        <v>795643</v>
      </c>
      <c r="AO239" s="141">
        <v>0</v>
      </c>
      <c r="AP239" s="141">
        <v>795643</v>
      </c>
      <c r="AQ239" s="141">
        <v>-926963</v>
      </c>
      <c r="AR239" s="141">
        <v>0</v>
      </c>
      <c r="AS239" s="141">
        <v>-926963</v>
      </c>
      <c r="AT239" s="141">
        <v>-2370138</v>
      </c>
      <c r="AU239" s="141">
        <v>0</v>
      </c>
      <c r="AV239" s="141">
        <v>-2370138</v>
      </c>
      <c r="AW239" s="141">
        <v>-68836</v>
      </c>
      <c r="AX239" s="141">
        <v>0</v>
      </c>
      <c r="AY239" s="141">
        <v>-68836</v>
      </c>
      <c r="AZ239" s="141">
        <v>-1260</v>
      </c>
      <c r="BA239" s="141">
        <v>0</v>
      </c>
      <c r="BB239" s="141">
        <v>-1260</v>
      </c>
      <c r="BC239" s="141">
        <v>-3367197</v>
      </c>
      <c r="BD239" s="141">
        <v>0</v>
      </c>
      <c r="BE239" s="141">
        <v>0</v>
      </c>
      <c r="BF239" s="141">
        <v>0</v>
      </c>
      <c r="BG239" s="141">
        <v>-3367197</v>
      </c>
      <c r="BH239" s="141">
        <v>0</v>
      </c>
      <c r="BI239" s="141">
        <v>-3367197</v>
      </c>
      <c r="BJ239" s="141">
        <v>0</v>
      </c>
      <c r="BK239" s="141">
        <v>0</v>
      </c>
      <c r="BL239" s="141">
        <v>0</v>
      </c>
      <c r="BM239" s="141">
        <v>-1848741</v>
      </c>
      <c r="BN239" s="141">
        <v>0</v>
      </c>
      <c r="BO239" s="141">
        <v>-1848741</v>
      </c>
      <c r="BP239" s="141">
        <v>-1848741</v>
      </c>
      <c r="BQ239" s="141">
        <v>0</v>
      </c>
      <c r="BR239" s="141">
        <v>0</v>
      </c>
      <c r="BS239" s="141">
        <v>0</v>
      </c>
      <c r="BT239" s="141">
        <v>-1848741</v>
      </c>
      <c r="BU239" s="141">
        <v>0</v>
      </c>
      <c r="BV239" s="141">
        <v>-1848741</v>
      </c>
      <c r="BW239" s="141">
        <v>-34335</v>
      </c>
      <c r="BX239" s="141">
        <v>0</v>
      </c>
      <c r="BY239" s="141">
        <v>-34335</v>
      </c>
      <c r="BZ239" s="141">
        <v>-3875</v>
      </c>
      <c r="CA239" s="141">
        <v>0</v>
      </c>
      <c r="CB239" s="141">
        <v>-3875</v>
      </c>
      <c r="CC239" s="141">
        <v>-1900</v>
      </c>
      <c r="CD239" s="141">
        <v>0</v>
      </c>
      <c r="CE239" s="141">
        <v>-1900</v>
      </c>
      <c r="CF239" s="141">
        <v>0</v>
      </c>
      <c r="CG239" s="141">
        <v>0</v>
      </c>
      <c r="CH239" s="141">
        <v>0</v>
      </c>
      <c r="CI239" s="141">
        <v>0</v>
      </c>
      <c r="CJ239" s="141">
        <v>0</v>
      </c>
      <c r="CK239" s="141">
        <v>0</v>
      </c>
      <c r="CL239" s="141">
        <v>0</v>
      </c>
      <c r="CM239" s="141">
        <v>0</v>
      </c>
      <c r="CN239" s="141">
        <v>0</v>
      </c>
      <c r="CO239" s="141">
        <v>0</v>
      </c>
      <c r="CP239" s="141">
        <v>0</v>
      </c>
      <c r="CQ239" s="141">
        <v>-40110</v>
      </c>
      <c r="CR239" s="141">
        <v>0</v>
      </c>
      <c r="CS239" s="141">
        <v>0</v>
      </c>
      <c r="CT239" s="141">
        <v>0</v>
      </c>
      <c r="CU239" s="141">
        <v>-40110</v>
      </c>
      <c r="CV239" s="141">
        <v>0</v>
      </c>
      <c r="CW239" s="141">
        <v>-40110</v>
      </c>
      <c r="CX239" s="141">
        <v>0</v>
      </c>
      <c r="CY239" s="141">
        <v>0</v>
      </c>
      <c r="CZ239" s="141">
        <v>0</v>
      </c>
      <c r="DA239" s="141">
        <v>0</v>
      </c>
      <c r="DB239" s="141">
        <v>0</v>
      </c>
      <c r="DC239" s="141">
        <v>0</v>
      </c>
      <c r="DD239" s="141">
        <v>0</v>
      </c>
      <c r="DE239" s="141">
        <v>0</v>
      </c>
      <c r="DF239" s="141">
        <v>0</v>
      </c>
      <c r="DG239" s="141">
        <v>-32770</v>
      </c>
      <c r="DH239" s="141">
        <v>0</v>
      </c>
      <c r="DI239" s="141">
        <v>-32770</v>
      </c>
      <c r="DJ239" s="141">
        <v>0</v>
      </c>
      <c r="DK239" s="141">
        <v>0</v>
      </c>
      <c r="DL239" s="141">
        <v>0</v>
      </c>
      <c r="DM239" s="141">
        <v>-989621</v>
      </c>
      <c r="DN239" s="141">
        <v>0</v>
      </c>
      <c r="DO239" s="141">
        <v>-989621</v>
      </c>
      <c r="DP239" s="141">
        <v>-1022391</v>
      </c>
      <c r="DQ239" s="141">
        <v>0</v>
      </c>
      <c r="DR239" s="141">
        <v>0</v>
      </c>
      <c r="DS239" s="141">
        <v>0</v>
      </c>
      <c r="DT239" s="141">
        <v>-1022391</v>
      </c>
      <c r="DU239" s="141">
        <v>0</v>
      </c>
      <c r="DV239" s="141">
        <v>-1022391</v>
      </c>
      <c r="DW239" s="856">
        <v>33777649</v>
      </c>
      <c r="DX239" s="856">
        <v>0</v>
      </c>
      <c r="DY239" s="857">
        <v>33777649</v>
      </c>
      <c r="DZ239" t="s">
        <v>1805</v>
      </c>
    </row>
    <row r="240" spans="1:130" ht="12.75" x14ac:dyDescent="0.2">
      <c r="A240" s="764">
        <v>233</v>
      </c>
      <c r="B240" s="765" t="s">
        <v>355</v>
      </c>
      <c r="C240" s="766" t="s">
        <v>1217</v>
      </c>
      <c r="D240" s="767" t="s">
        <v>1221</v>
      </c>
      <c r="E240" s="768" t="s">
        <v>354</v>
      </c>
      <c r="F240" s="867">
        <v>43490</v>
      </c>
      <c r="G240" s="141">
        <v>215184841</v>
      </c>
      <c r="H240" s="141">
        <v>1852250</v>
      </c>
      <c r="I240" s="141">
        <v>217037091</v>
      </c>
      <c r="J240" s="141">
        <v>49.1</v>
      </c>
      <c r="K240" s="141">
        <v>105655757</v>
      </c>
      <c r="L240" s="141">
        <v>909455</v>
      </c>
      <c r="M240" s="141">
        <v>-454175</v>
      </c>
      <c r="N240" s="141">
        <v>0</v>
      </c>
      <c r="O240" s="141">
        <v>105201582</v>
      </c>
      <c r="P240" s="141">
        <v>909455</v>
      </c>
      <c r="Q240" s="141">
        <v>106111037</v>
      </c>
      <c r="R240" s="141">
        <v>0</v>
      </c>
      <c r="S240" s="141">
        <v>0</v>
      </c>
      <c r="T240" s="141">
        <v>0</v>
      </c>
      <c r="U240" s="141">
        <v>513367</v>
      </c>
      <c r="V240" s="141">
        <v>0</v>
      </c>
      <c r="W240" s="141">
        <v>513367</v>
      </c>
      <c r="X240" s="141">
        <v>513367</v>
      </c>
      <c r="Y240" s="141">
        <v>0</v>
      </c>
      <c r="Z240" s="141">
        <v>0</v>
      </c>
      <c r="AA240" s="141">
        <v>0</v>
      </c>
      <c r="AB240" s="141">
        <v>513367</v>
      </c>
      <c r="AC240" s="141">
        <v>0</v>
      </c>
      <c r="AD240" s="141">
        <v>513367</v>
      </c>
      <c r="AE240" s="141">
        <v>-513367</v>
      </c>
      <c r="AF240" s="141">
        <v>0</v>
      </c>
      <c r="AG240" s="141">
        <v>-513367</v>
      </c>
      <c r="AH240" s="141">
        <v>-4806787</v>
      </c>
      <c r="AI240" s="141">
        <v>0</v>
      </c>
      <c r="AJ240" s="141">
        <v>-4806787</v>
      </c>
      <c r="AK240" s="141">
        <v>-6736</v>
      </c>
      <c r="AL240" s="141">
        <v>0</v>
      </c>
      <c r="AM240" s="141">
        <v>-6736</v>
      </c>
      <c r="AN240" s="141">
        <v>2189129</v>
      </c>
      <c r="AO240" s="141">
        <v>23680</v>
      </c>
      <c r="AP240" s="141">
        <v>2212809</v>
      </c>
      <c r="AQ240" s="141">
        <v>-2617658</v>
      </c>
      <c r="AR240" s="141">
        <v>23680</v>
      </c>
      <c r="AS240" s="141">
        <v>-2593978</v>
      </c>
      <c r="AT240" s="141">
        <v>-10789461</v>
      </c>
      <c r="AU240" s="141">
        <v>0</v>
      </c>
      <c r="AV240" s="141">
        <v>-10789461</v>
      </c>
      <c r="AW240" s="141">
        <v>-25982</v>
      </c>
      <c r="AX240" s="141">
        <v>0</v>
      </c>
      <c r="AY240" s="141">
        <v>-25982</v>
      </c>
      <c r="AZ240" s="141">
        <v>-46538</v>
      </c>
      <c r="BA240" s="141">
        <v>0</v>
      </c>
      <c r="BB240" s="141">
        <v>-46538</v>
      </c>
      <c r="BC240" s="141">
        <v>-13479639</v>
      </c>
      <c r="BD240" s="141">
        <v>23680</v>
      </c>
      <c r="BE240" s="141">
        <v>0</v>
      </c>
      <c r="BF240" s="141">
        <v>0</v>
      </c>
      <c r="BG240" s="141">
        <v>-13479639</v>
      </c>
      <c r="BH240" s="141">
        <v>23680</v>
      </c>
      <c r="BI240" s="141">
        <v>-13455959</v>
      </c>
      <c r="BJ240" s="141">
        <v>0</v>
      </c>
      <c r="BK240" s="141">
        <v>0</v>
      </c>
      <c r="BL240" s="141">
        <v>0</v>
      </c>
      <c r="BM240" s="141">
        <v>-763050</v>
      </c>
      <c r="BN240" s="141">
        <v>0</v>
      </c>
      <c r="BO240" s="141">
        <v>-763050</v>
      </c>
      <c r="BP240" s="141">
        <v>-763050</v>
      </c>
      <c r="BQ240" s="141">
        <v>0</v>
      </c>
      <c r="BR240" s="141">
        <v>0</v>
      </c>
      <c r="BS240" s="141">
        <v>0</v>
      </c>
      <c r="BT240" s="141">
        <v>-763050</v>
      </c>
      <c r="BU240" s="141">
        <v>0</v>
      </c>
      <c r="BV240" s="141">
        <v>-763050</v>
      </c>
      <c r="BW240" s="141">
        <v>-135413</v>
      </c>
      <c r="BX240" s="141">
        <v>0</v>
      </c>
      <c r="BY240" s="141">
        <v>-135413</v>
      </c>
      <c r="BZ240" s="141">
        <v>-65539</v>
      </c>
      <c r="CA240" s="141">
        <v>0</v>
      </c>
      <c r="CB240" s="141">
        <v>-65539</v>
      </c>
      <c r="CC240" s="141">
        <v>0</v>
      </c>
      <c r="CD240" s="141">
        <v>0</v>
      </c>
      <c r="CE240" s="141">
        <v>0</v>
      </c>
      <c r="CF240" s="141">
        <v>0</v>
      </c>
      <c r="CG240" s="141">
        <v>0</v>
      </c>
      <c r="CH240" s="141">
        <v>0</v>
      </c>
      <c r="CI240" s="141">
        <v>-41867</v>
      </c>
      <c r="CJ240" s="141">
        <v>0</v>
      </c>
      <c r="CK240" s="141">
        <v>-41867</v>
      </c>
      <c r="CL240" s="141">
        <v>0</v>
      </c>
      <c r="CM240" s="141">
        <v>-122010</v>
      </c>
      <c r="CN240" s="141">
        <v>-122010</v>
      </c>
      <c r="CO240" s="141">
        <v>-122010</v>
      </c>
      <c r="CP240" s="141">
        <v>0</v>
      </c>
      <c r="CQ240" s="141">
        <v>-242819</v>
      </c>
      <c r="CR240" s="141">
        <v>-122010</v>
      </c>
      <c r="CS240" s="141">
        <v>0</v>
      </c>
      <c r="CT240" s="141">
        <v>0</v>
      </c>
      <c r="CU240" s="141">
        <v>-242819</v>
      </c>
      <c r="CV240" s="141">
        <v>-122010</v>
      </c>
      <c r="CW240" s="141">
        <v>-364829</v>
      </c>
      <c r="CX240" s="141">
        <v>-46538</v>
      </c>
      <c r="CY240" s="141">
        <v>0</v>
      </c>
      <c r="CZ240" s="141">
        <v>-46538</v>
      </c>
      <c r="DA240" s="141">
        <v>-1500</v>
      </c>
      <c r="DB240" s="141">
        <v>0</v>
      </c>
      <c r="DC240" s="141">
        <v>-1500</v>
      </c>
      <c r="DD240" s="141">
        <v>-39838</v>
      </c>
      <c r="DE240" s="141">
        <v>0</v>
      </c>
      <c r="DF240" s="141">
        <v>-39838</v>
      </c>
      <c r="DG240" s="141">
        <v>-99000</v>
      </c>
      <c r="DH240" s="141">
        <v>0</v>
      </c>
      <c r="DI240" s="141">
        <v>-99000</v>
      </c>
      <c r="DJ240" s="141">
        <v>0</v>
      </c>
      <c r="DK240" s="141">
        <v>0</v>
      </c>
      <c r="DL240" s="141">
        <v>0</v>
      </c>
      <c r="DM240" s="141">
        <v>-605805</v>
      </c>
      <c r="DN240" s="141">
        <v>0</v>
      </c>
      <c r="DO240" s="141">
        <v>-605805</v>
      </c>
      <c r="DP240" s="141">
        <v>-792681</v>
      </c>
      <c r="DQ240" s="141">
        <v>0</v>
      </c>
      <c r="DR240" s="141">
        <v>0</v>
      </c>
      <c r="DS240" s="141">
        <v>0</v>
      </c>
      <c r="DT240" s="141">
        <v>-792681</v>
      </c>
      <c r="DU240" s="141">
        <v>0</v>
      </c>
      <c r="DV240" s="141">
        <v>-792681</v>
      </c>
      <c r="DW240" s="856">
        <v>90436760</v>
      </c>
      <c r="DX240" s="856">
        <v>811125</v>
      </c>
      <c r="DY240" s="857">
        <v>91247885</v>
      </c>
      <c r="DZ240" t="s">
        <v>1806</v>
      </c>
    </row>
    <row r="241" spans="1:130" ht="12.75" x14ac:dyDescent="0.2">
      <c r="A241" s="764">
        <v>234</v>
      </c>
      <c r="B241" s="765" t="s">
        <v>357</v>
      </c>
      <c r="C241" s="766" t="s">
        <v>1217</v>
      </c>
      <c r="D241" s="767" t="s">
        <v>1220</v>
      </c>
      <c r="E241" s="768" t="s">
        <v>356</v>
      </c>
      <c r="F241" s="867">
        <v>43453</v>
      </c>
      <c r="G241" s="141">
        <v>65783824</v>
      </c>
      <c r="H241" s="141">
        <v>0</v>
      </c>
      <c r="I241" s="141">
        <v>65783824</v>
      </c>
      <c r="J241" s="141">
        <v>49.1</v>
      </c>
      <c r="K241" s="141">
        <v>32299858</v>
      </c>
      <c r="L241" s="141">
        <v>0</v>
      </c>
      <c r="M241" s="141">
        <v>185000</v>
      </c>
      <c r="N241" s="141">
        <v>0</v>
      </c>
      <c r="O241" s="141">
        <v>32484858</v>
      </c>
      <c r="P241" s="141">
        <v>0</v>
      </c>
      <c r="Q241" s="141">
        <v>32484858</v>
      </c>
      <c r="R241" s="141">
        <v>-748562</v>
      </c>
      <c r="S241" s="141">
        <v>0</v>
      </c>
      <c r="T241" s="141">
        <v>-748562</v>
      </c>
      <c r="U241" s="141">
        <v>43096</v>
      </c>
      <c r="V241" s="141">
        <v>0</v>
      </c>
      <c r="W241" s="141">
        <v>43096</v>
      </c>
      <c r="X241" s="141">
        <v>-705466</v>
      </c>
      <c r="Y241" s="141">
        <v>0</v>
      </c>
      <c r="Z241" s="141">
        <v>0</v>
      </c>
      <c r="AA241" s="141">
        <v>0</v>
      </c>
      <c r="AB241" s="141">
        <v>-705466</v>
      </c>
      <c r="AC241" s="141">
        <v>0</v>
      </c>
      <c r="AD241" s="141">
        <v>-705466</v>
      </c>
      <c r="AE241" s="141">
        <v>705466</v>
      </c>
      <c r="AF241" s="141">
        <v>0</v>
      </c>
      <c r="AG241" s="141">
        <v>705466</v>
      </c>
      <c r="AH241" s="141">
        <v>-2455053</v>
      </c>
      <c r="AI241" s="141">
        <v>0</v>
      </c>
      <c r="AJ241" s="141">
        <v>-2455053</v>
      </c>
      <c r="AK241" s="141">
        <v>-12078</v>
      </c>
      <c r="AL241" s="141">
        <v>0</v>
      </c>
      <c r="AM241" s="141">
        <v>-12078</v>
      </c>
      <c r="AN241" s="141">
        <v>617374</v>
      </c>
      <c r="AO241" s="141">
        <v>0</v>
      </c>
      <c r="AP241" s="141">
        <v>617374</v>
      </c>
      <c r="AQ241" s="141">
        <v>-1837679</v>
      </c>
      <c r="AR241" s="141">
        <v>0</v>
      </c>
      <c r="AS241" s="141">
        <v>-1837679</v>
      </c>
      <c r="AT241" s="141">
        <v>-1468115</v>
      </c>
      <c r="AU241" s="141">
        <v>0</v>
      </c>
      <c r="AV241" s="141">
        <v>-1468115</v>
      </c>
      <c r="AW241" s="141">
        <v>-35492</v>
      </c>
      <c r="AX241" s="141">
        <v>0</v>
      </c>
      <c r="AY241" s="141">
        <v>-35492</v>
      </c>
      <c r="AZ241" s="141">
        <v>-23659</v>
      </c>
      <c r="BA241" s="141">
        <v>0</v>
      </c>
      <c r="BB241" s="141">
        <v>-23659</v>
      </c>
      <c r="BC241" s="141">
        <v>-3364945</v>
      </c>
      <c r="BD241" s="141">
        <v>0</v>
      </c>
      <c r="BE241" s="141">
        <v>0</v>
      </c>
      <c r="BF241" s="141">
        <v>0</v>
      </c>
      <c r="BG241" s="141">
        <v>-3364945</v>
      </c>
      <c r="BH241" s="141">
        <v>0</v>
      </c>
      <c r="BI241" s="141">
        <v>-3364945</v>
      </c>
      <c r="BJ241" s="141">
        <v>-250000</v>
      </c>
      <c r="BK241" s="141">
        <v>0</v>
      </c>
      <c r="BL241" s="141">
        <v>-250000</v>
      </c>
      <c r="BM241" s="141">
        <v>-357810</v>
      </c>
      <c r="BN241" s="141">
        <v>0</v>
      </c>
      <c r="BO241" s="141">
        <v>-357810</v>
      </c>
      <c r="BP241" s="141">
        <v>-607810</v>
      </c>
      <c r="BQ241" s="141">
        <v>0</v>
      </c>
      <c r="BR241" s="141">
        <v>0</v>
      </c>
      <c r="BS241" s="141">
        <v>0</v>
      </c>
      <c r="BT241" s="141">
        <v>-607810</v>
      </c>
      <c r="BU241" s="141">
        <v>0</v>
      </c>
      <c r="BV241" s="141">
        <v>-607810</v>
      </c>
      <c r="BW241" s="141">
        <v>-47076</v>
      </c>
      <c r="BX241" s="141">
        <v>0</v>
      </c>
      <c r="BY241" s="141">
        <v>-47076</v>
      </c>
      <c r="BZ241" s="141">
        <v>-25777</v>
      </c>
      <c r="CA241" s="141">
        <v>0</v>
      </c>
      <c r="CB241" s="141">
        <v>-25777</v>
      </c>
      <c r="CC241" s="141">
        <v>0</v>
      </c>
      <c r="CD241" s="141">
        <v>0</v>
      </c>
      <c r="CE241" s="141">
        <v>0</v>
      </c>
      <c r="CF241" s="141">
        <v>0</v>
      </c>
      <c r="CG241" s="141">
        <v>0</v>
      </c>
      <c r="CH241" s="141">
        <v>0</v>
      </c>
      <c r="CI241" s="141">
        <v>0</v>
      </c>
      <c r="CJ241" s="141">
        <v>0</v>
      </c>
      <c r="CK241" s="141">
        <v>0</v>
      </c>
      <c r="CL241" s="141">
        <v>0</v>
      </c>
      <c r="CM241" s="141">
        <v>0</v>
      </c>
      <c r="CN241" s="141">
        <v>0</v>
      </c>
      <c r="CO241" s="141">
        <v>0</v>
      </c>
      <c r="CP241" s="141">
        <v>0</v>
      </c>
      <c r="CQ241" s="141">
        <v>-72853</v>
      </c>
      <c r="CR241" s="141">
        <v>0</v>
      </c>
      <c r="CS241" s="141">
        <v>0</v>
      </c>
      <c r="CT241" s="141">
        <v>0</v>
      </c>
      <c r="CU241" s="141">
        <v>-72853</v>
      </c>
      <c r="CV241" s="141">
        <v>0</v>
      </c>
      <c r="CW241" s="141">
        <v>-72853</v>
      </c>
      <c r="CX241" s="141">
        <v>-26566</v>
      </c>
      <c r="CY241" s="141">
        <v>0</v>
      </c>
      <c r="CZ241" s="141">
        <v>-26566</v>
      </c>
      <c r="DA241" s="141">
        <v>0</v>
      </c>
      <c r="DB241" s="141">
        <v>0</v>
      </c>
      <c r="DC241" s="141">
        <v>0</v>
      </c>
      <c r="DD241" s="141">
        <v>-47524</v>
      </c>
      <c r="DE241" s="141">
        <v>0</v>
      </c>
      <c r="DF241" s="141">
        <v>-47524</v>
      </c>
      <c r="DG241" s="141">
        <v>-37000</v>
      </c>
      <c r="DH241" s="141">
        <v>0</v>
      </c>
      <c r="DI241" s="141">
        <v>-37000</v>
      </c>
      <c r="DJ241" s="141">
        <v>0</v>
      </c>
      <c r="DK241" s="141">
        <v>0</v>
      </c>
      <c r="DL241" s="141">
        <v>0</v>
      </c>
      <c r="DM241" s="141">
        <v>-552834</v>
      </c>
      <c r="DN241" s="141">
        <v>0</v>
      </c>
      <c r="DO241" s="141">
        <v>-552834</v>
      </c>
      <c r="DP241" s="141">
        <v>-663924</v>
      </c>
      <c r="DQ241" s="141">
        <v>0</v>
      </c>
      <c r="DR241" s="141">
        <v>0</v>
      </c>
      <c r="DS241" s="141">
        <v>0</v>
      </c>
      <c r="DT241" s="141">
        <v>-663924</v>
      </c>
      <c r="DU241" s="141">
        <v>0</v>
      </c>
      <c r="DV241" s="141">
        <v>-663924</v>
      </c>
      <c r="DW241" s="856">
        <v>27069860</v>
      </c>
      <c r="DX241" s="856">
        <v>0</v>
      </c>
      <c r="DY241" s="857">
        <v>27069860</v>
      </c>
      <c r="DZ241" t="s">
        <v>1807</v>
      </c>
    </row>
    <row r="242" spans="1:130" ht="12.75" x14ac:dyDescent="0.2">
      <c r="A242" s="764">
        <v>235</v>
      </c>
      <c r="B242" s="765" t="s">
        <v>359</v>
      </c>
      <c r="C242" s="766" t="s">
        <v>529</v>
      </c>
      <c r="D242" s="767" t="s">
        <v>1226</v>
      </c>
      <c r="E242" s="768" t="s">
        <v>532</v>
      </c>
      <c r="F242" s="867">
        <v>43465</v>
      </c>
      <c r="G242" s="141">
        <v>321152855</v>
      </c>
      <c r="H242" s="141">
        <v>29760073</v>
      </c>
      <c r="I242" s="141">
        <v>350912928</v>
      </c>
      <c r="J242" s="141">
        <v>49.1</v>
      </c>
      <c r="K242" s="141">
        <v>157686052</v>
      </c>
      <c r="L242" s="141">
        <v>14612196</v>
      </c>
      <c r="M242" s="141">
        <v>0</v>
      </c>
      <c r="N242" s="141">
        <v>999406</v>
      </c>
      <c r="O242" s="141">
        <v>157686052</v>
      </c>
      <c r="P242" s="141">
        <v>15611602</v>
      </c>
      <c r="Q242" s="141">
        <v>173297654</v>
      </c>
      <c r="R242" s="141">
        <v>-1031448</v>
      </c>
      <c r="S242" s="141">
        <v>-8128</v>
      </c>
      <c r="T242" s="141">
        <v>-1039576</v>
      </c>
      <c r="U242" s="141">
        <v>2669282</v>
      </c>
      <c r="V242" s="141">
        <v>49760</v>
      </c>
      <c r="W242" s="141">
        <v>2719042</v>
      </c>
      <c r="X242" s="141">
        <v>1637834</v>
      </c>
      <c r="Y242" s="141">
        <v>41632</v>
      </c>
      <c r="Z242" s="141">
        <v>0</v>
      </c>
      <c r="AA242" s="141">
        <v>0</v>
      </c>
      <c r="AB242" s="141">
        <v>1637834</v>
      </c>
      <c r="AC242" s="141">
        <v>41632</v>
      </c>
      <c r="AD242" s="141">
        <v>1679466</v>
      </c>
      <c r="AE242" s="141">
        <v>-1637834</v>
      </c>
      <c r="AF242" s="141">
        <v>-41632</v>
      </c>
      <c r="AG242" s="141">
        <v>-1679466</v>
      </c>
      <c r="AH242" s="141">
        <v>-6418360</v>
      </c>
      <c r="AI242" s="141">
        <v>-14257</v>
      </c>
      <c r="AJ242" s="141">
        <v>-6432617</v>
      </c>
      <c r="AK242" s="141">
        <v>-21090</v>
      </c>
      <c r="AL242" s="141">
        <v>0</v>
      </c>
      <c r="AM242" s="141">
        <v>-21090</v>
      </c>
      <c r="AN242" s="141">
        <v>3437420</v>
      </c>
      <c r="AO242" s="141">
        <v>382390</v>
      </c>
      <c r="AP242" s="141">
        <v>3819810</v>
      </c>
      <c r="AQ242" s="141">
        <v>-2980940</v>
      </c>
      <c r="AR242" s="141">
        <v>368133</v>
      </c>
      <c r="AS242" s="141">
        <v>-2612807</v>
      </c>
      <c r="AT242" s="141">
        <v>-9866781</v>
      </c>
      <c r="AU242" s="141">
        <v>-112896</v>
      </c>
      <c r="AV242" s="141">
        <v>-9979677</v>
      </c>
      <c r="AW242" s="141">
        <v>-83624</v>
      </c>
      <c r="AX242" s="141">
        <v>0</v>
      </c>
      <c r="AY242" s="141">
        <v>-83624</v>
      </c>
      <c r="AZ242" s="141">
        <v>-21118</v>
      </c>
      <c r="BA242" s="141">
        <v>0</v>
      </c>
      <c r="BB242" s="141">
        <v>-21118</v>
      </c>
      <c r="BC242" s="141">
        <v>-12952463</v>
      </c>
      <c r="BD242" s="141">
        <v>255237</v>
      </c>
      <c r="BE242" s="141">
        <v>0</v>
      </c>
      <c r="BF242" s="141">
        <v>0</v>
      </c>
      <c r="BG242" s="141">
        <v>-12952463</v>
      </c>
      <c r="BH242" s="141">
        <v>255237</v>
      </c>
      <c r="BI242" s="141">
        <v>-12697226</v>
      </c>
      <c r="BJ242" s="141">
        <v>0</v>
      </c>
      <c r="BK242" s="141">
        <v>0</v>
      </c>
      <c r="BL242" s="141">
        <v>0</v>
      </c>
      <c r="BM242" s="141">
        <v>-3644436</v>
      </c>
      <c r="BN242" s="141">
        <v>-118692</v>
      </c>
      <c r="BO242" s="141">
        <v>-3763128</v>
      </c>
      <c r="BP242" s="141">
        <v>-3644436</v>
      </c>
      <c r="BQ242" s="141">
        <v>-118692</v>
      </c>
      <c r="BR242" s="141">
        <v>-2700000</v>
      </c>
      <c r="BS242" s="141">
        <v>-300000</v>
      </c>
      <c r="BT242" s="141">
        <v>-6344436</v>
      </c>
      <c r="BU242" s="141">
        <v>-418692</v>
      </c>
      <c r="BV242" s="141">
        <v>-6763128</v>
      </c>
      <c r="BW242" s="141">
        <v>-83056</v>
      </c>
      <c r="BX242" s="141">
        <v>0</v>
      </c>
      <c r="BY242" s="141">
        <v>-83056</v>
      </c>
      <c r="BZ242" s="141">
        <v>-16377</v>
      </c>
      <c r="CA242" s="141">
        <v>0</v>
      </c>
      <c r="CB242" s="141">
        <v>-16377</v>
      </c>
      <c r="CC242" s="141">
        <v>0</v>
      </c>
      <c r="CD242" s="141">
        <v>0</v>
      </c>
      <c r="CE242" s="141">
        <v>0</v>
      </c>
      <c r="CF242" s="141">
        <v>-18775</v>
      </c>
      <c r="CG242" s="141">
        <v>0</v>
      </c>
      <c r="CH242" s="141">
        <v>-18775</v>
      </c>
      <c r="CI242" s="141">
        <v>-19480</v>
      </c>
      <c r="CJ242" s="141">
        <v>0</v>
      </c>
      <c r="CK242" s="141">
        <v>-19480</v>
      </c>
      <c r="CL242" s="141">
        <v>0</v>
      </c>
      <c r="CM242" s="141">
        <v>0</v>
      </c>
      <c r="CN242" s="141">
        <v>0</v>
      </c>
      <c r="CO242" s="141">
        <v>0</v>
      </c>
      <c r="CP242" s="141">
        <v>0</v>
      </c>
      <c r="CQ242" s="141">
        <v>-137688</v>
      </c>
      <c r="CR242" s="141">
        <v>0</v>
      </c>
      <c r="CS242" s="141">
        <v>0</v>
      </c>
      <c r="CT242" s="141">
        <v>0</v>
      </c>
      <c r="CU242" s="141">
        <v>-137688</v>
      </c>
      <c r="CV242" s="141">
        <v>0</v>
      </c>
      <c r="CW242" s="141">
        <v>-137688</v>
      </c>
      <c r="CX242" s="141">
        <v>0</v>
      </c>
      <c r="CY242" s="141">
        <v>0</v>
      </c>
      <c r="CZ242" s="141">
        <v>0</v>
      </c>
      <c r="DA242" s="141">
        <v>0</v>
      </c>
      <c r="DB242" s="141">
        <v>0</v>
      </c>
      <c r="DC242" s="141">
        <v>0</v>
      </c>
      <c r="DD242" s="141">
        <v>-1003</v>
      </c>
      <c r="DE242" s="141">
        <v>0</v>
      </c>
      <c r="DF242" s="141">
        <v>-1003</v>
      </c>
      <c r="DG242" s="141">
        <v>0</v>
      </c>
      <c r="DH242" s="141">
        <v>0</v>
      </c>
      <c r="DI242" s="141">
        <v>0</v>
      </c>
      <c r="DJ242" s="141">
        <v>0</v>
      </c>
      <c r="DK242" s="141">
        <v>0</v>
      </c>
      <c r="DL242" s="141">
        <v>0</v>
      </c>
      <c r="DM242" s="141">
        <v>-1509740</v>
      </c>
      <c r="DN242" s="141">
        <v>-817</v>
      </c>
      <c r="DO242" s="141">
        <v>-1510557</v>
      </c>
      <c r="DP242" s="141">
        <v>-1510743</v>
      </c>
      <c r="DQ242" s="141">
        <v>-817</v>
      </c>
      <c r="DR242" s="141">
        <v>0</v>
      </c>
      <c r="DS242" s="141">
        <v>0</v>
      </c>
      <c r="DT242" s="141">
        <v>-1510743</v>
      </c>
      <c r="DU242" s="141">
        <v>-817</v>
      </c>
      <c r="DV242" s="141">
        <v>-1511560</v>
      </c>
      <c r="DW242" s="856">
        <v>138378556</v>
      </c>
      <c r="DX242" s="856">
        <v>15488962</v>
      </c>
      <c r="DY242" s="857">
        <v>153867518</v>
      </c>
      <c r="DZ242" t="s">
        <v>1808</v>
      </c>
    </row>
    <row r="243" spans="1:130" ht="12.75" x14ac:dyDescent="0.2">
      <c r="A243" s="764">
        <v>236</v>
      </c>
      <c r="B243" s="765" t="s">
        <v>361</v>
      </c>
      <c r="C243" s="766" t="s">
        <v>1217</v>
      </c>
      <c r="D243" s="767" t="s">
        <v>1226</v>
      </c>
      <c r="E243" s="768" t="s">
        <v>360</v>
      </c>
      <c r="F243" s="867">
        <v>43493</v>
      </c>
      <c r="G243" s="141">
        <v>86865943</v>
      </c>
      <c r="H243" s="141">
        <v>0</v>
      </c>
      <c r="I243" s="141">
        <v>86865943</v>
      </c>
      <c r="J243" s="141">
        <v>49.1</v>
      </c>
      <c r="K243" s="141">
        <v>42651178</v>
      </c>
      <c r="L243" s="141">
        <v>0</v>
      </c>
      <c r="M243" s="141">
        <v>0</v>
      </c>
      <c r="N243" s="141">
        <v>0</v>
      </c>
      <c r="O243" s="141">
        <v>42651178</v>
      </c>
      <c r="P243" s="141">
        <v>0</v>
      </c>
      <c r="Q243" s="141">
        <v>42651178</v>
      </c>
      <c r="R243" s="141">
        <v>-680887</v>
      </c>
      <c r="S243" s="141">
        <v>0</v>
      </c>
      <c r="T243" s="141">
        <v>-680887</v>
      </c>
      <c r="U243" s="141">
        <v>534166</v>
      </c>
      <c r="V243" s="141">
        <v>0</v>
      </c>
      <c r="W243" s="141">
        <v>534166</v>
      </c>
      <c r="X243" s="141">
        <v>-146721</v>
      </c>
      <c r="Y243" s="141">
        <v>0</v>
      </c>
      <c r="Z243" s="141">
        <v>0</v>
      </c>
      <c r="AA243" s="141">
        <v>0</v>
      </c>
      <c r="AB243" s="141">
        <v>-146721</v>
      </c>
      <c r="AC243" s="141">
        <v>0</v>
      </c>
      <c r="AD243" s="141">
        <v>-146721</v>
      </c>
      <c r="AE243" s="141">
        <v>146721</v>
      </c>
      <c r="AF243" s="141">
        <v>0</v>
      </c>
      <c r="AG243" s="141">
        <v>146721</v>
      </c>
      <c r="AH243" s="141">
        <v>-7704137</v>
      </c>
      <c r="AI243" s="141">
        <v>0</v>
      </c>
      <c r="AJ243" s="141">
        <v>-7704137</v>
      </c>
      <c r="AK243" s="141">
        <v>0</v>
      </c>
      <c r="AL243" s="141">
        <v>0</v>
      </c>
      <c r="AM243" s="141">
        <v>0</v>
      </c>
      <c r="AN243" s="141">
        <v>590293</v>
      </c>
      <c r="AO243" s="141">
        <v>0</v>
      </c>
      <c r="AP243" s="141">
        <v>590293</v>
      </c>
      <c r="AQ243" s="141">
        <v>-7113844</v>
      </c>
      <c r="AR243" s="141">
        <v>0</v>
      </c>
      <c r="AS243" s="141">
        <v>-7113844</v>
      </c>
      <c r="AT243" s="141">
        <v>-2809058</v>
      </c>
      <c r="AU243" s="141">
        <v>0</v>
      </c>
      <c r="AV243" s="141">
        <v>-2809058</v>
      </c>
      <c r="AW243" s="141">
        <v>-108619</v>
      </c>
      <c r="AX243" s="141">
        <v>0</v>
      </c>
      <c r="AY243" s="141">
        <v>-108619</v>
      </c>
      <c r="AZ243" s="141">
        <v>-40526</v>
      </c>
      <c r="BA243" s="141">
        <v>0</v>
      </c>
      <c r="BB243" s="141">
        <v>-40526</v>
      </c>
      <c r="BC243" s="141">
        <v>-10072047</v>
      </c>
      <c r="BD243" s="141">
        <v>0</v>
      </c>
      <c r="BE243" s="141">
        <v>0</v>
      </c>
      <c r="BF243" s="141">
        <v>0</v>
      </c>
      <c r="BG243" s="141">
        <v>-10072047</v>
      </c>
      <c r="BH243" s="141">
        <v>0</v>
      </c>
      <c r="BI243" s="141">
        <v>-10072047</v>
      </c>
      <c r="BJ243" s="141">
        <v>-250000</v>
      </c>
      <c r="BK243" s="141">
        <v>0</v>
      </c>
      <c r="BL243" s="141">
        <v>-250000</v>
      </c>
      <c r="BM243" s="141">
        <v>-1463021</v>
      </c>
      <c r="BN243" s="141">
        <v>0</v>
      </c>
      <c r="BO243" s="141">
        <v>-1463021</v>
      </c>
      <c r="BP243" s="141">
        <v>-1713021</v>
      </c>
      <c r="BQ243" s="141">
        <v>0</v>
      </c>
      <c r="BR243" s="141">
        <v>0</v>
      </c>
      <c r="BS243" s="141">
        <v>0</v>
      </c>
      <c r="BT243" s="141">
        <v>-1713021</v>
      </c>
      <c r="BU243" s="141">
        <v>0</v>
      </c>
      <c r="BV243" s="141">
        <v>-1713021</v>
      </c>
      <c r="BW243" s="141">
        <v>-97183</v>
      </c>
      <c r="BX243" s="141">
        <v>0</v>
      </c>
      <c r="BY243" s="141">
        <v>-97183</v>
      </c>
      <c r="BZ243" s="141">
        <v>-20000</v>
      </c>
      <c r="CA243" s="141">
        <v>0</v>
      </c>
      <c r="CB243" s="141">
        <v>-20000</v>
      </c>
      <c r="CC243" s="141">
        <v>-15441</v>
      </c>
      <c r="CD243" s="141">
        <v>0</v>
      </c>
      <c r="CE243" s="141">
        <v>-15441</v>
      </c>
      <c r="CF243" s="141">
        <v>0</v>
      </c>
      <c r="CG243" s="141">
        <v>0</v>
      </c>
      <c r="CH243" s="141">
        <v>0</v>
      </c>
      <c r="CI243" s="141">
        <v>0</v>
      </c>
      <c r="CJ243" s="141">
        <v>0</v>
      </c>
      <c r="CK243" s="141">
        <v>0</v>
      </c>
      <c r="CL243" s="141">
        <v>0</v>
      </c>
      <c r="CM243" s="141">
        <v>0</v>
      </c>
      <c r="CN243" s="141">
        <v>0</v>
      </c>
      <c r="CO243" s="141">
        <v>0</v>
      </c>
      <c r="CP243" s="141">
        <v>0</v>
      </c>
      <c r="CQ243" s="141">
        <v>-132624</v>
      </c>
      <c r="CR243" s="141">
        <v>0</v>
      </c>
      <c r="CS243" s="141">
        <v>0</v>
      </c>
      <c r="CT243" s="141">
        <v>0</v>
      </c>
      <c r="CU243" s="141">
        <v>-132624</v>
      </c>
      <c r="CV243" s="141">
        <v>0</v>
      </c>
      <c r="CW243" s="141">
        <v>-132624</v>
      </c>
      <c r="CX243" s="141">
        <v>-40526</v>
      </c>
      <c r="CY243" s="141">
        <v>0</v>
      </c>
      <c r="CZ243" s="141">
        <v>-40526</v>
      </c>
      <c r="DA243" s="141">
        <v>-6000</v>
      </c>
      <c r="DB243" s="141">
        <v>0</v>
      </c>
      <c r="DC243" s="141">
        <v>-6000</v>
      </c>
      <c r="DD243" s="141">
        <v>-32935</v>
      </c>
      <c r="DE243" s="141">
        <v>0</v>
      </c>
      <c r="DF243" s="141">
        <v>-32935</v>
      </c>
      <c r="DG243" s="141">
        <v>-61374</v>
      </c>
      <c r="DH243" s="141">
        <v>0</v>
      </c>
      <c r="DI243" s="141">
        <v>-61374</v>
      </c>
      <c r="DJ243" s="141">
        <v>0</v>
      </c>
      <c r="DK243" s="141">
        <v>0</v>
      </c>
      <c r="DL243" s="141">
        <v>0</v>
      </c>
      <c r="DM243" s="141">
        <v>-1185195</v>
      </c>
      <c r="DN243" s="141">
        <v>0</v>
      </c>
      <c r="DO243" s="141">
        <v>-1185195</v>
      </c>
      <c r="DP243" s="141">
        <v>-1326030</v>
      </c>
      <c r="DQ243" s="141">
        <v>0</v>
      </c>
      <c r="DR243" s="141">
        <v>0</v>
      </c>
      <c r="DS243" s="141">
        <v>0</v>
      </c>
      <c r="DT243" s="141">
        <v>-1326030</v>
      </c>
      <c r="DU243" s="141">
        <v>0</v>
      </c>
      <c r="DV243" s="141">
        <v>-1326030</v>
      </c>
      <c r="DW243" s="856">
        <v>29260735</v>
      </c>
      <c r="DX243" s="856">
        <v>0</v>
      </c>
      <c r="DY243" s="857">
        <v>29260735</v>
      </c>
      <c r="DZ243" t="s">
        <v>1809</v>
      </c>
    </row>
    <row r="244" spans="1:130" ht="12.75" x14ac:dyDescent="0.2">
      <c r="A244" s="764">
        <v>237</v>
      </c>
      <c r="B244" s="765" t="s">
        <v>363</v>
      </c>
      <c r="C244" s="766" t="s">
        <v>1217</v>
      </c>
      <c r="D244" s="767" t="s">
        <v>1220</v>
      </c>
      <c r="E244" s="768" t="s">
        <v>362</v>
      </c>
      <c r="F244" s="867">
        <v>43460</v>
      </c>
      <c r="G244" s="141">
        <v>60349162</v>
      </c>
      <c r="H244" s="141">
        <v>0</v>
      </c>
      <c r="I244" s="141">
        <v>60349162</v>
      </c>
      <c r="J244" s="141">
        <v>49.1</v>
      </c>
      <c r="K244" s="141">
        <v>29631439</v>
      </c>
      <c r="L244" s="141">
        <v>0</v>
      </c>
      <c r="M244" s="141">
        <v>148157</v>
      </c>
      <c r="N244" s="141">
        <v>0</v>
      </c>
      <c r="O244" s="141">
        <v>29779596</v>
      </c>
      <c r="P244" s="141">
        <v>0</v>
      </c>
      <c r="Q244" s="141">
        <v>29779596</v>
      </c>
      <c r="R244" s="141">
        <v>-488114</v>
      </c>
      <c r="S244" s="141">
        <v>0</v>
      </c>
      <c r="T244" s="141">
        <v>-488114</v>
      </c>
      <c r="U244" s="141">
        <v>2485407</v>
      </c>
      <c r="V244" s="141">
        <v>0</v>
      </c>
      <c r="W244" s="141">
        <v>2485407</v>
      </c>
      <c r="X244" s="141">
        <v>1997293</v>
      </c>
      <c r="Y244" s="141">
        <v>0</v>
      </c>
      <c r="Z244" s="141">
        <v>0</v>
      </c>
      <c r="AA244" s="141">
        <v>0</v>
      </c>
      <c r="AB244" s="141">
        <v>1997293</v>
      </c>
      <c r="AC244" s="141">
        <v>0</v>
      </c>
      <c r="AD244" s="141">
        <v>1997293</v>
      </c>
      <c r="AE244" s="141">
        <v>-1997293</v>
      </c>
      <c r="AF244" s="141">
        <v>0</v>
      </c>
      <c r="AG244" s="141">
        <v>-1997293</v>
      </c>
      <c r="AH244" s="141">
        <v>-2672444</v>
      </c>
      <c r="AI244" s="141">
        <v>0</v>
      </c>
      <c r="AJ244" s="141">
        <v>-2672444</v>
      </c>
      <c r="AK244" s="141">
        <v>0</v>
      </c>
      <c r="AL244" s="141">
        <v>0</v>
      </c>
      <c r="AM244" s="141">
        <v>0</v>
      </c>
      <c r="AN244" s="141">
        <v>520182</v>
      </c>
      <c r="AO244" s="141">
        <v>0</v>
      </c>
      <c r="AP244" s="141">
        <v>520182</v>
      </c>
      <c r="AQ244" s="141">
        <v>-2152262</v>
      </c>
      <c r="AR244" s="141">
        <v>0</v>
      </c>
      <c r="AS244" s="141">
        <v>-2152262</v>
      </c>
      <c r="AT244" s="141">
        <v>-1356465</v>
      </c>
      <c r="AU244" s="141">
        <v>0</v>
      </c>
      <c r="AV244" s="141">
        <v>-1356465</v>
      </c>
      <c r="AW244" s="141">
        <v>-57321</v>
      </c>
      <c r="AX244" s="141">
        <v>0</v>
      </c>
      <c r="AY244" s="141">
        <v>-57321</v>
      </c>
      <c r="AZ244" s="141">
        <v>-30071</v>
      </c>
      <c r="BA244" s="141">
        <v>0</v>
      </c>
      <c r="BB244" s="141">
        <v>-30071</v>
      </c>
      <c r="BC244" s="141">
        <v>-3596119</v>
      </c>
      <c r="BD244" s="141">
        <v>0</v>
      </c>
      <c r="BE244" s="141">
        <v>0</v>
      </c>
      <c r="BF244" s="141">
        <v>0</v>
      </c>
      <c r="BG244" s="141">
        <v>-3596119</v>
      </c>
      <c r="BH244" s="141">
        <v>0</v>
      </c>
      <c r="BI244" s="141">
        <v>-3596119</v>
      </c>
      <c r="BJ244" s="141">
        <v>0</v>
      </c>
      <c r="BK244" s="141">
        <v>0</v>
      </c>
      <c r="BL244" s="141">
        <v>0</v>
      </c>
      <c r="BM244" s="141">
        <v>-130872</v>
      </c>
      <c r="BN244" s="141">
        <v>0</v>
      </c>
      <c r="BO244" s="141">
        <v>-130872</v>
      </c>
      <c r="BP244" s="141">
        <v>-130872</v>
      </c>
      <c r="BQ244" s="141">
        <v>0</v>
      </c>
      <c r="BR244" s="141">
        <v>0</v>
      </c>
      <c r="BS244" s="141">
        <v>0</v>
      </c>
      <c r="BT244" s="141">
        <v>-130872</v>
      </c>
      <c r="BU244" s="141">
        <v>0</v>
      </c>
      <c r="BV244" s="141">
        <v>-130872</v>
      </c>
      <c r="BW244" s="141">
        <v>-87572</v>
      </c>
      <c r="BX244" s="141">
        <v>0</v>
      </c>
      <c r="BY244" s="141">
        <v>-87572</v>
      </c>
      <c r="BZ244" s="141">
        <v>-43908</v>
      </c>
      <c r="CA244" s="141">
        <v>0</v>
      </c>
      <c r="CB244" s="141">
        <v>-43908</v>
      </c>
      <c r="CC244" s="141">
        <v>-6909</v>
      </c>
      <c r="CD244" s="141">
        <v>0</v>
      </c>
      <c r="CE244" s="141">
        <v>-6909</v>
      </c>
      <c r="CF244" s="141">
        <v>0</v>
      </c>
      <c r="CG244" s="141">
        <v>0</v>
      </c>
      <c r="CH244" s="141">
        <v>0</v>
      </c>
      <c r="CI244" s="141">
        <v>0</v>
      </c>
      <c r="CJ244" s="141">
        <v>0</v>
      </c>
      <c r="CK244" s="141">
        <v>0</v>
      </c>
      <c r="CL244" s="141">
        <v>0</v>
      </c>
      <c r="CM244" s="141">
        <v>0</v>
      </c>
      <c r="CN244" s="141">
        <v>0</v>
      </c>
      <c r="CO244" s="141">
        <v>0</v>
      </c>
      <c r="CP244" s="141">
        <v>0</v>
      </c>
      <c r="CQ244" s="141">
        <v>-138389</v>
      </c>
      <c r="CR244" s="141">
        <v>0</v>
      </c>
      <c r="CS244" s="141">
        <v>0</v>
      </c>
      <c r="CT244" s="141">
        <v>0</v>
      </c>
      <c r="CU244" s="141">
        <v>-138389</v>
      </c>
      <c r="CV244" s="141">
        <v>0</v>
      </c>
      <c r="CW244" s="141">
        <v>-138389</v>
      </c>
      <c r="CX244" s="141">
        <v>-29381</v>
      </c>
      <c r="CY244" s="141">
        <v>0</v>
      </c>
      <c r="CZ244" s="141">
        <v>-29381</v>
      </c>
      <c r="DA244" s="141">
        <v>0</v>
      </c>
      <c r="DB244" s="141">
        <v>0</v>
      </c>
      <c r="DC244" s="141">
        <v>0</v>
      </c>
      <c r="DD244" s="141">
        <v>-32259</v>
      </c>
      <c r="DE244" s="141">
        <v>0</v>
      </c>
      <c r="DF244" s="141">
        <v>-32259</v>
      </c>
      <c r="DG244" s="141">
        <v>-34000</v>
      </c>
      <c r="DH244" s="141">
        <v>0</v>
      </c>
      <c r="DI244" s="141">
        <v>-34000</v>
      </c>
      <c r="DJ244" s="141">
        <v>0</v>
      </c>
      <c r="DK244" s="141">
        <v>0</v>
      </c>
      <c r="DL244" s="141">
        <v>0</v>
      </c>
      <c r="DM244" s="141">
        <v>-349687</v>
      </c>
      <c r="DN244" s="141">
        <v>0</v>
      </c>
      <c r="DO244" s="141">
        <v>-349687</v>
      </c>
      <c r="DP244" s="141">
        <v>-445327</v>
      </c>
      <c r="DQ244" s="141">
        <v>0</v>
      </c>
      <c r="DR244" s="141">
        <v>0</v>
      </c>
      <c r="DS244" s="141">
        <v>0</v>
      </c>
      <c r="DT244" s="141">
        <v>-445327</v>
      </c>
      <c r="DU244" s="141">
        <v>0</v>
      </c>
      <c r="DV244" s="141">
        <v>-445327</v>
      </c>
      <c r="DW244" s="856">
        <v>27466182</v>
      </c>
      <c r="DX244" s="856">
        <v>0</v>
      </c>
      <c r="DY244" s="857">
        <v>27466182</v>
      </c>
      <c r="DZ244" t="s">
        <v>1810</v>
      </c>
    </row>
    <row r="245" spans="1:130" ht="12.75" x14ac:dyDescent="0.2">
      <c r="A245" s="764">
        <v>238</v>
      </c>
      <c r="B245" s="765" t="s">
        <v>365</v>
      </c>
      <c r="C245" s="766" t="s">
        <v>1217</v>
      </c>
      <c r="D245" s="767" t="s">
        <v>1220</v>
      </c>
      <c r="E245" s="768" t="s">
        <v>364</v>
      </c>
      <c r="F245" s="867">
        <v>43468</v>
      </c>
      <c r="G245" s="141">
        <v>109543777</v>
      </c>
      <c r="H245" s="141">
        <v>0</v>
      </c>
      <c r="I245" s="141">
        <v>109543777</v>
      </c>
      <c r="J245" s="141">
        <v>49.1</v>
      </c>
      <c r="K245" s="141">
        <v>53785995</v>
      </c>
      <c r="L245" s="141">
        <v>0</v>
      </c>
      <c r="M245" s="141">
        <v>0</v>
      </c>
      <c r="N245" s="141">
        <v>0</v>
      </c>
      <c r="O245" s="141">
        <v>53785995</v>
      </c>
      <c r="P245" s="141">
        <v>0</v>
      </c>
      <c r="Q245" s="141">
        <v>53785995</v>
      </c>
      <c r="R245" s="141">
        <v>-486859</v>
      </c>
      <c r="S245" s="141">
        <v>0</v>
      </c>
      <c r="T245" s="141">
        <v>-486859</v>
      </c>
      <c r="U245" s="141">
        <v>345519</v>
      </c>
      <c r="V245" s="141">
        <v>0</v>
      </c>
      <c r="W245" s="141">
        <v>345519</v>
      </c>
      <c r="X245" s="141">
        <v>-141340</v>
      </c>
      <c r="Y245" s="141">
        <v>0</v>
      </c>
      <c r="Z245" s="141">
        <v>0</v>
      </c>
      <c r="AA245" s="141">
        <v>0</v>
      </c>
      <c r="AB245" s="141">
        <v>-141340</v>
      </c>
      <c r="AC245" s="141">
        <v>0</v>
      </c>
      <c r="AD245" s="141">
        <v>-141340</v>
      </c>
      <c r="AE245" s="141">
        <v>141340</v>
      </c>
      <c r="AF245" s="141">
        <v>0</v>
      </c>
      <c r="AG245" s="141">
        <v>141340</v>
      </c>
      <c r="AH245" s="141">
        <v>-4832001</v>
      </c>
      <c r="AI245" s="141">
        <v>0</v>
      </c>
      <c r="AJ245" s="141">
        <v>-4832001</v>
      </c>
      <c r="AK245" s="141">
        <v>0</v>
      </c>
      <c r="AL245" s="141">
        <v>0</v>
      </c>
      <c r="AM245" s="141">
        <v>0</v>
      </c>
      <c r="AN245" s="141">
        <v>904703</v>
      </c>
      <c r="AO245" s="141">
        <v>0</v>
      </c>
      <c r="AP245" s="141">
        <v>904703</v>
      </c>
      <c r="AQ245" s="141">
        <v>-3927298</v>
      </c>
      <c r="AR245" s="141">
        <v>0</v>
      </c>
      <c r="AS245" s="141">
        <v>-3927298</v>
      </c>
      <c r="AT245" s="141">
        <v>-4015647</v>
      </c>
      <c r="AU245" s="141">
        <v>0</v>
      </c>
      <c r="AV245" s="141">
        <v>-4015647</v>
      </c>
      <c r="AW245" s="141">
        <v>-117799</v>
      </c>
      <c r="AX245" s="141">
        <v>0</v>
      </c>
      <c r="AY245" s="141">
        <v>-117799</v>
      </c>
      <c r="AZ245" s="141">
        <v>-46834</v>
      </c>
      <c r="BA245" s="141">
        <v>0</v>
      </c>
      <c r="BB245" s="141">
        <v>-46834</v>
      </c>
      <c r="BC245" s="141">
        <v>-8107578</v>
      </c>
      <c r="BD245" s="141">
        <v>0</v>
      </c>
      <c r="BE245" s="141">
        <v>0</v>
      </c>
      <c r="BF245" s="141">
        <v>0</v>
      </c>
      <c r="BG245" s="141">
        <v>-8107578</v>
      </c>
      <c r="BH245" s="141">
        <v>0</v>
      </c>
      <c r="BI245" s="141">
        <v>-8107578</v>
      </c>
      <c r="BJ245" s="141">
        <v>-100000</v>
      </c>
      <c r="BK245" s="141">
        <v>0</v>
      </c>
      <c r="BL245" s="141">
        <v>-100000</v>
      </c>
      <c r="BM245" s="141">
        <v>-967761</v>
      </c>
      <c r="BN245" s="141">
        <v>0</v>
      </c>
      <c r="BO245" s="141">
        <v>-967761</v>
      </c>
      <c r="BP245" s="141">
        <v>-1067761</v>
      </c>
      <c r="BQ245" s="141">
        <v>0</v>
      </c>
      <c r="BR245" s="141">
        <v>0</v>
      </c>
      <c r="BS245" s="141">
        <v>0</v>
      </c>
      <c r="BT245" s="141">
        <v>-1067761</v>
      </c>
      <c r="BU245" s="141">
        <v>0</v>
      </c>
      <c r="BV245" s="141">
        <v>-1067761</v>
      </c>
      <c r="BW245" s="141">
        <v>-22608</v>
      </c>
      <c r="BX245" s="141">
        <v>0</v>
      </c>
      <c r="BY245" s="141">
        <v>-22608</v>
      </c>
      <c r="BZ245" s="141">
        <v>-2286</v>
      </c>
      <c r="CA245" s="141">
        <v>0</v>
      </c>
      <c r="CB245" s="141">
        <v>-2286</v>
      </c>
      <c r="CC245" s="141">
        <v>-1380</v>
      </c>
      <c r="CD245" s="141">
        <v>0</v>
      </c>
      <c r="CE245" s="141">
        <v>-1380</v>
      </c>
      <c r="CF245" s="141">
        <v>0</v>
      </c>
      <c r="CG245" s="141">
        <v>0</v>
      </c>
      <c r="CH245" s="141">
        <v>0</v>
      </c>
      <c r="CI245" s="141">
        <v>0</v>
      </c>
      <c r="CJ245" s="141">
        <v>0</v>
      </c>
      <c r="CK245" s="141">
        <v>0</v>
      </c>
      <c r="CL245" s="141">
        <v>0</v>
      </c>
      <c r="CM245" s="141">
        <v>0</v>
      </c>
      <c r="CN245" s="141">
        <v>0</v>
      </c>
      <c r="CO245" s="141">
        <v>0</v>
      </c>
      <c r="CP245" s="141">
        <v>0</v>
      </c>
      <c r="CQ245" s="141">
        <v>-26274</v>
      </c>
      <c r="CR245" s="141">
        <v>0</v>
      </c>
      <c r="CS245" s="141">
        <v>0</v>
      </c>
      <c r="CT245" s="141">
        <v>0</v>
      </c>
      <c r="CU245" s="141">
        <v>-26274</v>
      </c>
      <c r="CV245" s="141">
        <v>0</v>
      </c>
      <c r="CW245" s="141">
        <v>-26274</v>
      </c>
      <c r="CX245" s="141">
        <v>-39469</v>
      </c>
      <c r="CY245" s="141">
        <v>0</v>
      </c>
      <c r="CZ245" s="141">
        <v>-39469</v>
      </c>
      <c r="DA245" s="141">
        <v>-3000</v>
      </c>
      <c r="DB245" s="141">
        <v>0</v>
      </c>
      <c r="DC245" s="141">
        <v>-3000</v>
      </c>
      <c r="DD245" s="141">
        <v>-25000</v>
      </c>
      <c r="DE245" s="141">
        <v>0</v>
      </c>
      <c r="DF245" s="141">
        <v>-25000</v>
      </c>
      <c r="DG245" s="141">
        <v>-66000</v>
      </c>
      <c r="DH245" s="141">
        <v>0</v>
      </c>
      <c r="DI245" s="141">
        <v>-66000</v>
      </c>
      <c r="DJ245" s="141">
        <v>0</v>
      </c>
      <c r="DK245" s="141">
        <v>0</v>
      </c>
      <c r="DL245" s="141">
        <v>0</v>
      </c>
      <c r="DM245" s="141">
        <v>-1750000</v>
      </c>
      <c r="DN245" s="141">
        <v>0</v>
      </c>
      <c r="DO245" s="141">
        <v>-1750000</v>
      </c>
      <c r="DP245" s="141">
        <v>-1883469</v>
      </c>
      <c r="DQ245" s="141">
        <v>0</v>
      </c>
      <c r="DR245" s="141">
        <v>0</v>
      </c>
      <c r="DS245" s="141">
        <v>0</v>
      </c>
      <c r="DT245" s="141">
        <v>-1883469</v>
      </c>
      <c r="DU245" s="141">
        <v>0</v>
      </c>
      <c r="DV245" s="141">
        <v>-1883469</v>
      </c>
      <c r="DW245" s="856">
        <v>42559573</v>
      </c>
      <c r="DX245" s="856">
        <v>0</v>
      </c>
      <c r="DY245" s="857">
        <v>42559573</v>
      </c>
      <c r="DZ245" t="s">
        <v>1811</v>
      </c>
    </row>
    <row r="246" spans="1:130" ht="12.75" x14ac:dyDescent="0.2">
      <c r="A246" s="764">
        <v>239</v>
      </c>
      <c r="B246" s="765" t="s">
        <v>367</v>
      </c>
      <c r="C246" s="766" t="s">
        <v>1217</v>
      </c>
      <c r="D246" s="767" t="s">
        <v>1219</v>
      </c>
      <c r="E246" s="768" t="s">
        <v>366</v>
      </c>
      <c r="F246" s="867">
        <v>43474</v>
      </c>
      <c r="G246" s="141">
        <v>121300714</v>
      </c>
      <c r="H246" s="141">
        <v>0</v>
      </c>
      <c r="I246" s="141">
        <v>121300714</v>
      </c>
      <c r="J246" s="141">
        <v>49.1</v>
      </c>
      <c r="K246" s="141">
        <v>59558651</v>
      </c>
      <c r="L246" s="141">
        <v>0</v>
      </c>
      <c r="M246" s="141">
        <v>0</v>
      </c>
      <c r="N246" s="141">
        <v>0</v>
      </c>
      <c r="O246" s="141">
        <v>59558651</v>
      </c>
      <c r="P246" s="141">
        <v>0</v>
      </c>
      <c r="Q246" s="141">
        <v>59558651</v>
      </c>
      <c r="R246" s="141">
        <v>-1002300</v>
      </c>
      <c r="S246" s="141">
        <v>0</v>
      </c>
      <c r="T246" s="141">
        <v>-1002300</v>
      </c>
      <c r="U246" s="141">
        <v>248506</v>
      </c>
      <c r="V246" s="141">
        <v>0</v>
      </c>
      <c r="W246" s="141">
        <v>248506</v>
      </c>
      <c r="X246" s="141">
        <v>-753794</v>
      </c>
      <c r="Y246" s="141">
        <v>0</v>
      </c>
      <c r="Z246" s="141">
        <v>0</v>
      </c>
      <c r="AA246" s="141">
        <v>0</v>
      </c>
      <c r="AB246" s="141">
        <v>-753794</v>
      </c>
      <c r="AC246" s="141">
        <v>0</v>
      </c>
      <c r="AD246" s="141">
        <v>-753794</v>
      </c>
      <c r="AE246" s="141">
        <v>753794</v>
      </c>
      <c r="AF246" s="141">
        <v>0</v>
      </c>
      <c r="AG246" s="141">
        <v>753794</v>
      </c>
      <c r="AH246" s="141">
        <v>-10188143</v>
      </c>
      <c r="AI246" s="141">
        <v>0</v>
      </c>
      <c r="AJ246" s="141">
        <v>-10188143</v>
      </c>
      <c r="AK246" s="141">
        <v>0</v>
      </c>
      <c r="AL246" s="141">
        <v>0</v>
      </c>
      <c r="AM246" s="141">
        <v>0</v>
      </c>
      <c r="AN246" s="141">
        <v>792419</v>
      </c>
      <c r="AO246" s="141">
        <v>0</v>
      </c>
      <c r="AP246" s="141">
        <v>792419</v>
      </c>
      <c r="AQ246" s="141">
        <v>-9395724</v>
      </c>
      <c r="AR246" s="141">
        <v>0</v>
      </c>
      <c r="AS246" s="141">
        <v>-9395724</v>
      </c>
      <c r="AT246" s="141">
        <v>-3208078</v>
      </c>
      <c r="AU246" s="141">
        <v>0</v>
      </c>
      <c r="AV246" s="141">
        <v>-3208078</v>
      </c>
      <c r="AW246" s="141">
        <v>-115026</v>
      </c>
      <c r="AX246" s="141">
        <v>0</v>
      </c>
      <c r="AY246" s="141">
        <v>-115026</v>
      </c>
      <c r="AZ246" s="141">
        <v>-21500</v>
      </c>
      <c r="BA246" s="141">
        <v>0</v>
      </c>
      <c r="BB246" s="141">
        <v>-21500</v>
      </c>
      <c r="BC246" s="141">
        <v>-12740328</v>
      </c>
      <c r="BD246" s="141">
        <v>0</v>
      </c>
      <c r="BE246" s="141">
        <v>0</v>
      </c>
      <c r="BF246" s="141">
        <v>0</v>
      </c>
      <c r="BG246" s="141">
        <v>-12740328</v>
      </c>
      <c r="BH246" s="141">
        <v>0</v>
      </c>
      <c r="BI246" s="141">
        <v>-12740328</v>
      </c>
      <c r="BJ246" s="141">
        <v>0</v>
      </c>
      <c r="BK246" s="141">
        <v>0</v>
      </c>
      <c r="BL246" s="141">
        <v>0</v>
      </c>
      <c r="BM246" s="141">
        <v>-464514</v>
      </c>
      <c r="BN246" s="141">
        <v>0</v>
      </c>
      <c r="BO246" s="141">
        <v>-464514</v>
      </c>
      <c r="BP246" s="141">
        <v>-464514</v>
      </c>
      <c r="BQ246" s="141">
        <v>0</v>
      </c>
      <c r="BR246" s="141">
        <v>0</v>
      </c>
      <c r="BS246" s="141">
        <v>0</v>
      </c>
      <c r="BT246" s="141">
        <v>-464514</v>
      </c>
      <c r="BU246" s="141">
        <v>0</v>
      </c>
      <c r="BV246" s="141">
        <v>-464514</v>
      </c>
      <c r="BW246" s="141">
        <v>-75794</v>
      </c>
      <c r="BX246" s="141">
        <v>0</v>
      </c>
      <c r="BY246" s="141">
        <v>-75794</v>
      </c>
      <c r="BZ246" s="141">
        <v>-23507</v>
      </c>
      <c r="CA246" s="141">
        <v>0</v>
      </c>
      <c r="CB246" s="141">
        <v>-23507</v>
      </c>
      <c r="CC246" s="141">
        <v>-10705</v>
      </c>
      <c r="CD246" s="141">
        <v>0</v>
      </c>
      <c r="CE246" s="141">
        <v>-10705</v>
      </c>
      <c r="CF246" s="141">
        <v>0</v>
      </c>
      <c r="CG246" s="141">
        <v>0</v>
      </c>
      <c r="CH246" s="141">
        <v>0</v>
      </c>
      <c r="CI246" s="141">
        <v>-10193</v>
      </c>
      <c r="CJ246" s="141">
        <v>0</v>
      </c>
      <c r="CK246" s="141">
        <v>-10193</v>
      </c>
      <c r="CL246" s="141">
        <v>0</v>
      </c>
      <c r="CM246" s="141">
        <v>0</v>
      </c>
      <c r="CN246" s="141">
        <v>0</v>
      </c>
      <c r="CO246" s="141">
        <v>0</v>
      </c>
      <c r="CP246" s="141">
        <v>0</v>
      </c>
      <c r="CQ246" s="141">
        <v>-120199</v>
      </c>
      <c r="CR246" s="141">
        <v>0</v>
      </c>
      <c r="CS246" s="141">
        <v>0</v>
      </c>
      <c r="CT246" s="141">
        <v>0</v>
      </c>
      <c r="CU246" s="141">
        <v>-120199</v>
      </c>
      <c r="CV246" s="141">
        <v>0</v>
      </c>
      <c r="CW246" s="141">
        <v>-120199</v>
      </c>
      <c r="CX246" s="141">
        <v>-21500</v>
      </c>
      <c r="CY246" s="141">
        <v>0</v>
      </c>
      <c r="CZ246" s="141">
        <v>-21500</v>
      </c>
      <c r="DA246" s="141">
        <v>-1500</v>
      </c>
      <c r="DB246" s="141">
        <v>0</v>
      </c>
      <c r="DC246" s="141">
        <v>-1500</v>
      </c>
      <c r="DD246" s="141">
        <v>-42208</v>
      </c>
      <c r="DE246" s="141">
        <v>0</v>
      </c>
      <c r="DF246" s="141">
        <v>-42208</v>
      </c>
      <c r="DG246" s="141">
        <v>-63790</v>
      </c>
      <c r="DH246" s="141">
        <v>0</v>
      </c>
      <c r="DI246" s="141">
        <v>-63790</v>
      </c>
      <c r="DJ246" s="141">
        <v>0</v>
      </c>
      <c r="DK246" s="141">
        <v>0</v>
      </c>
      <c r="DL246" s="141">
        <v>0</v>
      </c>
      <c r="DM246" s="141">
        <v>-1443249</v>
      </c>
      <c r="DN246" s="141">
        <v>0</v>
      </c>
      <c r="DO246" s="141">
        <v>-1443249</v>
      </c>
      <c r="DP246" s="141">
        <v>-1572247</v>
      </c>
      <c r="DQ246" s="141">
        <v>0</v>
      </c>
      <c r="DR246" s="141">
        <v>0</v>
      </c>
      <c r="DS246" s="141">
        <v>0</v>
      </c>
      <c r="DT246" s="141">
        <v>-1572247</v>
      </c>
      <c r="DU246" s="141">
        <v>0</v>
      </c>
      <c r="DV246" s="141">
        <v>-1572247</v>
      </c>
      <c r="DW246" s="856">
        <v>43907569</v>
      </c>
      <c r="DX246" s="856">
        <v>0</v>
      </c>
      <c r="DY246" s="857">
        <v>43907569</v>
      </c>
      <c r="DZ246" t="s">
        <v>1812</v>
      </c>
    </row>
    <row r="247" spans="1:130" ht="12.75" x14ac:dyDescent="0.2">
      <c r="A247" s="764">
        <v>240</v>
      </c>
      <c r="B247" s="765" t="s">
        <v>369</v>
      </c>
      <c r="C247" s="766" t="s">
        <v>1217</v>
      </c>
      <c r="D247" s="767" t="s">
        <v>1221</v>
      </c>
      <c r="E247" s="768" t="s">
        <v>368</v>
      </c>
      <c r="F247" s="867">
        <v>43488</v>
      </c>
      <c r="G247" s="141">
        <v>85230016</v>
      </c>
      <c r="H247" s="141">
        <v>1084750</v>
      </c>
      <c r="I247" s="141">
        <v>86314766</v>
      </c>
      <c r="J247" s="141">
        <v>49.1</v>
      </c>
      <c r="K247" s="141">
        <v>41847938</v>
      </c>
      <c r="L247" s="141">
        <v>532612</v>
      </c>
      <c r="M247" s="141">
        <v>373622</v>
      </c>
      <c r="N247" s="141">
        <v>477978</v>
      </c>
      <c r="O247" s="141">
        <v>42221560</v>
      </c>
      <c r="P247" s="141">
        <v>1010590</v>
      </c>
      <c r="Q247" s="141">
        <v>43232150</v>
      </c>
      <c r="R247" s="141">
        <v>-383976</v>
      </c>
      <c r="S247" s="141">
        <v>0</v>
      </c>
      <c r="T247" s="141">
        <v>-383976</v>
      </c>
      <c r="U247" s="141">
        <v>232640</v>
      </c>
      <c r="V247" s="141">
        <v>-107.47</v>
      </c>
      <c r="W247" s="141">
        <v>232532.53</v>
      </c>
      <c r="X247" s="141">
        <v>-151336</v>
      </c>
      <c r="Y247" s="141">
        <v>-107.47</v>
      </c>
      <c r="Z247" s="141">
        <v>0</v>
      </c>
      <c r="AA247" s="141">
        <v>0</v>
      </c>
      <c r="AB247" s="141">
        <v>-151336</v>
      </c>
      <c r="AC247" s="141">
        <v>-107.47</v>
      </c>
      <c r="AD247" s="141">
        <v>-151443.47</v>
      </c>
      <c r="AE247" s="141">
        <v>151336</v>
      </c>
      <c r="AF247" s="141">
        <v>107.47</v>
      </c>
      <c r="AG247" s="141">
        <v>151443.47</v>
      </c>
      <c r="AH247" s="141">
        <v>-4601078</v>
      </c>
      <c r="AI247" s="141">
        <v>-5115</v>
      </c>
      <c r="AJ247" s="141">
        <v>-4606193</v>
      </c>
      <c r="AK247" s="141">
        <v>0</v>
      </c>
      <c r="AL247" s="141">
        <v>0</v>
      </c>
      <c r="AM247" s="141">
        <v>0</v>
      </c>
      <c r="AN247" s="141">
        <v>701596</v>
      </c>
      <c r="AO247" s="141">
        <v>13390</v>
      </c>
      <c r="AP247" s="141">
        <v>714986</v>
      </c>
      <c r="AQ247" s="141">
        <v>-3899482</v>
      </c>
      <c r="AR247" s="141">
        <v>8275</v>
      </c>
      <c r="AS247" s="141">
        <v>-3891207</v>
      </c>
      <c r="AT247" s="141">
        <v>-4338275</v>
      </c>
      <c r="AU247" s="141">
        <v>-289498</v>
      </c>
      <c r="AV247" s="141">
        <v>-4627773</v>
      </c>
      <c r="AW247" s="141">
        <v>-75646</v>
      </c>
      <c r="AX247" s="141">
        <v>0</v>
      </c>
      <c r="AY247" s="141">
        <v>-75646</v>
      </c>
      <c r="AZ247" s="141">
        <v>-77499</v>
      </c>
      <c r="BA247" s="141">
        <v>0</v>
      </c>
      <c r="BB247" s="141">
        <v>-77499</v>
      </c>
      <c r="BC247" s="141">
        <v>-8390902</v>
      </c>
      <c r="BD247" s="141">
        <v>-281223</v>
      </c>
      <c r="BE247" s="141">
        <v>-53394</v>
      </c>
      <c r="BF247" s="141">
        <v>-109894</v>
      </c>
      <c r="BG247" s="141">
        <v>-8444296</v>
      </c>
      <c r="BH247" s="141">
        <v>-391117</v>
      </c>
      <c r="BI247" s="141">
        <v>-8835413</v>
      </c>
      <c r="BJ247" s="141">
        <v>0</v>
      </c>
      <c r="BK247" s="141">
        <v>0</v>
      </c>
      <c r="BL247" s="141">
        <v>0</v>
      </c>
      <c r="BM247" s="141">
        <v>-572236</v>
      </c>
      <c r="BN247" s="141">
        <v>0</v>
      </c>
      <c r="BO247" s="141">
        <v>-572236</v>
      </c>
      <c r="BP247" s="141">
        <v>-572236</v>
      </c>
      <c r="BQ247" s="141">
        <v>0</v>
      </c>
      <c r="BR247" s="141">
        <v>-34814</v>
      </c>
      <c r="BS247" s="141">
        <v>-87273</v>
      </c>
      <c r="BT247" s="141">
        <v>-607050</v>
      </c>
      <c r="BU247" s="141">
        <v>-87273</v>
      </c>
      <c r="BV247" s="141">
        <v>-694323</v>
      </c>
      <c r="BW247" s="141">
        <v>-135685</v>
      </c>
      <c r="BX247" s="141">
        <v>0</v>
      </c>
      <c r="BY247" s="141">
        <v>-135685</v>
      </c>
      <c r="BZ247" s="141">
        <v>-130809</v>
      </c>
      <c r="CA247" s="141">
        <v>0</v>
      </c>
      <c r="CB247" s="141">
        <v>-130809</v>
      </c>
      <c r="CC247" s="141">
        <v>-4265</v>
      </c>
      <c r="CD247" s="141">
        <v>0</v>
      </c>
      <c r="CE247" s="141">
        <v>-4265</v>
      </c>
      <c r="CF247" s="141">
        <v>0</v>
      </c>
      <c r="CG247" s="141">
        <v>0</v>
      </c>
      <c r="CH247" s="141">
        <v>0</v>
      </c>
      <c r="CI247" s="141">
        <v>-12942</v>
      </c>
      <c r="CJ247" s="141">
        <v>0</v>
      </c>
      <c r="CK247" s="141">
        <v>-12942</v>
      </c>
      <c r="CL247" s="141">
        <v>-45000</v>
      </c>
      <c r="CM247" s="141">
        <v>-307443</v>
      </c>
      <c r="CN247" s="141">
        <v>-352443</v>
      </c>
      <c r="CO247" s="141">
        <v>-307443</v>
      </c>
      <c r="CP247" s="141">
        <v>0</v>
      </c>
      <c r="CQ247" s="141">
        <v>-328701</v>
      </c>
      <c r="CR247" s="141">
        <v>-307443</v>
      </c>
      <c r="CS247" s="141">
        <v>0</v>
      </c>
      <c r="CT247" s="141">
        <v>0</v>
      </c>
      <c r="CU247" s="141">
        <v>-328701</v>
      </c>
      <c r="CV247" s="141">
        <v>-307443</v>
      </c>
      <c r="CW247" s="141">
        <v>-636144</v>
      </c>
      <c r="CX247" s="141">
        <v>-77499</v>
      </c>
      <c r="CY247" s="141">
        <v>0</v>
      </c>
      <c r="CZ247" s="141">
        <v>-77499</v>
      </c>
      <c r="DA247" s="141">
        <v>-1500</v>
      </c>
      <c r="DB247" s="141">
        <v>0</v>
      </c>
      <c r="DC247" s="141">
        <v>-1500</v>
      </c>
      <c r="DD247" s="141">
        <v>-40219</v>
      </c>
      <c r="DE247" s="141">
        <v>0</v>
      </c>
      <c r="DF247" s="141">
        <v>-40219</v>
      </c>
      <c r="DG247" s="141">
        <v>-48530</v>
      </c>
      <c r="DH247" s="141">
        <v>0</v>
      </c>
      <c r="DI247" s="141">
        <v>-48530</v>
      </c>
      <c r="DJ247" s="141">
        <v>0</v>
      </c>
      <c r="DK247" s="141">
        <v>0</v>
      </c>
      <c r="DL247" s="141">
        <v>0</v>
      </c>
      <c r="DM247" s="141">
        <v>-693319</v>
      </c>
      <c r="DN247" s="141">
        <v>0</v>
      </c>
      <c r="DO247" s="141">
        <v>-693319</v>
      </c>
      <c r="DP247" s="141">
        <v>-861067</v>
      </c>
      <c r="DQ247" s="141">
        <v>0</v>
      </c>
      <c r="DR247" s="141">
        <v>0</v>
      </c>
      <c r="DS247" s="141">
        <v>0</v>
      </c>
      <c r="DT247" s="141">
        <v>-861067</v>
      </c>
      <c r="DU247" s="141">
        <v>0</v>
      </c>
      <c r="DV247" s="141">
        <v>-861067</v>
      </c>
      <c r="DW247" s="856">
        <v>31829110</v>
      </c>
      <c r="DX247" s="856">
        <v>224649.53000000003</v>
      </c>
      <c r="DY247" s="857">
        <v>32053759.530000001</v>
      </c>
      <c r="DZ247" t="s">
        <v>1813</v>
      </c>
    </row>
    <row r="248" spans="1:130" ht="12.75" x14ac:dyDescent="0.2">
      <c r="A248" s="764">
        <v>241</v>
      </c>
      <c r="B248" s="765" t="s">
        <v>371</v>
      </c>
      <c r="C248" s="766" t="s">
        <v>1217</v>
      </c>
      <c r="D248" s="767" t="s">
        <v>1220</v>
      </c>
      <c r="E248" s="768" t="s">
        <v>370</v>
      </c>
      <c r="F248" s="867">
        <v>43460</v>
      </c>
      <c r="G248" s="141">
        <v>63285206</v>
      </c>
      <c r="H248" s="141">
        <v>0</v>
      </c>
      <c r="I248" s="141">
        <v>63285206</v>
      </c>
      <c r="J248" s="141">
        <v>49.1</v>
      </c>
      <c r="K248" s="141">
        <v>31073036</v>
      </c>
      <c r="L248" s="141">
        <v>0</v>
      </c>
      <c r="M248" s="141">
        <v>-25000</v>
      </c>
      <c r="N248" s="141">
        <v>0</v>
      </c>
      <c r="O248" s="141">
        <v>31048036</v>
      </c>
      <c r="P248" s="141">
        <v>0</v>
      </c>
      <c r="Q248" s="141">
        <v>31048036</v>
      </c>
      <c r="R248" s="141">
        <v>-344407</v>
      </c>
      <c r="S248" s="141">
        <v>0</v>
      </c>
      <c r="T248" s="141">
        <v>-344407</v>
      </c>
      <c r="U248" s="141">
        <v>101364</v>
      </c>
      <c r="V248" s="141">
        <v>0</v>
      </c>
      <c r="W248" s="141">
        <v>101364</v>
      </c>
      <c r="X248" s="141">
        <v>-243043</v>
      </c>
      <c r="Y248" s="141">
        <v>0</v>
      </c>
      <c r="Z248" s="141">
        <v>0</v>
      </c>
      <c r="AA248" s="141">
        <v>0</v>
      </c>
      <c r="AB248" s="141">
        <v>-243043</v>
      </c>
      <c r="AC248" s="141">
        <v>0</v>
      </c>
      <c r="AD248" s="141">
        <v>-243043</v>
      </c>
      <c r="AE248" s="141">
        <v>243043</v>
      </c>
      <c r="AF248" s="141">
        <v>0</v>
      </c>
      <c r="AG248" s="141">
        <v>243043</v>
      </c>
      <c r="AH248" s="141">
        <v>-3277088</v>
      </c>
      <c r="AI248" s="141">
        <v>0</v>
      </c>
      <c r="AJ248" s="141">
        <v>-3277088</v>
      </c>
      <c r="AK248" s="141">
        <v>0</v>
      </c>
      <c r="AL248" s="141">
        <v>0</v>
      </c>
      <c r="AM248" s="141">
        <v>0</v>
      </c>
      <c r="AN248" s="141">
        <v>530373</v>
      </c>
      <c r="AO248" s="141">
        <v>0</v>
      </c>
      <c r="AP248" s="141">
        <v>530373</v>
      </c>
      <c r="AQ248" s="141">
        <v>-2746715</v>
      </c>
      <c r="AR248" s="141">
        <v>0</v>
      </c>
      <c r="AS248" s="141">
        <v>-2746715</v>
      </c>
      <c r="AT248" s="141">
        <v>-2013097</v>
      </c>
      <c r="AU248" s="141">
        <v>0</v>
      </c>
      <c r="AV248" s="141">
        <v>-2013097</v>
      </c>
      <c r="AW248" s="141">
        <v>-29233</v>
      </c>
      <c r="AX248" s="141">
        <v>0</v>
      </c>
      <c r="AY248" s="141">
        <v>-29233</v>
      </c>
      <c r="AZ248" s="141">
        <v>0</v>
      </c>
      <c r="BA248" s="141">
        <v>0</v>
      </c>
      <c r="BB248" s="141">
        <v>0</v>
      </c>
      <c r="BC248" s="141">
        <v>-4789045</v>
      </c>
      <c r="BD248" s="141">
        <v>0</v>
      </c>
      <c r="BE248" s="141">
        <v>0</v>
      </c>
      <c r="BF248" s="141">
        <v>0</v>
      </c>
      <c r="BG248" s="141">
        <v>-4789045</v>
      </c>
      <c r="BH248" s="141">
        <v>0</v>
      </c>
      <c r="BI248" s="141">
        <v>-4789045</v>
      </c>
      <c r="BJ248" s="141">
        <v>0</v>
      </c>
      <c r="BK248" s="141">
        <v>0</v>
      </c>
      <c r="BL248" s="141">
        <v>0</v>
      </c>
      <c r="BM248" s="141">
        <v>-329355</v>
      </c>
      <c r="BN248" s="141">
        <v>0</v>
      </c>
      <c r="BO248" s="141">
        <v>-329355</v>
      </c>
      <c r="BP248" s="141">
        <v>-329355</v>
      </c>
      <c r="BQ248" s="141">
        <v>0</v>
      </c>
      <c r="BR248" s="141">
        <v>-278676</v>
      </c>
      <c r="BS248" s="141">
        <v>0</v>
      </c>
      <c r="BT248" s="141">
        <v>-608031</v>
      </c>
      <c r="BU248" s="141">
        <v>0</v>
      </c>
      <c r="BV248" s="141">
        <v>-608031</v>
      </c>
      <c r="BW248" s="141">
        <v>-38318</v>
      </c>
      <c r="BX248" s="141">
        <v>0</v>
      </c>
      <c r="BY248" s="141">
        <v>-38318</v>
      </c>
      <c r="BZ248" s="141">
        <v>0</v>
      </c>
      <c r="CA248" s="141">
        <v>0</v>
      </c>
      <c r="CB248" s="141">
        <v>0</v>
      </c>
      <c r="CC248" s="141">
        <v>-2903</v>
      </c>
      <c r="CD248" s="141">
        <v>0</v>
      </c>
      <c r="CE248" s="141">
        <v>-2903</v>
      </c>
      <c r="CF248" s="141">
        <v>0</v>
      </c>
      <c r="CG248" s="141">
        <v>0</v>
      </c>
      <c r="CH248" s="141">
        <v>0</v>
      </c>
      <c r="CI248" s="141">
        <v>0</v>
      </c>
      <c r="CJ248" s="141">
        <v>0</v>
      </c>
      <c r="CK248" s="141">
        <v>0</v>
      </c>
      <c r="CL248" s="141">
        <v>0</v>
      </c>
      <c r="CM248" s="141">
        <v>0</v>
      </c>
      <c r="CN248" s="141">
        <v>0</v>
      </c>
      <c r="CO248" s="141">
        <v>0</v>
      </c>
      <c r="CP248" s="141">
        <v>0</v>
      </c>
      <c r="CQ248" s="141">
        <v>-41221</v>
      </c>
      <c r="CR248" s="141">
        <v>0</v>
      </c>
      <c r="CS248" s="141">
        <v>0</v>
      </c>
      <c r="CT248" s="141">
        <v>0</v>
      </c>
      <c r="CU248" s="141">
        <v>-41221</v>
      </c>
      <c r="CV248" s="141">
        <v>0</v>
      </c>
      <c r="CW248" s="141">
        <v>-41221</v>
      </c>
      <c r="CX248" s="141">
        <v>-90750</v>
      </c>
      <c r="CY248" s="141">
        <v>0</v>
      </c>
      <c r="CZ248" s="141">
        <v>-90750</v>
      </c>
      <c r="DA248" s="141">
        <v>0</v>
      </c>
      <c r="DB248" s="141">
        <v>0</v>
      </c>
      <c r="DC248" s="141">
        <v>0</v>
      </c>
      <c r="DD248" s="141">
        <v>-54888</v>
      </c>
      <c r="DE248" s="141">
        <v>0</v>
      </c>
      <c r="DF248" s="141">
        <v>-54888</v>
      </c>
      <c r="DG248" s="141">
        <v>-23513</v>
      </c>
      <c r="DH248" s="141">
        <v>0</v>
      </c>
      <c r="DI248" s="141">
        <v>-23513</v>
      </c>
      <c r="DJ248" s="141">
        <v>0</v>
      </c>
      <c r="DK248" s="141">
        <v>0</v>
      </c>
      <c r="DL248" s="141">
        <v>0</v>
      </c>
      <c r="DM248" s="141">
        <v>-426072</v>
      </c>
      <c r="DN248" s="141">
        <v>0</v>
      </c>
      <c r="DO248" s="141">
        <v>-426072</v>
      </c>
      <c r="DP248" s="141">
        <v>-595223</v>
      </c>
      <c r="DQ248" s="141">
        <v>0</v>
      </c>
      <c r="DR248" s="141">
        <v>0</v>
      </c>
      <c r="DS248" s="141">
        <v>0</v>
      </c>
      <c r="DT248" s="141">
        <v>-595223</v>
      </c>
      <c r="DU248" s="141">
        <v>0</v>
      </c>
      <c r="DV248" s="141">
        <v>-595223</v>
      </c>
      <c r="DW248" s="856">
        <v>24771473</v>
      </c>
      <c r="DX248" s="856">
        <v>0</v>
      </c>
      <c r="DY248" s="857">
        <v>24771473</v>
      </c>
      <c r="DZ248" t="s">
        <v>1814</v>
      </c>
    </row>
    <row r="249" spans="1:130" ht="12.75" x14ac:dyDescent="0.2">
      <c r="A249" s="764">
        <v>242</v>
      </c>
      <c r="B249" s="765" t="s">
        <v>373</v>
      </c>
      <c r="C249" s="766" t="s">
        <v>1217</v>
      </c>
      <c r="D249" s="767" t="s">
        <v>1218</v>
      </c>
      <c r="E249" s="768" t="s">
        <v>372</v>
      </c>
      <c r="F249" s="867">
        <v>43453</v>
      </c>
      <c r="G249" s="141">
        <v>118676892</v>
      </c>
      <c r="H249" s="141">
        <v>483000</v>
      </c>
      <c r="I249" s="141">
        <v>119159892</v>
      </c>
      <c r="J249" s="141">
        <v>49.1</v>
      </c>
      <c r="K249" s="141">
        <v>58270354</v>
      </c>
      <c r="L249" s="141">
        <v>237153</v>
      </c>
      <c r="M249" s="141">
        <v>0</v>
      </c>
      <c r="N249" s="141">
        <v>0</v>
      </c>
      <c r="O249" s="141">
        <v>58270354</v>
      </c>
      <c r="P249" s="141">
        <v>237153</v>
      </c>
      <c r="Q249" s="141">
        <v>58507507</v>
      </c>
      <c r="R249" s="141">
        <v>-637159</v>
      </c>
      <c r="S249" s="141">
        <v>0</v>
      </c>
      <c r="T249" s="141">
        <v>-637159</v>
      </c>
      <c r="U249" s="141">
        <v>285753</v>
      </c>
      <c r="V249" s="141">
        <v>0</v>
      </c>
      <c r="W249" s="141">
        <v>285753</v>
      </c>
      <c r="X249" s="141">
        <v>-351406</v>
      </c>
      <c r="Y249" s="141">
        <v>0</v>
      </c>
      <c r="Z249" s="141">
        <v>0</v>
      </c>
      <c r="AA249" s="141">
        <v>0</v>
      </c>
      <c r="AB249" s="141">
        <v>-351406</v>
      </c>
      <c r="AC249" s="141">
        <v>0</v>
      </c>
      <c r="AD249" s="141">
        <v>-351406</v>
      </c>
      <c r="AE249" s="141">
        <v>351406</v>
      </c>
      <c r="AF249" s="141">
        <v>0</v>
      </c>
      <c r="AG249" s="141">
        <v>351406</v>
      </c>
      <c r="AH249" s="141">
        <v>-4289279</v>
      </c>
      <c r="AI249" s="141">
        <v>0</v>
      </c>
      <c r="AJ249" s="141">
        <v>-4289279</v>
      </c>
      <c r="AK249" s="141">
        <v>0</v>
      </c>
      <c r="AL249" s="141">
        <v>0</v>
      </c>
      <c r="AM249" s="141">
        <v>0</v>
      </c>
      <c r="AN249" s="141">
        <v>1050687</v>
      </c>
      <c r="AO249" s="141">
        <v>6279</v>
      </c>
      <c r="AP249" s="141">
        <v>1056966</v>
      </c>
      <c r="AQ249" s="141">
        <v>-3238592</v>
      </c>
      <c r="AR249" s="141">
        <v>6279</v>
      </c>
      <c r="AS249" s="141">
        <v>-3232313</v>
      </c>
      <c r="AT249" s="141">
        <v>-5528391</v>
      </c>
      <c r="AU249" s="141">
        <v>0</v>
      </c>
      <c r="AV249" s="141">
        <v>-5528391</v>
      </c>
      <c r="AW249" s="141">
        <v>-70142</v>
      </c>
      <c r="AX249" s="141">
        <v>0</v>
      </c>
      <c r="AY249" s="141">
        <v>-70142</v>
      </c>
      <c r="AZ249" s="141">
        <v>-41621</v>
      </c>
      <c r="BA249" s="141">
        <v>0</v>
      </c>
      <c r="BB249" s="141">
        <v>-41621</v>
      </c>
      <c r="BC249" s="141">
        <v>-8878746</v>
      </c>
      <c r="BD249" s="141">
        <v>6279</v>
      </c>
      <c r="BE249" s="141">
        <v>0</v>
      </c>
      <c r="BF249" s="141">
        <v>0</v>
      </c>
      <c r="BG249" s="141">
        <v>-8878746</v>
      </c>
      <c r="BH249" s="141">
        <v>6279</v>
      </c>
      <c r="BI249" s="141">
        <v>-8872467</v>
      </c>
      <c r="BJ249" s="141">
        <v>0</v>
      </c>
      <c r="BK249" s="141">
        <v>0</v>
      </c>
      <c r="BL249" s="141">
        <v>0</v>
      </c>
      <c r="BM249" s="141">
        <v>-1393717</v>
      </c>
      <c r="BN249" s="141">
        <v>0</v>
      </c>
      <c r="BO249" s="141">
        <v>-1393717</v>
      </c>
      <c r="BP249" s="141">
        <v>-1393717</v>
      </c>
      <c r="BQ249" s="141">
        <v>0</v>
      </c>
      <c r="BR249" s="141">
        <v>0</v>
      </c>
      <c r="BS249" s="141">
        <v>0</v>
      </c>
      <c r="BT249" s="141">
        <v>-1393717</v>
      </c>
      <c r="BU249" s="141">
        <v>0</v>
      </c>
      <c r="BV249" s="141">
        <v>-1393717</v>
      </c>
      <c r="BW249" s="141">
        <v>-223673</v>
      </c>
      <c r="BX249" s="141">
        <v>0</v>
      </c>
      <c r="BY249" s="141">
        <v>-223673</v>
      </c>
      <c r="BZ249" s="141">
        <v>-14669</v>
      </c>
      <c r="CA249" s="141">
        <v>0</v>
      </c>
      <c r="CB249" s="141">
        <v>-14669</v>
      </c>
      <c r="CC249" s="141">
        <v>-8847</v>
      </c>
      <c r="CD249" s="141">
        <v>0</v>
      </c>
      <c r="CE249" s="141">
        <v>-8847</v>
      </c>
      <c r="CF249" s="141">
        <v>0</v>
      </c>
      <c r="CG249" s="141">
        <v>0</v>
      </c>
      <c r="CH249" s="141">
        <v>0</v>
      </c>
      <c r="CI249" s="141">
        <v>0</v>
      </c>
      <c r="CJ249" s="141">
        <v>0</v>
      </c>
      <c r="CK249" s="141">
        <v>0</v>
      </c>
      <c r="CL249" s="141">
        <v>0</v>
      </c>
      <c r="CM249" s="141">
        <v>0</v>
      </c>
      <c r="CN249" s="141">
        <v>0</v>
      </c>
      <c r="CO249" s="141">
        <v>0</v>
      </c>
      <c r="CP249" s="141">
        <v>0</v>
      </c>
      <c r="CQ249" s="141">
        <v>-247189</v>
      </c>
      <c r="CR249" s="141">
        <v>0</v>
      </c>
      <c r="CS249" s="141">
        <v>0</v>
      </c>
      <c r="CT249" s="141">
        <v>0</v>
      </c>
      <c r="CU249" s="141">
        <v>-247189</v>
      </c>
      <c r="CV249" s="141">
        <v>0</v>
      </c>
      <c r="CW249" s="141">
        <v>-247189</v>
      </c>
      <c r="CX249" s="141">
        <v>-41621</v>
      </c>
      <c r="CY249" s="141">
        <v>0</v>
      </c>
      <c r="CZ249" s="141">
        <v>-41621</v>
      </c>
      <c r="DA249" s="141">
        <v>0</v>
      </c>
      <c r="DB249" s="141">
        <v>0</v>
      </c>
      <c r="DC249" s="141">
        <v>0</v>
      </c>
      <c r="DD249" s="141">
        <v>-47358</v>
      </c>
      <c r="DE249" s="141">
        <v>0</v>
      </c>
      <c r="DF249" s="141">
        <v>-47358</v>
      </c>
      <c r="DG249" s="141">
        <v>0</v>
      </c>
      <c r="DH249" s="141">
        <v>0</v>
      </c>
      <c r="DI249" s="141">
        <v>0</v>
      </c>
      <c r="DJ249" s="141">
        <v>0</v>
      </c>
      <c r="DK249" s="141">
        <v>0</v>
      </c>
      <c r="DL249" s="141">
        <v>0</v>
      </c>
      <c r="DM249" s="141">
        <v>-1438553</v>
      </c>
      <c r="DN249" s="141">
        <v>0</v>
      </c>
      <c r="DO249" s="141">
        <v>-1438553</v>
      </c>
      <c r="DP249" s="141">
        <v>-1527532</v>
      </c>
      <c r="DQ249" s="141">
        <v>0</v>
      </c>
      <c r="DR249" s="141">
        <v>0</v>
      </c>
      <c r="DS249" s="141">
        <v>0</v>
      </c>
      <c r="DT249" s="141">
        <v>-1527532</v>
      </c>
      <c r="DU249" s="141">
        <v>0</v>
      </c>
      <c r="DV249" s="141">
        <v>-1527532</v>
      </c>
      <c r="DW249" s="856">
        <v>45871764</v>
      </c>
      <c r="DX249" s="856">
        <v>243432</v>
      </c>
      <c r="DY249" s="857">
        <v>46115196</v>
      </c>
      <c r="DZ249" t="s">
        <v>1815</v>
      </c>
    </row>
    <row r="250" spans="1:130" ht="12.75" x14ac:dyDescent="0.2">
      <c r="A250" s="764">
        <v>243</v>
      </c>
      <c r="B250" s="765" t="s">
        <v>375</v>
      </c>
      <c r="C250" s="766" t="s">
        <v>1217</v>
      </c>
      <c r="D250" s="767" t="s">
        <v>1219</v>
      </c>
      <c r="E250" s="768" t="s">
        <v>374</v>
      </c>
      <c r="F250" s="867">
        <v>43473</v>
      </c>
      <c r="G250" s="141">
        <v>88022547</v>
      </c>
      <c r="H250" s="141">
        <v>367500</v>
      </c>
      <c r="I250" s="141">
        <v>88390047</v>
      </c>
      <c r="J250" s="141">
        <v>49.1</v>
      </c>
      <c r="K250" s="141">
        <v>43219071</v>
      </c>
      <c r="L250" s="141">
        <v>180443</v>
      </c>
      <c r="M250" s="141">
        <v>0</v>
      </c>
      <c r="N250" s="141">
        <v>0</v>
      </c>
      <c r="O250" s="141">
        <v>43219071</v>
      </c>
      <c r="P250" s="141">
        <v>180443</v>
      </c>
      <c r="Q250" s="141">
        <v>43399514</v>
      </c>
      <c r="R250" s="141">
        <v>-215417</v>
      </c>
      <c r="S250" s="141">
        <v>0</v>
      </c>
      <c r="T250" s="141">
        <v>-215417</v>
      </c>
      <c r="U250" s="141">
        <v>547566</v>
      </c>
      <c r="V250" s="141">
        <v>0</v>
      </c>
      <c r="W250" s="141">
        <v>547566</v>
      </c>
      <c r="X250" s="141">
        <v>332149</v>
      </c>
      <c r="Y250" s="141">
        <v>0</v>
      </c>
      <c r="Z250" s="141">
        <v>0</v>
      </c>
      <c r="AA250" s="141">
        <v>0</v>
      </c>
      <c r="AB250" s="141">
        <v>332149</v>
      </c>
      <c r="AC250" s="141">
        <v>0</v>
      </c>
      <c r="AD250" s="141">
        <v>332149</v>
      </c>
      <c r="AE250" s="141">
        <v>-332149</v>
      </c>
      <c r="AF250" s="141">
        <v>0</v>
      </c>
      <c r="AG250" s="141">
        <v>-332149</v>
      </c>
      <c r="AH250" s="141">
        <v>-3794360</v>
      </c>
      <c r="AI250" s="141">
        <v>0</v>
      </c>
      <c r="AJ250" s="141">
        <v>-3794360</v>
      </c>
      <c r="AK250" s="141">
        <v>-7512</v>
      </c>
      <c r="AL250" s="141">
        <v>0</v>
      </c>
      <c r="AM250" s="141">
        <v>-7512</v>
      </c>
      <c r="AN250" s="141">
        <v>796328</v>
      </c>
      <c r="AO250" s="141">
        <v>4778</v>
      </c>
      <c r="AP250" s="141">
        <v>801106</v>
      </c>
      <c r="AQ250" s="141">
        <v>-2998032</v>
      </c>
      <c r="AR250" s="141">
        <v>4778</v>
      </c>
      <c r="AS250" s="141">
        <v>-2993254</v>
      </c>
      <c r="AT250" s="141">
        <v>-2139378</v>
      </c>
      <c r="AU250" s="141">
        <v>0</v>
      </c>
      <c r="AV250" s="141">
        <v>-2139378</v>
      </c>
      <c r="AW250" s="141">
        <v>-16733</v>
      </c>
      <c r="AX250" s="141">
        <v>0</v>
      </c>
      <c r="AY250" s="141">
        <v>-16733</v>
      </c>
      <c r="AZ250" s="141">
        <v>-4360</v>
      </c>
      <c r="BA250" s="141">
        <v>0</v>
      </c>
      <c r="BB250" s="141">
        <v>-4360</v>
      </c>
      <c r="BC250" s="141">
        <v>-5158503</v>
      </c>
      <c r="BD250" s="141">
        <v>4778</v>
      </c>
      <c r="BE250" s="141">
        <v>0</v>
      </c>
      <c r="BF250" s="141">
        <v>0</v>
      </c>
      <c r="BG250" s="141">
        <v>-5158503</v>
      </c>
      <c r="BH250" s="141">
        <v>4778</v>
      </c>
      <c r="BI250" s="141">
        <v>-5153725</v>
      </c>
      <c r="BJ250" s="141">
        <v>0</v>
      </c>
      <c r="BK250" s="141">
        <v>0</v>
      </c>
      <c r="BL250" s="141">
        <v>0</v>
      </c>
      <c r="BM250" s="141">
        <v>-953217</v>
      </c>
      <c r="BN250" s="141">
        <v>0</v>
      </c>
      <c r="BO250" s="141">
        <v>-953217</v>
      </c>
      <c r="BP250" s="141">
        <v>-953217</v>
      </c>
      <c r="BQ250" s="141">
        <v>0</v>
      </c>
      <c r="BR250" s="141">
        <v>0</v>
      </c>
      <c r="BS250" s="141">
        <v>0</v>
      </c>
      <c r="BT250" s="141">
        <v>-953217</v>
      </c>
      <c r="BU250" s="141">
        <v>0</v>
      </c>
      <c r="BV250" s="141">
        <v>-953217</v>
      </c>
      <c r="BW250" s="141">
        <v>-117041</v>
      </c>
      <c r="BX250" s="141">
        <v>0</v>
      </c>
      <c r="BY250" s="141">
        <v>-117041</v>
      </c>
      <c r="BZ250" s="141">
        <v>-17932</v>
      </c>
      <c r="CA250" s="141">
        <v>0</v>
      </c>
      <c r="CB250" s="141">
        <v>-17932</v>
      </c>
      <c r="CC250" s="141">
        <v>-1058</v>
      </c>
      <c r="CD250" s="141">
        <v>0</v>
      </c>
      <c r="CE250" s="141">
        <v>-1058</v>
      </c>
      <c r="CF250" s="141">
        <v>0</v>
      </c>
      <c r="CG250" s="141">
        <v>0</v>
      </c>
      <c r="CH250" s="141">
        <v>0</v>
      </c>
      <c r="CI250" s="141">
        <v>0</v>
      </c>
      <c r="CJ250" s="141">
        <v>0</v>
      </c>
      <c r="CK250" s="141">
        <v>0</v>
      </c>
      <c r="CL250" s="141">
        <v>0</v>
      </c>
      <c r="CM250" s="141">
        <v>0</v>
      </c>
      <c r="CN250" s="141">
        <v>0</v>
      </c>
      <c r="CO250" s="141">
        <v>0</v>
      </c>
      <c r="CP250" s="141">
        <v>0</v>
      </c>
      <c r="CQ250" s="141">
        <v>-136031</v>
      </c>
      <c r="CR250" s="141">
        <v>0</v>
      </c>
      <c r="CS250" s="141">
        <v>0</v>
      </c>
      <c r="CT250" s="141">
        <v>0</v>
      </c>
      <c r="CU250" s="141">
        <v>-136031</v>
      </c>
      <c r="CV250" s="141">
        <v>0</v>
      </c>
      <c r="CW250" s="141">
        <v>-136031</v>
      </c>
      <c r="CX250" s="141">
        <v>-4360</v>
      </c>
      <c r="CY250" s="141">
        <v>0</v>
      </c>
      <c r="CZ250" s="141">
        <v>-4360</v>
      </c>
      <c r="DA250" s="141">
        <v>0</v>
      </c>
      <c r="DB250" s="141">
        <v>0</v>
      </c>
      <c r="DC250" s="141">
        <v>0</v>
      </c>
      <c r="DD250" s="141">
        <v>-41162</v>
      </c>
      <c r="DE250" s="141">
        <v>0</v>
      </c>
      <c r="DF250" s="141">
        <v>-41162</v>
      </c>
      <c r="DG250" s="141">
        <v>-16279</v>
      </c>
      <c r="DH250" s="141">
        <v>0</v>
      </c>
      <c r="DI250" s="141">
        <v>-16279</v>
      </c>
      <c r="DJ250" s="141">
        <v>0</v>
      </c>
      <c r="DK250" s="141">
        <v>0</v>
      </c>
      <c r="DL250" s="141">
        <v>0</v>
      </c>
      <c r="DM250" s="141">
        <v>-515000</v>
      </c>
      <c r="DN250" s="141">
        <v>0</v>
      </c>
      <c r="DO250" s="141">
        <v>-515000</v>
      </c>
      <c r="DP250" s="141">
        <v>-576801</v>
      </c>
      <c r="DQ250" s="141">
        <v>0</v>
      </c>
      <c r="DR250" s="141">
        <v>0</v>
      </c>
      <c r="DS250" s="141">
        <v>0</v>
      </c>
      <c r="DT250" s="141">
        <v>-576801</v>
      </c>
      <c r="DU250" s="141">
        <v>0</v>
      </c>
      <c r="DV250" s="141">
        <v>-576801</v>
      </c>
      <c r="DW250" s="856">
        <v>36726668</v>
      </c>
      <c r="DX250" s="856">
        <v>185221</v>
      </c>
      <c r="DY250" s="857">
        <v>36911889</v>
      </c>
      <c r="DZ250" t="s">
        <v>1816</v>
      </c>
    </row>
    <row r="251" spans="1:130" ht="12.75" x14ac:dyDescent="0.2">
      <c r="A251" s="764">
        <v>244</v>
      </c>
      <c r="B251" s="765" t="s">
        <v>377</v>
      </c>
      <c r="C251" s="766" t="s">
        <v>1217</v>
      </c>
      <c r="D251" s="767" t="s">
        <v>1226</v>
      </c>
      <c r="E251" s="768" t="s">
        <v>376</v>
      </c>
      <c r="F251" s="867">
        <v>43453</v>
      </c>
      <c r="G251" s="141">
        <v>117910642</v>
      </c>
      <c r="H251" s="141">
        <v>0</v>
      </c>
      <c r="I251" s="141">
        <v>117910642</v>
      </c>
      <c r="J251" s="141">
        <v>49.1</v>
      </c>
      <c r="K251" s="141">
        <v>57894125</v>
      </c>
      <c r="L251" s="141">
        <v>0</v>
      </c>
      <c r="M251" s="141">
        <v>145121</v>
      </c>
      <c r="N251" s="141">
        <v>0</v>
      </c>
      <c r="O251" s="141">
        <v>58039246</v>
      </c>
      <c r="P251" s="141">
        <v>0</v>
      </c>
      <c r="Q251" s="141">
        <v>58039246</v>
      </c>
      <c r="R251" s="141">
        <v>-831160</v>
      </c>
      <c r="S251" s="141">
        <v>0</v>
      </c>
      <c r="T251" s="141">
        <v>-831160</v>
      </c>
      <c r="U251" s="141">
        <v>1112755</v>
      </c>
      <c r="V251" s="141">
        <v>0</v>
      </c>
      <c r="W251" s="141">
        <v>1112755</v>
      </c>
      <c r="X251" s="141">
        <v>281595</v>
      </c>
      <c r="Y251" s="141">
        <v>0</v>
      </c>
      <c r="Z251" s="141">
        <v>0</v>
      </c>
      <c r="AA251" s="141">
        <v>0</v>
      </c>
      <c r="AB251" s="141">
        <v>281595</v>
      </c>
      <c r="AC251" s="141">
        <v>0</v>
      </c>
      <c r="AD251" s="141">
        <v>281595</v>
      </c>
      <c r="AE251" s="141">
        <v>-281595</v>
      </c>
      <c r="AF251" s="141">
        <v>0</v>
      </c>
      <c r="AG251" s="141">
        <v>-281595</v>
      </c>
      <c r="AH251" s="141">
        <v>-6466987</v>
      </c>
      <c r="AI251" s="141">
        <v>0</v>
      </c>
      <c r="AJ251" s="141">
        <v>-6466987</v>
      </c>
      <c r="AK251" s="141">
        <v>-13487</v>
      </c>
      <c r="AL251" s="141">
        <v>0</v>
      </c>
      <c r="AM251" s="141">
        <v>-13487</v>
      </c>
      <c r="AN251" s="141">
        <v>943763</v>
      </c>
      <c r="AO251" s="141">
        <v>0</v>
      </c>
      <c r="AP251" s="141">
        <v>943763</v>
      </c>
      <c r="AQ251" s="141">
        <v>-5523224</v>
      </c>
      <c r="AR251" s="141">
        <v>0</v>
      </c>
      <c r="AS251" s="141">
        <v>-5523224</v>
      </c>
      <c r="AT251" s="141">
        <v>-3751597</v>
      </c>
      <c r="AU251" s="141">
        <v>0</v>
      </c>
      <c r="AV251" s="141">
        <v>-3751597</v>
      </c>
      <c r="AW251" s="141">
        <v>-38808</v>
      </c>
      <c r="AX251" s="141">
        <v>0</v>
      </c>
      <c r="AY251" s="141">
        <v>-38808</v>
      </c>
      <c r="AZ251" s="141">
        <v>-73787</v>
      </c>
      <c r="BA251" s="141">
        <v>0</v>
      </c>
      <c r="BB251" s="141">
        <v>-73787</v>
      </c>
      <c r="BC251" s="141">
        <v>-9387416</v>
      </c>
      <c r="BD251" s="141">
        <v>0</v>
      </c>
      <c r="BE251" s="141">
        <v>-125262</v>
      </c>
      <c r="BF251" s="141">
        <v>0</v>
      </c>
      <c r="BG251" s="141">
        <v>-9512678</v>
      </c>
      <c r="BH251" s="141">
        <v>0</v>
      </c>
      <c r="BI251" s="141">
        <v>-9512678</v>
      </c>
      <c r="BJ251" s="141">
        <v>0</v>
      </c>
      <c r="BK251" s="141">
        <v>0</v>
      </c>
      <c r="BL251" s="141">
        <v>0</v>
      </c>
      <c r="BM251" s="141">
        <v>-1798388</v>
      </c>
      <c r="BN251" s="141">
        <v>0</v>
      </c>
      <c r="BO251" s="141">
        <v>-1798388</v>
      </c>
      <c r="BP251" s="141">
        <v>-1798388</v>
      </c>
      <c r="BQ251" s="141">
        <v>0</v>
      </c>
      <c r="BR251" s="141">
        <v>0</v>
      </c>
      <c r="BS251" s="141">
        <v>0</v>
      </c>
      <c r="BT251" s="141">
        <v>-1798388</v>
      </c>
      <c r="BU251" s="141">
        <v>0</v>
      </c>
      <c r="BV251" s="141">
        <v>-1798388</v>
      </c>
      <c r="BW251" s="141">
        <v>-164044</v>
      </c>
      <c r="BX251" s="141">
        <v>0</v>
      </c>
      <c r="BY251" s="141">
        <v>-164044</v>
      </c>
      <c r="BZ251" s="141">
        <v>-40016</v>
      </c>
      <c r="CA251" s="141">
        <v>0</v>
      </c>
      <c r="CB251" s="141">
        <v>-40016</v>
      </c>
      <c r="CC251" s="141">
        <v>-4125</v>
      </c>
      <c r="CD251" s="141">
        <v>0</v>
      </c>
      <c r="CE251" s="141">
        <v>-4125</v>
      </c>
      <c r="CF251" s="141">
        <v>0</v>
      </c>
      <c r="CG251" s="141">
        <v>0</v>
      </c>
      <c r="CH251" s="141">
        <v>0</v>
      </c>
      <c r="CI251" s="141">
        <v>-6039</v>
      </c>
      <c r="CJ251" s="141">
        <v>0</v>
      </c>
      <c r="CK251" s="141">
        <v>-6039</v>
      </c>
      <c r="CL251" s="141">
        <v>-16317</v>
      </c>
      <c r="CM251" s="141">
        <v>0</v>
      </c>
      <c r="CN251" s="141">
        <v>-16317</v>
      </c>
      <c r="CO251" s="141">
        <v>0</v>
      </c>
      <c r="CP251" s="141">
        <v>0</v>
      </c>
      <c r="CQ251" s="141">
        <v>-230541</v>
      </c>
      <c r="CR251" s="141">
        <v>0</v>
      </c>
      <c r="CS251" s="141">
        <v>0</v>
      </c>
      <c r="CT251" s="141">
        <v>0</v>
      </c>
      <c r="CU251" s="141">
        <v>-230541</v>
      </c>
      <c r="CV251" s="141">
        <v>0</v>
      </c>
      <c r="CW251" s="141">
        <v>-230541</v>
      </c>
      <c r="CX251" s="141">
        <v>-73787</v>
      </c>
      <c r="CY251" s="141">
        <v>0</v>
      </c>
      <c r="CZ251" s="141">
        <v>-73787</v>
      </c>
      <c r="DA251" s="141">
        <v>-1500</v>
      </c>
      <c r="DB251" s="141">
        <v>0</v>
      </c>
      <c r="DC251" s="141">
        <v>-1500</v>
      </c>
      <c r="DD251" s="141">
        <v>-35313</v>
      </c>
      <c r="DE251" s="141">
        <v>0</v>
      </c>
      <c r="DF251" s="141">
        <v>-35313</v>
      </c>
      <c r="DG251" s="141">
        <v>-58768</v>
      </c>
      <c r="DH251" s="141">
        <v>0</v>
      </c>
      <c r="DI251" s="141">
        <v>-58768</v>
      </c>
      <c r="DJ251" s="141">
        <v>0</v>
      </c>
      <c r="DK251" s="141">
        <v>0</v>
      </c>
      <c r="DL251" s="141">
        <v>0</v>
      </c>
      <c r="DM251" s="141">
        <v>-758876</v>
      </c>
      <c r="DN251" s="141">
        <v>0</v>
      </c>
      <c r="DO251" s="141">
        <v>-758876</v>
      </c>
      <c r="DP251" s="141">
        <v>-928244</v>
      </c>
      <c r="DQ251" s="141">
        <v>0</v>
      </c>
      <c r="DR251" s="141">
        <v>0</v>
      </c>
      <c r="DS251" s="141">
        <v>0</v>
      </c>
      <c r="DT251" s="141">
        <v>-928244</v>
      </c>
      <c r="DU251" s="141">
        <v>0</v>
      </c>
      <c r="DV251" s="141">
        <v>-928244</v>
      </c>
      <c r="DW251" s="856">
        <v>45850990</v>
      </c>
      <c r="DX251" s="856">
        <v>0</v>
      </c>
      <c r="DY251" s="857">
        <v>45850990</v>
      </c>
      <c r="DZ251" t="s">
        <v>1817</v>
      </c>
    </row>
    <row r="252" spans="1:130" ht="12.75" x14ac:dyDescent="0.2">
      <c r="A252" s="764">
        <v>245</v>
      </c>
      <c r="B252" s="765" t="s">
        <v>379</v>
      </c>
      <c r="C252" s="766" t="s">
        <v>1217</v>
      </c>
      <c r="D252" s="767" t="s">
        <v>1227</v>
      </c>
      <c r="E252" s="768" t="s">
        <v>378</v>
      </c>
      <c r="F252" s="867">
        <v>43466</v>
      </c>
      <c r="G252" s="141">
        <v>58009889</v>
      </c>
      <c r="H252" s="141">
        <v>6295500</v>
      </c>
      <c r="I252" s="141">
        <v>64305389</v>
      </c>
      <c r="J252" s="141">
        <v>49.1</v>
      </c>
      <c r="K252" s="141">
        <v>28482855</v>
      </c>
      <c r="L252" s="141">
        <v>3091091</v>
      </c>
      <c r="M252" s="141">
        <v>260255</v>
      </c>
      <c r="N252" s="141">
        <v>300000</v>
      </c>
      <c r="O252" s="141">
        <v>28743110</v>
      </c>
      <c r="P252" s="141">
        <v>3391091</v>
      </c>
      <c r="Q252" s="141">
        <v>32134201</v>
      </c>
      <c r="R252" s="141">
        <v>-382377</v>
      </c>
      <c r="S252" s="141">
        <v>0</v>
      </c>
      <c r="T252" s="141">
        <v>-382377</v>
      </c>
      <c r="U252" s="141">
        <v>198420</v>
      </c>
      <c r="V252" s="141">
        <v>0</v>
      </c>
      <c r="W252" s="141">
        <v>198420</v>
      </c>
      <c r="X252" s="141">
        <v>-183957</v>
      </c>
      <c r="Y252" s="141">
        <v>0</v>
      </c>
      <c r="Z252" s="141">
        <v>0</v>
      </c>
      <c r="AA252" s="141">
        <v>0</v>
      </c>
      <c r="AB252" s="141">
        <v>-183957</v>
      </c>
      <c r="AC252" s="141">
        <v>0</v>
      </c>
      <c r="AD252" s="141">
        <v>-183957</v>
      </c>
      <c r="AE252" s="141">
        <v>183957</v>
      </c>
      <c r="AF252" s="141">
        <v>0</v>
      </c>
      <c r="AG252" s="141">
        <v>183957</v>
      </c>
      <c r="AH252" s="141">
        <v>-3354716</v>
      </c>
      <c r="AI252" s="141">
        <v>0</v>
      </c>
      <c r="AJ252" s="141">
        <v>-3354716</v>
      </c>
      <c r="AK252" s="141">
        <v>-3192</v>
      </c>
      <c r="AL252" s="141">
        <v>0</v>
      </c>
      <c r="AM252" s="141">
        <v>-3192</v>
      </c>
      <c r="AN252" s="141">
        <v>488087</v>
      </c>
      <c r="AO252" s="141">
        <v>81842</v>
      </c>
      <c r="AP252" s="141">
        <v>569929</v>
      </c>
      <c r="AQ252" s="141">
        <v>-2866629</v>
      </c>
      <c r="AR252" s="141">
        <v>81842</v>
      </c>
      <c r="AS252" s="141">
        <v>-2784787</v>
      </c>
      <c r="AT252" s="141">
        <v>-1290349</v>
      </c>
      <c r="AU252" s="141">
        <v>0</v>
      </c>
      <c r="AV252" s="141">
        <v>-1290349</v>
      </c>
      <c r="AW252" s="141">
        <v>-21985</v>
      </c>
      <c r="AX252" s="141">
        <v>0</v>
      </c>
      <c r="AY252" s="141">
        <v>-21985</v>
      </c>
      <c r="AZ252" s="141">
        <v>-7313</v>
      </c>
      <c r="BA252" s="141">
        <v>0</v>
      </c>
      <c r="BB252" s="141">
        <v>-7313</v>
      </c>
      <c r="BC252" s="141">
        <v>-4186276</v>
      </c>
      <c r="BD252" s="141">
        <v>81842</v>
      </c>
      <c r="BE252" s="141">
        <v>-147000</v>
      </c>
      <c r="BF252" s="141">
        <v>0</v>
      </c>
      <c r="BG252" s="141">
        <v>-4333276</v>
      </c>
      <c r="BH252" s="141">
        <v>81842</v>
      </c>
      <c r="BI252" s="141">
        <v>-4251434</v>
      </c>
      <c r="BJ252" s="141">
        <v>0</v>
      </c>
      <c r="BK252" s="141">
        <v>0</v>
      </c>
      <c r="BL252" s="141">
        <v>0</v>
      </c>
      <c r="BM252" s="141">
        <v>-391245</v>
      </c>
      <c r="BN252" s="141">
        <v>0</v>
      </c>
      <c r="BO252" s="141">
        <v>-391245</v>
      </c>
      <c r="BP252" s="141">
        <v>-391245</v>
      </c>
      <c r="BQ252" s="141">
        <v>0</v>
      </c>
      <c r="BR252" s="141">
        <v>0</v>
      </c>
      <c r="BS252" s="141">
        <v>0</v>
      </c>
      <c r="BT252" s="141">
        <v>-391245</v>
      </c>
      <c r="BU252" s="141">
        <v>0</v>
      </c>
      <c r="BV252" s="141">
        <v>-391245</v>
      </c>
      <c r="BW252" s="141">
        <v>-50721</v>
      </c>
      <c r="BX252" s="141">
        <v>0</v>
      </c>
      <c r="BY252" s="141">
        <v>-50721</v>
      </c>
      <c r="BZ252" s="141">
        <v>-239206</v>
      </c>
      <c r="CA252" s="141">
        <v>0</v>
      </c>
      <c r="CB252" s="141">
        <v>-239206</v>
      </c>
      <c r="CC252" s="141">
        <v>-4388</v>
      </c>
      <c r="CD252" s="141">
        <v>0</v>
      </c>
      <c r="CE252" s="141">
        <v>-4388</v>
      </c>
      <c r="CF252" s="141">
        <v>0</v>
      </c>
      <c r="CG252" s="141">
        <v>0</v>
      </c>
      <c r="CH252" s="141">
        <v>0</v>
      </c>
      <c r="CI252" s="141">
        <v>0</v>
      </c>
      <c r="CJ252" s="141">
        <v>0</v>
      </c>
      <c r="CK252" s="141">
        <v>0</v>
      </c>
      <c r="CL252" s="141">
        <v>0</v>
      </c>
      <c r="CM252" s="141">
        <v>-162387</v>
      </c>
      <c r="CN252" s="141">
        <v>-162387</v>
      </c>
      <c r="CO252" s="141">
        <v>-162387</v>
      </c>
      <c r="CP252" s="141">
        <v>0</v>
      </c>
      <c r="CQ252" s="141">
        <v>-294315</v>
      </c>
      <c r="CR252" s="141">
        <v>-162387</v>
      </c>
      <c r="CS252" s="141">
        <v>0</v>
      </c>
      <c r="CT252" s="141">
        <v>0</v>
      </c>
      <c r="CU252" s="141">
        <v>-294315</v>
      </c>
      <c r="CV252" s="141">
        <v>-162387</v>
      </c>
      <c r="CW252" s="141">
        <v>-456702</v>
      </c>
      <c r="CX252" s="141">
        <v>-7313</v>
      </c>
      <c r="CY252" s="141">
        <v>0</v>
      </c>
      <c r="CZ252" s="141">
        <v>-7313</v>
      </c>
      <c r="DA252" s="141">
        <v>0</v>
      </c>
      <c r="DB252" s="141">
        <v>0</v>
      </c>
      <c r="DC252" s="141">
        <v>0</v>
      </c>
      <c r="DD252" s="141">
        <v>-16283</v>
      </c>
      <c r="DE252" s="141">
        <v>0</v>
      </c>
      <c r="DF252" s="141">
        <v>-16283</v>
      </c>
      <c r="DG252" s="141">
        <v>-36692</v>
      </c>
      <c r="DH252" s="141">
        <v>0</v>
      </c>
      <c r="DI252" s="141">
        <v>-36692</v>
      </c>
      <c r="DJ252" s="141">
        <v>0</v>
      </c>
      <c r="DK252" s="141">
        <v>0</v>
      </c>
      <c r="DL252" s="141">
        <v>0</v>
      </c>
      <c r="DM252" s="141">
        <v>-460995</v>
      </c>
      <c r="DN252" s="141">
        <v>0</v>
      </c>
      <c r="DO252" s="141">
        <v>-460995</v>
      </c>
      <c r="DP252" s="141">
        <v>-521283</v>
      </c>
      <c r="DQ252" s="141">
        <v>0</v>
      </c>
      <c r="DR252" s="141">
        <v>0</v>
      </c>
      <c r="DS252" s="141">
        <v>0</v>
      </c>
      <c r="DT252" s="141">
        <v>-521283</v>
      </c>
      <c r="DU252" s="141">
        <v>0</v>
      </c>
      <c r="DV252" s="141">
        <v>-521283</v>
      </c>
      <c r="DW252" s="856">
        <v>23019034</v>
      </c>
      <c r="DX252" s="856">
        <v>3310546</v>
      </c>
      <c r="DY252" s="857">
        <v>26329580</v>
      </c>
      <c r="DZ252" t="s">
        <v>1818</v>
      </c>
    </row>
    <row r="253" spans="1:130" ht="12.75" x14ac:dyDescent="0.2">
      <c r="A253" s="764">
        <v>246</v>
      </c>
      <c r="B253" s="765" t="s">
        <v>381</v>
      </c>
      <c r="C253" s="766" t="s">
        <v>1224</v>
      </c>
      <c r="D253" s="767" t="s">
        <v>1229</v>
      </c>
      <c r="E253" s="768" t="s">
        <v>380</v>
      </c>
      <c r="F253" s="867">
        <v>43453</v>
      </c>
      <c r="G253" s="141">
        <v>77944084</v>
      </c>
      <c r="H253" s="141">
        <v>0</v>
      </c>
      <c r="I253" s="141">
        <v>77944084</v>
      </c>
      <c r="J253" s="141">
        <v>49.1</v>
      </c>
      <c r="K253" s="141">
        <v>38270545</v>
      </c>
      <c r="L253" s="141">
        <v>0</v>
      </c>
      <c r="M253" s="141">
        <v>0</v>
      </c>
      <c r="N253" s="141">
        <v>0</v>
      </c>
      <c r="O253" s="141">
        <v>38270545</v>
      </c>
      <c r="P253" s="141">
        <v>0</v>
      </c>
      <c r="Q253" s="141">
        <v>38270545</v>
      </c>
      <c r="R253" s="141">
        <v>-504760</v>
      </c>
      <c r="S253" s="141">
        <v>0</v>
      </c>
      <c r="T253" s="141">
        <v>-504760</v>
      </c>
      <c r="U253" s="141">
        <v>1096810</v>
      </c>
      <c r="V253" s="141">
        <v>0</v>
      </c>
      <c r="W253" s="141">
        <v>1096810</v>
      </c>
      <c r="X253" s="141">
        <v>592050</v>
      </c>
      <c r="Y253" s="141">
        <v>0</v>
      </c>
      <c r="Z253" s="141">
        <v>0</v>
      </c>
      <c r="AA253" s="141">
        <v>0</v>
      </c>
      <c r="AB253" s="141">
        <v>592050</v>
      </c>
      <c r="AC253" s="141">
        <v>0</v>
      </c>
      <c r="AD253" s="141">
        <v>592050</v>
      </c>
      <c r="AE253" s="141">
        <v>-592050</v>
      </c>
      <c r="AF253" s="141">
        <v>0</v>
      </c>
      <c r="AG253" s="141">
        <v>-592050</v>
      </c>
      <c r="AH253" s="141">
        <v>-4000000</v>
      </c>
      <c r="AI253" s="141">
        <v>0</v>
      </c>
      <c r="AJ253" s="141">
        <v>-4000000</v>
      </c>
      <c r="AK253" s="141">
        <v>0</v>
      </c>
      <c r="AL253" s="141">
        <v>0</v>
      </c>
      <c r="AM253" s="141">
        <v>0</v>
      </c>
      <c r="AN253" s="141">
        <v>650000</v>
      </c>
      <c r="AO253" s="141">
        <v>0</v>
      </c>
      <c r="AP253" s="141">
        <v>650000</v>
      </c>
      <c r="AQ253" s="141">
        <v>-3350000</v>
      </c>
      <c r="AR253" s="141">
        <v>0</v>
      </c>
      <c r="AS253" s="141">
        <v>-3350000</v>
      </c>
      <c r="AT253" s="141">
        <v>-2200000</v>
      </c>
      <c r="AU253" s="141">
        <v>0</v>
      </c>
      <c r="AV253" s="141">
        <v>-2200000</v>
      </c>
      <c r="AW253" s="141">
        <v>-65000</v>
      </c>
      <c r="AX253" s="141">
        <v>0</v>
      </c>
      <c r="AY253" s="141">
        <v>-65000</v>
      </c>
      <c r="AZ253" s="141">
        <v>0</v>
      </c>
      <c r="BA253" s="141">
        <v>0</v>
      </c>
      <c r="BB253" s="141">
        <v>0</v>
      </c>
      <c r="BC253" s="141">
        <v>-5615000</v>
      </c>
      <c r="BD253" s="141">
        <v>0</v>
      </c>
      <c r="BE253" s="141">
        <v>0</v>
      </c>
      <c r="BF253" s="141">
        <v>0</v>
      </c>
      <c r="BG253" s="141">
        <v>-5615000</v>
      </c>
      <c r="BH253" s="141">
        <v>0</v>
      </c>
      <c r="BI253" s="141">
        <v>-5615000</v>
      </c>
      <c r="BJ253" s="141">
        <v>0</v>
      </c>
      <c r="BK253" s="141">
        <v>0</v>
      </c>
      <c r="BL253" s="141">
        <v>0</v>
      </c>
      <c r="BM253" s="141">
        <v>-1000000</v>
      </c>
      <c r="BN253" s="141">
        <v>0</v>
      </c>
      <c r="BO253" s="141">
        <v>-1000000</v>
      </c>
      <c r="BP253" s="141">
        <v>-1000000</v>
      </c>
      <c r="BQ253" s="141">
        <v>0</v>
      </c>
      <c r="BR253" s="141">
        <v>0</v>
      </c>
      <c r="BS253" s="141">
        <v>0</v>
      </c>
      <c r="BT253" s="141">
        <v>-1000000</v>
      </c>
      <c r="BU253" s="141">
        <v>0</v>
      </c>
      <c r="BV253" s="141">
        <v>-1000000</v>
      </c>
      <c r="BW253" s="141">
        <v>-3800</v>
      </c>
      <c r="BX253" s="141">
        <v>0</v>
      </c>
      <c r="BY253" s="141">
        <v>-3800</v>
      </c>
      <c r="BZ253" s="141">
        <v>-50000</v>
      </c>
      <c r="CA253" s="141">
        <v>0</v>
      </c>
      <c r="CB253" s="141">
        <v>-50000</v>
      </c>
      <c r="CC253" s="141">
        <v>0</v>
      </c>
      <c r="CD253" s="141">
        <v>0</v>
      </c>
      <c r="CE253" s="141">
        <v>0</v>
      </c>
      <c r="CF253" s="141">
        <v>0</v>
      </c>
      <c r="CG253" s="141">
        <v>0</v>
      </c>
      <c r="CH253" s="141">
        <v>0</v>
      </c>
      <c r="CI253" s="141">
        <v>0</v>
      </c>
      <c r="CJ253" s="141">
        <v>0</v>
      </c>
      <c r="CK253" s="141">
        <v>0</v>
      </c>
      <c r="CL253" s="141">
        <v>0</v>
      </c>
      <c r="CM253" s="141">
        <v>0</v>
      </c>
      <c r="CN253" s="141">
        <v>0</v>
      </c>
      <c r="CO253" s="141">
        <v>0</v>
      </c>
      <c r="CP253" s="141">
        <v>0</v>
      </c>
      <c r="CQ253" s="141">
        <v>-53800</v>
      </c>
      <c r="CR253" s="141">
        <v>0</v>
      </c>
      <c r="CS253" s="141">
        <v>0</v>
      </c>
      <c r="CT253" s="141">
        <v>0</v>
      </c>
      <c r="CU253" s="141">
        <v>-53800</v>
      </c>
      <c r="CV253" s="141">
        <v>0</v>
      </c>
      <c r="CW253" s="141">
        <v>-53800</v>
      </c>
      <c r="CX253" s="141">
        <v>0</v>
      </c>
      <c r="CY253" s="141">
        <v>0</v>
      </c>
      <c r="CZ253" s="141">
        <v>0</v>
      </c>
      <c r="DA253" s="141">
        <v>0</v>
      </c>
      <c r="DB253" s="141">
        <v>0</v>
      </c>
      <c r="DC253" s="141">
        <v>0</v>
      </c>
      <c r="DD253" s="141">
        <v>-18500</v>
      </c>
      <c r="DE253" s="141">
        <v>0</v>
      </c>
      <c r="DF253" s="141">
        <v>-18500</v>
      </c>
      <c r="DG253" s="141">
        <v>-43500</v>
      </c>
      <c r="DH253" s="141">
        <v>0</v>
      </c>
      <c r="DI253" s="141">
        <v>-43500</v>
      </c>
      <c r="DJ253" s="141">
        <v>0</v>
      </c>
      <c r="DK253" s="141">
        <v>0</v>
      </c>
      <c r="DL253" s="141">
        <v>0</v>
      </c>
      <c r="DM253" s="141">
        <v>-700000</v>
      </c>
      <c r="DN253" s="141">
        <v>0</v>
      </c>
      <c r="DO253" s="141">
        <v>-700000</v>
      </c>
      <c r="DP253" s="141">
        <v>-762000</v>
      </c>
      <c r="DQ253" s="141">
        <v>0</v>
      </c>
      <c r="DR253" s="141">
        <v>0</v>
      </c>
      <c r="DS253" s="141">
        <v>0</v>
      </c>
      <c r="DT253" s="141">
        <v>-762000</v>
      </c>
      <c r="DU253" s="141">
        <v>0</v>
      </c>
      <c r="DV253" s="141">
        <v>-762000</v>
      </c>
      <c r="DW253" s="856">
        <v>31431795</v>
      </c>
      <c r="DX253" s="856">
        <v>0</v>
      </c>
      <c r="DY253" s="857">
        <v>31431795</v>
      </c>
      <c r="DZ253" t="s">
        <v>1819</v>
      </c>
    </row>
    <row r="254" spans="1:130" ht="12.75" x14ac:dyDescent="0.2">
      <c r="A254" s="764">
        <v>247</v>
      </c>
      <c r="B254" s="765" t="s">
        <v>383</v>
      </c>
      <c r="C254" s="766" t="s">
        <v>529</v>
      </c>
      <c r="D254" s="767" t="s">
        <v>1218</v>
      </c>
      <c r="E254" s="768" t="s">
        <v>579</v>
      </c>
      <c r="F254" s="867">
        <v>43465</v>
      </c>
      <c r="G254" s="141">
        <v>267342022</v>
      </c>
      <c r="H254" s="141">
        <v>0</v>
      </c>
      <c r="I254" s="141">
        <v>267342022</v>
      </c>
      <c r="J254" s="141">
        <v>49.1</v>
      </c>
      <c r="K254" s="141">
        <v>131264933</v>
      </c>
      <c r="L254" s="141">
        <v>0</v>
      </c>
      <c r="M254" s="141">
        <v>5652921</v>
      </c>
      <c r="N254" s="141">
        <v>0</v>
      </c>
      <c r="O254" s="141">
        <v>136917854</v>
      </c>
      <c r="P254" s="141">
        <v>0</v>
      </c>
      <c r="Q254" s="141">
        <v>136917854</v>
      </c>
      <c r="R254" s="141">
        <v>-1026137</v>
      </c>
      <c r="S254" s="141">
        <v>0</v>
      </c>
      <c r="T254" s="141">
        <v>-1026137</v>
      </c>
      <c r="U254" s="141">
        <v>2445728</v>
      </c>
      <c r="V254" s="141">
        <v>0</v>
      </c>
      <c r="W254" s="141">
        <v>2445728</v>
      </c>
      <c r="X254" s="141">
        <v>1419591</v>
      </c>
      <c r="Y254" s="141">
        <v>0</v>
      </c>
      <c r="Z254" s="141">
        <v>0</v>
      </c>
      <c r="AA254" s="141">
        <v>0</v>
      </c>
      <c r="AB254" s="141">
        <v>1419591</v>
      </c>
      <c r="AC254" s="141">
        <v>0</v>
      </c>
      <c r="AD254" s="141">
        <v>1419591</v>
      </c>
      <c r="AE254" s="141">
        <v>-1419591</v>
      </c>
      <c r="AF254" s="141">
        <v>0</v>
      </c>
      <c r="AG254" s="141">
        <v>-1419591</v>
      </c>
      <c r="AH254" s="141">
        <v>-6152416</v>
      </c>
      <c r="AI254" s="141">
        <v>0</v>
      </c>
      <c r="AJ254" s="141">
        <v>-6152416</v>
      </c>
      <c r="AK254" s="141">
        <v>-17095</v>
      </c>
      <c r="AL254" s="141">
        <v>0</v>
      </c>
      <c r="AM254" s="141">
        <v>-17095</v>
      </c>
      <c r="AN254" s="141">
        <v>2730751</v>
      </c>
      <c r="AO254" s="141">
        <v>0</v>
      </c>
      <c r="AP254" s="141">
        <v>2730751</v>
      </c>
      <c r="AQ254" s="141">
        <v>-3421665</v>
      </c>
      <c r="AR254" s="141">
        <v>0</v>
      </c>
      <c r="AS254" s="141">
        <v>-3421665</v>
      </c>
      <c r="AT254" s="141">
        <v>-11830648</v>
      </c>
      <c r="AU254" s="141">
        <v>0</v>
      </c>
      <c r="AV254" s="141">
        <v>-11830648</v>
      </c>
      <c r="AW254" s="141">
        <v>-50747</v>
      </c>
      <c r="AX254" s="141">
        <v>0</v>
      </c>
      <c r="AY254" s="141">
        <v>-50747</v>
      </c>
      <c r="AZ254" s="141">
        <v>0</v>
      </c>
      <c r="BA254" s="141">
        <v>0</v>
      </c>
      <c r="BB254" s="141">
        <v>0</v>
      </c>
      <c r="BC254" s="141">
        <v>-15303060</v>
      </c>
      <c r="BD254" s="141">
        <v>0</v>
      </c>
      <c r="BE254" s="141">
        <v>0</v>
      </c>
      <c r="BF254" s="141">
        <v>0</v>
      </c>
      <c r="BG254" s="141">
        <v>-15303060</v>
      </c>
      <c r="BH254" s="141">
        <v>0</v>
      </c>
      <c r="BI254" s="141">
        <v>-15303060</v>
      </c>
      <c r="BJ254" s="141">
        <v>-50000</v>
      </c>
      <c r="BK254" s="141">
        <v>0</v>
      </c>
      <c r="BL254" s="141">
        <v>-50000</v>
      </c>
      <c r="BM254" s="141">
        <v>-1794096</v>
      </c>
      <c r="BN254" s="141">
        <v>0</v>
      </c>
      <c r="BO254" s="141">
        <v>-1794096</v>
      </c>
      <c r="BP254" s="141">
        <v>-1844096</v>
      </c>
      <c r="BQ254" s="141">
        <v>0</v>
      </c>
      <c r="BR254" s="141">
        <v>0</v>
      </c>
      <c r="BS254" s="141">
        <v>0</v>
      </c>
      <c r="BT254" s="141">
        <v>-1844096</v>
      </c>
      <c r="BU254" s="141">
        <v>0</v>
      </c>
      <c r="BV254" s="141">
        <v>-1844096</v>
      </c>
      <c r="BW254" s="141">
        <v>0</v>
      </c>
      <c r="BX254" s="141">
        <v>0</v>
      </c>
      <c r="BY254" s="141">
        <v>0</v>
      </c>
      <c r="BZ254" s="141">
        <v>-115350</v>
      </c>
      <c r="CA254" s="141">
        <v>0</v>
      </c>
      <c r="CB254" s="141">
        <v>-115350</v>
      </c>
      <c r="CC254" s="141">
        <v>0</v>
      </c>
      <c r="CD254" s="141">
        <v>0</v>
      </c>
      <c r="CE254" s="141">
        <v>0</v>
      </c>
      <c r="CF254" s="141">
        <v>0</v>
      </c>
      <c r="CG254" s="141">
        <v>0</v>
      </c>
      <c r="CH254" s="141">
        <v>0</v>
      </c>
      <c r="CI254" s="141">
        <v>0</v>
      </c>
      <c r="CJ254" s="141">
        <v>0</v>
      </c>
      <c r="CK254" s="141">
        <v>0</v>
      </c>
      <c r="CL254" s="141">
        <v>-50000</v>
      </c>
      <c r="CM254" s="141">
        <v>0</v>
      </c>
      <c r="CN254" s="141">
        <v>-50000</v>
      </c>
      <c r="CO254" s="141">
        <v>0</v>
      </c>
      <c r="CP254" s="141">
        <v>0</v>
      </c>
      <c r="CQ254" s="141">
        <v>-165350</v>
      </c>
      <c r="CR254" s="141">
        <v>0</v>
      </c>
      <c r="CS254" s="141">
        <v>0</v>
      </c>
      <c r="CT254" s="141">
        <v>0</v>
      </c>
      <c r="CU254" s="141">
        <v>-165350</v>
      </c>
      <c r="CV254" s="141">
        <v>0</v>
      </c>
      <c r="CW254" s="141">
        <v>-165350</v>
      </c>
      <c r="CX254" s="141">
        <v>0</v>
      </c>
      <c r="CY254" s="141">
        <v>0</v>
      </c>
      <c r="CZ254" s="141">
        <v>0</v>
      </c>
      <c r="DA254" s="141">
        <v>0</v>
      </c>
      <c r="DB254" s="141">
        <v>0</v>
      </c>
      <c r="DC254" s="141">
        <v>0</v>
      </c>
      <c r="DD254" s="141">
        <v>-15895</v>
      </c>
      <c r="DE254" s="141">
        <v>0</v>
      </c>
      <c r="DF254" s="141">
        <v>-15895</v>
      </c>
      <c r="DG254" s="141">
        <v>-83000</v>
      </c>
      <c r="DH254" s="141">
        <v>0</v>
      </c>
      <c r="DI254" s="141">
        <v>-83000</v>
      </c>
      <c r="DJ254" s="141">
        <v>0</v>
      </c>
      <c r="DK254" s="141">
        <v>0</v>
      </c>
      <c r="DL254" s="141">
        <v>0</v>
      </c>
      <c r="DM254" s="141">
        <v>-2480217</v>
      </c>
      <c r="DN254" s="141">
        <v>0</v>
      </c>
      <c r="DO254" s="141">
        <v>-2480217</v>
      </c>
      <c r="DP254" s="141">
        <v>-2579112</v>
      </c>
      <c r="DQ254" s="141">
        <v>0</v>
      </c>
      <c r="DR254" s="141">
        <v>0</v>
      </c>
      <c r="DS254" s="141">
        <v>0</v>
      </c>
      <c r="DT254" s="141">
        <v>-2579112</v>
      </c>
      <c r="DU254" s="141">
        <v>0</v>
      </c>
      <c r="DV254" s="141">
        <v>-2579112</v>
      </c>
      <c r="DW254" s="856">
        <v>118445827</v>
      </c>
      <c r="DX254" s="856">
        <v>0</v>
      </c>
      <c r="DY254" s="857">
        <v>118445827</v>
      </c>
      <c r="DZ254" t="s">
        <v>1820</v>
      </c>
    </row>
    <row r="255" spans="1:130" ht="12.75" x14ac:dyDescent="0.2">
      <c r="A255" s="764">
        <v>248</v>
      </c>
      <c r="B255" s="765" t="s">
        <v>385</v>
      </c>
      <c r="C255" s="766" t="s">
        <v>529</v>
      </c>
      <c r="D255" s="767" t="s">
        <v>1221</v>
      </c>
      <c r="E255" s="768" t="s">
        <v>572</v>
      </c>
      <c r="F255" s="867">
        <v>43468</v>
      </c>
      <c r="G255" s="141">
        <v>122142253</v>
      </c>
      <c r="H255" s="141">
        <v>0</v>
      </c>
      <c r="I255" s="141">
        <v>122142253</v>
      </c>
      <c r="J255" s="141">
        <v>49.1</v>
      </c>
      <c r="K255" s="141">
        <v>59971846</v>
      </c>
      <c r="L255" s="141">
        <v>0</v>
      </c>
      <c r="M255" s="141">
        <v>0</v>
      </c>
      <c r="N255" s="141">
        <v>0</v>
      </c>
      <c r="O255" s="141">
        <v>59971846</v>
      </c>
      <c r="P255" s="141">
        <v>0</v>
      </c>
      <c r="Q255" s="141">
        <v>59971846</v>
      </c>
      <c r="R255" s="141">
        <v>-681990</v>
      </c>
      <c r="S255" s="141">
        <v>0</v>
      </c>
      <c r="T255" s="141">
        <v>-681990</v>
      </c>
      <c r="U255" s="141">
        <v>1180220</v>
      </c>
      <c r="V255" s="141">
        <v>0</v>
      </c>
      <c r="W255" s="141">
        <v>1180220</v>
      </c>
      <c r="X255" s="141">
        <v>498230</v>
      </c>
      <c r="Y255" s="141">
        <v>0</v>
      </c>
      <c r="Z255" s="141">
        <v>0</v>
      </c>
      <c r="AA255" s="141">
        <v>0</v>
      </c>
      <c r="AB255" s="141">
        <v>498230</v>
      </c>
      <c r="AC255" s="141">
        <v>0</v>
      </c>
      <c r="AD255" s="141">
        <v>498230</v>
      </c>
      <c r="AE255" s="141">
        <v>-498230</v>
      </c>
      <c r="AF255" s="141">
        <v>0</v>
      </c>
      <c r="AG255" s="141">
        <v>-498230</v>
      </c>
      <c r="AH255" s="141">
        <v>-7466075</v>
      </c>
      <c r="AI255" s="141">
        <v>0</v>
      </c>
      <c r="AJ255" s="141">
        <v>-7466075</v>
      </c>
      <c r="AK255" s="141">
        <v>-24353</v>
      </c>
      <c r="AL255" s="141">
        <v>0</v>
      </c>
      <c r="AM255" s="141">
        <v>-24353</v>
      </c>
      <c r="AN255" s="141">
        <v>994574</v>
      </c>
      <c r="AO255" s="141">
        <v>0</v>
      </c>
      <c r="AP255" s="141">
        <v>994574</v>
      </c>
      <c r="AQ255" s="141">
        <v>-6471501</v>
      </c>
      <c r="AR255" s="141">
        <v>0</v>
      </c>
      <c r="AS255" s="141">
        <v>-6471501</v>
      </c>
      <c r="AT255" s="141">
        <v>-5045024</v>
      </c>
      <c r="AU255" s="141">
        <v>0</v>
      </c>
      <c r="AV255" s="141">
        <v>-5045024</v>
      </c>
      <c r="AW255" s="141">
        <v>-52515</v>
      </c>
      <c r="AX255" s="141">
        <v>0</v>
      </c>
      <c r="AY255" s="141">
        <v>-52515</v>
      </c>
      <c r="AZ255" s="141">
        <v>0</v>
      </c>
      <c r="BA255" s="141">
        <v>0</v>
      </c>
      <c r="BB255" s="141">
        <v>0</v>
      </c>
      <c r="BC255" s="141">
        <v>-11569040</v>
      </c>
      <c r="BD255" s="141">
        <v>0</v>
      </c>
      <c r="BE255" s="141">
        <v>0</v>
      </c>
      <c r="BF255" s="141">
        <v>0</v>
      </c>
      <c r="BG255" s="141">
        <v>-11569040</v>
      </c>
      <c r="BH255" s="141">
        <v>0</v>
      </c>
      <c r="BI255" s="141">
        <v>-11569040</v>
      </c>
      <c r="BJ255" s="141">
        <v>0</v>
      </c>
      <c r="BK255" s="141">
        <v>0</v>
      </c>
      <c r="BL255" s="141">
        <v>0</v>
      </c>
      <c r="BM255" s="141">
        <v>-675313</v>
      </c>
      <c r="BN255" s="141">
        <v>0</v>
      </c>
      <c r="BO255" s="141">
        <v>-675313</v>
      </c>
      <c r="BP255" s="141">
        <v>-675313</v>
      </c>
      <c r="BQ255" s="141">
        <v>0</v>
      </c>
      <c r="BR255" s="141">
        <v>-685000</v>
      </c>
      <c r="BS255" s="141">
        <v>0</v>
      </c>
      <c r="BT255" s="141">
        <v>-1360313</v>
      </c>
      <c r="BU255" s="141">
        <v>0</v>
      </c>
      <c r="BV255" s="141">
        <v>-1360313</v>
      </c>
      <c r="BW255" s="141">
        <v>-72017</v>
      </c>
      <c r="BX255" s="141">
        <v>0</v>
      </c>
      <c r="BY255" s="141">
        <v>-72017</v>
      </c>
      <c r="BZ255" s="141">
        <v>-44424</v>
      </c>
      <c r="CA255" s="141">
        <v>0</v>
      </c>
      <c r="CB255" s="141">
        <v>-44424</v>
      </c>
      <c r="CC255" s="141">
        <v>-3781</v>
      </c>
      <c r="CD255" s="141">
        <v>0</v>
      </c>
      <c r="CE255" s="141">
        <v>-3781</v>
      </c>
      <c r="CF255" s="141">
        <v>0</v>
      </c>
      <c r="CG255" s="141">
        <v>0</v>
      </c>
      <c r="CH255" s="141">
        <v>0</v>
      </c>
      <c r="CI255" s="141">
        <v>0</v>
      </c>
      <c r="CJ255" s="141">
        <v>0</v>
      </c>
      <c r="CK255" s="141">
        <v>0</v>
      </c>
      <c r="CL255" s="141">
        <v>0</v>
      </c>
      <c r="CM255" s="141">
        <v>0</v>
      </c>
      <c r="CN255" s="141">
        <v>0</v>
      </c>
      <c r="CO255" s="141">
        <v>0</v>
      </c>
      <c r="CP255" s="141">
        <v>0</v>
      </c>
      <c r="CQ255" s="141">
        <v>-120222</v>
      </c>
      <c r="CR255" s="141">
        <v>0</v>
      </c>
      <c r="CS255" s="141">
        <v>0</v>
      </c>
      <c r="CT255" s="141">
        <v>0</v>
      </c>
      <c r="CU255" s="141">
        <v>-120222</v>
      </c>
      <c r="CV255" s="141">
        <v>0</v>
      </c>
      <c r="CW255" s="141">
        <v>-120222</v>
      </c>
      <c r="CX255" s="141">
        <v>0</v>
      </c>
      <c r="CY255" s="141">
        <v>0</v>
      </c>
      <c r="CZ255" s="141">
        <v>0</v>
      </c>
      <c r="DA255" s="141">
        <v>0</v>
      </c>
      <c r="DB255" s="141">
        <v>0</v>
      </c>
      <c r="DC255" s="141">
        <v>0</v>
      </c>
      <c r="DD255" s="141">
        <v>-22948</v>
      </c>
      <c r="DE255" s="141">
        <v>0</v>
      </c>
      <c r="DF255" s="141">
        <v>-22948</v>
      </c>
      <c r="DG255" s="141">
        <v>-64468</v>
      </c>
      <c r="DH255" s="141">
        <v>0</v>
      </c>
      <c r="DI255" s="141">
        <v>-64468</v>
      </c>
      <c r="DJ255" s="141">
        <v>0</v>
      </c>
      <c r="DK255" s="141">
        <v>0</v>
      </c>
      <c r="DL255" s="141">
        <v>0</v>
      </c>
      <c r="DM255" s="141">
        <v>-1087963</v>
      </c>
      <c r="DN255" s="141">
        <v>0</v>
      </c>
      <c r="DO255" s="141">
        <v>-1087963</v>
      </c>
      <c r="DP255" s="141">
        <v>-1175379</v>
      </c>
      <c r="DQ255" s="141">
        <v>0</v>
      </c>
      <c r="DR255" s="141">
        <v>0</v>
      </c>
      <c r="DS255" s="141">
        <v>0</v>
      </c>
      <c r="DT255" s="141">
        <v>-1175379</v>
      </c>
      <c r="DU255" s="141">
        <v>0</v>
      </c>
      <c r="DV255" s="141">
        <v>-1175379</v>
      </c>
      <c r="DW255" s="856">
        <v>46245122</v>
      </c>
      <c r="DX255" s="856">
        <v>0</v>
      </c>
      <c r="DY255" s="857">
        <v>46245122</v>
      </c>
      <c r="DZ255" t="s">
        <v>1821</v>
      </c>
    </row>
    <row r="256" spans="1:130" ht="12.75" x14ac:dyDescent="0.2">
      <c r="A256" s="764">
        <v>249</v>
      </c>
      <c r="B256" s="765" t="s">
        <v>387</v>
      </c>
      <c r="C256" s="766" t="s">
        <v>1228</v>
      </c>
      <c r="D256" s="767" t="s">
        <v>1223</v>
      </c>
      <c r="E256" s="768" t="s">
        <v>386</v>
      </c>
      <c r="F256" s="867">
        <v>43465</v>
      </c>
      <c r="G256" s="141">
        <v>769646719</v>
      </c>
      <c r="H256" s="141">
        <v>0</v>
      </c>
      <c r="I256" s="141">
        <v>769646719</v>
      </c>
      <c r="J256" s="141">
        <v>49.1</v>
      </c>
      <c r="K256" s="141">
        <v>377896539</v>
      </c>
      <c r="L256" s="141">
        <v>0</v>
      </c>
      <c r="M256" s="141">
        <v>13200000</v>
      </c>
      <c r="N256" s="141">
        <v>0</v>
      </c>
      <c r="O256" s="141">
        <v>391096539</v>
      </c>
      <c r="P256" s="141">
        <v>0</v>
      </c>
      <c r="Q256" s="141">
        <v>391096539</v>
      </c>
      <c r="R256" s="141">
        <v>-10593929</v>
      </c>
      <c r="S256" s="141">
        <v>0</v>
      </c>
      <c r="T256" s="141">
        <v>-10593929</v>
      </c>
      <c r="U256" s="141">
        <v>742580</v>
      </c>
      <c r="V256" s="141">
        <v>0</v>
      </c>
      <c r="W256" s="141">
        <v>742580</v>
      </c>
      <c r="X256" s="141">
        <v>-9851349</v>
      </c>
      <c r="Y256" s="141">
        <v>0</v>
      </c>
      <c r="Z256" s="141">
        <v>0</v>
      </c>
      <c r="AA256" s="141">
        <v>0</v>
      </c>
      <c r="AB256" s="141">
        <v>-9851349</v>
      </c>
      <c r="AC256" s="141">
        <v>0</v>
      </c>
      <c r="AD256" s="141">
        <v>-9851349</v>
      </c>
      <c r="AE256" s="141">
        <v>9851349</v>
      </c>
      <c r="AF256" s="141">
        <v>0</v>
      </c>
      <c r="AG256" s="141">
        <v>9851349</v>
      </c>
      <c r="AH256" s="141">
        <v>-8393706</v>
      </c>
      <c r="AI256" s="141">
        <v>0</v>
      </c>
      <c r="AJ256" s="141">
        <v>-8393706</v>
      </c>
      <c r="AK256" s="141">
        <v>-26797</v>
      </c>
      <c r="AL256" s="141">
        <v>0</v>
      </c>
      <c r="AM256" s="141">
        <v>-26797</v>
      </c>
      <c r="AN256" s="141">
        <v>8382448</v>
      </c>
      <c r="AO256" s="141">
        <v>0</v>
      </c>
      <c r="AP256" s="141">
        <v>8382448</v>
      </c>
      <c r="AQ256" s="141">
        <v>-11258</v>
      </c>
      <c r="AR256" s="141">
        <v>0</v>
      </c>
      <c r="AS256" s="141">
        <v>-11258</v>
      </c>
      <c r="AT256" s="141">
        <v>-35297038</v>
      </c>
      <c r="AU256" s="141">
        <v>0</v>
      </c>
      <c r="AV256" s="141">
        <v>-35297038</v>
      </c>
      <c r="AW256" s="141">
        <v>-38943</v>
      </c>
      <c r="AX256" s="141">
        <v>0</v>
      </c>
      <c r="AY256" s="141">
        <v>-38943</v>
      </c>
      <c r="AZ256" s="141">
        <v>0</v>
      </c>
      <c r="BA256" s="141">
        <v>0</v>
      </c>
      <c r="BB256" s="141">
        <v>0</v>
      </c>
      <c r="BC256" s="141">
        <v>-35347239</v>
      </c>
      <c r="BD256" s="141">
        <v>0</v>
      </c>
      <c r="BE256" s="141">
        <v>0</v>
      </c>
      <c r="BF256" s="141">
        <v>0</v>
      </c>
      <c r="BG256" s="141">
        <v>-35347239</v>
      </c>
      <c r="BH256" s="141">
        <v>0</v>
      </c>
      <c r="BI256" s="141">
        <v>-35347239</v>
      </c>
      <c r="BJ256" s="141">
        <v>0</v>
      </c>
      <c r="BK256" s="141">
        <v>0</v>
      </c>
      <c r="BL256" s="141">
        <v>0</v>
      </c>
      <c r="BM256" s="141">
        <v>-8584345</v>
      </c>
      <c r="BN256" s="141">
        <v>0</v>
      </c>
      <c r="BO256" s="141">
        <v>-8584345</v>
      </c>
      <c r="BP256" s="141">
        <v>-8584345</v>
      </c>
      <c r="BQ256" s="141">
        <v>0</v>
      </c>
      <c r="BR256" s="141">
        <v>0</v>
      </c>
      <c r="BS256" s="141">
        <v>0</v>
      </c>
      <c r="BT256" s="141">
        <v>-8584345</v>
      </c>
      <c r="BU256" s="141">
        <v>0</v>
      </c>
      <c r="BV256" s="141">
        <v>-8584345</v>
      </c>
      <c r="BW256" s="141">
        <v>-367165</v>
      </c>
      <c r="BX256" s="141">
        <v>0</v>
      </c>
      <c r="BY256" s="141">
        <v>-367165</v>
      </c>
      <c r="BZ256" s="141">
        <v>-67251</v>
      </c>
      <c r="CA256" s="141">
        <v>0</v>
      </c>
      <c r="CB256" s="141">
        <v>-67251</v>
      </c>
      <c r="CC256" s="141">
        <v>0</v>
      </c>
      <c r="CD256" s="141">
        <v>0</v>
      </c>
      <c r="CE256" s="141">
        <v>0</v>
      </c>
      <c r="CF256" s="141">
        <v>0</v>
      </c>
      <c r="CG256" s="141">
        <v>0</v>
      </c>
      <c r="CH256" s="141">
        <v>0</v>
      </c>
      <c r="CI256" s="141">
        <v>0</v>
      </c>
      <c r="CJ256" s="141">
        <v>0</v>
      </c>
      <c r="CK256" s="141">
        <v>0</v>
      </c>
      <c r="CL256" s="141">
        <v>0</v>
      </c>
      <c r="CM256" s="141">
        <v>0</v>
      </c>
      <c r="CN256" s="141">
        <v>0</v>
      </c>
      <c r="CO256" s="141">
        <v>0</v>
      </c>
      <c r="CP256" s="141">
        <v>0</v>
      </c>
      <c r="CQ256" s="141">
        <v>-434416</v>
      </c>
      <c r="CR256" s="141">
        <v>0</v>
      </c>
      <c r="CS256" s="141">
        <v>0</v>
      </c>
      <c r="CT256" s="141">
        <v>0</v>
      </c>
      <c r="CU256" s="141">
        <v>-434416</v>
      </c>
      <c r="CV256" s="141">
        <v>0</v>
      </c>
      <c r="CW256" s="141">
        <v>-434416</v>
      </c>
      <c r="CX256" s="141">
        <v>0</v>
      </c>
      <c r="CY256" s="141">
        <v>0</v>
      </c>
      <c r="CZ256" s="141">
        <v>0</v>
      </c>
      <c r="DA256" s="141">
        <v>0</v>
      </c>
      <c r="DB256" s="141">
        <v>0</v>
      </c>
      <c r="DC256" s="141">
        <v>0</v>
      </c>
      <c r="DD256" s="141">
        <v>-428694</v>
      </c>
      <c r="DE256" s="141">
        <v>0</v>
      </c>
      <c r="DF256" s="141">
        <v>-428694</v>
      </c>
      <c r="DG256" s="141">
        <v>-800000</v>
      </c>
      <c r="DH256" s="141">
        <v>0</v>
      </c>
      <c r="DI256" s="141">
        <v>-800000</v>
      </c>
      <c r="DJ256" s="141">
        <v>0</v>
      </c>
      <c r="DK256" s="141">
        <v>0</v>
      </c>
      <c r="DL256" s="141">
        <v>0</v>
      </c>
      <c r="DM256" s="141">
        <v>-4137987</v>
      </c>
      <c r="DN256" s="141">
        <v>0</v>
      </c>
      <c r="DO256" s="141">
        <v>-4137987</v>
      </c>
      <c r="DP256" s="141">
        <v>-5366681</v>
      </c>
      <c r="DQ256" s="141">
        <v>0</v>
      </c>
      <c r="DR256" s="141">
        <v>0</v>
      </c>
      <c r="DS256" s="141">
        <v>0</v>
      </c>
      <c r="DT256" s="141">
        <v>-5366681</v>
      </c>
      <c r="DU256" s="141">
        <v>0</v>
      </c>
      <c r="DV256" s="141">
        <v>-5366681</v>
      </c>
      <c r="DW256" s="856">
        <v>331512509</v>
      </c>
      <c r="DX256" s="856">
        <v>0</v>
      </c>
      <c r="DY256" s="857">
        <v>331512509</v>
      </c>
      <c r="DZ256" t="s">
        <v>1822</v>
      </c>
    </row>
    <row r="257" spans="1:130" ht="12.75" x14ac:dyDescent="0.2">
      <c r="A257" s="764">
        <v>250</v>
      </c>
      <c r="B257" s="765" t="s">
        <v>389</v>
      </c>
      <c r="C257" s="766" t="s">
        <v>1217</v>
      </c>
      <c r="D257" s="767" t="s">
        <v>1218</v>
      </c>
      <c r="E257" s="768" t="s">
        <v>388</v>
      </c>
      <c r="F257" s="867">
        <v>43458</v>
      </c>
      <c r="G257" s="141">
        <v>116636026</v>
      </c>
      <c r="H257" s="141">
        <v>0</v>
      </c>
      <c r="I257" s="141">
        <v>116636026</v>
      </c>
      <c r="J257" s="141">
        <v>49.1</v>
      </c>
      <c r="K257" s="141">
        <v>57268289</v>
      </c>
      <c r="L257" s="141">
        <v>0</v>
      </c>
      <c r="M257" s="141">
        <v>0</v>
      </c>
      <c r="N257" s="141">
        <v>0</v>
      </c>
      <c r="O257" s="141">
        <v>57268289</v>
      </c>
      <c r="P257" s="141">
        <v>0</v>
      </c>
      <c r="Q257" s="141">
        <v>57268289</v>
      </c>
      <c r="R257" s="141">
        <v>-476543</v>
      </c>
      <c r="S257" s="141">
        <v>0</v>
      </c>
      <c r="T257" s="141">
        <v>-476543</v>
      </c>
      <c r="U257" s="141">
        <v>227210</v>
      </c>
      <c r="V257" s="141">
        <v>0</v>
      </c>
      <c r="W257" s="141">
        <v>227210</v>
      </c>
      <c r="X257" s="141">
        <v>-249333</v>
      </c>
      <c r="Y257" s="141">
        <v>0</v>
      </c>
      <c r="Z257" s="141">
        <v>0</v>
      </c>
      <c r="AA257" s="141">
        <v>0</v>
      </c>
      <c r="AB257" s="141">
        <v>-249333</v>
      </c>
      <c r="AC257" s="141">
        <v>0</v>
      </c>
      <c r="AD257" s="141">
        <v>-249333</v>
      </c>
      <c r="AE257" s="141">
        <v>249333</v>
      </c>
      <c r="AF257" s="141">
        <v>0</v>
      </c>
      <c r="AG257" s="141">
        <v>249333</v>
      </c>
      <c r="AH257" s="141">
        <v>-2303922</v>
      </c>
      <c r="AI257" s="141">
        <v>0</v>
      </c>
      <c r="AJ257" s="141">
        <v>-2303922</v>
      </c>
      <c r="AK257" s="141">
        <v>0</v>
      </c>
      <c r="AL257" s="141">
        <v>0</v>
      </c>
      <c r="AM257" s="141">
        <v>0</v>
      </c>
      <c r="AN257" s="141">
        <v>1218882</v>
      </c>
      <c r="AO257" s="141">
        <v>0</v>
      </c>
      <c r="AP257" s="141">
        <v>1218882</v>
      </c>
      <c r="AQ257" s="141">
        <v>-1085040</v>
      </c>
      <c r="AR257" s="141">
        <v>0</v>
      </c>
      <c r="AS257" s="141">
        <v>-1085040</v>
      </c>
      <c r="AT257" s="141">
        <v>-2617820</v>
      </c>
      <c r="AU257" s="141">
        <v>0</v>
      </c>
      <c r="AV257" s="141">
        <v>-2617820</v>
      </c>
      <c r="AW257" s="141">
        <v>-15382</v>
      </c>
      <c r="AX257" s="141">
        <v>0</v>
      </c>
      <c r="AY257" s="141">
        <v>-15382</v>
      </c>
      <c r="AZ257" s="141">
        <v>0</v>
      </c>
      <c r="BA257" s="141">
        <v>0</v>
      </c>
      <c r="BB257" s="141">
        <v>0</v>
      </c>
      <c r="BC257" s="141">
        <v>-3718242</v>
      </c>
      <c r="BD257" s="141">
        <v>0</v>
      </c>
      <c r="BE257" s="141">
        <v>0</v>
      </c>
      <c r="BF257" s="141">
        <v>0</v>
      </c>
      <c r="BG257" s="141">
        <v>-3718242</v>
      </c>
      <c r="BH257" s="141">
        <v>0</v>
      </c>
      <c r="BI257" s="141">
        <v>-3718242</v>
      </c>
      <c r="BJ257" s="141">
        <v>0</v>
      </c>
      <c r="BK257" s="141">
        <v>0</v>
      </c>
      <c r="BL257" s="141">
        <v>0</v>
      </c>
      <c r="BM257" s="141">
        <v>-816589</v>
      </c>
      <c r="BN257" s="141">
        <v>0</v>
      </c>
      <c r="BO257" s="141">
        <v>-816589</v>
      </c>
      <c r="BP257" s="141">
        <v>-816589</v>
      </c>
      <c r="BQ257" s="141">
        <v>0</v>
      </c>
      <c r="BR257" s="141">
        <v>0</v>
      </c>
      <c r="BS257" s="141">
        <v>0</v>
      </c>
      <c r="BT257" s="141">
        <v>-816589</v>
      </c>
      <c r="BU257" s="141">
        <v>0</v>
      </c>
      <c r="BV257" s="141">
        <v>-816589</v>
      </c>
      <c r="BW257" s="141">
        <v>-48970</v>
      </c>
      <c r="BX257" s="141">
        <v>0</v>
      </c>
      <c r="BY257" s="141">
        <v>-48970</v>
      </c>
      <c r="BZ257" s="141">
        <v>-90000</v>
      </c>
      <c r="CA257" s="141">
        <v>0</v>
      </c>
      <c r="CB257" s="141">
        <v>-90000</v>
      </c>
      <c r="CC257" s="141">
        <v>-13205</v>
      </c>
      <c r="CD257" s="141">
        <v>0</v>
      </c>
      <c r="CE257" s="141">
        <v>-13205</v>
      </c>
      <c r="CF257" s="141">
        <v>0</v>
      </c>
      <c r="CG257" s="141">
        <v>0</v>
      </c>
      <c r="CH257" s="141">
        <v>0</v>
      </c>
      <c r="CI257" s="141">
        <v>0</v>
      </c>
      <c r="CJ257" s="141">
        <v>0</v>
      </c>
      <c r="CK257" s="141">
        <v>0</v>
      </c>
      <c r="CL257" s="141">
        <v>0</v>
      </c>
      <c r="CM257" s="141">
        <v>0</v>
      </c>
      <c r="CN257" s="141">
        <v>0</v>
      </c>
      <c r="CO257" s="141">
        <v>0</v>
      </c>
      <c r="CP257" s="141">
        <v>0</v>
      </c>
      <c r="CQ257" s="141">
        <v>-152175</v>
      </c>
      <c r="CR257" s="141">
        <v>0</v>
      </c>
      <c r="CS257" s="141">
        <v>0</v>
      </c>
      <c r="CT257" s="141">
        <v>0</v>
      </c>
      <c r="CU257" s="141">
        <v>-152175</v>
      </c>
      <c r="CV257" s="141">
        <v>0</v>
      </c>
      <c r="CW257" s="141">
        <v>-152175</v>
      </c>
      <c r="CX257" s="141">
        <v>0</v>
      </c>
      <c r="CY257" s="141">
        <v>0</v>
      </c>
      <c r="CZ257" s="141">
        <v>0</v>
      </c>
      <c r="DA257" s="141">
        <v>0</v>
      </c>
      <c r="DB257" s="141">
        <v>0</v>
      </c>
      <c r="DC257" s="141">
        <v>0</v>
      </c>
      <c r="DD257" s="141">
        <v>-20000</v>
      </c>
      <c r="DE257" s="141">
        <v>0</v>
      </c>
      <c r="DF257" s="141">
        <v>-20000</v>
      </c>
      <c r="DG257" s="141">
        <v>-70850</v>
      </c>
      <c r="DH257" s="141">
        <v>0</v>
      </c>
      <c r="DI257" s="141">
        <v>-70850</v>
      </c>
      <c r="DJ257" s="141">
        <v>0</v>
      </c>
      <c r="DK257" s="141">
        <v>0</v>
      </c>
      <c r="DL257" s="141">
        <v>0</v>
      </c>
      <c r="DM257" s="141">
        <v>-976109</v>
      </c>
      <c r="DN257" s="141">
        <v>0</v>
      </c>
      <c r="DO257" s="141">
        <v>-976109</v>
      </c>
      <c r="DP257" s="141">
        <v>-1066959</v>
      </c>
      <c r="DQ257" s="141">
        <v>0</v>
      </c>
      <c r="DR257" s="141">
        <v>0</v>
      </c>
      <c r="DS257" s="141">
        <v>0</v>
      </c>
      <c r="DT257" s="141">
        <v>-1066959</v>
      </c>
      <c r="DU257" s="141">
        <v>0</v>
      </c>
      <c r="DV257" s="141">
        <v>-1066959</v>
      </c>
      <c r="DW257" s="856">
        <v>51264991</v>
      </c>
      <c r="DX257" s="856">
        <v>0</v>
      </c>
      <c r="DY257" s="857">
        <v>51264991</v>
      </c>
      <c r="DZ257" t="s">
        <v>1823</v>
      </c>
    </row>
    <row r="258" spans="1:130" ht="12.75" x14ac:dyDescent="0.2">
      <c r="A258" s="764">
        <v>251</v>
      </c>
      <c r="B258" s="765" t="s">
        <v>391</v>
      </c>
      <c r="C258" s="766" t="s">
        <v>1217</v>
      </c>
      <c r="D258" s="767" t="s">
        <v>1221</v>
      </c>
      <c r="E258" s="768" t="s">
        <v>390</v>
      </c>
      <c r="F258" s="867">
        <v>43474</v>
      </c>
      <c r="G258" s="141">
        <v>145959797</v>
      </c>
      <c r="H258" s="141">
        <v>3658575</v>
      </c>
      <c r="I258" s="141">
        <v>149618372</v>
      </c>
      <c r="J258" s="141">
        <v>49.1</v>
      </c>
      <c r="K258" s="141">
        <v>71666260</v>
      </c>
      <c r="L258" s="141">
        <v>1796360</v>
      </c>
      <c r="M258" s="141">
        <v>-886269</v>
      </c>
      <c r="N258" s="141">
        <v>0</v>
      </c>
      <c r="O258" s="141">
        <v>70779991</v>
      </c>
      <c r="P258" s="141">
        <v>1796360</v>
      </c>
      <c r="Q258" s="141">
        <v>72576351</v>
      </c>
      <c r="R258" s="141">
        <v>-336038</v>
      </c>
      <c r="S258" s="141">
        <v>0</v>
      </c>
      <c r="T258" s="141">
        <v>-336038</v>
      </c>
      <c r="U258" s="141">
        <v>409555</v>
      </c>
      <c r="V258" s="141">
        <v>0</v>
      </c>
      <c r="W258" s="141">
        <v>409555</v>
      </c>
      <c r="X258" s="141">
        <v>73517</v>
      </c>
      <c r="Y258" s="141">
        <v>0</v>
      </c>
      <c r="Z258" s="141">
        <v>0</v>
      </c>
      <c r="AA258" s="141">
        <v>0</v>
      </c>
      <c r="AB258" s="141">
        <v>73517</v>
      </c>
      <c r="AC258" s="141">
        <v>0</v>
      </c>
      <c r="AD258" s="141">
        <v>73517</v>
      </c>
      <c r="AE258" s="141">
        <v>-73517</v>
      </c>
      <c r="AF258" s="141">
        <v>0</v>
      </c>
      <c r="AG258" s="141">
        <v>-73517</v>
      </c>
      <c r="AH258" s="141">
        <v>-3209676</v>
      </c>
      <c r="AI258" s="141">
        <v>-31630</v>
      </c>
      <c r="AJ258" s="141">
        <v>-3241306</v>
      </c>
      <c r="AK258" s="141">
        <v>0</v>
      </c>
      <c r="AL258" s="141">
        <v>0</v>
      </c>
      <c r="AM258" s="141">
        <v>0</v>
      </c>
      <c r="AN258" s="141">
        <v>1352830</v>
      </c>
      <c r="AO258" s="141">
        <v>43882</v>
      </c>
      <c r="AP258" s="141">
        <v>1396712</v>
      </c>
      <c r="AQ258" s="141">
        <v>-1856846</v>
      </c>
      <c r="AR258" s="141">
        <v>12252</v>
      </c>
      <c r="AS258" s="141">
        <v>-1844594</v>
      </c>
      <c r="AT258" s="141">
        <v>-4675331</v>
      </c>
      <c r="AU258" s="141">
        <v>-1209600</v>
      </c>
      <c r="AV258" s="141">
        <v>-5884931</v>
      </c>
      <c r="AW258" s="141">
        <v>-96185</v>
      </c>
      <c r="AX258" s="141">
        <v>0</v>
      </c>
      <c r="AY258" s="141">
        <v>-96185</v>
      </c>
      <c r="AZ258" s="141">
        <v>0</v>
      </c>
      <c r="BA258" s="141">
        <v>0</v>
      </c>
      <c r="BB258" s="141">
        <v>0</v>
      </c>
      <c r="BC258" s="141">
        <v>-6628362</v>
      </c>
      <c r="BD258" s="141">
        <v>-1197348</v>
      </c>
      <c r="BE258" s="141">
        <v>0</v>
      </c>
      <c r="BF258" s="141">
        <v>0</v>
      </c>
      <c r="BG258" s="141">
        <v>-6628362</v>
      </c>
      <c r="BH258" s="141">
        <v>-1197348</v>
      </c>
      <c r="BI258" s="141">
        <v>-7825710</v>
      </c>
      <c r="BJ258" s="141">
        <v>0</v>
      </c>
      <c r="BK258" s="141">
        <v>0</v>
      </c>
      <c r="BL258" s="141">
        <v>0</v>
      </c>
      <c r="BM258" s="141">
        <v>-1356471</v>
      </c>
      <c r="BN258" s="141">
        <v>-2725</v>
      </c>
      <c r="BO258" s="141">
        <v>-1359196</v>
      </c>
      <c r="BP258" s="141">
        <v>-1356471</v>
      </c>
      <c r="BQ258" s="141">
        <v>-2725</v>
      </c>
      <c r="BR258" s="141">
        <v>0</v>
      </c>
      <c r="BS258" s="141">
        <v>0</v>
      </c>
      <c r="BT258" s="141">
        <v>-1356471</v>
      </c>
      <c r="BU258" s="141">
        <v>-2725</v>
      </c>
      <c r="BV258" s="141">
        <v>-1359196</v>
      </c>
      <c r="BW258" s="141">
        <v>-141513</v>
      </c>
      <c r="BX258" s="141">
        <v>0</v>
      </c>
      <c r="BY258" s="141">
        <v>-141513</v>
      </c>
      <c r="BZ258" s="141">
        <v>-19495</v>
      </c>
      <c r="CA258" s="141">
        <v>0</v>
      </c>
      <c r="CB258" s="141">
        <v>-19495</v>
      </c>
      <c r="CC258" s="141">
        <v>0</v>
      </c>
      <c r="CD258" s="141">
        <v>0</v>
      </c>
      <c r="CE258" s="141">
        <v>0</v>
      </c>
      <c r="CF258" s="141">
        <v>0</v>
      </c>
      <c r="CG258" s="141">
        <v>0</v>
      </c>
      <c r="CH258" s="141">
        <v>0</v>
      </c>
      <c r="CI258" s="141">
        <v>0</v>
      </c>
      <c r="CJ258" s="141">
        <v>0</v>
      </c>
      <c r="CK258" s="141">
        <v>0</v>
      </c>
      <c r="CL258" s="141">
        <v>0</v>
      </c>
      <c r="CM258" s="141">
        <v>0</v>
      </c>
      <c r="CN258" s="141">
        <v>0</v>
      </c>
      <c r="CO258" s="141">
        <v>0</v>
      </c>
      <c r="CP258" s="141">
        <v>0</v>
      </c>
      <c r="CQ258" s="141">
        <v>-161008</v>
      </c>
      <c r="CR258" s="141">
        <v>0</v>
      </c>
      <c r="CS258" s="141">
        <v>0</v>
      </c>
      <c r="CT258" s="141">
        <v>0</v>
      </c>
      <c r="CU258" s="141">
        <v>-161008</v>
      </c>
      <c r="CV258" s="141">
        <v>0</v>
      </c>
      <c r="CW258" s="141">
        <v>-161008</v>
      </c>
      <c r="CX258" s="141">
        <v>0</v>
      </c>
      <c r="CY258" s="141">
        <v>0</v>
      </c>
      <c r="CZ258" s="141">
        <v>0</v>
      </c>
      <c r="DA258" s="141">
        <v>-1500</v>
      </c>
      <c r="DB258" s="141">
        <v>0</v>
      </c>
      <c r="DC258" s="141">
        <v>-1500</v>
      </c>
      <c r="DD258" s="141">
        <v>-13847</v>
      </c>
      <c r="DE258" s="141">
        <v>0</v>
      </c>
      <c r="DF258" s="141">
        <v>-13847</v>
      </c>
      <c r="DG258" s="141">
        <v>-49758</v>
      </c>
      <c r="DH258" s="141">
        <v>0</v>
      </c>
      <c r="DI258" s="141">
        <v>-49758</v>
      </c>
      <c r="DJ258" s="141">
        <v>0</v>
      </c>
      <c r="DK258" s="141">
        <v>0</v>
      </c>
      <c r="DL258" s="141">
        <v>0</v>
      </c>
      <c r="DM258" s="141">
        <v>-1918969</v>
      </c>
      <c r="DN258" s="141">
        <v>0</v>
      </c>
      <c r="DO258" s="141">
        <v>-1918969</v>
      </c>
      <c r="DP258" s="141">
        <v>-1984074</v>
      </c>
      <c r="DQ258" s="141">
        <v>0</v>
      </c>
      <c r="DR258" s="141">
        <v>0</v>
      </c>
      <c r="DS258" s="141">
        <v>0</v>
      </c>
      <c r="DT258" s="141">
        <v>-1984074</v>
      </c>
      <c r="DU258" s="141">
        <v>0</v>
      </c>
      <c r="DV258" s="141">
        <v>-1984074</v>
      </c>
      <c r="DW258" s="856">
        <v>60723593</v>
      </c>
      <c r="DX258" s="856">
        <v>596287</v>
      </c>
      <c r="DY258" s="857">
        <v>61319880</v>
      </c>
      <c r="DZ258" t="s">
        <v>1824</v>
      </c>
    </row>
    <row r="259" spans="1:130" ht="12.75" x14ac:dyDescent="0.2">
      <c r="A259" s="764">
        <v>252</v>
      </c>
      <c r="B259" s="765" t="s">
        <v>395</v>
      </c>
      <c r="C259" s="766" t="s">
        <v>1224</v>
      </c>
      <c r="D259" s="767" t="s">
        <v>1219</v>
      </c>
      <c r="E259" s="768" t="s">
        <v>895</v>
      </c>
      <c r="F259" s="867">
        <v>43475</v>
      </c>
      <c r="G259" s="141">
        <v>129178559</v>
      </c>
      <c r="H259" s="141">
        <v>0</v>
      </c>
      <c r="I259" s="141">
        <v>129178559</v>
      </c>
      <c r="J259" s="141">
        <v>49.1</v>
      </c>
      <c r="K259" s="141">
        <v>63426672</v>
      </c>
      <c r="L259" s="141">
        <v>0</v>
      </c>
      <c r="M259" s="141">
        <v>-250000</v>
      </c>
      <c r="N259" s="141">
        <v>0</v>
      </c>
      <c r="O259" s="141">
        <v>63176672</v>
      </c>
      <c r="P259" s="141">
        <v>0</v>
      </c>
      <c r="Q259" s="141">
        <v>63176672</v>
      </c>
      <c r="R259" s="141">
        <v>-353982</v>
      </c>
      <c r="S259" s="141">
        <v>0</v>
      </c>
      <c r="T259" s="141">
        <v>-353982</v>
      </c>
      <c r="U259" s="141">
        <v>1240306</v>
      </c>
      <c r="V259" s="141">
        <v>0</v>
      </c>
      <c r="W259" s="141">
        <v>1240306</v>
      </c>
      <c r="X259" s="141">
        <v>886324</v>
      </c>
      <c r="Y259" s="141">
        <v>0</v>
      </c>
      <c r="Z259" s="141">
        <v>0</v>
      </c>
      <c r="AA259" s="141">
        <v>0</v>
      </c>
      <c r="AB259" s="141">
        <v>886324</v>
      </c>
      <c r="AC259" s="141">
        <v>0</v>
      </c>
      <c r="AD259" s="141">
        <v>886324</v>
      </c>
      <c r="AE259" s="141">
        <v>-886324</v>
      </c>
      <c r="AF259" s="141">
        <v>0</v>
      </c>
      <c r="AG259" s="141">
        <v>-886324</v>
      </c>
      <c r="AH259" s="141">
        <v>-5266265</v>
      </c>
      <c r="AI259" s="141">
        <v>0</v>
      </c>
      <c r="AJ259" s="141">
        <v>-5266265</v>
      </c>
      <c r="AK259" s="141">
        <v>-8967</v>
      </c>
      <c r="AL259" s="141">
        <v>0</v>
      </c>
      <c r="AM259" s="141">
        <v>-8967</v>
      </c>
      <c r="AN259" s="141">
        <v>1207763</v>
      </c>
      <c r="AO259" s="141">
        <v>0</v>
      </c>
      <c r="AP259" s="141">
        <v>1207763</v>
      </c>
      <c r="AQ259" s="141">
        <v>-4058502</v>
      </c>
      <c r="AR259" s="141">
        <v>0</v>
      </c>
      <c r="AS259" s="141">
        <v>-4058502</v>
      </c>
      <c r="AT259" s="141">
        <v>-3642563</v>
      </c>
      <c r="AU259" s="141">
        <v>0</v>
      </c>
      <c r="AV259" s="141">
        <v>-3642563</v>
      </c>
      <c r="AW259" s="141">
        <v>-72727</v>
      </c>
      <c r="AX259" s="141">
        <v>0</v>
      </c>
      <c r="AY259" s="141">
        <v>-72727</v>
      </c>
      <c r="AZ259" s="141">
        <v>0</v>
      </c>
      <c r="BA259" s="141">
        <v>0</v>
      </c>
      <c r="BB259" s="141">
        <v>0</v>
      </c>
      <c r="BC259" s="141">
        <v>-7773792</v>
      </c>
      <c r="BD259" s="141">
        <v>0</v>
      </c>
      <c r="BE259" s="141">
        <v>0</v>
      </c>
      <c r="BF259" s="141">
        <v>0</v>
      </c>
      <c r="BG259" s="141">
        <v>-7773792</v>
      </c>
      <c r="BH259" s="141">
        <v>0</v>
      </c>
      <c r="BI259" s="141">
        <v>-7773792</v>
      </c>
      <c r="BJ259" s="141">
        <v>-50000</v>
      </c>
      <c r="BK259" s="141">
        <v>0</v>
      </c>
      <c r="BL259" s="141">
        <v>-50000</v>
      </c>
      <c r="BM259" s="141">
        <v>-2461727</v>
      </c>
      <c r="BN259" s="141">
        <v>0</v>
      </c>
      <c r="BO259" s="141">
        <v>-2461727</v>
      </c>
      <c r="BP259" s="141">
        <v>-2511727</v>
      </c>
      <c r="BQ259" s="141">
        <v>0</v>
      </c>
      <c r="BR259" s="141">
        <v>22682</v>
      </c>
      <c r="BS259" s="141">
        <v>0</v>
      </c>
      <c r="BT259" s="141">
        <v>-2489045</v>
      </c>
      <c r="BU259" s="141">
        <v>0</v>
      </c>
      <c r="BV259" s="141">
        <v>-2489045</v>
      </c>
      <c r="BW259" s="141">
        <v>-282744</v>
      </c>
      <c r="BX259" s="141">
        <v>0</v>
      </c>
      <c r="BY259" s="141">
        <v>-282744</v>
      </c>
      <c r="BZ259" s="141">
        <v>-33535</v>
      </c>
      <c r="CA259" s="141">
        <v>0</v>
      </c>
      <c r="CB259" s="141">
        <v>-33535</v>
      </c>
      <c r="CC259" s="141">
        <v>-11486</v>
      </c>
      <c r="CD259" s="141">
        <v>0</v>
      </c>
      <c r="CE259" s="141">
        <v>-11486</v>
      </c>
      <c r="CF259" s="141">
        <v>0</v>
      </c>
      <c r="CG259" s="141">
        <v>0</v>
      </c>
      <c r="CH259" s="141">
        <v>0</v>
      </c>
      <c r="CI259" s="141">
        <v>0</v>
      </c>
      <c r="CJ259" s="141">
        <v>0</v>
      </c>
      <c r="CK259" s="141">
        <v>0</v>
      </c>
      <c r="CL259" s="141">
        <v>-6120</v>
      </c>
      <c r="CM259" s="141">
        <v>0</v>
      </c>
      <c r="CN259" s="141">
        <v>-6120</v>
      </c>
      <c r="CO259" s="141">
        <v>0</v>
      </c>
      <c r="CP259" s="141">
        <v>0</v>
      </c>
      <c r="CQ259" s="141">
        <v>-333885</v>
      </c>
      <c r="CR259" s="141">
        <v>0</v>
      </c>
      <c r="CS259" s="141">
        <v>0</v>
      </c>
      <c r="CT259" s="141">
        <v>0</v>
      </c>
      <c r="CU259" s="141">
        <v>-333885</v>
      </c>
      <c r="CV259" s="141">
        <v>0</v>
      </c>
      <c r="CW259" s="141">
        <v>-333885</v>
      </c>
      <c r="CX259" s="141">
        <v>0</v>
      </c>
      <c r="CY259" s="141">
        <v>0</v>
      </c>
      <c r="CZ259" s="141">
        <v>0</v>
      </c>
      <c r="DA259" s="141">
        <v>0</v>
      </c>
      <c r="DB259" s="141">
        <v>0</v>
      </c>
      <c r="DC259" s="141">
        <v>0</v>
      </c>
      <c r="DD259" s="141">
        <v>-33679</v>
      </c>
      <c r="DE259" s="141">
        <v>0</v>
      </c>
      <c r="DF259" s="141">
        <v>-33679</v>
      </c>
      <c r="DG259" s="141">
        <v>-46000</v>
      </c>
      <c r="DH259" s="141">
        <v>0</v>
      </c>
      <c r="DI259" s="141">
        <v>-46000</v>
      </c>
      <c r="DJ259" s="141">
        <v>0</v>
      </c>
      <c r="DK259" s="141">
        <v>0</v>
      </c>
      <c r="DL259" s="141">
        <v>0</v>
      </c>
      <c r="DM259" s="141">
        <v>-709883</v>
      </c>
      <c r="DN259" s="141">
        <v>0</v>
      </c>
      <c r="DO259" s="141">
        <v>-709883</v>
      </c>
      <c r="DP259" s="141">
        <v>-789562</v>
      </c>
      <c r="DQ259" s="141">
        <v>0</v>
      </c>
      <c r="DR259" s="141">
        <v>0</v>
      </c>
      <c r="DS259" s="141">
        <v>0</v>
      </c>
      <c r="DT259" s="141">
        <v>-789562</v>
      </c>
      <c r="DU259" s="141">
        <v>0</v>
      </c>
      <c r="DV259" s="141">
        <v>-789562</v>
      </c>
      <c r="DW259" s="856">
        <v>52676712</v>
      </c>
      <c r="DX259" s="856">
        <v>0</v>
      </c>
      <c r="DY259" s="857">
        <v>52676712</v>
      </c>
      <c r="DZ259" t="s">
        <v>1825</v>
      </c>
    </row>
    <row r="260" spans="1:130" ht="12.75" x14ac:dyDescent="0.2">
      <c r="A260" s="764">
        <v>253</v>
      </c>
      <c r="B260" s="765" t="s">
        <v>397</v>
      </c>
      <c r="C260" s="766" t="s">
        <v>1217</v>
      </c>
      <c r="D260" s="767" t="s">
        <v>1227</v>
      </c>
      <c r="E260" s="768" t="s">
        <v>396</v>
      </c>
      <c r="F260" s="867">
        <v>43488</v>
      </c>
      <c r="G260" s="141">
        <v>125791443</v>
      </c>
      <c r="H260" s="141">
        <v>0</v>
      </c>
      <c r="I260" s="141">
        <v>125791443</v>
      </c>
      <c r="J260" s="141">
        <v>49.1</v>
      </c>
      <c r="K260" s="141">
        <v>61763599</v>
      </c>
      <c r="L260" s="141">
        <v>0</v>
      </c>
      <c r="M260" s="141">
        <v>232589</v>
      </c>
      <c r="N260" s="141">
        <v>0</v>
      </c>
      <c r="O260" s="141">
        <v>61996188</v>
      </c>
      <c r="P260" s="141">
        <v>0</v>
      </c>
      <c r="Q260" s="141">
        <v>61996188</v>
      </c>
      <c r="R260" s="141">
        <v>-791069</v>
      </c>
      <c r="S260" s="141">
        <v>0</v>
      </c>
      <c r="T260" s="141">
        <v>-791069</v>
      </c>
      <c r="U260" s="141">
        <v>569696</v>
      </c>
      <c r="V260" s="141">
        <v>0</v>
      </c>
      <c r="W260" s="141">
        <v>569696</v>
      </c>
      <c r="X260" s="141">
        <v>-221373</v>
      </c>
      <c r="Y260" s="141">
        <v>0</v>
      </c>
      <c r="Z260" s="141">
        <v>0</v>
      </c>
      <c r="AA260" s="141">
        <v>0</v>
      </c>
      <c r="AB260" s="141">
        <v>-221373</v>
      </c>
      <c r="AC260" s="141">
        <v>0</v>
      </c>
      <c r="AD260" s="141">
        <v>-221373</v>
      </c>
      <c r="AE260" s="141">
        <v>221373</v>
      </c>
      <c r="AF260" s="141">
        <v>0</v>
      </c>
      <c r="AG260" s="141">
        <v>221373</v>
      </c>
      <c r="AH260" s="141">
        <v>-4507730</v>
      </c>
      <c r="AI260" s="141">
        <v>0</v>
      </c>
      <c r="AJ260" s="141">
        <v>-4507730</v>
      </c>
      <c r="AK260" s="141">
        <v>0</v>
      </c>
      <c r="AL260" s="141">
        <v>0</v>
      </c>
      <c r="AM260" s="141">
        <v>0</v>
      </c>
      <c r="AN260" s="141">
        <v>1167084</v>
      </c>
      <c r="AO260" s="141">
        <v>0</v>
      </c>
      <c r="AP260" s="141">
        <v>1167084</v>
      </c>
      <c r="AQ260" s="141">
        <v>-3340646</v>
      </c>
      <c r="AR260" s="141">
        <v>0</v>
      </c>
      <c r="AS260" s="141">
        <v>-3340646</v>
      </c>
      <c r="AT260" s="141">
        <v>-2874493</v>
      </c>
      <c r="AU260" s="141">
        <v>0</v>
      </c>
      <c r="AV260" s="141">
        <v>-2874493</v>
      </c>
      <c r="AW260" s="141">
        <v>-57053</v>
      </c>
      <c r="AX260" s="141">
        <v>0</v>
      </c>
      <c r="AY260" s="141">
        <v>-57053</v>
      </c>
      <c r="AZ260" s="141">
        <v>-16442</v>
      </c>
      <c r="BA260" s="141">
        <v>0</v>
      </c>
      <c r="BB260" s="141">
        <v>-16442</v>
      </c>
      <c r="BC260" s="141">
        <v>-6288634</v>
      </c>
      <c r="BD260" s="141">
        <v>0</v>
      </c>
      <c r="BE260" s="141">
        <v>0</v>
      </c>
      <c r="BF260" s="141">
        <v>0</v>
      </c>
      <c r="BG260" s="141">
        <v>-6288634</v>
      </c>
      <c r="BH260" s="141">
        <v>0</v>
      </c>
      <c r="BI260" s="141">
        <v>-6288634</v>
      </c>
      <c r="BJ260" s="141">
        <v>0</v>
      </c>
      <c r="BK260" s="141">
        <v>0</v>
      </c>
      <c r="BL260" s="141">
        <v>0</v>
      </c>
      <c r="BM260" s="141">
        <v>-1773584</v>
      </c>
      <c r="BN260" s="141">
        <v>0</v>
      </c>
      <c r="BO260" s="141">
        <v>-1773584</v>
      </c>
      <c r="BP260" s="141">
        <v>-1773584</v>
      </c>
      <c r="BQ260" s="141">
        <v>0</v>
      </c>
      <c r="BR260" s="141">
        <v>0</v>
      </c>
      <c r="BS260" s="141">
        <v>0</v>
      </c>
      <c r="BT260" s="141">
        <v>-1773584</v>
      </c>
      <c r="BU260" s="141">
        <v>0</v>
      </c>
      <c r="BV260" s="141">
        <v>-1773584</v>
      </c>
      <c r="BW260" s="141">
        <v>-254412</v>
      </c>
      <c r="BX260" s="141">
        <v>0</v>
      </c>
      <c r="BY260" s="141">
        <v>-254412</v>
      </c>
      <c r="BZ260" s="141">
        <v>-79985</v>
      </c>
      <c r="CA260" s="141">
        <v>0</v>
      </c>
      <c r="CB260" s="141">
        <v>-79985</v>
      </c>
      <c r="CC260" s="141">
        <v>-4566</v>
      </c>
      <c r="CD260" s="141">
        <v>0</v>
      </c>
      <c r="CE260" s="141">
        <v>-4566</v>
      </c>
      <c r="CF260" s="141">
        <v>0</v>
      </c>
      <c r="CG260" s="141">
        <v>0</v>
      </c>
      <c r="CH260" s="141">
        <v>0</v>
      </c>
      <c r="CI260" s="141">
        <v>0</v>
      </c>
      <c r="CJ260" s="141">
        <v>0</v>
      </c>
      <c r="CK260" s="141">
        <v>0</v>
      </c>
      <c r="CL260" s="141">
        <v>-6015</v>
      </c>
      <c r="CM260" s="141">
        <v>0</v>
      </c>
      <c r="CN260" s="141">
        <v>-6015</v>
      </c>
      <c r="CO260" s="141">
        <v>0</v>
      </c>
      <c r="CP260" s="141">
        <v>0</v>
      </c>
      <c r="CQ260" s="141">
        <v>-344978</v>
      </c>
      <c r="CR260" s="141">
        <v>0</v>
      </c>
      <c r="CS260" s="141">
        <v>0</v>
      </c>
      <c r="CT260" s="141">
        <v>0</v>
      </c>
      <c r="CU260" s="141">
        <v>-344978</v>
      </c>
      <c r="CV260" s="141">
        <v>0</v>
      </c>
      <c r="CW260" s="141">
        <v>-344978</v>
      </c>
      <c r="CX260" s="141">
        <v>-15787</v>
      </c>
      <c r="CY260" s="141">
        <v>0</v>
      </c>
      <c r="CZ260" s="141">
        <v>-15787</v>
      </c>
      <c r="DA260" s="141">
        <v>-1500</v>
      </c>
      <c r="DB260" s="141">
        <v>0</v>
      </c>
      <c r="DC260" s="141">
        <v>-1500</v>
      </c>
      <c r="DD260" s="141">
        <v>-33322</v>
      </c>
      <c r="DE260" s="141">
        <v>0</v>
      </c>
      <c r="DF260" s="141">
        <v>-33322</v>
      </c>
      <c r="DG260" s="141">
        <v>-74472</v>
      </c>
      <c r="DH260" s="141">
        <v>0</v>
      </c>
      <c r="DI260" s="141">
        <v>-74472</v>
      </c>
      <c r="DJ260" s="141">
        <v>0</v>
      </c>
      <c r="DK260" s="141">
        <v>0</v>
      </c>
      <c r="DL260" s="141">
        <v>0</v>
      </c>
      <c r="DM260" s="141">
        <v>-1260112</v>
      </c>
      <c r="DN260" s="141">
        <v>0</v>
      </c>
      <c r="DO260" s="141">
        <v>-1260112</v>
      </c>
      <c r="DP260" s="141">
        <v>-1385193</v>
      </c>
      <c r="DQ260" s="141">
        <v>0</v>
      </c>
      <c r="DR260" s="141">
        <v>0</v>
      </c>
      <c r="DS260" s="141">
        <v>0</v>
      </c>
      <c r="DT260" s="141">
        <v>-1385193</v>
      </c>
      <c r="DU260" s="141">
        <v>0</v>
      </c>
      <c r="DV260" s="141">
        <v>-1385193</v>
      </c>
      <c r="DW260" s="856">
        <v>51982426</v>
      </c>
      <c r="DX260" s="856">
        <v>0</v>
      </c>
      <c r="DY260" s="857">
        <v>51982426</v>
      </c>
      <c r="DZ260" t="s">
        <v>1826</v>
      </c>
    </row>
    <row r="261" spans="1:130" ht="12.75" x14ac:dyDescent="0.2">
      <c r="A261" s="764">
        <v>254</v>
      </c>
      <c r="B261" s="765" t="s">
        <v>399</v>
      </c>
      <c r="C261" s="766" t="s">
        <v>1217</v>
      </c>
      <c r="D261" s="767" t="s">
        <v>1227</v>
      </c>
      <c r="E261" s="768" t="s">
        <v>398</v>
      </c>
      <c r="F261" s="867">
        <v>43481</v>
      </c>
      <c r="G261" s="141">
        <v>56066625</v>
      </c>
      <c r="H261" s="141">
        <v>0</v>
      </c>
      <c r="I261" s="141">
        <v>56066625</v>
      </c>
      <c r="J261" s="141">
        <v>49.1</v>
      </c>
      <c r="K261" s="141">
        <v>27528713</v>
      </c>
      <c r="L261" s="141">
        <v>0</v>
      </c>
      <c r="M261" s="141">
        <v>0</v>
      </c>
      <c r="N261" s="141">
        <v>0</v>
      </c>
      <c r="O261" s="141">
        <v>27528713</v>
      </c>
      <c r="P261" s="141">
        <v>0</v>
      </c>
      <c r="Q261" s="141">
        <v>27528713</v>
      </c>
      <c r="R261" s="141">
        <v>-1119109</v>
      </c>
      <c r="S261" s="141">
        <v>0</v>
      </c>
      <c r="T261" s="141">
        <v>-1119109</v>
      </c>
      <c r="U261" s="141">
        <v>171680</v>
      </c>
      <c r="V261" s="141">
        <v>0</v>
      </c>
      <c r="W261" s="141">
        <v>171680</v>
      </c>
      <c r="X261" s="141">
        <v>-947429</v>
      </c>
      <c r="Y261" s="141">
        <v>0</v>
      </c>
      <c r="Z261" s="141">
        <v>0</v>
      </c>
      <c r="AA261" s="141">
        <v>0</v>
      </c>
      <c r="AB261" s="141">
        <v>-947429</v>
      </c>
      <c r="AC261" s="141">
        <v>0</v>
      </c>
      <c r="AD261" s="141">
        <v>-947429</v>
      </c>
      <c r="AE261" s="141">
        <v>947429</v>
      </c>
      <c r="AF261" s="141">
        <v>0</v>
      </c>
      <c r="AG261" s="141">
        <v>947429</v>
      </c>
      <c r="AH261" s="141">
        <v>-3562588</v>
      </c>
      <c r="AI261" s="141">
        <v>0</v>
      </c>
      <c r="AJ261" s="141">
        <v>-3562588</v>
      </c>
      <c r="AK261" s="141">
        <v>0</v>
      </c>
      <c r="AL261" s="141">
        <v>0</v>
      </c>
      <c r="AM261" s="141">
        <v>0</v>
      </c>
      <c r="AN261" s="141">
        <v>462334</v>
      </c>
      <c r="AO261" s="141">
        <v>0</v>
      </c>
      <c r="AP261" s="141">
        <v>462334</v>
      </c>
      <c r="AQ261" s="141">
        <v>-3100254</v>
      </c>
      <c r="AR261" s="141">
        <v>0</v>
      </c>
      <c r="AS261" s="141">
        <v>-3100254</v>
      </c>
      <c r="AT261" s="141">
        <v>-1541995</v>
      </c>
      <c r="AU261" s="141">
        <v>0</v>
      </c>
      <c r="AV261" s="141">
        <v>-1541995</v>
      </c>
      <c r="AW261" s="141">
        <v>-50303</v>
      </c>
      <c r="AX261" s="141">
        <v>0</v>
      </c>
      <c r="AY261" s="141">
        <v>-50303</v>
      </c>
      <c r="AZ261" s="141">
        <v>-8221</v>
      </c>
      <c r="BA261" s="141">
        <v>0</v>
      </c>
      <c r="BB261" s="141">
        <v>-8221</v>
      </c>
      <c r="BC261" s="141">
        <v>-4700773</v>
      </c>
      <c r="BD261" s="141">
        <v>0</v>
      </c>
      <c r="BE261" s="141">
        <v>0</v>
      </c>
      <c r="BF261" s="141">
        <v>0</v>
      </c>
      <c r="BG261" s="141">
        <v>-4700773</v>
      </c>
      <c r="BH261" s="141">
        <v>0</v>
      </c>
      <c r="BI261" s="141">
        <v>-4700773</v>
      </c>
      <c r="BJ261" s="141">
        <v>-37229</v>
      </c>
      <c r="BK261" s="141">
        <v>0</v>
      </c>
      <c r="BL261" s="141">
        <v>-37229</v>
      </c>
      <c r="BM261" s="141">
        <v>-429902</v>
      </c>
      <c r="BN261" s="141">
        <v>0</v>
      </c>
      <c r="BO261" s="141">
        <v>-429902</v>
      </c>
      <c r="BP261" s="141">
        <v>-467131</v>
      </c>
      <c r="BQ261" s="141">
        <v>0</v>
      </c>
      <c r="BR261" s="141">
        <v>0</v>
      </c>
      <c r="BS261" s="141">
        <v>0</v>
      </c>
      <c r="BT261" s="141">
        <v>-467131</v>
      </c>
      <c r="BU261" s="141">
        <v>0</v>
      </c>
      <c r="BV261" s="141">
        <v>-467131</v>
      </c>
      <c r="BW261" s="141">
        <v>-102519</v>
      </c>
      <c r="BX261" s="141">
        <v>0</v>
      </c>
      <c r="BY261" s="141">
        <v>-102519</v>
      </c>
      <c r="BZ261" s="141">
        <v>-99804</v>
      </c>
      <c r="CA261" s="141">
        <v>0</v>
      </c>
      <c r="CB261" s="141">
        <v>-99804</v>
      </c>
      <c r="CC261" s="141">
        <v>-2954</v>
      </c>
      <c r="CD261" s="141">
        <v>0</v>
      </c>
      <c r="CE261" s="141">
        <v>-2954</v>
      </c>
      <c r="CF261" s="141">
        <v>-9069</v>
      </c>
      <c r="CG261" s="141">
        <v>0</v>
      </c>
      <c r="CH261" s="141">
        <v>-9069</v>
      </c>
      <c r="CI261" s="141">
        <v>0</v>
      </c>
      <c r="CJ261" s="141">
        <v>0</v>
      </c>
      <c r="CK261" s="141">
        <v>0</v>
      </c>
      <c r="CL261" s="141">
        <v>0</v>
      </c>
      <c r="CM261" s="141">
        <v>0</v>
      </c>
      <c r="CN261" s="141">
        <v>0</v>
      </c>
      <c r="CO261" s="141">
        <v>0</v>
      </c>
      <c r="CP261" s="141">
        <v>0</v>
      </c>
      <c r="CQ261" s="141">
        <v>-214346</v>
      </c>
      <c r="CR261" s="141">
        <v>0</v>
      </c>
      <c r="CS261" s="141">
        <v>0</v>
      </c>
      <c r="CT261" s="141">
        <v>0</v>
      </c>
      <c r="CU261" s="141">
        <v>-214346</v>
      </c>
      <c r="CV261" s="141">
        <v>0</v>
      </c>
      <c r="CW261" s="141">
        <v>-214346</v>
      </c>
      <c r="CX261" s="141">
        <v>-3280</v>
      </c>
      <c r="CY261" s="141">
        <v>0</v>
      </c>
      <c r="CZ261" s="141">
        <v>-3280</v>
      </c>
      <c r="DA261" s="141">
        <v>0</v>
      </c>
      <c r="DB261" s="141">
        <v>0</v>
      </c>
      <c r="DC261" s="141">
        <v>0</v>
      </c>
      <c r="DD261" s="141">
        <v>-73947</v>
      </c>
      <c r="DE261" s="141">
        <v>0</v>
      </c>
      <c r="DF261" s="141">
        <v>-73947</v>
      </c>
      <c r="DG261" s="141">
        <v>-67201</v>
      </c>
      <c r="DH261" s="141">
        <v>0</v>
      </c>
      <c r="DI261" s="141">
        <v>-67201</v>
      </c>
      <c r="DJ261" s="141">
        <v>0</v>
      </c>
      <c r="DK261" s="141">
        <v>0</v>
      </c>
      <c r="DL261" s="141">
        <v>0</v>
      </c>
      <c r="DM261" s="141">
        <v>-1198047</v>
      </c>
      <c r="DN261" s="141">
        <v>0</v>
      </c>
      <c r="DO261" s="141">
        <v>-1198047</v>
      </c>
      <c r="DP261" s="141">
        <v>-1342475</v>
      </c>
      <c r="DQ261" s="141">
        <v>0</v>
      </c>
      <c r="DR261" s="141">
        <v>0</v>
      </c>
      <c r="DS261" s="141">
        <v>0</v>
      </c>
      <c r="DT261" s="141">
        <v>-1342475</v>
      </c>
      <c r="DU261" s="141">
        <v>0</v>
      </c>
      <c r="DV261" s="141">
        <v>-1342475</v>
      </c>
      <c r="DW261" s="856">
        <v>19856559</v>
      </c>
      <c r="DX261" s="856">
        <v>0</v>
      </c>
      <c r="DY261" s="857">
        <v>19856559</v>
      </c>
      <c r="DZ261" t="s">
        <v>1827</v>
      </c>
    </row>
    <row r="262" spans="1:130" ht="12.75" x14ac:dyDescent="0.2">
      <c r="A262" s="764">
        <v>255</v>
      </c>
      <c r="B262" s="765" t="s">
        <v>401</v>
      </c>
      <c r="C262" s="766" t="s">
        <v>1217</v>
      </c>
      <c r="D262" s="767" t="s">
        <v>1221</v>
      </c>
      <c r="E262" s="768" t="s">
        <v>400</v>
      </c>
      <c r="F262" s="867">
        <v>43468</v>
      </c>
      <c r="G262" s="141">
        <v>110228242</v>
      </c>
      <c r="H262" s="141">
        <v>0</v>
      </c>
      <c r="I262" s="141">
        <v>110228242</v>
      </c>
      <c r="J262" s="141">
        <v>49.1</v>
      </c>
      <c r="K262" s="141">
        <v>54122067</v>
      </c>
      <c r="L262" s="141">
        <v>0</v>
      </c>
      <c r="M262" s="141">
        <v>-699668</v>
      </c>
      <c r="N262" s="141">
        <v>0</v>
      </c>
      <c r="O262" s="141">
        <v>53422399</v>
      </c>
      <c r="P262" s="141">
        <v>0</v>
      </c>
      <c r="Q262" s="141">
        <v>53422399</v>
      </c>
      <c r="R262" s="141">
        <v>-85507</v>
      </c>
      <c r="S262" s="141">
        <v>0</v>
      </c>
      <c r="T262" s="141">
        <v>-85507</v>
      </c>
      <c r="U262" s="141">
        <v>858321</v>
      </c>
      <c r="V262" s="141">
        <v>0</v>
      </c>
      <c r="W262" s="141">
        <v>858321</v>
      </c>
      <c r="X262" s="141">
        <v>772814</v>
      </c>
      <c r="Y262" s="141">
        <v>0</v>
      </c>
      <c r="Z262" s="141">
        <v>0</v>
      </c>
      <c r="AA262" s="141">
        <v>0</v>
      </c>
      <c r="AB262" s="141">
        <v>772814</v>
      </c>
      <c r="AC262" s="141">
        <v>0</v>
      </c>
      <c r="AD262" s="141">
        <v>772814</v>
      </c>
      <c r="AE262" s="141">
        <v>-772814</v>
      </c>
      <c r="AF262" s="141">
        <v>0</v>
      </c>
      <c r="AG262" s="141">
        <v>-772814</v>
      </c>
      <c r="AH262" s="141">
        <v>-1910942</v>
      </c>
      <c r="AI262" s="141">
        <v>0</v>
      </c>
      <c r="AJ262" s="141">
        <v>-1910942</v>
      </c>
      <c r="AK262" s="141">
        <v>0</v>
      </c>
      <c r="AL262" s="141">
        <v>0</v>
      </c>
      <c r="AM262" s="141">
        <v>0</v>
      </c>
      <c r="AN262" s="141">
        <v>1169700</v>
      </c>
      <c r="AO262" s="141">
        <v>0</v>
      </c>
      <c r="AP262" s="141">
        <v>1169700</v>
      </c>
      <c r="AQ262" s="141">
        <v>-741242</v>
      </c>
      <c r="AR262" s="141">
        <v>0</v>
      </c>
      <c r="AS262" s="141">
        <v>-741242</v>
      </c>
      <c r="AT262" s="141">
        <v>-2467112</v>
      </c>
      <c r="AU262" s="141">
        <v>0</v>
      </c>
      <c r="AV262" s="141">
        <v>-2467112</v>
      </c>
      <c r="AW262" s="141">
        <v>-4435</v>
      </c>
      <c r="AX262" s="141">
        <v>0</v>
      </c>
      <c r="AY262" s="141">
        <v>-4435</v>
      </c>
      <c r="AZ262" s="141">
        <v>0</v>
      </c>
      <c r="BA262" s="141">
        <v>0</v>
      </c>
      <c r="BB262" s="141">
        <v>0</v>
      </c>
      <c r="BC262" s="141">
        <v>-3212789</v>
      </c>
      <c r="BD262" s="141">
        <v>0</v>
      </c>
      <c r="BE262" s="141">
        <v>0</v>
      </c>
      <c r="BF262" s="141">
        <v>0</v>
      </c>
      <c r="BG262" s="141">
        <v>-3212789</v>
      </c>
      <c r="BH262" s="141">
        <v>0</v>
      </c>
      <c r="BI262" s="141">
        <v>-3212789</v>
      </c>
      <c r="BJ262" s="141">
        <v>0</v>
      </c>
      <c r="BK262" s="141">
        <v>0</v>
      </c>
      <c r="BL262" s="141">
        <v>0</v>
      </c>
      <c r="BM262" s="141">
        <v>-1533550</v>
      </c>
      <c r="BN262" s="141">
        <v>0</v>
      </c>
      <c r="BO262" s="141">
        <v>-1533550</v>
      </c>
      <c r="BP262" s="141">
        <v>-1533550</v>
      </c>
      <c r="BQ262" s="141">
        <v>0</v>
      </c>
      <c r="BR262" s="141">
        <v>164130</v>
      </c>
      <c r="BS262" s="141">
        <v>0</v>
      </c>
      <c r="BT262" s="141">
        <v>-1369420</v>
      </c>
      <c r="BU262" s="141">
        <v>0</v>
      </c>
      <c r="BV262" s="141">
        <v>-1369420</v>
      </c>
      <c r="BW262" s="141">
        <v>-108124</v>
      </c>
      <c r="BX262" s="141">
        <v>0</v>
      </c>
      <c r="BY262" s="141">
        <v>-108124</v>
      </c>
      <c r="BZ262" s="141">
        <v>-44432</v>
      </c>
      <c r="CA262" s="141">
        <v>0</v>
      </c>
      <c r="CB262" s="141">
        <v>-44432</v>
      </c>
      <c r="CC262" s="141">
        <v>0</v>
      </c>
      <c r="CD262" s="141">
        <v>0</v>
      </c>
      <c r="CE262" s="141">
        <v>0</v>
      </c>
      <c r="CF262" s="141">
        <v>0</v>
      </c>
      <c r="CG262" s="141">
        <v>0</v>
      </c>
      <c r="CH262" s="141">
        <v>0</v>
      </c>
      <c r="CI262" s="141">
        <v>0</v>
      </c>
      <c r="CJ262" s="141">
        <v>0</v>
      </c>
      <c r="CK262" s="141">
        <v>0</v>
      </c>
      <c r="CL262" s="141">
        <v>0</v>
      </c>
      <c r="CM262" s="141">
        <v>0</v>
      </c>
      <c r="CN262" s="141">
        <v>0</v>
      </c>
      <c r="CO262" s="141">
        <v>0</v>
      </c>
      <c r="CP262" s="141">
        <v>0</v>
      </c>
      <c r="CQ262" s="141">
        <v>-152556</v>
      </c>
      <c r="CR262" s="141">
        <v>0</v>
      </c>
      <c r="CS262" s="141">
        <v>0</v>
      </c>
      <c r="CT262" s="141">
        <v>0</v>
      </c>
      <c r="CU262" s="141">
        <v>-152556</v>
      </c>
      <c r="CV262" s="141">
        <v>0</v>
      </c>
      <c r="CW262" s="141">
        <v>-152556</v>
      </c>
      <c r="CX262" s="141">
        <v>0</v>
      </c>
      <c r="CY262" s="141">
        <v>0</v>
      </c>
      <c r="CZ262" s="141">
        <v>0</v>
      </c>
      <c r="DA262" s="141">
        <v>0</v>
      </c>
      <c r="DB262" s="141">
        <v>0</v>
      </c>
      <c r="DC262" s="141">
        <v>0</v>
      </c>
      <c r="DD262" s="141">
        <v>-3096</v>
      </c>
      <c r="DE262" s="141">
        <v>0</v>
      </c>
      <c r="DF262" s="141">
        <v>-3096</v>
      </c>
      <c r="DG262" s="141">
        <v>-14825</v>
      </c>
      <c r="DH262" s="141">
        <v>0</v>
      </c>
      <c r="DI262" s="141">
        <v>-14825</v>
      </c>
      <c r="DJ262" s="141">
        <v>0</v>
      </c>
      <c r="DK262" s="141">
        <v>0</v>
      </c>
      <c r="DL262" s="141">
        <v>0</v>
      </c>
      <c r="DM262" s="141">
        <v>-745935</v>
      </c>
      <c r="DN262" s="141">
        <v>0</v>
      </c>
      <c r="DO262" s="141">
        <v>-745935</v>
      </c>
      <c r="DP262" s="141">
        <v>-763856</v>
      </c>
      <c r="DQ262" s="141">
        <v>0</v>
      </c>
      <c r="DR262" s="141">
        <v>0</v>
      </c>
      <c r="DS262" s="141">
        <v>0</v>
      </c>
      <c r="DT262" s="141">
        <v>-763856</v>
      </c>
      <c r="DU262" s="141">
        <v>0</v>
      </c>
      <c r="DV262" s="141">
        <v>-763856</v>
      </c>
      <c r="DW262" s="856">
        <v>48696592</v>
      </c>
      <c r="DX262" s="856">
        <v>0</v>
      </c>
      <c r="DY262" s="857">
        <v>48696592</v>
      </c>
      <c r="DZ262" t="s">
        <v>1828</v>
      </c>
    </row>
    <row r="263" spans="1:130" ht="12.75" x14ac:dyDescent="0.2">
      <c r="A263" s="764">
        <v>256</v>
      </c>
      <c r="B263" s="765" t="s">
        <v>403</v>
      </c>
      <c r="C263" s="766" t="s">
        <v>1224</v>
      </c>
      <c r="D263" s="767" t="s">
        <v>1219</v>
      </c>
      <c r="E263" s="768" t="s">
        <v>402</v>
      </c>
      <c r="F263" s="867">
        <v>43468</v>
      </c>
      <c r="G263" s="141">
        <v>226186355</v>
      </c>
      <c r="H263" s="141">
        <v>0</v>
      </c>
      <c r="I263" s="141">
        <v>226186355</v>
      </c>
      <c r="J263" s="141">
        <v>49.1</v>
      </c>
      <c r="K263" s="141">
        <v>111057500</v>
      </c>
      <c r="L263" s="141">
        <v>0</v>
      </c>
      <c r="M263" s="141">
        <v>-1000000</v>
      </c>
      <c r="N263" s="141">
        <v>0</v>
      </c>
      <c r="O263" s="141">
        <v>110057500</v>
      </c>
      <c r="P263" s="141">
        <v>0</v>
      </c>
      <c r="Q263" s="141">
        <v>110057500</v>
      </c>
      <c r="R263" s="141">
        <v>-805499</v>
      </c>
      <c r="S263" s="141">
        <v>0</v>
      </c>
      <c r="T263" s="141">
        <v>-805499</v>
      </c>
      <c r="U263" s="141">
        <v>3812578</v>
      </c>
      <c r="V263" s="141">
        <v>0</v>
      </c>
      <c r="W263" s="141">
        <v>3812578</v>
      </c>
      <c r="X263" s="141">
        <v>3007079</v>
      </c>
      <c r="Y263" s="141">
        <v>0</v>
      </c>
      <c r="Z263" s="141">
        <v>0</v>
      </c>
      <c r="AA263" s="141">
        <v>0</v>
      </c>
      <c r="AB263" s="141">
        <v>3007079</v>
      </c>
      <c r="AC263" s="141">
        <v>0</v>
      </c>
      <c r="AD263" s="141">
        <v>3007079</v>
      </c>
      <c r="AE263" s="141">
        <v>-3007079</v>
      </c>
      <c r="AF263" s="141">
        <v>0</v>
      </c>
      <c r="AG263" s="141">
        <v>-3007079</v>
      </c>
      <c r="AH263" s="141">
        <v>-11755185</v>
      </c>
      <c r="AI263" s="141">
        <v>0</v>
      </c>
      <c r="AJ263" s="141">
        <v>-11755185</v>
      </c>
      <c r="AK263" s="141">
        <v>-32941</v>
      </c>
      <c r="AL263" s="141">
        <v>0</v>
      </c>
      <c r="AM263" s="141">
        <v>-32941</v>
      </c>
      <c r="AN263" s="141">
        <v>1937817</v>
      </c>
      <c r="AO263" s="141">
        <v>0</v>
      </c>
      <c r="AP263" s="141">
        <v>1937817</v>
      </c>
      <c r="AQ263" s="141">
        <v>-9817368</v>
      </c>
      <c r="AR263" s="141">
        <v>0</v>
      </c>
      <c r="AS263" s="141">
        <v>-9817368</v>
      </c>
      <c r="AT263" s="141">
        <v>-5166231</v>
      </c>
      <c r="AU263" s="141">
        <v>0</v>
      </c>
      <c r="AV263" s="141">
        <v>-5166231</v>
      </c>
      <c r="AW263" s="141">
        <v>-237959</v>
      </c>
      <c r="AX263" s="141">
        <v>0</v>
      </c>
      <c r="AY263" s="141">
        <v>-237959</v>
      </c>
      <c r="AZ263" s="141">
        <v>0</v>
      </c>
      <c r="BA263" s="141">
        <v>0</v>
      </c>
      <c r="BB263" s="141">
        <v>0</v>
      </c>
      <c r="BC263" s="141">
        <v>-15221558</v>
      </c>
      <c r="BD263" s="141">
        <v>0</v>
      </c>
      <c r="BE263" s="141">
        <v>0</v>
      </c>
      <c r="BF263" s="141">
        <v>0</v>
      </c>
      <c r="BG263" s="141">
        <v>-15221558</v>
      </c>
      <c r="BH263" s="141">
        <v>0</v>
      </c>
      <c r="BI263" s="141">
        <v>-15221558</v>
      </c>
      <c r="BJ263" s="141">
        <v>0</v>
      </c>
      <c r="BK263" s="141">
        <v>0</v>
      </c>
      <c r="BL263" s="141">
        <v>0</v>
      </c>
      <c r="BM263" s="141">
        <v>-2942393</v>
      </c>
      <c r="BN263" s="141">
        <v>0</v>
      </c>
      <c r="BO263" s="141">
        <v>-2942393</v>
      </c>
      <c r="BP263" s="141">
        <v>-2942393</v>
      </c>
      <c r="BQ263" s="141">
        <v>0</v>
      </c>
      <c r="BR263" s="141">
        <v>-2600000</v>
      </c>
      <c r="BS263" s="141">
        <v>0</v>
      </c>
      <c r="BT263" s="141">
        <v>-5542393</v>
      </c>
      <c r="BU263" s="141">
        <v>0</v>
      </c>
      <c r="BV263" s="141">
        <v>-5542393</v>
      </c>
      <c r="BW263" s="141">
        <v>0</v>
      </c>
      <c r="BX263" s="141">
        <v>0</v>
      </c>
      <c r="BY263" s="141">
        <v>0</v>
      </c>
      <c r="BZ263" s="141">
        <v>-62829</v>
      </c>
      <c r="CA263" s="141">
        <v>0</v>
      </c>
      <c r="CB263" s="141">
        <v>-62829</v>
      </c>
      <c r="CC263" s="141">
        <v>-21586</v>
      </c>
      <c r="CD263" s="141">
        <v>0</v>
      </c>
      <c r="CE263" s="141">
        <v>-21586</v>
      </c>
      <c r="CF263" s="141">
        <v>0</v>
      </c>
      <c r="CG263" s="141">
        <v>0</v>
      </c>
      <c r="CH263" s="141">
        <v>0</v>
      </c>
      <c r="CI263" s="141">
        <v>0</v>
      </c>
      <c r="CJ263" s="141">
        <v>0</v>
      </c>
      <c r="CK263" s="141">
        <v>0</v>
      </c>
      <c r="CL263" s="141">
        <v>-249123</v>
      </c>
      <c r="CM263" s="141">
        <v>0</v>
      </c>
      <c r="CN263" s="141">
        <v>-249123</v>
      </c>
      <c r="CO263" s="141">
        <v>0</v>
      </c>
      <c r="CP263" s="141">
        <v>0</v>
      </c>
      <c r="CQ263" s="141">
        <v>-333538</v>
      </c>
      <c r="CR263" s="141">
        <v>0</v>
      </c>
      <c r="CS263" s="141">
        <v>0</v>
      </c>
      <c r="CT263" s="141">
        <v>0</v>
      </c>
      <c r="CU263" s="141">
        <v>-333538</v>
      </c>
      <c r="CV263" s="141">
        <v>0</v>
      </c>
      <c r="CW263" s="141">
        <v>-333538</v>
      </c>
      <c r="CX263" s="141">
        <v>0</v>
      </c>
      <c r="CY263" s="141">
        <v>0</v>
      </c>
      <c r="CZ263" s="141">
        <v>0</v>
      </c>
      <c r="DA263" s="141">
        <v>0</v>
      </c>
      <c r="DB263" s="141">
        <v>0</v>
      </c>
      <c r="DC263" s="141">
        <v>0</v>
      </c>
      <c r="DD263" s="141">
        <v>-24555</v>
      </c>
      <c r="DE263" s="141">
        <v>0</v>
      </c>
      <c r="DF263" s="141">
        <v>-24555</v>
      </c>
      <c r="DG263" s="141">
        <v>-67000</v>
      </c>
      <c r="DH263" s="141">
        <v>0</v>
      </c>
      <c r="DI263" s="141">
        <v>-67000</v>
      </c>
      <c r="DJ263" s="141">
        <v>0</v>
      </c>
      <c r="DK263" s="141">
        <v>0</v>
      </c>
      <c r="DL263" s="141">
        <v>0</v>
      </c>
      <c r="DM263" s="141">
        <v>-2379933</v>
      </c>
      <c r="DN263" s="141">
        <v>0</v>
      </c>
      <c r="DO263" s="141">
        <v>-2379933</v>
      </c>
      <c r="DP263" s="141">
        <v>-2471488</v>
      </c>
      <c r="DQ263" s="141">
        <v>0</v>
      </c>
      <c r="DR263" s="141">
        <v>0</v>
      </c>
      <c r="DS263" s="141">
        <v>0</v>
      </c>
      <c r="DT263" s="141">
        <v>-2471488</v>
      </c>
      <c r="DU263" s="141">
        <v>0</v>
      </c>
      <c r="DV263" s="141">
        <v>-2471488</v>
      </c>
      <c r="DW263" s="856">
        <v>89495602</v>
      </c>
      <c r="DX263" s="856">
        <v>0</v>
      </c>
      <c r="DY263" s="857">
        <v>89495602</v>
      </c>
      <c r="DZ263" t="s">
        <v>1829</v>
      </c>
    </row>
    <row r="264" spans="1:130" ht="12.75" x14ac:dyDescent="0.2">
      <c r="A264" s="764">
        <v>257</v>
      </c>
      <c r="B264" s="765" t="s">
        <v>405</v>
      </c>
      <c r="C264" s="766" t="s">
        <v>529</v>
      </c>
      <c r="D264" s="767" t="s">
        <v>1229</v>
      </c>
      <c r="E264" s="768" t="s">
        <v>555</v>
      </c>
      <c r="F264" s="867">
        <v>43472</v>
      </c>
      <c r="G264" s="141">
        <v>199990158</v>
      </c>
      <c r="H264" s="141">
        <v>712150</v>
      </c>
      <c r="I264" s="141">
        <v>200702308</v>
      </c>
      <c r="J264" s="141">
        <v>49.1</v>
      </c>
      <c r="K264" s="141">
        <v>98195168</v>
      </c>
      <c r="L264" s="141">
        <v>349666</v>
      </c>
      <c r="M264" s="141">
        <v>0</v>
      </c>
      <c r="N264" s="141">
        <v>0</v>
      </c>
      <c r="O264" s="141">
        <v>98195168</v>
      </c>
      <c r="P264" s="141">
        <v>349666</v>
      </c>
      <c r="Q264" s="141">
        <v>98544834</v>
      </c>
      <c r="R264" s="141">
        <v>-366946</v>
      </c>
      <c r="S264" s="141">
        <v>0</v>
      </c>
      <c r="T264" s="141">
        <v>-366946</v>
      </c>
      <c r="U264" s="141">
        <v>2437608</v>
      </c>
      <c r="V264" s="141">
        <v>47790</v>
      </c>
      <c r="W264" s="141">
        <v>2485398</v>
      </c>
      <c r="X264" s="141">
        <v>2070662</v>
      </c>
      <c r="Y264" s="141">
        <v>47790</v>
      </c>
      <c r="Z264" s="141">
        <v>0</v>
      </c>
      <c r="AA264" s="141">
        <v>0</v>
      </c>
      <c r="AB264" s="141">
        <v>2070662</v>
      </c>
      <c r="AC264" s="141">
        <v>47790</v>
      </c>
      <c r="AD264" s="141">
        <v>2118452</v>
      </c>
      <c r="AE264" s="141">
        <v>-2070662</v>
      </c>
      <c r="AF264" s="141">
        <v>-47790</v>
      </c>
      <c r="AG264" s="141">
        <v>-2118452</v>
      </c>
      <c r="AH264" s="141">
        <v>-4924488</v>
      </c>
      <c r="AI264" s="141">
        <v>-43281</v>
      </c>
      <c r="AJ264" s="141">
        <v>-4967769</v>
      </c>
      <c r="AK264" s="141">
        <v>0</v>
      </c>
      <c r="AL264" s="141">
        <v>0</v>
      </c>
      <c r="AM264" s="141">
        <v>0</v>
      </c>
      <c r="AN264" s="141">
        <v>2057757</v>
      </c>
      <c r="AO264" s="141">
        <v>5444</v>
      </c>
      <c r="AP264" s="141">
        <v>2063201</v>
      </c>
      <c r="AQ264" s="141">
        <v>-2866731</v>
      </c>
      <c r="AR264" s="141">
        <v>-37837</v>
      </c>
      <c r="AS264" s="141">
        <v>-2904568</v>
      </c>
      <c r="AT264" s="141">
        <v>-5202165</v>
      </c>
      <c r="AU264" s="141">
        <v>0</v>
      </c>
      <c r="AV264" s="141">
        <v>-5202165</v>
      </c>
      <c r="AW264" s="141">
        <v>-58530</v>
      </c>
      <c r="AX264" s="141">
        <v>0</v>
      </c>
      <c r="AY264" s="141">
        <v>-58530</v>
      </c>
      <c r="AZ264" s="141">
        <v>-9198</v>
      </c>
      <c r="BA264" s="141">
        <v>0</v>
      </c>
      <c r="BB264" s="141">
        <v>-9198</v>
      </c>
      <c r="BC264" s="141">
        <v>-8136624</v>
      </c>
      <c r="BD264" s="141">
        <v>-37837</v>
      </c>
      <c r="BE264" s="141">
        <v>0</v>
      </c>
      <c r="BF264" s="141">
        <v>0</v>
      </c>
      <c r="BG264" s="141">
        <v>-8136624</v>
      </c>
      <c r="BH264" s="141">
        <v>-37837</v>
      </c>
      <c r="BI264" s="141">
        <v>-8174461</v>
      </c>
      <c r="BJ264" s="141">
        <v>-60000</v>
      </c>
      <c r="BK264" s="141">
        <v>0</v>
      </c>
      <c r="BL264" s="141">
        <v>-60000</v>
      </c>
      <c r="BM264" s="141">
        <v>-3478000</v>
      </c>
      <c r="BN264" s="141">
        <v>-10149</v>
      </c>
      <c r="BO264" s="141">
        <v>-3488149</v>
      </c>
      <c r="BP264" s="141">
        <v>-3538000</v>
      </c>
      <c r="BQ264" s="141">
        <v>-10149</v>
      </c>
      <c r="BR264" s="141">
        <v>0</v>
      </c>
      <c r="BS264" s="141">
        <v>0</v>
      </c>
      <c r="BT264" s="141">
        <v>-3538000</v>
      </c>
      <c r="BU264" s="141">
        <v>-10149</v>
      </c>
      <c r="BV264" s="141">
        <v>-3548149</v>
      </c>
      <c r="BW264" s="141">
        <v>-196434</v>
      </c>
      <c r="BX264" s="141">
        <v>0</v>
      </c>
      <c r="BY264" s="141">
        <v>-196434</v>
      </c>
      <c r="BZ264" s="141">
        <v>-55321</v>
      </c>
      <c r="CA264" s="141">
        <v>0</v>
      </c>
      <c r="CB264" s="141">
        <v>-55321</v>
      </c>
      <c r="CC264" s="141">
        <v>-11806</v>
      </c>
      <c r="CD264" s="141">
        <v>0</v>
      </c>
      <c r="CE264" s="141">
        <v>-11806</v>
      </c>
      <c r="CF264" s="141">
        <v>0</v>
      </c>
      <c r="CG264" s="141">
        <v>0</v>
      </c>
      <c r="CH264" s="141">
        <v>0</v>
      </c>
      <c r="CI264" s="141">
        <v>0</v>
      </c>
      <c r="CJ264" s="141">
        <v>0</v>
      </c>
      <c r="CK264" s="141">
        <v>0</v>
      </c>
      <c r="CL264" s="141">
        <v>-45000</v>
      </c>
      <c r="CM264" s="141">
        <v>-78724</v>
      </c>
      <c r="CN264" s="141">
        <v>-123724</v>
      </c>
      <c r="CO264" s="141">
        <v>-64240</v>
      </c>
      <c r="CP264" s="141">
        <v>-14484</v>
      </c>
      <c r="CQ264" s="141">
        <v>-308561</v>
      </c>
      <c r="CR264" s="141">
        <v>-78724</v>
      </c>
      <c r="CS264" s="141">
        <v>0</v>
      </c>
      <c r="CT264" s="141">
        <v>0</v>
      </c>
      <c r="CU264" s="141">
        <v>-308561</v>
      </c>
      <c r="CV264" s="141">
        <v>-78724</v>
      </c>
      <c r="CW264" s="141">
        <v>-387285</v>
      </c>
      <c r="CX264" s="141">
        <v>-9198</v>
      </c>
      <c r="CY264" s="141">
        <v>0</v>
      </c>
      <c r="CZ264" s="141">
        <v>-9198</v>
      </c>
      <c r="DA264" s="141">
        <v>0</v>
      </c>
      <c r="DB264" s="141">
        <v>0</v>
      </c>
      <c r="DC264" s="141">
        <v>0</v>
      </c>
      <c r="DD264" s="141">
        <v>-23714</v>
      </c>
      <c r="DE264" s="141">
        <v>0</v>
      </c>
      <c r="DF264" s="141">
        <v>-23714</v>
      </c>
      <c r="DG264" s="141">
        <v>-48000</v>
      </c>
      <c r="DH264" s="141">
        <v>0</v>
      </c>
      <c r="DI264" s="141">
        <v>-48000</v>
      </c>
      <c r="DJ264" s="141">
        <v>0</v>
      </c>
      <c r="DK264" s="141">
        <v>0</v>
      </c>
      <c r="DL264" s="141">
        <v>0</v>
      </c>
      <c r="DM264" s="141">
        <v>-698808</v>
      </c>
      <c r="DN264" s="141">
        <v>0</v>
      </c>
      <c r="DO264" s="141">
        <v>-698808</v>
      </c>
      <c r="DP264" s="141">
        <v>-779720</v>
      </c>
      <c r="DQ264" s="141">
        <v>0</v>
      </c>
      <c r="DR264" s="141">
        <v>0</v>
      </c>
      <c r="DS264" s="141">
        <v>0</v>
      </c>
      <c r="DT264" s="141">
        <v>-779720</v>
      </c>
      <c r="DU264" s="141">
        <v>0</v>
      </c>
      <c r="DV264" s="141">
        <v>-779720</v>
      </c>
      <c r="DW264" s="856">
        <v>87502925</v>
      </c>
      <c r="DX264" s="856">
        <v>270746</v>
      </c>
      <c r="DY264" s="857">
        <v>87773671</v>
      </c>
      <c r="DZ264" t="s">
        <v>1830</v>
      </c>
    </row>
    <row r="265" spans="1:130" ht="12.75" x14ac:dyDescent="0.2">
      <c r="A265" s="764">
        <v>258</v>
      </c>
      <c r="B265" s="765" t="s">
        <v>407</v>
      </c>
      <c r="C265" s="766" t="s">
        <v>529</v>
      </c>
      <c r="D265" s="767" t="s">
        <v>1227</v>
      </c>
      <c r="E265" s="768" t="s">
        <v>612</v>
      </c>
      <c r="F265" s="867">
        <v>43453</v>
      </c>
      <c r="G265" s="141">
        <v>234403122</v>
      </c>
      <c r="H265" s="141">
        <v>1808025</v>
      </c>
      <c r="I265" s="141">
        <v>236211147</v>
      </c>
      <c r="J265" s="141">
        <v>49.1</v>
      </c>
      <c r="K265" s="141">
        <v>115091933</v>
      </c>
      <c r="L265" s="141">
        <v>887740</v>
      </c>
      <c r="M265" s="141">
        <v>700000</v>
      </c>
      <c r="N265" s="141">
        <v>969637</v>
      </c>
      <c r="O265" s="141">
        <v>115791933</v>
      </c>
      <c r="P265" s="141">
        <v>1857377</v>
      </c>
      <c r="Q265" s="141">
        <v>117649310</v>
      </c>
      <c r="R265" s="141">
        <v>-3087265</v>
      </c>
      <c r="S265" s="141">
        <v>0</v>
      </c>
      <c r="T265" s="141">
        <v>-3087265</v>
      </c>
      <c r="U265" s="141">
        <v>3003366</v>
      </c>
      <c r="V265" s="141">
        <v>0</v>
      </c>
      <c r="W265" s="141">
        <v>3003366</v>
      </c>
      <c r="X265" s="141">
        <v>-83899</v>
      </c>
      <c r="Y265" s="141">
        <v>0</v>
      </c>
      <c r="Z265" s="141">
        <v>0</v>
      </c>
      <c r="AA265" s="141">
        <v>0</v>
      </c>
      <c r="AB265" s="141">
        <v>-83899</v>
      </c>
      <c r="AC265" s="141">
        <v>0</v>
      </c>
      <c r="AD265" s="141">
        <v>-83899</v>
      </c>
      <c r="AE265" s="141">
        <v>83899</v>
      </c>
      <c r="AF265" s="141">
        <v>0</v>
      </c>
      <c r="AG265" s="141">
        <v>83899</v>
      </c>
      <c r="AH265" s="141">
        <v>-10864011</v>
      </c>
      <c r="AI265" s="141">
        <v>0</v>
      </c>
      <c r="AJ265" s="141">
        <v>-10864011</v>
      </c>
      <c r="AK265" s="141">
        <v>-6604</v>
      </c>
      <c r="AL265" s="141">
        <v>0</v>
      </c>
      <c r="AM265" s="141">
        <v>-6604</v>
      </c>
      <c r="AN265" s="141">
        <v>2240694</v>
      </c>
      <c r="AO265" s="141">
        <v>0</v>
      </c>
      <c r="AP265" s="141">
        <v>2240694</v>
      </c>
      <c r="AQ265" s="141">
        <v>-8623317</v>
      </c>
      <c r="AR265" s="141">
        <v>0</v>
      </c>
      <c r="AS265" s="141">
        <v>-8623317</v>
      </c>
      <c r="AT265" s="141">
        <v>-7191416</v>
      </c>
      <c r="AU265" s="141">
        <v>0</v>
      </c>
      <c r="AV265" s="141">
        <v>-7191416</v>
      </c>
      <c r="AW265" s="141">
        <v>-63109</v>
      </c>
      <c r="AX265" s="141">
        <v>0</v>
      </c>
      <c r="AY265" s="141">
        <v>-63109</v>
      </c>
      <c r="AZ265" s="141">
        <v>0</v>
      </c>
      <c r="BA265" s="141">
        <v>0</v>
      </c>
      <c r="BB265" s="141">
        <v>0</v>
      </c>
      <c r="BC265" s="141">
        <v>-15877842</v>
      </c>
      <c r="BD265" s="141">
        <v>0</v>
      </c>
      <c r="BE265" s="141">
        <v>0</v>
      </c>
      <c r="BF265" s="141">
        <v>0</v>
      </c>
      <c r="BG265" s="141">
        <v>-15877842</v>
      </c>
      <c r="BH265" s="141">
        <v>0</v>
      </c>
      <c r="BI265" s="141">
        <v>-15877842</v>
      </c>
      <c r="BJ265" s="141">
        <v>-67341</v>
      </c>
      <c r="BK265" s="141">
        <v>0</v>
      </c>
      <c r="BL265" s="141">
        <v>-67341</v>
      </c>
      <c r="BM265" s="141">
        <v>-3174844</v>
      </c>
      <c r="BN265" s="141">
        <v>0</v>
      </c>
      <c r="BO265" s="141">
        <v>-3174844</v>
      </c>
      <c r="BP265" s="141">
        <v>-3242185</v>
      </c>
      <c r="BQ265" s="141">
        <v>0</v>
      </c>
      <c r="BR265" s="141">
        <v>0</v>
      </c>
      <c r="BS265" s="141">
        <v>0</v>
      </c>
      <c r="BT265" s="141">
        <v>-3242185</v>
      </c>
      <c r="BU265" s="141">
        <v>0</v>
      </c>
      <c r="BV265" s="141">
        <v>-3242185</v>
      </c>
      <c r="BW265" s="141">
        <v>-163458</v>
      </c>
      <c r="BX265" s="141">
        <v>0</v>
      </c>
      <c r="BY265" s="141">
        <v>-163458</v>
      </c>
      <c r="BZ265" s="141">
        <v>-171768</v>
      </c>
      <c r="CA265" s="141">
        <v>0</v>
      </c>
      <c r="CB265" s="141">
        <v>-171768</v>
      </c>
      <c r="CC265" s="141">
        <v>-10326</v>
      </c>
      <c r="CD265" s="141">
        <v>0</v>
      </c>
      <c r="CE265" s="141">
        <v>-10326</v>
      </c>
      <c r="CF265" s="141">
        <v>0</v>
      </c>
      <c r="CG265" s="141">
        <v>0</v>
      </c>
      <c r="CH265" s="141">
        <v>0</v>
      </c>
      <c r="CI265" s="141">
        <v>0</v>
      </c>
      <c r="CJ265" s="141">
        <v>0</v>
      </c>
      <c r="CK265" s="141">
        <v>0</v>
      </c>
      <c r="CL265" s="141">
        <v>0</v>
      </c>
      <c r="CM265" s="141">
        <v>-58509</v>
      </c>
      <c r="CN265" s="141">
        <v>-58509</v>
      </c>
      <c r="CO265" s="141">
        <v>-58509</v>
      </c>
      <c r="CP265" s="141">
        <v>0</v>
      </c>
      <c r="CQ265" s="141">
        <v>-345552</v>
      </c>
      <c r="CR265" s="141">
        <v>-58509</v>
      </c>
      <c r="CS265" s="141">
        <v>0</v>
      </c>
      <c r="CT265" s="141">
        <v>0</v>
      </c>
      <c r="CU265" s="141">
        <v>-345552</v>
      </c>
      <c r="CV265" s="141">
        <v>-58509</v>
      </c>
      <c r="CW265" s="141">
        <v>-404061</v>
      </c>
      <c r="CX265" s="141">
        <v>0</v>
      </c>
      <c r="CY265" s="141">
        <v>0</v>
      </c>
      <c r="CZ265" s="141">
        <v>0</v>
      </c>
      <c r="DA265" s="141">
        <v>-1500</v>
      </c>
      <c r="DB265" s="141">
        <v>0</v>
      </c>
      <c r="DC265" s="141">
        <v>-1500</v>
      </c>
      <c r="DD265" s="141">
        <v>-30145</v>
      </c>
      <c r="DE265" s="141">
        <v>0</v>
      </c>
      <c r="DF265" s="141">
        <v>-30145</v>
      </c>
      <c r="DG265" s="141">
        <v>-112923</v>
      </c>
      <c r="DH265" s="141">
        <v>0</v>
      </c>
      <c r="DI265" s="141">
        <v>-112923</v>
      </c>
      <c r="DJ265" s="141">
        <v>0</v>
      </c>
      <c r="DK265" s="141">
        <v>0</v>
      </c>
      <c r="DL265" s="141">
        <v>0</v>
      </c>
      <c r="DM265" s="141">
        <v>-2381833</v>
      </c>
      <c r="DN265" s="141">
        <v>0</v>
      </c>
      <c r="DO265" s="141">
        <v>-2381833</v>
      </c>
      <c r="DP265" s="141">
        <v>-2526401</v>
      </c>
      <c r="DQ265" s="141">
        <v>0</v>
      </c>
      <c r="DR265" s="141">
        <v>0</v>
      </c>
      <c r="DS265" s="141">
        <v>0</v>
      </c>
      <c r="DT265" s="141">
        <v>-2526401</v>
      </c>
      <c r="DU265" s="141">
        <v>0</v>
      </c>
      <c r="DV265" s="141">
        <v>-2526401</v>
      </c>
      <c r="DW265" s="856">
        <v>93716054</v>
      </c>
      <c r="DX265" s="856">
        <v>1798868</v>
      </c>
      <c r="DY265" s="857">
        <v>95514922</v>
      </c>
      <c r="DZ265" t="s">
        <v>1831</v>
      </c>
    </row>
    <row r="266" spans="1:130" ht="12.75" x14ac:dyDescent="0.2">
      <c r="A266" s="764">
        <v>259</v>
      </c>
      <c r="B266" s="765" t="s">
        <v>409</v>
      </c>
      <c r="C266" s="766" t="s">
        <v>1217</v>
      </c>
      <c r="D266" s="767" t="s">
        <v>1227</v>
      </c>
      <c r="E266" s="768" t="s">
        <v>408</v>
      </c>
      <c r="F266" s="867">
        <v>43490</v>
      </c>
      <c r="G266" s="141">
        <v>144654224</v>
      </c>
      <c r="H266" s="141">
        <v>0</v>
      </c>
      <c r="I266" s="141">
        <v>144654224</v>
      </c>
      <c r="J266" s="141">
        <v>49.1</v>
      </c>
      <c r="K266" s="141">
        <v>71025224</v>
      </c>
      <c r="L266" s="141">
        <v>0</v>
      </c>
      <c r="M266" s="141">
        <v>0</v>
      </c>
      <c r="N266" s="141">
        <v>0</v>
      </c>
      <c r="O266" s="141">
        <v>71025224</v>
      </c>
      <c r="P266" s="141">
        <v>0</v>
      </c>
      <c r="Q266" s="141">
        <v>71025224</v>
      </c>
      <c r="R266" s="141">
        <v>-529188.05000000005</v>
      </c>
      <c r="S266" s="141">
        <v>0</v>
      </c>
      <c r="T266" s="141">
        <v>-529188.05000000005</v>
      </c>
      <c r="U266" s="141">
        <v>497760.79</v>
      </c>
      <c r="V266" s="141">
        <v>0</v>
      </c>
      <c r="W266" s="141">
        <v>497760.79</v>
      </c>
      <c r="X266" s="141">
        <v>-31427.260000000068</v>
      </c>
      <c r="Y266" s="141">
        <v>0</v>
      </c>
      <c r="Z266" s="141">
        <v>0</v>
      </c>
      <c r="AA266" s="141">
        <v>0</v>
      </c>
      <c r="AB266" s="141">
        <v>-31427.260000000068</v>
      </c>
      <c r="AC266" s="141">
        <v>0</v>
      </c>
      <c r="AD266" s="141">
        <v>-31427.260000000068</v>
      </c>
      <c r="AE266" s="141">
        <v>31427.260000000068</v>
      </c>
      <c r="AF266" s="141">
        <v>0</v>
      </c>
      <c r="AG266" s="141">
        <v>31427.260000000068</v>
      </c>
      <c r="AH266" s="141">
        <v>-5963237.3099999996</v>
      </c>
      <c r="AI266" s="141">
        <v>0</v>
      </c>
      <c r="AJ266" s="141">
        <v>-5963237.3099999996</v>
      </c>
      <c r="AK266" s="141">
        <v>0</v>
      </c>
      <c r="AL266" s="141">
        <v>0</v>
      </c>
      <c r="AM266" s="141">
        <v>0</v>
      </c>
      <c r="AN266" s="141">
        <v>1307016.74</v>
      </c>
      <c r="AO266" s="141">
        <v>0</v>
      </c>
      <c r="AP266" s="141">
        <v>1307016.74</v>
      </c>
      <c r="AQ266" s="141">
        <v>-4656220.5699999994</v>
      </c>
      <c r="AR266" s="141">
        <v>0</v>
      </c>
      <c r="AS266" s="141">
        <v>-4656220.5699999994</v>
      </c>
      <c r="AT266" s="141">
        <v>-4492119.03</v>
      </c>
      <c r="AU266" s="141">
        <v>0</v>
      </c>
      <c r="AV266" s="141">
        <v>-4492119.03</v>
      </c>
      <c r="AW266" s="141">
        <v>-121423.69</v>
      </c>
      <c r="AX266" s="141">
        <v>0</v>
      </c>
      <c r="AY266" s="141">
        <v>-121423.69</v>
      </c>
      <c r="AZ266" s="141">
        <v>-23636.92</v>
      </c>
      <c r="BA266" s="141">
        <v>0</v>
      </c>
      <c r="BB266" s="141">
        <v>-23636.92</v>
      </c>
      <c r="BC266" s="141">
        <v>-9293400.209999999</v>
      </c>
      <c r="BD266" s="141">
        <v>0</v>
      </c>
      <c r="BE266" s="141">
        <v>0</v>
      </c>
      <c r="BF266" s="141">
        <v>0</v>
      </c>
      <c r="BG266" s="141">
        <v>-9293400.209999999</v>
      </c>
      <c r="BH266" s="141">
        <v>0</v>
      </c>
      <c r="BI266" s="141">
        <v>-9293400.209999999</v>
      </c>
      <c r="BJ266" s="141">
        <v>0</v>
      </c>
      <c r="BK266" s="141">
        <v>0</v>
      </c>
      <c r="BL266" s="141">
        <v>0</v>
      </c>
      <c r="BM266" s="141">
        <v>-2240305.25</v>
      </c>
      <c r="BN266" s="141">
        <v>0</v>
      </c>
      <c r="BO266" s="141">
        <v>-2240305.25</v>
      </c>
      <c r="BP266" s="141">
        <v>-2240305.25</v>
      </c>
      <c r="BQ266" s="141">
        <v>0</v>
      </c>
      <c r="BR266" s="141">
        <v>0</v>
      </c>
      <c r="BS266" s="141">
        <v>0</v>
      </c>
      <c r="BT266" s="141">
        <v>-2240305.25</v>
      </c>
      <c r="BU266" s="141">
        <v>0</v>
      </c>
      <c r="BV266" s="141">
        <v>-2240305.25</v>
      </c>
      <c r="BW266" s="141">
        <v>-13938.12</v>
      </c>
      <c r="BX266" s="141">
        <v>0</v>
      </c>
      <c r="BY266" s="141">
        <v>-13938.12</v>
      </c>
      <c r="BZ266" s="141">
        <v>-27540.57</v>
      </c>
      <c r="CA266" s="141">
        <v>0</v>
      </c>
      <c r="CB266" s="141">
        <v>-27540.57</v>
      </c>
      <c r="CC266" s="141">
        <v>0</v>
      </c>
      <c r="CD266" s="141">
        <v>0</v>
      </c>
      <c r="CE266" s="141">
        <v>0</v>
      </c>
      <c r="CF266" s="141">
        <v>-24451.96</v>
      </c>
      <c r="CG266" s="141">
        <v>0</v>
      </c>
      <c r="CH266" s="141">
        <v>-24451.96</v>
      </c>
      <c r="CI266" s="141">
        <v>0</v>
      </c>
      <c r="CJ266" s="141">
        <v>0</v>
      </c>
      <c r="CK266" s="141">
        <v>0</v>
      </c>
      <c r="CL266" s="141">
        <v>0</v>
      </c>
      <c r="CM266" s="141">
        <v>0</v>
      </c>
      <c r="CN266" s="141">
        <v>0</v>
      </c>
      <c r="CO266" s="141">
        <v>0</v>
      </c>
      <c r="CP266" s="141">
        <v>0</v>
      </c>
      <c r="CQ266" s="141">
        <v>-65930.649999999994</v>
      </c>
      <c r="CR266" s="141">
        <v>0</v>
      </c>
      <c r="CS266" s="141">
        <v>0</v>
      </c>
      <c r="CT266" s="141">
        <v>0</v>
      </c>
      <c r="CU266" s="141">
        <v>-65930.649999999994</v>
      </c>
      <c r="CV266" s="141">
        <v>0</v>
      </c>
      <c r="CW266" s="141">
        <v>-65930.649999999994</v>
      </c>
      <c r="CX266" s="141">
        <v>-24450</v>
      </c>
      <c r="CY266" s="141">
        <v>0</v>
      </c>
      <c r="CZ266" s="141">
        <v>-24450</v>
      </c>
      <c r="DA266" s="141">
        <v>-1500</v>
      </c>
      <c r="DB266" s="141">
        <v>0</v>
      </c>
      <c r="DC266" s="141">
        <v>-1500</v>
      </c>
      <c r="DD266" s="141">
        <v>-23588.02</v>
      </c>
      <c r="DE266" s="141">
        <v>0</v>
      </c>
      <c r="DF266" s="141">
        <v>-23588.02</v>
      </c>
      <c r="DG266" s="141">
        <v>-1500</v>
      </c>
      <c r="DH266" s="141">
        <v>0</v>
      </c>
      <c r="DI266" s="141">
        <v>-1500</v>
      </c>
      <c r="DJ266" s="141">
        <v>0</v>
      </c>
      <c r="DK266" s="141">
        <v>0</v>
      </c>
      <c r="DL266" s="141">
        <v>0</v>
      </c>
      <c r="DM266" s="141">
        <v>-1524506</v>
      </c>
      <c r="DN266" s="141">
        <v>0</v>
      </c>
      <c r="DO266" s="141">
        <v>-1524506</v>
      </c>
      <c r="DP266" s="141">
        <v>-1575544.02</v>
      </c>
      <c r="DQ266" s="141">
        <v>0</v>
      </c>
      <c r="DR266" s="141">
        <v>0</v>
      </c>
      <c r="DS266" s="141">
        <v>0</v>
      </c>
      <c r="DT266" s="141">
        <v>-1575544.02</v>
      </c>
      <c r="DU266" s="141">
        <v>0</v>
      </c>
      <c r="DV266" s="141">
        <v>-1575544.02</v>
      </c>
      <c r="DW266" s="856">
        <v>57818616.609999992</v>
      </c>
      <c r="DX266" s="856">
        <v>0</v>
      </c>
      <c r="DY266" s="857">
        <v>57818616.609999992</v>
      </c>
      <c r="DZ266" t="s">
        <v>1832</v>
      </c>
    </row>
    <row r="267" spans="1:130" ht="12.75" x14ac:dyDescent="0.2">
      <c r="A267" s="764">
        <v>260</v>
      </c>
      <c r="B267" s="765" t="s">
        <v>411</v>
      </c>
      <c r="C267" s="766" t="s">
        <v>1217</v>
      </c>
      <c r="D267" s="767" t="s">
        <v>1226</v>
      </c>
      <c r="E267" s="768" t="s">
        <v>410</v>
      </c>
      <c r="F267" s="867">
        <v>43465</v>
      </c>
      <c r="G267" s="141">
        <v>76729294</v>
      </c>
      <c r="H267" s="141">
        <v>0</v>
      </c>
      <c r="I267" s="141">
        <v>76729294</v>
      </c>
      <c r="J267" s="141">
        <v>49.1</v>
      </c>
      <c r="K267" s="141">
        <v>37674083</v>
      </c>
      <c r="L267" s="141">
        <v>0</v>
      </c>
      <c r="M267" s="141">
        <v>0</v>
      </c>
      <c r="N267" s="141">
        <v>0</v>
      </c>
      <c r="O267" s="141">
        <v>37674083</v>
      </c>
      <c r="P267" s="141">
        <v>0</v>
      </c>
      <c r="Q267" s="141">
        <v>37674083</v>
      </c>
      <c r="R267" s="141">
        <v>-472109.08</v>
      </c>
      <c r="S267" s="141">
        <v>0</v>
      </c>
      <c r="T267" s="141">
        <v>-472109.08</v>
      </c>
      <c r="U267" s="141">
        <v>267937.90000000002</v>
      </c>
      <c r="V267" s="141">
        <v>0</v>
      </c>
      <c r="W267" s="141">
        <v>267937.90000000002</v>
      </c>
      <c r="X267" s="141">
        <v>-204171.18</v>
      </c>
      <c r="Y267" s="141">
        <v>0</v>
      </c>
      <c r="Z267" s="141">
        <v>0</v>
      </c>
      <c r="AA267" s="141">
        <v>0</v>
      </c>
      <c r="AB267" s="141">
        <v>-204171.18</v>
      </c>
      <c r="AC267" s="141">
        <v>0</v>
      </c>
      <c r="AD267" s="141">
        <v>-204171.18</v>
      </c>
      <c r="AE267" s="141">
        <v>204171.18</v>
      </c>
      <c r="AF267" s="141">
        <v>0</v>
      </c>
      <c r="AG267" s="141">
        <v>204171.18</v>
      </c>
      <c r="AH267" s="141">
        <v>-4339478</v>
      </c>
      <c r="AI267" s="141">
        <v>0</v>
      </c>
      <c r="AJ267" s="141">
        <v>-4339478</v>
      </c>
      <c r="AK267" s="141">
        <v>0</v>
      </c>
      <c r="AL267" s="141">
        <v>0</v>
      </c>
      <c r="AM267" s="141">
        <v>0</v>
      </c>
      <c r="AN267" s="141">
        <v>621085.94999999995</v>
      </c>
      <c r="AO267" s="141">
        <v>0</v>
      </c>
      <c r="AP267" s="141">
        <v>621085.94999999995</v>
      </c>
      <c r="AQ267" s="141">
        <v>-3718392.05</v>
      </c>
      <c r="AR267" s="141">
        <v>0</v>
      </c>
      <c r="AS267" s="141">
        <v>-3718392.05</v>
      </c>
      <c r="AT267" s="141">
        <v>-2638036.04</v>
      </c>
      <c r="AU267" s="141">
        <v>0</v>
      </c>
      <c r="AV267" s="141">
        <v>-2638036.04</v>
      </c>
      <c r="AW267" s="141">
        <v>-35904.97</v>
      </c>
      <c r="AX267" s="141">
        <v>0</v>
      </c>
      <c r="AY267" s="141">
        <v>-35904.97</v>
      </c>
      <c r="AZ267" s="141">
        <v>-29997.31</v>
      </c>
      <c r="BA267" s="141">
        <v>0</v>
      </c>
      <c r="BB267" s="141">
        <v>-29997.31</v>
      </c>
      <c r="BC267" s="141">
        <v>-6422330.3699999992</v>
      </c>
      <c r="BD267" s="141">
        <v>0</v>
      </c>
      <c r="BE267" s="141">
        <v>0</v>
      </c>
      <c r="BF267" s="141">
        <v>0</v>
      </c>
      <c r="BG267" s="141">
        <v>-6422330.3699999992</v>
      </c>
      <c r="BH267" s="141">
        <v>0</v>
      </c>
      <c r="BI267" s="141">
        <v>-6422330.3699999992</v>
      </c>
      <c r="BJ267" s="141">
        <v>-4385.12</v>
      </c>
      <c r="BK267" s="141">
        <v>0</v>
      </c>
      <c r="BL267" s="141">
        <v>-4385.12</v>
      </c>
      <c r="BM267" s="141">
        <v>-824439</v>
      </c>
      <c r="BN267" s="141">
        <v>0</v>
      </c>
      <c r="BO267" s="141">
        <v>-824439</v>
      </c>
      <c r="BP267" s="141">
        <v>-828824.12</v>
      </c>
      <c r="BQ267" s="141">
        <v>0</v>
      </c>
      <c r="BR267" s="141">
        <v>0</v>
      </c>
      <c r="BS267" s="141">
        <v>0</v>
      </c>
      <c r="BT267" s="141">
        <v>-828824.12</v>
      </c>
      <c r="BU267" s="141">
        <v>0</v>
      </c>
      <c r="BV267" s="141">
        <v>-828824.12</v>
      </c>
      <c r="BW267" s="141">
        <v>-96368.13</v>
      </c>
      <c r="BX267" s="141">
        <v>0</v>
      </c>
      <c r="BY267" s="141">
        <v>-96368.13</v>
      </c>
      <c r="BZ267" s="141">
        <v>-115539.43</v>
      </c>
      <c r="CA267" s="141">
        <v>0</v>
      </c>
      <c r="CB267" s="141">
        <v>-115539.43</v>
      </c>
      <c r="CC267" s="141">
        <v>0</v>
      </c>
      <c r="CD267" s="141">
        <v>0</v>
      </c>
      <c r="CE267" s="141">
        <v>0</v>
      </c>
      <c r="CF267" s="141">
        <v>-29997.26</v>
      </c>
      <c r="CG267" s="141">
        <v>0</v>
      </c>
      <c r="CH267" s="141">
        <v>-29997.26</v>
      </c>
      <c r="CI267" s="141">
        <v>0</v>
      </c>
      <c r="CJ267" s="141">
        <v>0</v>
      </c>
      <c r="CK267" s="141">
        <v>0</v>
      </c>
      <c r="CL267" s="141">
        <v>0</v>
      </c>
      <c r="CM267" s="141">
        <v>0</v>
      </c>
      <c r="CN267" s="141">
        <v>0</v>
      </c>
      <c r="CO267" s="141">
        <v>0</v>
      </c>
      <c r="CP267" s="141">
        <v>0</v>
      </c>
      <c r="CQ267" s="141">
        <v>-241904.82</v>
      </c>
      <c r="CR267" s="141">
        <v>0</v>
      </c>
      <c r="CS267" s="141">
        <v>0</v>
      </c>
      <c r="CT267" s="141">
        <v>0</v>
      </c>
      <c r="CU267" s="141">
        <v>-241904.82</v>
      </c>
      <c r="CV267" s="141">
        <v>0</v>
      </c>
      <c r="CW267" s="141">
        <v>-241904.82</v>
      </c>
      <c r="CX267" s="141">
        <v>-29997</v>
      </c>
      <c r="CY267" s="141">
        <v>0</v>
      </c>
      <c r="CZ267" s="141">
        <v>-29997</v>
      </c>
      <c r="DA267" s="141">
        <v>-1500</v>
      </c>
      <c r="DB267" s="141">
        <v>0</v>
      </c>
      <c r="DC267" s="141">
        <v>-1500</v>
      </c>
      <c r="DD267" s="141">
        <v>-29869</v>
      </c>
      <c r="DE267" s="141">
        <v>0</v>
      </c>
      <c r="DF267" s="141">
        <v>-29869</v>
      </c>
      <c r="DG267" s="141">
        <v>-50000</v>
      </c>
      <c r="DH267" s="141">
        <v>0</v>
      </c>
      <c r="DI267" s="141">
        <v>-50000</v>
      </c>
      <c r="DJ267" s="141">
        <v>0</v>
      </c>
      <c r="DK267" s="141">
        <v>0</v>
      </c>
      <c r="DL267" s="141">
        <v>0</v>
      </c>
      <c r="DM267" s="141">
        <v>-344598.1</v>
      </c>
      <c r="DN267" s="141">
        <v>0</v>
      </c>
      <c r="DO267" s="141">
        <v>-344598.1</v>
      </c>
      <c r="DP267" s="141">
        <v>-455964.1</v>
      </c>
      <c r="DQ267" s="141">
        <v>0</v>
      </c>
      <c r="DR267" s="141">
        <v>0</v>
      </c>
      <c r="DS267" s="141">
        <v>0</v>
      </c>
      <c r="DT267" s="141">
        <v>-455964.1</v>
      </c>
      <c r="DU267" s="141">
        <v>0</v>
      </c>
      <c r="DV267" s="141">
        <v>-455964.1</v>
      </c>
      <c r="DW267" s="856">
        <v>29520888.41</v>
      </c>
      <c r="DX267" s="856">
        <v>0</v>
      </c>
      <c r="DY267" s="857">
        <v>29520888.41</v>
      </c>
      <c r="DZ267" t="s">
        <v>1833</v>
      </c>
    </row>
    <row r="268" spans="1:130" ht="12.75" x14ac:dyDescent="0.2">
      <c r="A268" s="764">
        <v>261</v>
      </c>
      <c r="B268" s="765" t="s">
        <v>413</v>
      </c>
      <c r="C268" s="766" t="s">
        <v>1224</v>
      </c>
      <c r="D268" s="767" t="s">
        <v>1229</v>
      </c>
      <c r="E268" s="768" t="s">
        <v>412</v>
      </c>
      <c r="F268" s="867">
        <v>43489</v>
      </c>
      <c r="G268" s="141">
        <v>229391668</v>
      </c>
      <c r="H268" s="141">
        <v>1873400</v>
      </c>
      <c r="I268" s="141">
        <v>231265068</v>
      </c>
      <c r="J268" s="141">
        <v>49.1</v>
      </c>
      <c r="K268" s="141">
        <v>112631309</v>
      </c>
      <c r="L268" s="141">
        <v>919839</v>
      </c>
      <c r="M268" s="141">
        <v>0</v>
      </c>
      <c r="N268" s="141">
        <v>0</v>
      </c>
      <c r="O268" s="141">
        <v>112631309</v>
      </c>
      <c r="P268" s="141">
        <v>919839</v>
      </c>
      <c r="Q268" s="141">
        <v>113551148</v>
      </c>
      <c r="R268" s="141">
        <v>-1142521.44</v>
      </c>
      <c r="S268" s="141">
        <v>0</v>
      </c>
      <c r="T268" s="141">
        <v>-1142521.44</v>
      </c>
      <c r="U268" s="141">
        <v>2353324.35</v>
      </c>
      <c r="V268" s="141">
        <v>0</v>
      </c>
      <c r="W268" s="141">
        <v>2353324.35</v>
      </c>
      <c r="X268" s="141">
        <v>1210802.9100000001</v>
      </c>
      <c r="Y268" s="141">
        <v>0</v>
      </c>
      <c r="Z268" s="141">
        <v>0</v>
      </c>
      <c r="AA268" s="141">
        <v>0</v>
      </c>
      <c r="AB268" s="141">
        <v>1210802.9100000001</v>
      </c>
      <c r="AC268" s="141">
        <v>0</v>
      </c>
      <c r="AD268" s="141">
        <v>1210802.9100000001</v>
      </c>
      <c r="AE268" s="141">
        <v>-1210802.9100000001</v>
      </c>
      <c r="AF268" s="141">
        <v>0</v>
      </c>
      <c r="AG268" s="141">
        <v>-1210802.9100000001</v>
      </c>
      <c r="AH268" s="141">
        <v>-8197904</v>
      </c>
      <c r="AI268" s="141">
        <v>0</v>
      </c>
      <c r="AJ268" s="141">
        <v>-8197904</v>
      </c>
      <c r="AK268" s="141">
        <v>0</v>
      </c>
      <c r="AL268" s="141">
        <v>0</v>
      </c>
      <c r="AM268" s="141">
        <v>0</v>
      </c>
      <c r="AN268" s="141">
        <v>2266181.67</v>
      </c>
      <c r="AO268" s="141">
        <v>23642</v>
      </c>
      <c r="AP268" s="141">
        <v>2289823.67</v>
      </c>
      <c r="AQ268" s="141">
        <v>-5931722.3300000001</v>
      </c>
      <c r="AR268" s="141">
        <v>23642</v>
      </c>
      <c r="AS268" s="141">
        <v>-5908080.3300000001</v>
      </c>
      <c r="AT268" s="141">
        <v>-8095144.1799999997</v>
      </c>
      <c r="AU268" s="141">
        <v>-45521</v>
      </c>
      <c r="AV268" s="141">
        <v>-8140665.1799999997</v>
      </c>
      <c r="AW268" s="141">
        <v>-49230.720000000001</v>
      </c>
      <c r="AX268" s="141">
        <v>0</v>
      </c>
      <c r="AY268" s="141">
        <v>-49230.720000000001</v>
      </c>
      <c r="AZ268" s="141">
        <v>-1492.17</v>
      </c>
      <c r="BA268" s="141">
        <v>0</v>
      </c>
      <c r="BB268" s="141">
        <v>-1492.17</v>
      </c>
      <c r="BC268" s="141">
        <v>-14077589.4</v>
      </c>
      <c r="BD268" s="141">
        <v>-21879</v>
      </c>
      <c r="BE268" s="141">
        <v>-200000</v>
      </c>
      <c r="BF268" s="141">
        <v>0</v>
      </c>
      <c r="BG268" s="141">
        <v>-14277589.4</v>
      </c>
      <c r="BH268" s="141">
        <v>-21879</v>
      </c>
      <c r="BI268" s="141">
        <v>-14299468.4</v>
      </c>
      <c r="BJ268" s="141">
        <v>0</v>
      </c>
      <c r="BK268" s="141">
        <v>0</v>
      </c>
      <c r="BL268" s="141">
        <v>0</v>
      </c>
      <c r="BM268" s="141">
        <v>-2126125</v>
      </c>
      <c r="BN268" s="141">
        <v>0</v>
      </c>
      <c r="BO268" s="141">
        <v>-2126125</v>
      </c>
      <c r="BP268" s="141">
        <v>-2126125</v>
      </c>
      <c r="BQ268" s="141">
        <v>0</v>
      </c>
      <c r="BR268" s="141">
        <v>-873875</v>
      </c>
      <c r="BS268" s="141">
        <v>0</v>
      </c>
      <c r="BT268" s="141">
        <v>-3000000</v>
      </c>
      <c r="BU268" s="141">
        <v>0</v>
      </c>
      <c r="BV268" s="141">
        <v>-3000000</v>
      </c>
      <c r="BW268" s="141">
        <v>-59504.54</v>
      </c>
      <c r="BX268" s="141">
        <v>0</v>
      </c>
      <c r="BY268" s="141">
        <v>-59504.54</v>
      </c>
      <c r="BZ268" s="141">
        <v>-122365.69</v>
      </c>
      <c r="CA268" s="141">
        <v>0</v>
      </c>
      <c r="CB268" s="141">
        <v>-122365.69</v>
      </c>
      <c r="CC268" s="141">
        <v>-504</v>
      </c>
      <c r="CD268" s="141">
        <v>0</v>
      </c>
      <c r="CE268" s="141">
        <v>-504</v>
      </c>
      <c r="CF268" s="141">
        <v>-1492.17</v>
      </c>
      <c r="CG268" s="141">
        <v>0</v>
      </c>
      <c r="CH268" s="141">
        <v>-1492.17</v>
      </c>
      <c r="CI268" s="141">
        <v>0</v>
      </c>
      <c r="CJ268" s="141">
        <v>0</v>
      </c>
      <c r="CK268" s="141">
        <v>0</v>
      </c>
      <c r="CL268" s="141">
        <v>0</v>
      </c>
      <c r="CM268" s="141">
        <v>0</v>
      </c>
      <c r="CN268" s="141">
        <v>0</v>
      </c>
      <c r="CO268" s="141">
        <v>0</v>
      </c>
      <c r="CP268" s="141">
        <v>0</v>
      </c>
      <c r="CQ268" s="141">
        <v>-183866.40000000002</v>
      </c>
      <c r="CR268" s="141">
        <v>0</v>
      </c>
      <c r="CS268" s="141">
        <v>0</v>
      </c>
      <c r="CT268" s="141">
        <v>0</v>
      </c>
      <c r="CU268" s="141">
        <v>-183866.40000000002</v>
      </c>
      <c r="CV268" s="141">
        <v>0</v>
      </c>
      <c r="CW268" s="141">
        <v>-183866.40000000002</v>
      </c>
      <c r="CX268" s="141">
        <v>-1492</v>
      </c>
      <c r="CY268" s="141">
        <v>0</v>
      </c>
      <c r="CZ268" s="141">
        <v>-1492</v>
      </c>
      <c r="DA268" s="141">
        <v>-1500</v>
      </c>
      <c r="DB268" s="141">
        <v>0</v>
      </c>
      <c r="DC268" s="141">
        <v>-1500</v>
      </c>
      <c r="DD268" s="141">
        <v>-29394</v>
      </c>
      <c r="DE268" s="141">
        <v>0</v>
      </c>
      <c r="DF268" s="141">
        <v>-29394</v>
      </c>
      <c r="DG268" s="141">
        <v>-99448</v>
      </c>
      <c r="DH268" s="141">
        <v>0</v>
      </c>
      <c r="DI268" s="141">
        <v>-99448</v>
      </c>
      <c r="DJ268" s="141">
        <v>0</v>
      </c>
      <c r="DK268" s="141">
        <v>0</v>
      </c>
      <c r="DL268" s="141">
        <v>0</v>
      </c>
      <c r="DM268" s="141">
        <v>-1071465.82</v>
      </c>
      <c r="DN268" s="141">
        <v>0</v>
      </c>
      <c r="DO268" s="141">
        <v>-1071465.82</v>
      </c>
      <c r="DP268" s="141">
        <v>-1203299.82</v>
      </c>
      <c r="DQ268" s="141">
        <v>0</v>
      </c>
      <c r="DR268" s="141">
        <v>0</v>
      </c>
      <c r="DS268" s="141">
        <v>0</v>
      </c>
      <c r="DT268" s="141">
        <v>-1203299.82</v>
      </c>
      <c r="DU268" s="141">
        <v>0</v>
      </c>
      <c r="DV268" s="141">
        <v>-1203299.82</v>
      </c>
      <c r="DW268" s="856">
        <v>95177356.289999992</v>
      </c>
      <c r="DX268" s="856">
        <v>897960</v>
      </c>
      <c r="DY268" s="857">
        <v>96075316.289999992</v>
      </c>
      <c r="DZ268" t="s">
        <v>1834</v>
      </c>
    </row>
    <row r="269" spans="1:130" ht="12.75" x14ac:dyDescent="0.2">
      <c r="A269" s="764">
        <v>262</v>
      </c>
      <c r="B269" s="765" t="s">
        <v>415</v>
      </c>
      <c r="C269" s="766" t="s">
        <v>1217</v>
      </c>
      <c r="D269" s="767" t="s">
        <v>1218</v>
      </c>
      <c r="E269" s="768" t="s">
        <v>414</v>
      </c>
      <c r="F269" s="867">
        <v>43474</v>
      </c>
      <c r="G269" s="141">
        <v>91670563</v>
      </c>
      <c r="H269" s="141">
        <v>0</v>
      </c>
      <c r="I269" s="141">
        <v>91670563</v>
      </c>
      <c r="J269" s="141">
        <v>49.1</v>
      </c>
      <c r="K269" s="141">
        <v>45010246</v>
      </c>
      <c r="L269" s="141">
        <v>0</v>
      </c>
      <c r="M269" s="141">
        <v>0</v>
      </c>
      <c r="N269" s="141">
        <v>0</v>
      </c>
      <c r="O269" s="141">
        <v>45010246</v>
      </c>
      <c r="P269" s="141">
        <v>0</v>
      </c>
      <c r="Q269" s="141">
        <v>45010246</v>
      </c>
      <c r="R269" s="141">
        <v>-370694</v>
      </c>
      <c r="S269" s="141">
        <v>0</v>
      </c>
      <c r="T269" s="141">
        <v>-370694</v>
      </c>
      <c r="U269" s="141">
        <v>409494</v>
      </c>
      <c r="V269" s="141">
        <v>0</v>
      </c>
      <c r="W269" s="141">
        <v>409494</v>
      </c>
      <c r="X269" s="141">
        <v>38800</v>
      </c>
      <c r="Y269" s="141">
        <v>0</v>
      </c>
      <c r="Z269" s="141">
        <v>0</v>
      </c>
      <c r="AA269" s="141">
        <v>0</v>
      </c>
      <c r="AB269" s="141">
        <v>38800</v>
      </c>
      <c r="AC269" s="141">
        <v>0</v>
      </c>
      <c r="AD269" s="141">
        <v>38800</v>
      </c>
      <c r="AE269" s="141">
        <v>-38800</v>
      </c>
      <c r="AF269" s="141">
        <v>0</v>
      </c>
      <c r="AG269" s="141">
        <v>-38800</v>
      </c>
      <c r="AH269" s="141">
        <v>-2866175</v>
      </c>
      <c r="AI269" s="141">
        <v>0</v>
      </c>
      <c r="AJ269" s="141">
        <v>-2866175</v>
      </c>
      <c r="AK269" s="141">
        <v>-10000</v>
      </c>
      <c r="AL269" s="141">
        <v>0</v>
      </c>
      <c r="AM269" s="141">
        <v>-10000</v>
      </c>
      <c r="AN269" s="141">
        <v>877712</v>
      </c>
      <c r="AO269" s="141">
        <v>0</v>
      </c>
      <c r="AP269" s="141">
        <v>877712</v>
      </c>
      <c r="AQ269" s="141">
        <v>-1988463</v>
      </c>
      <c r="AR269" s="141">
        <v>0</v>
      </c>
      <c r="AS269" s="141">
        <v>-1988463</v>
      </c>
      <c r="AT269" s="141">
        <v>-1776619</v>
      </c>
      <c r="AU269" s="141">
        <v>0</v>
      </c>
      <c r="AV269" s="141">
        <v>-1776619</v>
      </c>
      <c r="AW269" s="141">
        <v>-5768</v>
      </c>
      <c r="AX269" s="141">
        <v>0</v>
      </c>
      <c r="AY269" s="141">
        <v>-5768</v>
      </c>
      <c r="AZ269" s="141">
        <v>0</v>
      </c>
      <c r="BA269" s="141">
        <v>0</v>
      </c>
      <c r="BB269" s="141">
        <v>0</v>
      </c>
      <c r="BC269" s="141">
        <v>-3770850</v>
      </c>
      <c r="BD269" s="141">
        <v>0</v>
      </c>
      <c r="BE269" s="141">
        <v>0</v>
      </c>
      <c r="BF269" s="141">
        <v>0</v>
      </c>
      <c r="BG269" s="141">
        <v>-3770850</v>
      </c>
      <c r="BH269" s="141">
        <v>0</v>
      </c>
      <c r="BI269" s="141">
        <v>-3770850</v>
      </c>
      <c r="BJ269" s="141">
        <v>-10000</v>
      </c>
      <c r="BK269" s="141">
        <v>0</v>
      </c>
      <c r="BL269" s="141">
        <v>-10000</v>
      </c>
      <c r="BM269" s="141">
        <v>-1200000</v>
      </c>
      <c r="BN269" s="141">
        <v>0</v>
      </c>
      <c r="BO269" s="141">
        <v>-1200000</v>
      </c>
      <c r="BP269" s="141">
        <v>-1210000</v>
      </c>
      <c r="BQ269" s="141">
        <v>0</v>
      </c>
      <c r="BR269" s="141">
        <v>0</v>
      </c>
      <c r="BS269" s="141">
        <v>0</v>
      </c>
      <c r="BT269" s="141">
        <v>-1210000</v>
      </c>
      <c r="BU269" s="141">
        <v>0</v>
      </c>
      <c r="BV269" s="141">
        <v>-1210000</v>
      </c>
      <c r="BW269" s="141">
        <v>-97124</v>
      </c>
      <c r="BX269" s="141">
        <v>0</v>
      </c>
      <c r="BY269" s="141">
        <v>-97124</v>
      </c>
      <c r="BZ269" s="141">
        <v>-187616</v>
      </c>
      <c r="CA269" s="141">
        <v>0</v>
      </c>
      <c r="CB269" s="141">
        <v>-187616</v>
      </c>
      <c r="CC269" s="141">
        <v>-1474</v>
      </c>
      <c r="CD269" s="141">
        <v>0</v>
      </c>
      <c r="CE269" s="141">
        <v>-1474</v>
      </c>
      <c r="CF269" s="141">
        <v>0</v>
      </c>
      <c r="CG269" s="141">
        <v>0</v>
      </c>
      <c r="CH269" s="141">
        <v>0</v>
      </c>
      <c r="CI269" s="141">
        <v>0</v>
      </c>
      <c r="CJ269" s="141">
        <v>0</v>
      </c>
      <c r="CK269" s="141">
        <v>0</v>
      </c>
      <c r="CL269" s="141">
        <v>0</v>
      </c>
      <c r="CM269" s="141">
        <v>0</v>
      </c>
      <c r="CN269" s="141">
        <v>0</v>
      </c>
      <c r="CO269" s="141">
        <v>0</v>
      </c>
      <c r="CP269" s="141">
        <v>0</v>
      </c>
      <c r="CQ269" s="141">
        <v>-286214</v>
      </c>
      <c r="CR269" s="141">
        <v>0</v>
      </c>
      <c r="CS269" s="141">
        <v>0</v>
      </c>
      <c r="CT269" s="141">
        <v>0</v>
      </c>
      <c r="CU269" s="141">
        <v>-286214</v>
      </c>
      <c r="CV269" s="141">
        <v>0</v>
      </c>
      <c r="CW269" s="141">
        <v>-286214</v>
      </c>
      <c r="CX269" s="141">
        <v>0</v>
      </c>
      <c r="CY269" s="141">
        <v>0</v>
      </c>
      <c r="CZ269" s="141">
        <v>0</v>
      </c>
      <c r="DA269" s="141">
        <v>0</v>
      </c>
      <c r="DB269" s="141">
        <v>0</v>
      </c>
      <c r="DC269" s="141">
        <v>0</v>
      </c>
      <c r="DD269" s="141">
        <v>-22000</v>
      </c>
      <c r="DE269" s="141">
        <v>0</v>
      </c>
      <c r="DF269" s="141">
        <v>-22000</v>
      </c>
      <c r="DG269" s="141">
        <v>-43763</v>
      </c>
      <c r="DH269" s="141">
        <v>0</v>
      </c>
      <c r="DI269" s="141">
        <v>-43763</v>
      </c>
      <c r="DJ269" s="141">
        <v>0</v>
      </c>
      <c r="DK269" s="141">
        <v>0</v>
      </c>
      <c r="DL269" s="141">
        <v>0</v>
      </c>
      <c r="DM269" s="141">
        <v>-1000000</v>
      </c>
      <c r="DN269" s="141">
        <v>0</v>
      </c>
      <c r="DO269" s="141">
        <v>-1000000</v>
      </c>
      <c r="DP269" s="141">
        <v>-1065763</v>
      </c>
      <c r="DQ269" s="141">
        <v>0</v>
      </c>
      <c r="DR269" s="141">
        <v>0</v>
      </c>
      <c r="DS269" s="141">
        <v>0</v>
      </c>
      <c r="DT269" s="141">
        <v>-1065763</v>
      </c>
      <c r="DU269" s="141">
        <v>0</v>
      </c>
      <c r="DV269" s="141">
        <v>-1065763</v>
      </c>
      <c r="DW269" s="856">
        <v>38716219</v>
      </c>
      <c r="DX269" s="856">
        <v>0</v>
      </c>
      <c r="DY269" s="857">
        <v>38716219</v>
      </c>
      <c r="DZ269" t="s">
        <v>1835</v>
      </c>
    </row>
    <row r="270" spans="1:130" ht="12.75" x14ac:dyDescent="0.2">
      <c r="A270" s="764">
        <v>263</v>
      </c>
      <c r="B270" s="765" t="s">
        <v>417</v>
      </c>
      <c r="C270" s="766" t="s">
        <v>1222</v>
      </c>
      <c r="D270" s="767" t="s">
        <v>1223</v>
      </c>
      <c r="E270" s="768" t="s">
        <v>416</v>
      </c>
      <c r="F270" s="867">
        <v>43460</v>
      </c>
      <c r="G270" s="141">
        <v>142427734</v>
      </c>
      <c r="H270" s="141">
        <v>0</v>
      </c>
      <c r="I270" s="141">
        <v>142427734</v>
      </c>
      <c r="J270" s="141">
        <v>49.1</v>
      </c>
      <c r="K270" s="141">
        <v>69932017</v>
      </c>
      <c r="L270" s="141">
        <v>0</v>
      </c>
      <c r="M270" s="141">
        <v>1227500</v>
      </c>
      <c r="N270" s="141">
        <v>0</v>
      </c>
      <c r="O270" s="141">
        <v>71159517</v>
      </c>
      <c r="P270" s="141">
        <v>0</v>
      </c>
      <c r="Q270" s="141">
        <v>71159517</v>
      </c>
      <c r="R270" s="141">
        <v>-596755</v>
      </c>
      <c r="S270" s="141">
        <v>0</v>
      </c>
      <c r="T270" s="141">
        <v>-596755</v>
      </c>
      <c r="U270" s="141">
        <v>351690</v>
      </c>
      <c r="V270" s="141">
        <v>0</v>
      </c>
      <c r="W270" s="141">
        <v>351690</v>
      </c>
      <c r="X270" s="141">
        <v>-245065</v>
      </c>
      <c r="Y270" s="141">
        <v>0</v>
      </c>
      <c r="Z270" s="141">
        <v>0</v>
      </c>
      <c r="AA270" s="141">
        <v>0</v>
      </c>
      <c r="AB270" s="141">
        <v>-245065</v>
      </c>
      <c r="AC270" s="141">
        <v>0</v>
      </c>
      <c r="AD270" s="141">
        <v>-245065</v>
      </c>
      <c r="AE270" s="141">
        <v>245065</v>
      </c>
      <c r="AF270" s="141">
        <v>0</v>
      </c>
      <c r="AG270" s="141">
        <v>245065</v>
      </c>
      <c r="AH270" s="141">
        <v>-4965432</v>
      </c>
      <c r="AI270" s="141">
        <v>0</v>
      </c>
      <c r="AJ270" s="141">
        <v>-4965432</v>
      </c>
      <c r="AK270" s="141">
        <v>-6367</v>
      </c>
      <c r="AL270" s="141">
        <v>0</v>
      </c>
      <c r="AM270" s="141">
        <v>-6367</v>
      </c>
      <c r="AN270" s="141">
        <v>1350293</v>
      </c>
      <c r="AO270" s="141">
        <v>0</v>
      </c>
      <c r="AP270" s="141">
        <v>1350293</v>
      </c>
      <c r="AQ270" s="141">
        <v>-3615139</v>
      </c>
      <c r="AR270" s="141">
        <v>0</v>
      </c>
      <c r="AS270" s="141">
        <v>-3615139</v>
      </c>
      <c r="AT270" s="141">
        <v>-7130226</v>
      </c>
      <c r="AU270" s="141">
        <v>0</v>
      </c>
      <c r="AV270" s="141">
        <v>-7130226</v>
      </c>
      <c r="AW270" s="141">
        <v>-37538</v>
      </c>
      <c r="AX270" s="141">
        <v>0</v>
      </c>
      <c r="AY270" s="141">
        <v>-37538</v>
      </c>
      <c r="AZ270" s="141">
        <v>0</v>
      </c>
      <c r="BA270" s="141">
        <v>0</v>
      </c>
      <c r="BB270" s="141">
        <v>0</v>
      </c>
      <c r="BC270" s="141">
        <v>-10782903</v>
      </c>
      <c r="BD270" s="141">
        <v>0</v>
      </c>
      <c r="BE270" s="141">
        <v>0</v>
      </c>
      <c r="BF270" s="141">
        <v>0</v>
      </c>
      <c r="BG270" s="141">
        <v>-10782903</v>
      </c>
      <c r="BH270" s="141">
        <v>0</v>
      </c>
      <c r="BI270" s="141">
        <v>-10782903</v>
      </c>
      <c r="BJ270" s="141">
        <v>-25000</v>
      </c>
      <c r="BK270" s="141">
        <v>0</v>
      </c>
      <c r="BL270" s="141">
        <v>-25000</v>
      </c>
      <c r="BM270" s="141">
        <v>-536326</v>
      </c>
      <c r="BN270" s="141">
        <v>0</v>
      </c>
      <c r="BO270" s="141">
        <v>-536326</v>
      </c>
      <c r="BP270" s="141">
        <v>-561326</v>
      </c>
      <c r="BQ270" s="141">
        <v>0</v>
      </c>
      <c r="BR270" s="141">
        <v>-50000</v>
      </c>
      <c r="BS270" s="141">
        <v>0</v>
      </c>
      <c r="BT270" s="141">
        <v>-611326</v>
      </c>
      <c r="BU270" s="141">
        <v>0</v>
      </c>
      <c r="BV270" s="141">
        <v>-611326</v>
      </c>
      <c r="BW270" s="141">
        <v>0</v>
      </c>
      <c r="BX270" s="141">
        <v>0</v>
      </c>
      <c r="BY270" s="141">
        <v>0</v>
      </c>
      <c r="BZ270" s="141">
        <v>-91778</v>
      </c>
      <c r="CA270" s="141">
        <v>0</v>
      </c>
      <c r="CB270" s="141">
        <v>-91778</v>
      </c>
      <c r="CC270" s="141">
        <v>0</v>
      </c>
      <c r="CD270" s="141">
        <v>0</v>
      </c>
      <c r="CE270" s="141">
        <v>0</v>
      </c>
      <c r="CF270" s="141">
        <v>0</v>
      </c>
      <c r="CG270" s="141">
        <v>0</v>
      </c>
      <c r="CH270" s="141">
        <v>0</v>
      </c>
      <c r="CI270" s="141">
        <v>0</v>
      </c>
      <c r="CJ270" s="141">
        <v>0</v>
      </c>
      <c r="CK270" s="141">
        <v>0</v>
      </c>
      <c r="CL270" s="141">
        <v>0</v>
      </c>
      <c r="CM270" s="141">
        <v>0</v>
      </c>
      <c r="CN270" s="141">
        <v>0</v>
      </c>
      <c r="CO270" s="141">
        <v>0</v>
      </c>
      <c r="CP270" s="141">
        <v>0</v>
      </c>
      <c r="CQ270" s="141">
        <v>-91778</v>
      </c>
      <c r="CR270" s="141">
        <v>0</v>
      </c>
      <c r="CS270" s="141">
        <v>0</v>
      </c>
      <c r="CT270" s="141">
        <v>0</v>
      </c>
      <c r="CU270" s="141">
        <v>-91778</v>
      </c>
      <c r="CV270" s="141">
        <v>0</v>
      </c>
      <c r="CW270" s="141">
        <v>-91778</v>
      </c>
      <c r="CX270" s="141">
        <v>0</v>
      </c>
      <c r="CY270" s="141">
        <v>0</v>
      </c>
      <c r="CZ270" s="141">
        <v>0</v>
      </c>
      <c r="DA270" s="141">
        <v>0</v>
      </c>
      <c r="DB270" s="141">
        <v>0</v>
      </c>
      <c r="DC270" s="141">
        <v>0</v>
      </c>
      <c r="DD270" s="141">
        <v>-16279</v>
      </c>
      <c r="DE270" s="141">
        <v>0</v>
      </c>
      <c r="DF270" s="141">
        <v>-16279</v>
      </c>
      <c r="DG270" s="141">
        <v>-89000</v>
      </c>
      <c r="DH270" s="141">
        <v>0</v>
      </c>
      <c r="DI270" s="141">
        <v>-89000</v>
      </c>
      <c r="DJ270" s="141">
        <v>0</v>
      </c>
      <c r="DK270" s="141">
        <v>0</v>
      </c>
      <c r="DL270" s="141">
        <v>0</v>
      </c>
      <c r="DM270" s="141">
        <v>-1635959</v>
      </c>
      <c r="DN270" s="141">
        <v>0</v>
      </c>
      <c r="DO270" s="141">
        <v>-1635959</v>
      </c>
      <c r="DP270" s="141">
        <v>-1741238</v>
      </c>
      <c r="DQ270" s="141">
        <v>0</v>
      </c>
      <c r="DR270" s="141">
        <v>-10000</v>
      </c>
      <c r="DS270" s="141">
        <v>0</v>
      </c>
      <c r="DT270" s="141">
        <v>-1751238</v>
      </c>
      <c r="DU270" s="141">
        <v>0</v>
      </c>
      <c r="DV270" s="141">
        <v>-1751238</v>
      </c>
      <c r="DW270" s="856">
        <v>57677207</v>
      </c>
      <c r="DX270" s="856">
        <v>0</v>
      </c>
      <c r="DY270" s="857">
        <v>57677207</v>
      </c>
      <c r="DZ270" t="s">
        <v>1836</v>
      </c>
    </row>
    <row r="271" spans="1:130" ht="12.75" x14ac:dyDescent="0.2">
      <c r="A271" s="764">
        <v>264</v>
      </c>
      <c r="B271" s="765" t="s">
        <v>419</v>
      </c>
      <c r="C271" s="766" t="s">
        <v>1217</v>
      </c>
      <c r="D271" s="767" t="s">
        <v>1218</v>
      </c>
      <c r="E271" s="768" t="s">
        <v>418</v>
      </c>
      <c r="F271" s="867">
        <v>43486</v>
      </c>
      <c r="G271" s="141">
        <v>124673224</v>
      </c>
      <c r="H271" s="141">
        <v>0</v>
      </c>
      <c r="I271" s="141">
        <v>124673224</v>
      </c>
      <c r="J271" s="141">
        <v>49.1</v>
      </c>
      <c r="K271" s="141">
        <v>61214553</v>
      </c>
      <c r="L271" s="141">
        <v>0</v>
      </c>
      <c r="M271" s="141">
        <v>2370000</v>
      </c>
      <c r="N271" s="141">
        <v>0</v>
      </c>
      <c r="O271" s="141">
        <v>63584553</v>
      </c>
      <c r="P271" s="141">
        <v>0</v>
      </c>
      <c r="Q271" s="141">
        <v>63584553</v>
      </c>
      <c r="R271" s="141">
        <v>-593030</v>
      </c>
      <c r="S271" s="141">
        <v>0</v>
      </c>
      <c r="T271" s="141">
        <v>-593030</v>
      </c>
      <c r="U271" s="141">
        <v>215703</v>
      </c>
      <c r="V271" s="141">
        <v>0</v>
      </c>
      <c r="W271" s="141">
        <v>215703</v>
      </c>
      <c r="X271" s="141">
        <v>-377327</v>
      </c>
      <c r="Y271" s="141">
        <v>0</v>
      </c>
      <c r="Z271" s="141">
        <v>0</v>
      </c>
      <c r="AA271" s="141">
        <v>0</v>
      </c>
      <c r="AB271" s="141">
        <v>-377327</v>
      </c>
      <c r="AC271" s="141">
        <v>0</v>
      </c>
      <c r="AD271" s="141">
        <v>-377327</v>
      </c>
      <c r="AE271" s="141">
        <v>377327</v>
      </c>
      <c r="AF271" s="141">
        <v>0</v>
      </c>
      <c r="AG271" s="141">
        <v>377327</v>
      </c>
      <c r="AH271" s="141">
        <v>-5753676</v>
      </c>
      <c r="AI271" s="141">
        <v>0</v>
      </c>
      <c r="AJ271" s="141">
        <v>-5753676</v>
      </c>
      <c r="AK271" s="141">
        <v>-13871</v>
      </c>
      <c r="AL271" s="141">
        <v>0</v>
      </c>
      <c r="AM271" s="141">
        <v>-13871</v>
      </c>
      <c r="AN271" s="141">
        <v>1146853</v>
      </c>
      <c r="AO271" s="141">
        <v>0</v>
      </c>
      <c r="AP271" s="141">
        <v>1146853</v>
      </c>
      <c r="AQ271" s="141">
        <v>-4606823</v>
      </c>
      <c r="AR271" s="141">
        <v>0</v>
      </c>
      <c r="AS271" s="141">
        <v>-4606823</v>
      </c>
      <c r="AT271" s="141">
        <v>-3414672</v>
      </c>
      <c r="AU271" s="141">
        <v>0</v>
      </c>
      <c r="AV271" s="141">
        <v>-3414672</v>
      </c>
      <c r="AW271" s="141">
        <v>-95673</v>
      </c>
      <c r="AX271" s="141">
        <v>0</v>
      </c>
      <c r="AY271" s="141">
        <v>-95673</v>
      </c>
      <c r="AZ271" s="141">
        <v>-25250</v>
      </c>
      <c r="BA271" s="141">
        <v>0</v>
      </c>
      <c r="BB271" s="141">
        <v>-25250</v>
      </c>
      <c r="BC271" s="141">
        <v>-8142418</v>
      </c>
      <c r="BD271" s="141">
        <v>0</v>
      </c>
      <c r="BE271" s="141">
        <v>0</v>
      </c>
      <c r="BF271" s="141">
        <v>0</v>
      </c>
      <c r="BG271" s="141">
        <v>-8142418</v>
      </c>
      <c r="BH271" s="141">
        <v>0</v>
      </c>
      <c r="BI271" s="141">
        <v>-8142418</v>
      </c>
      <c r="BJ271" s="141">
        <v>0</v>
      </c>
      <c r="BK271" s="141">
        <v>0</v>
      </c>
      <c r="BL271" s="141">
        <v>0</v>
      </c>
      <c r="BM271" s="141">
        <v>-1937640</v>
      </c>
      <c r="BN271" s="141">
        <v>0</v>
      </c>
      <c r="BO271" s="141">
        <v>-1937640</v>
      </c>
      <c r="BP271" s="141">
        <v>-1937640</v>
      </c>
      <c r="BQ271" s="141">
        <v>0</v>
      </c>
      <c r="BR271" s="141">
        <v>0</v>
      </c>
      <c r="BS271" s="141">
        <v>0</v>
      </c>
      <c r="BT271" s="141">
        <v>-1937640</v>
      </c>
      <c r="BU271" s="141">
        <v>0</v>
      </c>
      <c r="BV271" s="141">
        <v>-1937640</v>
      </c>
      <c r="BW271" s="141">
        <v>-229496</v>
      </c>
      <c r="BX271" s="141">
        <v>0</v>
      </c>
      <c r="BY271" s="141">
        <v>-229496</v>
      </c>
      <c r="BZ271" s="141">
        <v>-104825</v>
      </c>
      <c r="CA271" s="141">
        <v>0</v>
      </c>
      <c r="CB271" s="141">
        <v>-104825</v>
      </c>
      <c r="CC271" s="141">
        <v>-23918</v>
      </c>
      <c r="CD271" s="141">
        <v>0</v>
      </c>
      <c r="CE271" s="141">
        <v>-23918</v>
      </c>
      <c r="CF271" s="141">
        <v>0</v>
      </c>
      <c r="CG271" s="141">
        <v>0</v>
      </c>
      <c r="CH271" s="141">
        <v>0</v>
      </c>
      <c r="CI271" s="141">
        <v>-7609</v>
      </c>
      <c r="CJ271" s="141">
        <v>0</v>
      </c>
      <c r="CK271" s="141">
        <v>-7609</v>
      </c>
      <c r="CL271" s="141">
        <v>0</v>
      </c>
      <c r="CM271" s="141">
        <v>0</v>
      </c>
      <c r="CN271" s="141">
        <v>0</v>
      </c>
      <c r="CO271" s="141">
        <v>0</v>
      </c>
      <c r="CP271" s="141">
        <v>0</v>
      </c>
      <c r="CQ271" s="141">
        <v>-365848</v>
      </c>
      <c r="CR271" s="141">
        <v>0</v>
      </c>
      <c r="CS271" s="141">
        <v>0</v>
      </c>
      <c r="CT271" s="141">
        <v>0</v>
      </c>
      <c r="CU271" s="141">
        <v>-365848</v>
      </c>
      <c r="CV271" s="141">
        <v>0</v>
      </c>
      <c r="CW271" s="141">
        <v>-365848</v>
      </c>
      <c r="CX271" s="141">
        <v>-2307</v>
      </c>
      <c r="CY271" s="141">
        <v>0</v>
      </c>
      <c r="CZ271" s="141">
        <v>-2307</v>
      </c>
      <c r="DA271" s="141">
        <v>-1500</v>
      </c>
      <c r="DB271" s="141">
        <v>0</v>
      </c>
      <c r="DC271" s="141">
        <v>-1500</v>
      </c>
      <c r="DD271" s="141">
        <v>-37296</v>
      </c>
      <c r="DE271" s="141">
        <v>0</v>
      </c>
      <c r="DF271" s="141">
        <v>-37296</v>
      </c>
      <c r="DG271" s="141">
        <v>-33800</v>
      </c>
      <c r="DH271" s="141">
        <v>0</v>
      </c>
      <c r="DI271" s="141">
        <v>-33800</v>
      </c>
      <c r="DJ271" s="141">
        <v>0</v>
      </c>
      <c r="DK271" s="141">
        <v>0</v>
      </c>
      <c r="DL271" s="141">
        <v>0</v>
      </c>
      <c r="DM271" s="141">
        <v>-800000</v>
      </c>
      <c r="DN271" s="141">
        <v>0</v>
      </c>
      <c r="DO271" s="141">
        <v>-800000</v>
      </c>
      <c r="DP271" s="141">
        <v>-874903</v>
      </c>
      <c r="DQ271" s="141">
        <v>0</v>
      </c>
      <c r="DR271" s="141">
        <v>0</v>
      </c>
      <c r="DS271" s="141">
        <v>0</v>
      </c>
      <c r="DT271" s="141">
        <v>-874903</v>
      </c>
      <c r="DU271" s="141">
        <v>0</v>
      </c>
      <c r="DV271" s="141">
        <v>-874903</v>
      </c>
      <c r="DW271" s="856">
        <v>51886417</v>
      </c>
      <c r="DX271" s="856">
        <v>0</v>
      </c>
      <c r="DY271" s="857">
        <v>51886417</v>
      </c>
      <c r="DZ271" t="s">
        <v>1837</v>
      </c>
    </row>
    <row r="272" spans="1:130" ht="12.75" x14ac:dyDescent="0.2">
      <c r="A272" s="764">
        <v>265</v>
      </c>
      <c r="B272" s="765" t="s">
        <v>421</v>
      </c>
      <c r="C272" s="766" t="s">
        <v>529</v>
      </c>
      <c r="D272" s="767" t="s">
        <v>1226</v>
      </c>
      <c r="E272" s="768" t="s">
        <v>619</v>
      </c>
      <c r="F272" s="867">
        <v>43460</v>
      </c>
      <c r="G272" s="141">
        <v>252906160</v>
      </c>
      <c r="H272" s="141">
        <v>0</v>
      </c>
      <c r="I272" s="141">
        <v>252906160</v>
      </c>
      <c r="J272" s="141">
        <v>49.1</v>
      </c>
      <c r="K272" s="141">
        <v>124176925</v>
      </c>
      <c r="L272" s="141">
        <v>0</v>
      </c>
      <c r="M272" s="141">
        <v>2994668</v>
      </c>
      <c r="N272" s="141">
        <v>0</v>
      </c>
      <c r="O272" s="141">
        <v>127171593</v>
      </c>
      <c r="P272" s="141">
        <v>0</v>
      </c>
      <c r="Q272" s="141">
        <v>127171593</v>
      </c>
      <c r="R272" s="141">
        <v>-344838</v>
      </c>
      <c r="S272" s="141">
        <v>0</v>
      </c>
      <c r="T272" s="141">
        <v>-344838</v>
      </c>
      <c r="U272" s="141">
        <v>3217704</v>
      </c>
      <c r="V272" s="141">
        <v>0</v>
      </c>
      <c r="W272" s="141">
        <v>3217704</v>
      </c>
      <c r="X272" s="141">
        <v>2872866</v>
      </c>
      <c r="Y272" s="141">
        <v>0</v>
      </c>
      <c r="Z272" s="141">
        <v>0</v>
      </c>
      <c r="AA272" s="141">
        <v>0</v>
      </c>
      <c r="AB272" s="141">
        <v>2872866</v>
      </c>
      <c r="AC272" s="141">
        <v>0</v>
      </c>
      <c r="AD272" s="141">
        <v>2872866</v>
      </c>
      <c r="AE272" s="141">
        <v>-2872866</v>
      </c>
      <c r="AF272" s="141">
        <v>0</v>
      </c>
      <c r="AG272" s="141">
        <v>-2872866</v>
      </c>
      <c r="AH272" s="141">
        <v>-5075895</v>
      </c>
      <c r="AI272" s="141">
        <v>0</v>
      </c>
      <c r="AJ272" s="141">
        <v>-5075895</v>
      </c>
      <c r="AK272" s="141">
        <v>-7315</v>
      </c>
      <c r="AL272" s="141">
        <v>0</v>
      </c>
      <c r="AM272" s="141">
        <v>-7315</v>
      </c>
      <c r="AN272" s="141">
        <v>2688769</v>
      </c>
      <c r="AO272" s="141">
        <v>0</v>
      </c>
      <c r="AP272" s="141">
        <v>2688769</v>
      </c>
      <c r="AQ272" s="141">
        <v>-2387126</v>
      </c>
      <c r="AR272" s="141">
        <v>0</v>
      </c>
      <c r="AS272" s="141">
        <v>-2387126</v>
      </c>
      <c r="AT272" s="141">
        <v>-6692496</v>
      </c>
      <c r="AU272" s="141">
        <v>0</v>
      </c>
      <c r="AV272" s="141">
        <v>-6692496</v>
      </c>
      <c r="AW272" s="141">
        <v>-88785</v>
      </c>
      <c r="AX272" s="141">
        <v>0</v>
      </c>
      <c r="AY272" s="141">
        <v>-88785</v>
      </c>
      <c r="AZ272" s="141">
        <v>0</v>
      </c>
      <c r="BA272" s="141">
        <v>0</v>
      </c>
      <c r="BB272" s="141">
        <v>0</v>
      </c>
      <c r="BC272" s="141">
        <v>-9168407</v>
      </c>
      <c r="BD272" s="141">
        <v>0</v>
      </c>
      <c r="BE272" s="141">
        <v>-269264</v>
      </c>
      <c r="BF272" s="141">
        <v>0</v>
      </c>
      <c r="BG272" s="141">
        <v>-9437671</v>
      </c>
      <c r="BH272" s="141">
        <v>0</v>
      </c>
      <c r="BI272" s="141">
        <v>-9437671</v>
      </c>
      <c r="BJ272" s="141">
        <v>-89163</v>
      </c>
      <c r="BK272" s="141">
        <v>0</v>
      </c>
      <c r="BL272" s="141">
        <v>-89163</v>
      </c>
      <c r="BM272" s="141">
        <v>-1868622</v>
      </c>
      <c r="BN272" s="141">
        <v>0</v>
      </c>
      <c r="BO272" s="141">
        <v>-1868622</v>
      </c>
      <c r="BP272" s="141">
        <v>-1957785</v>
      </c>
      <c r="BQ272" s="141">
        <v>0</v>
      </c>
      <c r="BR272" s="141">
        <v>-1983068</v>
      </c>
      <c r="BS272" s="141">
        <v>0</v>
      </c>
      <c r="BT272" s="141">
        <v>-3940853</v>
      </c>
      <c r="BU272" s="141">
        <v>0</v>
      </c>
      <c r="BV272" s="141">
        <v>-3940853</v>
      </c>
      <c r="BW272" s="141">
        <v>-208300</v>
      </c>
      <c r="BX272" s="141">
        <v>0</v>
      </c>
      <c r="BY272" s="141">
        <v>-208300</v>
      </c>
      <c r="BZ272" s="141">
        <v>-61034</v>
      </c>
      <c r="CA272" s="141">
        <v>0</v>
      </c>
      <c r="CB272" s="141">
        <v>-61034</v>
      </c>
      <c r="CC272" s="141">
        <v>-22196</v>
      </c>
      <c r="CD272" s="141">
        <v>0</v>
      </c>
      <c r="CE272" s="141">
        <v>-22196</v>
      </c>
      <c r="CF272" s="141">
        <v>0</v>
      </c>
      <c r="CG272" s="141">
        <v>0</v>
      </c>
      <c r="CH272" s="141">
        <v>0</v>
      </c>
      <c r="CI272" s="141">
        <v>0</v>
      </c>
      <c r="CJ272" s="141">
        <v>0</v>
      </c>
      <c r="CK272" s="141">
        <v>0</v>
      </c>
      <c r="CL272" s="141">
        <v>0</v>
      </c>
      <c r="CM272" s="141">
        <v>0</v>
      </c>
      <c r="CN272" s="141">
        <v>0</v>
      </c>
      <c r="CO272" s="141">
        <v>0</v>
      </c>
      <c r="CP272" s="141">
        <v>0</v>
      </c>
      <c r="CQ272" s="141">
        <v>-291530</v>
      </c>
      <c r="CR272" s="141">
        <v>0</v>
      </c>
      <c r="CS272" s="141">
        <v>0</v>
      </c>
      <c r="CT272" s="141">
        <v>0</v>
      </c>
      <c r="CU272" s="141">
        <v>-291530</v>
      </c>
      <c r="CV272" s="141">
        <v>0</v>
      </c>
      <c r="CW272" s="141">
        <v>-291530</v>
      </c>
      <c r="CX272" s="141">
        <v>-11697</v>
      </c>
      <c r="CY272" s="141">
        <v>0</v>
      </c>
      <c r="CZ272" s="141">
        <v>-11697</v>
      </c>
      <c r="DA272" s="141">
        <v>0</v>
      </c>
      <c r="DB272" s="141">
        <v>0</v>
      </c>
      <c r="DC272" s="141">
        <v>0</v>
      </c>
      <c r="DD272" s="141">
        <v>-8826</v>
      </c>
      <c r="DE272" s="141">
        <v>0</v>
      </c>
      <c r="DF272" s="141">
        <v>-8826</v>
      </c>
      <c r="DG272" s="141">
        <v>-54049</v>
      </c>
      <c r="DH272" s="141">
        <v>0</v>
      </c>
      <c r="DI272" s="141">
        <v>-54049</v>
      </c>
      <c r="DJ272" s="141">
        <v>0</v>
      </c>
      <c r="DK272" s="141">
        <v>0</v>
      </c>
      <c r="DL272" s="141">
        <v>0</v>
      </c>
      <c r="DM272" s="141">
        <v>-1218037</v>
      </c>
      <c r="DN272" s="141">
        <v>0</v>
      </c>
      <c r="DO272" s="141">
        <v>-1218037</v>
      </c>
      <c r="DP272" s="141">
        <v>-1292609</v>
      </c>
      <c r="DQ272" s="141">
        <v>0</v>
      </c>
      <c r="DR272" s="141">
        <v>0</v>
      </c>
      <c r="DS272" s="141">
        <v>0</v>
      </c>
      <c r="DT272" s="141">
        <v>-1292609</v>
      </c>
      <c r="DU272" s="141">
        <v>0</v>
      </c>
      <c r="DV272" s="141">
        <v>-1292609</v>
      </c>
      <c r="DW272" s="856">
        <v>115081796</v>
      </c>
      <c r="DX272" s="856">
        <v>0</v>
      </c>
      <c r="DY272" s="857">
        <v>115081796</v>
      </c>
      <c r="DZ272" t="s">
        <v>1838</v>
      </c>
    </row>
    <row r="273" spans="1:130" ht="12.75" x14ac:dyDescent="0.2">
      <c r="A273" s="764">
        <v>266</v>
      </c>
      <c r="B273" s="765" t="s">
        <v>423</v>
      </c>
      <c r="C273" s="766" t="s">
        <v>1224</v>
      </c>
      <c r="D273" s="767" t="s">
        <v>1219</v>
      </c>
      <c r="E273" s="768" t="s">
        <v>422</v>
      </c>
      <c r="F273" s="867">
        <v>43482</v>
      </c>
      <c r="G273" s="141">
        <v>147348000</v>
      </c>
      <c r="H273" s="141">
        <v>0</v>
      </c>
      <c r="I273" s="141">
        <v>147348000</v>
      </c>
      <c r="J273" s="141">
        <v>49.1</v>
      </c>
      <c r="K273" s="141">
        <v>72347868</v>
      </c>
      <c r="L273" s="141">
        <v>0</v>
      </c>
      <c r="M273" s="141">
        <v>0</v>
      </c>
      <c r="N273" s="141">
        <v>0</v>
      </c>
      <c r="O273" s="141">
        <v>72347868</v>
      </c>
      <c r="P273" s="141">
        <v>0</v>
      </c>
      <c r="Q273" s="141">
        <v>72347868</v>
      </c>
      <c r="R273" s="141">
        <v>-552662</v>
      </c>
      <c r="S273" s="141">
        <v>0</v>
      </c>
      <c r="T273" s="141">
        <v>-552662</v>
      </c>
      <c r="U273" s="141">
        <v>1494728</v>
      </c>
      <c r="V273" s="141">
        <v>0</v>
      </c>
      <c r="W273" s="141">
        <v>1494728</v>
      </c>
      <c r="X273" s="141">
        <v>942066</v>
      </c>
      <c r="Y273" s="141">
        <v>0</v>
      </c>
      <c r="Z273" s="141">
        <v>0</v>
      </c>
      <c r="AA273" s="141">
        <v>0</v>
      </c>
      <c r="AB273" s="141">
        <v>942066</v>
      </c>
      <c r="AC273" s="141">
        <v>0</v>
      </c>
      <c r="AD273" s="141">
        <v>942066</v>
      </c>
      <c r="AE273" s="141">
        <v>-942066</v>
      </c>
      <c r="AF273" s="141">
        <v>0</v>
      </c>
      <c r="AG273" s="141">
        <v>-942066</v>
      </c>
      <c r="AH273" s="141">
        <v>-9304540</v>
      </c>
      <c r="AI273" s="141">
        <v>0</v>
      </c>
      <c r="AJ273" s="141">
        <v>-9304540</v>
      </c>
      <c r="AK273" s="141">
        <v>-2332</v>
      </c>
      <c r="AL273" s="141">
        <v>0</v>
      </c>
      <c r="AM273" s="141">
        <v>-2332</v>
      </c>
      <c r="AN273" s="141">
        <v>1250853</v>
      </c>
      <c r="AO273" s="141">
        <v>0</v>
      </c>
      <c r="AP273" s="141">
        <v>1250853</v>
      </c>
      <c r="AQ273" s="141">
        <v>-8053687</v>
      </c>
      <c r="AR273" s="141">
        <v>0</v>
      </c>
      <c r="AS273" s="141">
        <v>-8053687</v>
      </c>
      <c r="AT273" s="141">
        <v>-4068901</v>
      </c>
      <c r="AU273" s="141">
        <v>0</v>
      </c>
      <c r="AV273" s="141">
        <v>-4068901</v>
      </c>
      <c r="AW273" s="141">
        <v>-135477</v>
      </c>
      <c r="AX273" s="141">
        <v>0</v>
      </c>
      <c r="AY273" s="141">
        <v>-135477</v>
      </c>
      <c r="AZ273" s="141">
        <v>0</v>
      </c>
      <c r="BA273" s="141">
        <v>0</v>
      </c>
      <c r="BB273" s="141">
        <v>0</v>
      </c>
      <c r="BC273" s="141">
        <v>-12258065</v>
      </c>
      <c r="BD273" s="141">
        <v>0</v>
      </c>
      <c r="BE273" s="141">
        <v>0</v>
      </c>
      <c r="BF273" s="141">
        <v>0</v>
      </c>
      <c r="BG273" s="141">
        <v>-12258065</v>
      </c>
      <c r="BH273" s="141">
        <v>0</v>
      </c>
      <c r="BI273" s="141">
        <v>-12258065</v>
      </c>
      <c r="BJ273" s="141">
        <v>0</v>
      </c>
      <c r="BK273" s="141">
        <v>0</v>
      </c>
      <c r="BL273" s="141">
        <v>0</v>
      </c>
      <c r="BM273" s="141">
        <v>-1353828</v>
      </c>
      <c r="BN273" s="141">
        <v>0</v>
      </c>
      <c r="BO273" s="141">
        <v>-1353828</v>
      </c>
      <c r="BP273" s="141">
        <v>-1353828</v>
      </c>
      <c r="BQ273" s="141">
        <v>0</v>
      </c>
      <c r="BR273" s="141">
        <v>0</v>
      </c>
      <c r="BS273" s="141">
        <v>0</v>
      </c>
      <c r="BT273" s="141">
        <v>-1353828</v>
      </c>
      <c r="BU273" s="141">
        <v>0</v>
      </c>
      <c r="BV273" s="141">
        <v>-1353828</v>
      </c>
      <c r="BW273" s="141">
        <v>-22500</v>
      </c>
      <c r="BX273" s="141">
        <v>0</v>
      </c>
      <c r="BY273" s="141">
        <v>-22500</v>
      </c>
      <c r="BZ273" s="141">
        <v>-25086</v>
      </c>
      <c r="CA273" s="141">
        <v>0</v>
      </c>
      <c r="CB273" s="141">
        <v>-25086</v>
      </c>
      <c r="CC273" s="141">
        <v>0</v>
      </c>
      <c r="CD273" s="141">
        <v>0</v>
      </c>
      <c r="CE273" s="141">
        <v>0</v>
      </c>
      <c r="CF273" s="141">
        <v>0</v>
      </c>
      <c r="CG273" s="141">
        <v>0</v>
      </c>
      <c r="CH273" s="141">
        <v>0</v>
      </c>
      <c r="CI273" s="141">
        <v>0</v>
      </c>
      <c r="CJ273" s="141">
        <v>0</v>
      </c>
      <c r="CK273" s="141">
        <v>0</v>
      </c>
      <c r="CL273" s="141">
        <v>0</v>
      </c>
      <c r="CM273" s="141">
        <v>0</v>
      </c>
      <c r="CN273" s="141">
        <v>0</v>
      </c>
      <c r="CO273" s="141">
        <v>0</v>
      </c>
      <c r="CP273" s="141">
        <v>0</v>
      </c>
      <c r="CQ273" s="141">
        <v>-47586</v>
      </c>
      <c r="CR273" s="141">
        <v>0</v>
      </c>
      <c r="CS273" s="141">
        <v>0</v>
      </c>
      <c r="CT273" s="141">
        <v>0</v>
      </c>
      <c r="CU273" s="141">
        <v>-47586</v>
      </c>
      <c r="CV273" s="141">
        <v>0</v>
      </c>
      <c r="CW273" s="141">
        <v>-47586</v>
      </c>
      <c r="CX273" s="141">
        <v>0</v>
      </c>
      <c r="CY273" s="141">
        <v>0</v>
      </c>
      <c r="CZ273" s="141">
        <v>0</v>
      </c>
      <c r="DA273" s="141">
        <v>-1500</v>
      </c>
      <c r="DB273" s="141">
        <v>0</v>
      </c>
      <c r="DC273" s="141">
        <v>-1500</v>
      </c>
      <c r="DD273" s="141">
        <v>-20039</v>
      </c>
      <c r="DE273" s="141">
        <v>0</v>
      </c>
      <c r="DF273" s="141">
        <v>-20039</v>
      </c>
      <c r="DG273" s="141">
        <v>-57000</v>
      </c>
      <c r="DH273" s="141">
        <v>0</v>
      </c>
      <c r="DI273" s="141">
        <v>-57000</v>
      </c>
      <c r="DJ273" s="141">
        <v>0</v>
      </c>
      <c r="DK273" s="141">
        <v>0</v>
      </c>
      <c r="DL273" s="141">
        <v>0</v>
      </c>
      <c r="DM273" s="141">
        <v>-1477480</v>
      </c>
      <c r="DN273" s="141">
        <v>0</v>
      </c>
      <c r="DO273" s="141">
        <v>-1477480</v>
      </c>
      <c r="DP273" s="141">
        <v>-1556019</v>
      </c>
      <c r="DQ273" s="141">
        <v>0</v>
      </c>
      <c r="DR273" s="141">
        <v>0</v>
      </c>
      <c r="DS273" s="141">
        <v>0</v>
      </c>
      <c r="DT273" s="141">
        <v>-1556019</v>
      </c>
      <c r="DU273" s="141">
        <v>0</v>
      </c>
      <c r="DV273" s="141">
        <v>-1556019</v>
      </c>
      <c r="DW273" s="856">
        <v>58074436</v>
      </c>
      <c r="DX273" s="856">
        <v>0</v>
      </c>
      <c r="DY273" s="857">
        <v>58074436</v>
      </c>
      <c r="DZ273" t="s">
        <v>1839</v>
      </c>
    </row>
    <row r="274" spans="1:130" ht="12.75" x14ac:dyDescent="0.2">
      <c r="A274" s="764">
        <v>267</v>
      </c>
      <c r="B274" s="765" t="s">
        <v>425</v>
      </c>
      <c r="C274" s="766" t="s">
        <v>1217</v>
      </c>
      <c r="D274" s="767" t="s">
        <v>1227</v>
      </c>
      <c r="E274" s="768" t="s">
        <v>424</v>
      </c>
      <c r="F274" s="867">
        <v>43453</v>
      </c>
      <c r="G274" s="141">
        <v>81409784</v>
      </c>
      <c r="H274" s="141">
        <v>0</v>
      </c>
      <c r="I274" s="141">
        <v>81409784</v>
      </c>
      <c r="J274" s="141">
        <v>49.1</v>
      </c>
      <c r="K274" s="141">
        <v>39972204</v>
      </c>
      <c r="L274" s="141">
        <v>0</v>
      </c>
      <c r="M274" s="141">
        <v>190000</v>
      </c>
      <c r="N274" s="141">
        <v>0</v>
      </c>
      <c r="O274" s="141">
        <v>40162204</v>
      </c>
      <c r="P274" s="141">
        <v>0</v>
      </c>
      <c r="Q274" s="141">
        <v>40162204</v>
      </c>
      <c r="R274" s="141">
        <v>-252179</v>
      </c>
      <c r="S274" s="141">
        <v>0</v>
      </c>
      <c r="T274" s="141">
        <v>-252179</v>
      </c>
      <c r="U274" s="141">
        <v>600961</v>
      </c>
      <c r="V274" s="141">
        <v>0</v>
      </c>
      <c r="W274" s="141">
        <v>600961</v>
      </c>
      <c r="X274" s="141">
        <v>348782</v>
      </c>
      <c r="Y274" s="141">
        <v>0</v>
      </c>
      <c r="Z274" s="141">
        <v>0</v>
      </c>
      <c r="AA274" s="141">
        <v>0</v>
      </c>
      <c r="AB274" s="141">
        <v>348782</v>
      </c>
      <c r="AC274" s="141">
        <v>0</v>
      </c>
      <c r="AD274" s="141">
        <v>348782</v>
      </c>
      <c r="AE274" s="141">
        <v>-348782</v>
      </c>
      <c r="AF274" s="141">
        <v>0</v>
      </c>
      <c r="AG274" s="141">
        <v>-348782</v>
      </c>
      <c r="AH274" s="141">
        <v>-2224583</v>
      </c>
      <c r="AI274" s="141">
        <v>0</v>
      </c>
      <c r="AJ274" s="141">
        <v>-2224583</v>
      </c>
      <c r="AK274" s="141">
        <v>0</v>
      </c>
      <c r="AL274" s="141">
        <v>0</v>
      </c>
      <c r="AM274" s="141">
        <v>0</v>
      </c>
      <c r="AN274" s="141">
        <v>829368</v>
      </c>
      <c r="AO274" s="141">
        <v>0</v>
      </c>
      <c r="AP274" s="141">
        <v>829368</v>
      </c>
      <c r="AQ274" s="141">
        <v>-1395215</v>
      </c>
      <c r="AR274" s="141">
        <v>0</v>
      </c>
      <c r="AS274" s="141">
        <v>-1395215</v>
      </c>
      <c r="AT274" s="141">
        <v>-1383768</v>
      </c>
      <c r="AU274" s="141">
        <v>0</v>
      </c>
      <c r="AV274" s="141">
        <v>-1383768</v>
      </c>
      <c r="AW274" s="141">
        <v>-45461</v>
      </c>
      <c r="AX274" s="141">
        <v>0</v>
      </c>
      <c r="AY274" s="141">
        <v>-45461</v>
      </c>
      <c r="AZ274" s="141">
        <v>0</v>
      </c>
      <c r="BA274" s="141">
        <v>0</v>
      </c>
      <c r="BB274" s="141">
        <v>0</v>
      </c>
      <c r="BC274" s="141">
        <v>-2824444</v>
      </c>
      <c r="BD274" s="141">
        <v>0</v>
      </c>
      <c r="BE274" s="141">
        <v>-312000</v>
      </c>
      <c r="BF274" s="141">
        <v>0</v>
      </c>
      <c r="BG274" s="141">
        <v>-3136444</v>
      </c>
      <c r="BH274" s="141">
        <v>0</v>
      </c>
      <c r="BI274" s="141">
        <v>-3136444</v>
      </c>
      <c r="BJ274" s="141">
        <v>-42500</v>
      </c>
      <c r="BK274" s="141">
        <v>0</v>
      </c>
      <c r="BL274" s="141">
        <v>-42500</v>
      </c>
      <c r="BM274" s="141">
        <v>-1061162</v>
      </c>
      <c r="BN274" s="141">
        <v>0</v>
      </c>
      <c r="BO274" s="141">
        <v>-1061162</v>
      </c>
      <c r="BP274" s="141">
        <v>-1103662</v>
      </c>
      <c r="BQ274" s="141">
        <v>0</v>
      </c>
      <c r="BR274" s="141">
        <v>-138000</v>
      </c>
      <c r="BS274" s="141">
        <v>0</v>
      </c>
      <c r="BT274" s="141">
        <v>-1241662</v>
      </c>
      <c r="BU274" s="141">
        <v>0</v>
      </c>
      <c r="BV274" s="141">
        <v>-1241662</v>
      </c>
      <c r="BW274" s="141">
        <v>-17894</v>
      </c>
      <c r="BX274" s="141">
        <v>0</v>
      </c>
      <c r="BY274" s="141">
        <v>-17894</v>
      </c>
      <c r="BZ274" s="141">
        <v>-2240</v>
      </c>
      <c r="CA274" s="141">
        <v>0</v>
      </c>
      <c r="CB274" s="141">
        <v>-2240</v>
      </c>
      <c r="CC274" s="141">
        <v>-1134</v>
      </c>
      <c r="CD274" s="141">
        <v>0</v>
      </c>
      <c r="CE274" s="141">
        <v>-1134</v>
      </c>
      <c r="CF274" s="141">
        <v>0</v>
      </c>
      <c r="CG274" s="141">
        <v>0</v>
      </c>
      <c r="CH274" s="141">
        <v>0</v>
      </c>
      <c r="CI274" s="141">
        <v>0</v>
      </c>
      <c r="CJ274" s="141">
        <v>0</v>
      </c>
      <c r="CK274" s="141">
        <v>0</v>
      </c>
      <c r="CL274" s="141">
        <v>0</v>
      </c>
      <c r="CM274" s="141">
        <v>0</v>
      </c>
      <c r="CN274" s="141">
        <v>0</v>
      </c>
      <c r="CO274" s="141">
        <v>0</v>
      </c>
      <c r="CP274" s="141">
        <v>0</v>
      </c>
      <c r="CQ274" s="141">
        <v>-21268</v>
      </c>
      <c r="CR274" s="141">
        <v>0</v>
      </c>
      <c r="CS274" s="141">
        <v>0</v>
      </c>
      <c r="CT274" s="141">
        <v>0</v>
      </c>
      <c r="CU274" s="141">
        <v>-21268</v>
      </c>
      <c r="CV274" s="141">
        <v>0</v>
      </c>
      <c r="CW274" s="141">
        <v>-21268</v>
      </c>
      <c r="CX274" s="141">
        <v>0</v>
      </c>
      <c r="CY274" s="141">
        <v>0</v>
      </c>
      <c r="CZ274" s="141">
        <v>0</v>
      </c>
      <c r="DA274" s="141">
        <v>-1500</v>
      </c>
      <c r="DB274" s="141">
        <v>0</v>
      </c>
      <c r="DC274" s="141">
        <v>-1500</v>
      </c>
      <c r="DD274" s="141">
        <v>-7455</v>
      </c>
      <c r="DE274" s="141">
        <v>0</v>
      </c>
      <c r="DF274" s="141">
        <v>-7455</v>
      </c>
      <c r="DG274" s="141">
        <v>-42651</v>
      </c>
      <c r="DH274" s="141">
        <v>0</v>
      </c>
      <c r="DI274" s="141">
        <v>-42651</v>
      </c>
      <c r="DJ274" s="141">
        <v>0</v>
      </c>
      <c r="DK274" s="141">
        <v>0</v>
      </c>
      <c r="DL274" s="141">
        <v>0</v>
      </c>
      <c r="DM274" s="141">
        <v>-610131</v>
      </c>
      <c r="DN274" s="141">
        <v>0</v>
      </c>
      <c r="DO274" s="141">
        <v>-610131</v>
      </c>
      <c r="DP274" s="141">
        <v>-661737</v>
      </c>
      <c r="DQ274" s="141">
        <v>0</v>
      </c>
      <c r="DR274" s="141">
        <v>0</v>
      </c>
      <c r="DS274" s="141">
        <v>0</v>
      </c>
      <c r="DT274" s="141">
        <v>-661737</v>
      </c>
      <c r="DU274" s="141">
        <v>0</v>
      </c>
      <c r="DV274" s="141">
        <v>-661737</v>
      </c>
      <c r="DW274" s="856">
        <v>35449875</v>
      </c>
      <c r="DX274" s="856">
        <v>0</v>
      </c>
      <c r="DY274" s="857">
        <v>35449875</v>
      </c>
      <c r="DZ274" t="s">
        <v>1840</v>
      </c>
    </row>
    <row r="275" spans="1:130" ht="12.75" x14ac:dyDescent="0.2">
      <c r="A275" s="764">
        <v>268</v>
      </c>
      <c r="B275" s="765" t="s">
        <v>427</v>
      </c>
      <c r="C275" s="766" t="s">
        <v>1217</v>
      </c>
      <c r="D275" s="767" t="s">
        <v>1218</v>
      </c>
      <c r="E275" s="768" t="s">
        <v>426</v>
      </c>
      <c r="F275" s="867">
        <v>43466</v>
      </c>
      <c r="G275" s="141">
        <v>60528045</v>
      </c>
      <c r="H275" s="141">
        <v>0</v>
      </c>
      <c r="I275" s="141">
        <v>60528045</v>
      </c>
      <c r="J275" s="141">
        <v>49.1</v>
      </c>
      <c r="K275" s="141">
        <v>29719270</v>
      </c>
      <c r="L275" s="141">
        <v>0</v>
      </c>
      <c r="M275" s="141">
        <v>0</v>
      </c>
      <c r="N275" s="141">
        <v>0</v>
      </c>
      <c r="O275" s="141">
        <v>29719270</v>
      </c>
      <c r="P275" s="141">
        <v>0</v>
      </c>
      <c r="Q275" s="141">
        <v>29719270</v>
      </c>
      <c r="R275" s="141">
        <v>-1097785</v>
      </c>
      <c r="S275" s="141">
        <v>0</v>
      </c>
      <c r="T275" s="141">
        <v>-1097785</v>
      </c>
      <c r="U275" s="141">
        <v>186647</v>
      </c>
      <c r="V275" s="141">
        <v>0</v>
      </c>
      <c r="W275" s="141">
        <v>186647</v>
      </c>
      <c r="X275" s="141">
        <v>-911138</v>
      </c>
      <c r="Y275" s="141">
        <v>0</v>
      </c>
      <c r="Z275" s="141">
        <v>0</v>
      </c>
      <c r="AA275" s="141">
        <v>0</v>
      </c>
      <c r="AB275" s="141">
        <v>-911138</v>
      </c>
      <c r="AC275" s="141">
        <v>0</v>
      </c>
      <c r="AD275" s="141">
        <v>-911138</v>
      </c>
      <c r="AE275" s="141">
        <v>911138</v>
      </c>
      <c r="AF275" s="141">
        <v>0</v>
      </c>
      <c r="AG275" s="141">
        <v>911138</v>
      </c>
      <c r="AH275" s="141">
        <v>-3172104</v>
      </c>
      <c r="AI275" s="141">
        <v>0</v>
      </c>
      <c r="AJ275" s="141">
        <v>-3172104</v>
      </c>
      <c r="AK275" s="141">
        <v>0</v>
      </c>
      <c r="AL275" s="141">
        <v>0</v>
      </c>
      <c r="AM275" s="141">
        <v>0</v>
      </c>
      <c r="AN275" s="141">
        <v>469279</v>
      </c>
      <c r="AO275" s="141">
        <v>0</v>
      </c>
      <c r="AP275" s="141">
        <v>469279</v>
      </c>
      <c r="AQ275" s="141">
        <v>-2702825</v>
      </c>
      <c r="AR275" s="141">
        <v>0</v>
      </c>
      <c r="AS275" s="141">
        <v>-2702825</v>
      </c>
      <c r="AT275" s="141">
        <v>-3349991</v>
      </c>
      <c r="AU275" s="141">
        <v>0</v>
      </c>
      <c r="AV275" s="141">
        <v>-3349991</v>
      </c>
      <c r="AW275" s="141">
        <v>-37880</v>
      </c>
      <c r="AX275" s="141">
        <v>0</v>
      </c>
      <c r="AY275" s="141">
        <v>-37880</v>
      </c>
      <c r="AZ275" s="141">
        <v>-16577</v>
      </c>
      <c r="BA275" s="141">
        <v>0</v>
      </c>
      <c r="BB275" s="141">
        <v>-16577</v>
      </c>
      <c r="BC275" s="141">
        <v>-6107273</v>
      </c>
      <c r="BD275" s="141">
        <v>0</v>
      </c>
      <c r="BE275" s="141">
        <v>0</v>
      </c>
      <c r="BF275" s="141">
        <v>0</v>
      </c>
      <c r="BG275" s="141">
        <v>-6107273</v>
      </c>
      <c r="BH275" s="141">
        <v>0</v>
      </c>
      <c r="BI275" s="141">
        <v>-6107273</v>
      </c>
      <c r="BJ275" s="141">
        <v>0</v>
      </c>
      <c r="BK275" s="141">
        <v>0</v>
      </c>
      <c r="BL275" s="141">
        <v>0</v>
      </c>
      <c r="BM275" s="141">
        <v>-534249</v>
      </c>
      <c r="BN275" s="141">
        <v>0</v>
      </c>
      <c r="BO275" s="141">
        <v>-534249</v>
      </c>
      <c r="BP275" s="141">
        <v>-534249</v>
      </c>
      <c r="BQ275" s="141">
        <v>0</v>
      </c>
      <c r="BR275" s="141">
        <v>0</v>
      </c>
      <c r="BS275" s="141">
        <v>0</v>
      </c>
      <c r="BT275" s="141">
        <v>-534249</v>
      </c>
      <c r="BU275" s="141">
        <v>0</v>
      </c>
      <c r="BV275" s="141">
        <v>-534249</v>
      </c>
      <c r="BW275" s="141">
        <v>-47645</v>
      </c>
      <c r="BX275" s="141">
        <v>0</v>
      </c>
      <c r="BY275" s="141">
        <v>-47645</v>
      </c>
      <c r="BZ275" s="141">
        <v>-12167</v>
      </c>
      <c r="CA275" s="141">
        <v>0</v>
      </c>
      <c r="CB275" s="141">
        <v>-12167</v>
      </c>
      <c r="CC275" s="141">
        <v>-76</v>
      </c>
      <c r="CD275" s="141">
        <v>0</v>
      </c>
      <c r="CE275" s="141">
        <v>-76</v>
      </c>
      <c r="CF275" s="141">
        <v>0</v>
      </c>
      <c r="CG275" s="141">
        <v>0</v>
      </c>
      <c r="CH275" s="141">
        <v>0</v>
      </c>
      <c r="CI275" s="141">
        <v>0</v>
      </c>
      <c r="CJ275" s="141">
        <v>0</v>
      </c>
      <c r="CK275" s="141">
        <v>0</v>
      </c>
      <c r="CL275" s="141">
        <v>0</v>
      </c>
      <c r="CM275" s="141">
        <v>0</v>
      </c>
      <c r="CN275" s="141">
        <v>0</v>
      </c>
      <c r="CO275" s="141">
        <v>0</v>
      </c>
      <c r="CP275" s="141">
        <v>0</v>
      </c>
      <c r="CQ275" s="141">
        <v>-59888</v>
      </c>
      <c r="CR275" s="141">
        <v>0</v>
      </c>
      <c r="CS275" s="141">
        <v>0</v>
      </c>
      <c r="CT275" s="141">
        <v>0</v>
      </c>
      <c r="CU275" s="141">
        <v>-59888</v>
      </c>
      <c r="CV275" s="141">
        <v>0</v>
      </c>
      <c r="CW275" s="141">
        <v>-59888</v>
      </c>
      <c r="CX275" s="141">
        <v>-16577</v>
      </c>
      <c r="CY275" s="141">
        <v>0</v>
      </c>
      <c r="CZ275" s="141">
        <v>-16577</v>
      </c>
      <c r="DA275" s="141">
        <v>0</v>
      </c>
      <c r="DB275" s="141">
        <v>0</v>
      </c>
      <c r="DC275" s="141">
        <v>0</v>
      </c>
      <c r="DD275" s="141">
        <v>-69070</v>
      </c>
      <c r="DE275" s="141">
        <v>0</v>
      </c>
      <c r="DF275" s="141">
        <v>-69070</v>
      </c>
      <c r="DG275" s="141">
        <v>-48576</v>
      </c>
      <c r="DH275" s="141">
        <v>0</v>
      </c>
      <c r="DI275" s="141">
        <v>-48576</v>
      </c>
      <c r="DJ275" s="141">
        <v>0</v>
      </c>
      <c r="DK275" s="141">
        <v>0</v>
      </c>
      <c r="DL275" s="141">
        <v>0</v>
      </c>
      <c r="DM275" s="141">
        <v>-850000</v>
      </c>
      <c r="DN275" s="141">
        <v>0</v>
      </c>
      <c r="DO275" s="141">
        <v>-850000</v>
      </c>
      <c r="DP275" s="141">
        <v>-984223</v>
      </c>
      <c r="DQ275" s="141">
        <v>0</v>
      </c>
      <c r="DR275" s="141">
        <v>0</v>
      </c>
      <c r="DS275" s="141">
        <v>0</v>
      </c>
      <c r="DT275" s="141">
        <v>-984223</v>
      </c>
      <c r="DU275" s="141">
        <v>0</v>
      </c>
      <c r="DV275" s="141">
        <v>-984223</v>
      </c>
      <c r="DW275" s="856">
        <v>21122499</v>
      </c>
      <c r="DX275" s="856">
        <v>0</v>
      </c>
      <c r="DY275" s="857">
        <v>21122499</v>
      </c>
      <c r="DZ275" t="s">
        <v>1841</v>
      </c>
    </row>
    <row r="276" spans="1:130" ht="12.75" x14ac:dyDescent="0.2">
      <c r="A276" s="764">
        <v>269</v>
      </c>
      <c r="B276" s="765" t="s">
        <v>429</v>
      </c>
      <c r="C276" s="766" t="s">
        <v>1217</v>
      </c>
      <c r="D276" s="767" t="s">
        <v>1226</v>
      </c>
      <c r="E276" s="768" t="s">
        <v>428</v>
      </c>
      <c r="F276" s="867">
        <v>43465</v>
      </c>
      <c r="G276" s="141">
        <v>85148223</v>
      </c>
      <c r="H276" s="141">
        <v>0</v>
      </c>
      <c r="I276" s="141">
        <v>85148223</v>
      </c>
      <c r="J276" s="141">
        <v>49.1</v>
      </c>
      <c r="K276" s="141">
        <v>41807777</v>
      </c>
      <c r="L276" s="141">
        <v>0</v>
      </c>
      <c r="M276" s="141">
        <v>0</v>
      </c>
      <c r="N276" s="141">
        <v>0</v>
      </c>
      <c r="O276" s="141">
        <v>41807777</v>
      </c>
      <c r="P276" s="141">
        <v>0</v>
      </c>
      <c r="Q276" s="141">
        <v>41807777</v>
      </c>
      <c r="R276" s="141">
        <v>-590146</v>
      </c>
      <c r="S276" s="141">
        <v>0</v>
      </c>
      <c r="T276" s="141">
        <v>-590146</v>
      </c>
      <c r="U276" s="141">
        <v>609044</v>
      </c>
      <c r="V276" s="141">
        <v>0</v>
      </c>
      <c r="W276" s="141">
        <v>609044</v>
      </c>
      <c r="X276" s="141">
        <v>18898</v>
      </c>
      <c r="Y276" s="141">
        <v>0</v>
      </c>
      <c r="Z276" s="141">
        <v>0</v>
      </c>
      <c r="AA276" s="141">
        <v>0</v>
      </c>
      <c r="AB276" s="141">
        <v>18898</v>
      </c>
      <c r="AC276" s="141">
        <v>0</v>
      </c>
      <c r="AD276" s="141">
        <v>18898</v>
      </c>
      <c r="AE276" s="141">
        <v>-18898</v>
      </c>
      <c r="AF276" s="141">
        <v>0</v>
      </c>
      <c r="AG276" s="141">
        <v>-18898</v>
      </c>
      <c r="AH276" s="141">
        <v>-6319026</v>
      </c>
      <c r="AI276" s="141">
        <v>0</v>
      </c>
      <c r="AJ276" s="141">
        <v>-6319026</v>
      </c>
      <c r="AK276" s="141">
        <v>-4215</v>
      </c>
      <c r="AL276" s="141">
        <v>0</v>
      </c>
      <c r="AM276" s="141">
        <v>-4215</v>
      </c>
      <c r="AN276" s="141">
        <v>598259</v>
      </c>
      <c r="AO276" s="141">
        <v>0</v>
      </c>
      <c r="AP276" s="141">
        <v>598259</v>
      </c>
      <c r="AQ276" s="141">
        <v>-5720767</v>
      </c>
      <c r="AR276" s="141">
        <v>0</v>
      </c>
      <c r="AS276" s="141">
        <v>-5720767</v>
      </c>
      <c r="AT276" s="141">
        <v>-2969337</v>
      </c>
      <c r="AU276" s="141">
        <v>0</v>
      </c>
      <c r="AV276" s="141">
        <v>-2969337</v>
      </c>
      <c r="AW276" s="141">
        <v>-77255</v>
      </c>
      <c r="AX276" s="141">
        <v>0</v>
      </c>
      <c r="AY276" s="141">
        <v>-77255</v>
      </c>
      <c r="AZ276" s="141">
        <v>-36507</v>
      </c>
      <c r="BA276" s="141">
        <v>0</v>
      </c>
      <c r="BB276" s="141">
        <v>-36507</v>
      </c>
      <c r="BC276" s="141">
        <v>-8803866</v>
      </c>
      <c r="BD276" s="141">
        <v>0</v>
      </c>
      <c r="BE276" s="141">
        <v>0</v>
      </c>
      <c r="BF276" s="141">
        <v>0</v>
      </c>
      <c r="BG276" s="141">
        <v>-8803866</v>
      </c>
      <c r="BH276" s="141">
        <v>0</v>
      </c>
      <c r="BI276" s="141">
        <v>-8803866</v>
      </c>
      <c r="BJ276" s="141">
        <v>0</v>
      </c>
      <c r="BK276" s="141">
        <v>0</v>
      </c>
      <c r="BL276" s="141">
        <v>0</v>
      </c>
      <c r="BM276" s="141">
        <v>-688937</v>
      </c>
      <c r="BN276" s="141">
        <v>0</v>
      </c>
      <c r="BO276" s="141">
        <v>-688937</v>
      </c>
      <c r="BP276" s="141">
        <v>-688937</v>
      </c>
      <c r="BQ276" s="141">
        <v>0</v>
      </c>
      <c r="BR276" s="141">
        <v>0</v>
      </c>
      <c r="BS276" s="141">
        <v>0</v>
      </c>
      <c r="BT276" s="141">
        <v>-688937</v>
      </c>
      <c r="BU276" s="141">
        <v>0</v>
      </c>
      <c r="BV276" s="141">
        <v>-688937</v>
      </c>
      <c r="BW276" s="141">
        <v>-88212</v>
      </c>
      <c r="BX276" s="141">
        <v>0</v>
      </c>
      <c r="BY276" s="141">
        <v>-88212</v>
      </c>
      <c r="BZ276" s="141">
        <v>-14093</v>
      </c>
      <c r="CA276" s="141">
        <v>0</v>
      </c>
      <c r="CB276" s="141">
        <v>-14093</v>
      </c>
      <c r="CC276" s="141">
        <v>-7465</v>
      </c>
      <c r="CD276" s="141">
        <v>0</v>
      </c>
      <c r="CE276" s="141">
        <v>-7465</v>
      </c>
      <c r="CF276" s="141">
        <v>0</v>
      </c>
      <c r="CG276" s="141">
        <v>0</v>
      </c>
      <c r="CH276" s="141">
        <v>0</v>
      </c>
      <c r="CI276" s="141">
        <v>-2087</v>
      </c>
      <c r="CJ276" s="141">
        <v>0</v>
      </c>
      <c r="CK276" s="141">
        <v>-2087</v>
      </c>
      <c r="CL276" s="141">
        <v>0</v>
      </c>
      <c r="CM276" s="141">
        <v>0</v>
      </c>
      <c r="CN276" s="141">
        <v>0</v>
      </c>
      <c r="CO276" s="141">
        <v>0</v>
      </c>
      <c r="CP276" s="141">
        <v>0</v>
      </c>
      <c r="CQ276" s="141">
        <v>-111857</v>
      </c>
      <c r="CR276" s="141">
        <v>0</v>
      </c>
      <c r="CS276" s="141">
        <v>0</v>
      </c>
      <c r="CT276" s="141">
        <v>0</v>
      </c>
      <c r="CU276" s="141">
        <v>-111857</v>
      </c>
      <c r="CV276" s="141">
        <v>0</v>
      </c>
      <c r="CW276" s="141">
        <v>-111857</v>
      </c>
      <c r="CX276" s="141">
        <v>-36507</v>
      </c>
      <c r="CY276" s="141">
        <v>0</v>
      </c>
      <c r="CZ276" s="141">
        <v>-36507</v>
      </c>
      <c r="DA276" s="141">
        <v>-1500</v>
      </c>
      <c r="DB276" s="141">
        <v>0</v>
      </c>
      <c r="DC276" s="141">
        <v>-1500</v>
      </c>
      <c r="DD276" s="141">
        <v>-33684</v>
      </c>
      <c r="DE276" s="141">
        <v>0</v>
      </c>
      <c r="DF276" s="141">
        <v>-33684</v>
      </c>
      <c r="DG276" s="141">
        <v>-58798</v>
      </c>
      <c r="DH276" s="141">
        <v>0</v>
      </c>
      <c r="DI276" s="141">
        <v>-58798</v>
      </c>
      <c r="DJ276" s="141">
        <v>0</v>
      </c>
      <c r="DK276" s="141">
        <v>0</v>
      </c>
      <c r="DL276" s="141">
        <v>0</v>
      </c>
      <c r="DM276" s="141">
        <v>-852464</v>
      </c>
      <c r="DN276" s="141">
        <v>0</v>
      </c>
      <c r="DO276" s="141">
        <v>-852464</v>
      </c>
      <c r="DP276" s="141">
        <v>-982953</v>
      </c>
      <c r="DQ276" s="141">
        <v>0</v>
      </c>
      <c r="DR276" s="141">
        <v>0</v>
      </c>
      <c r="DS276" s="141">
        <v>0</v>
      </c>
      <c r="DT276" s="141">
        <v>-982953</v>
      </c>
      <c r="DU276" s="141">
        <v>0</v>
      </c>
      <c r="DV276" s="141">
        <v>-982953</v>
      </c>
      <c r="DW276" s="856">
        <v>31239062</v>
      </c>
      <c r="DX276" s="856">
        <v>0</v>
      </c>
      <c r="DY276" s="857">
        <v>31239062</v>
      </c>
      <c r="DZ276" t="s">
        <v>1842</v>
      </c>
    </row>
    <row r="277" spans="1:130" ht="12.75" x14ac:dyDescent="0.2">
      <c r="A277" s="764">
        <v>270</v>
      </c>
      <c r="B277" s="765" t="s">
        <v>431</v>
      </c>
      <c r="C277" s="766" t="s">
        <v>529</v>
      </c>
      <c r="D277" s="767" t="s">
        <v>1227</v>
      </c>
      <c r="E277" s="768" t="s">
        <v>905</v>
      </c>
      <c r="F277" s="867">
        <v>43461</v>
      </c>
      <c r="G277" s="141">
        <v>181694379</v>
      </c>
      <c r="H277" s="141">
        <v>0</v>
      </c>
      <c r="I277" s="141">
        <v>181694379</v>
      </c>
      <c r="J277" s="141">
        <v>49.1</v>
      </c>
      <c r="K277" s="141">
        <v>89211940</v>
      </c>
      <c r="L277" s="141">
        <v>0</v>
      </c>
      <c r="M277" s="141">
        <v>0</v>
      </c>
      <c r="N277" s="141">
        <v>0</v>
      </c>
      <c r="O277" s="141">
        <v>89211940</v>
      </c>
      <c r="P277" s="141">
        <v>0</v>
      </c>
      <c r="Q277" s="141">
        <v>89211940</v>
      </c>
      <c r="R277" s="141">
        <v>-1121813</v>
      </c>
      <c r="S277" s="141">
        <v>0</v>
      </c>
      <c r="T277" s="141">
        <v>-1121813</v>
      </c>
      <c r="U277" s="141">
        <v>937018</v>
      </c>
      <c r="V277" s="141">
        <v>0</v>
      </c>
      <c r="W277" s="141">
        <v>937018</v>
      </c>
      <c r="X277" s="141">
        <v>-184795</v>
      </c>
      <c r="Y277" s="141">
        <v>0</v>
      </c>
      <c r="Z277" s="141">
        <v>0</v>
      </c>
      <c r="AA277" s="141">
        <v>0</v>
      </c>
      <c r="AB277" s="141">
        <v>-184795</v>
      </c>
      <c r="AC277" s="141">
        <v>0</v>
      </c>
      <c r="AD277" s="141">
        <v>-184795</v>
      </c>
      <c r="AE277" s="141">
        <v>184795</v>
      </c>
      <c r="AF277" s="141">
        <v>0</v>
      </c>
      <c r="AG277" s="141">
        <v>184795</v>
      </c>
      <c r="AH277" s="141">
        <v>-5064989</v>
      </c>
      <c r="AI277" s="141">
        <v>0</v>
      </c>
      <c r="AJ277" s="141">
        <v>-5064989</v>
      </c>
      <c r="AK277" s="141">
        <v>-6309</v>
      </c>
      <c r="AL277" s="141">
        <v>0</v>
      </c>
      <c r="AM277" s="141">
        <v>-6309</v>
      </c>
      <c r="AN277" s="141">
        <v>1814134</v>
      </c>
      <c r="AO277" s="141">
        <v>0</v>
      </c>
      <c r="AP277" s="141">
        <v>1814134</v>
      </c>
      <c r="AQ277" s="141">
        <v>-3250855</v>
      </c>
      <c r="AR277" s="141">
        <v>0</v>
      </c>
      <c r="AS277" s="141">
        <v>-3250855</v>
      </c>
      <c r="AT277" s="141">
        <v>-5508358</v>
      </c>
      <c r="AU277" s="141">
        <v>0</v>
      </c>
      <c r="AV277" s="141">
        <v>-5508358</v>
      </c>
      <c r="AW277" s="141">
        <v>-33499</v>
      </c>
      <c r="AX277" s="141">
        <v>0</v>
      </c>
      <c r="AY277" s="141">
        <v>-33499</v>
      </c>
      <c r="AZ277" s="141">
        <v>-1484</v>
      </c>
      <c r="BA277" s="141">
        <v>0</v>
      </c>
      <c r="BB277" s="141">
        <v>-1484</v>
      </c>
      <c r="BC277" s="141">
        <v>-8794196</v>
      </c>
      <c r="BD277" s="141">
        <v>0</v>
      </c>
      <c r="BE277" s="141">
        <v>-836222</v>
      </c>
      <c r="BF277" s="141">
        <v>0</v>
      </c>
      <c r="BG277" s="141">
        <v>-9630418</v>
      </c>
      <c r="BH277" s="141">
        <v>0</v>
      </c>
      <c r="BI277" s="141">
        <v>-9630418</v>
      </c>
      <c r="BJ277" s="141">
        <v>-97380</v>
      </c>
      <c r="BK277" s="141">
        <v>0</v>
      </c>
      <c r="BL277" s="141">
        <v>-97380</v>
      </c>
      <c r="BM277" s="141">
        <v>-2374193</v>
      </c>
      <c r="BN277" s="141">
        <v>0</v>
      </c>
      <c r="BO277" s="141">
        <v>-2374193</v>
      </c>
      <c r="BP277" s="141">
        <v>-2471573</v>
      </c>
      <c r="BQ277" s="141">
        <v>0</v>
      </c>
      <c r="BR277" s="141">
        <v>-110165</v>
      </c>
      <c r="BS277" s="141">
        <v>0</v>
      </c>
      <c r="BT277" s="141">
        <v>-2581738</v>
      </c>
      <c r="BU277" s="141">
        <v>0</v>
      </c>
      <c r="BV277" s="141">
        <v>-2581738</v>
      </c>
      <c r="BW277" s="141">
        <v>-272445</v>
      </c>
      <c r="BX277" s="141">
        <v>0</v>
      </c>
      <c r="BY277" s="141">
        <v>-272445</v>
      </c>
      <c r="BZ277" s="141">
        <v>-59717</v>
      </c>
      <c r="CA277" s="141">
        <v>0</v>
      </c>
      <c r="CB277" s="141">
        <v>-59717</v>
      </c>
      <c r="CC277" s="141">
        <v>-7116</v>
      </c>
      <c r="CD277" s="141">
        <v>0</v>
      </c>
      <c r="CE277" s="141">
        <v>-7116</v>
      </c>
      <c r="CF277" s="141">
        <v>0</v>
      </c>
      <c r="CG277" s="141">
        <v>0</v>
      </c>
      <c r="CH277" s="141">
        <v>0</v>
      </c>
      <c r="CI277" s="141">
        <v>0</v>
      </c>
      <c r="CJ277" s="141">
        <v>0</v>
      </c>
      <c r="CK277" s="141">
        <v>0</v>
      </c>
      <c r="CL277" s="141">
        <v>-50000</v>
      </c>
      <c r="CM277" s="141">
        <v>0</v>
      </c>
      <c r="CN277" s="141">
        <v>-50000</v>
      </c>
      <c r="CO277" s="141">
        <v>0</v>
      </c>
      <c r="CP277" s="141">
        <v>0</v>
      </c>
      <c r="CQ277" s="141">
        <v>-389278</v>
      </c>
      <c r="CR277" s="141">
        <v>0</v>
      </c>
      <c r="CS277" s="141">
        <v>-46411</v>
      </c>
      <c r="CT277" s="141">
        <v>0</v>
      </c>
      <c r="CU277" s="141">
        <v>-435689</v>
      </c>
      <c r="CV277" s="141">
        <v>0</v>
      </c>
      <c r="CW277" s="141">
        <v>-435689</v>
      </c>
      <c r="CX277" s="141">
        <v>-1484</v>
      </c>
      <c r="CY277" s="141">
        <v>0</v>
      </c>
      <c r="CZ277" s="141">
        <v>-1484</v>
      </c>
      <c r="DA277" s="141">
        <v>-1500</v>
      </c>
      <c r="DB277" s="141">
        <v>0</v>
      </c>
      <c r="DC277" s="141">
        <v>-1500</v>
      </c>
      <c r="DD277" s="141">
        <v>-34003</v>
      </c>
      <c r="DE277" s="141">
        <v>0</v>
      </c>
      <c r="DF277" s="141">
        <v>-34003</v>
      </c>
      <c r="DG277" s="141">
        <v>-80050</v>
      </c>
      <c r="DH277" s="141">
        <v>0</v>
      </c>
      <c r="DI277" s="141">
        <v>-80050</v>
      </c>
      <c r="DJ277" s="141">
        <v>0</v>
      </c>
      <c r="DK277" s="141">
        <v>0</v>
      </c>
      <c r="DL277" s="141">
        <v>0</v>
      </c>
      <c r="DM277" s="141">
        <v>-779806</v>
      </c>
      <c r="DN277" s="141">
        <v>0</v>
      </c>
      <c r="DO277" s="141">
        <v>-779806</v>
      </c>
      <c r="DP277" s="141">
        <v>-896843</v>
      </c>
      <c r="DQ277" s="141">
        <v>0</v>
      </c>
      <c r="DR277" s="141">
        <v>0</v>
      </c>
      <c r="DS277" s="141">
        <v>0</v>
      </c>
      <c r="DT277" s="141">
        <v>-896843</v>
      </c>
      <c r="DU277" s="141">
        <v>0</v>
      </c>
      <c r="DV277" s="141">
        <v>-896843</v>
      </c>
      <c r="DW277" s="856">
        <v>75482457</v>
      </c>
      <c r="DX277" s="856">
        <v>0</v>
      </c>
      <c r="DY277" s="857">
        <v>75482457</v>
      </c>
      <c r="DZ277" t="s">
        <v>1843</v>
      </c>
    </row>
    <row r="278" spans="1:130" ht="12.75" x14ac:dyDescent="0.2">
      <c r="A278" s="764">
        <v>271</v>
      </c>
      <c r="B278" s="765" t="s">
        <v>433</v>
      </c>
      <c r="C278" s="766" t="s">
        <v>1217</v>
      </c>
      <c r="D278" s="767" t="s">
        <v>1221</v>
      </c>
      <c r="E278" s="768" t="s">
        <v>432</v>
      </c>
      <c r="F278" s="867">
        <v>43465</v>
      </c>
      <c r="G278" s="141">
        <v>78377789</v>
      </c>
      <c r="H278" s="141">
        <v>0</v>
      </c>
      <c r="I278" s="141">
        <v>78377789</v>
      </c>
      <c r="J278" s="141">
        <v>49.1</v>
      </c>
      <c r="K278" s="141">
        <v>38483494</v>
      </c>
      <c r="L278" s="141">
        <v>0</v>
      </c>
      <c r="M278" s="141">
        <v>100000</v>
      </c>
      <c r="N278" s="141">
        <v>0</v>
      </c>
      <c r="O278" s="141">
        <v>38583494</v>
      </c>
      <c r="P278" s="141">
        <v>0</v>
      </c>
      <c r="Q278" s="141">
        <v>38583494</v>
      </c>
      <c r="R278" s="141">
        <v>-424204</v>
      </c>
      <c r="S278" s="141">
        <v>0</v>
      </c>
      <c r="T278" s="141">
        <v>-424204</v>
      </c>
      <c r="U278" s="141">
        <v>205569</v>
      </c>
      <c r="V278" s="141">
        <v>0</v>
      </c>
      <c r="W278" s="141">
        <v>205569</v>
      </c>
      <c r="X278" s="141">
        <v>-218635</v>
      </c>
      <c r="Y278" s="141">
        <v>0</v>
      </c>
      <c r="Z278" s="141">
        <v>0</v>
      </c>
      <c r="AA278" s="141">
        <v>0</v>
      </c>
      <c r="AB278" s="141">
        <v>-218635</v>
      </c>
      <c r="AC278" s="141">
        <v>0</v>
      </c>
      <c r="AD278" s="141">
        <v>-218635</v>
      </c>
      <c r="AE278" s="141">
        <v>218635</v>
      </c>
      <c r="AF278" s="141">
        <v>0</v>
      </c>
      <c r="AG278" s="141">
        <v>218635</v>
      </c>
      <c r="AH278" s="141">
        <v>-6707992</v>
      </c>
      <c r="AI278" s="141">
        <v>0</v>
      </c>
      <c r="AJ278" s="141">
        <v>-6707992</v>
      </c>
      <c r="AK278" s="141">
        <v>-7077</v>
      </c>
      <c r="AL278" s="141">
        <v>0</v>
      </c>
      <c r="AM278" s="141">
        <v>-7077</v>
      </c>
      <c r="AN278" s="141">
        <v>585741</v>
      </c>
      <c r="AO278" s="141">
        <v>0</v>
      </c>
      <c r="AP278" s="141">
        <v>585741</v>
      </c>
      <c r="AQ278" s="141">
        <v>-6122251</v>
      </c>
      <c r="AR278" s="141">
        <v>0</v>
      </c>
      <c r="AS278" s="141">
        <v>-6122251</v>
      </c>
      <c r="AT278" s="141">
        <v>-2369425</v>
      </c>
      <c r="AU278" s="141">
        <v>0</v>
      </c>
      <c r="AV278" s="141">
        <v>-2369425</v>
      </c>
      <c r="AW278" s="141">
        <v>-171804</v>
      </c>
      <c r="AX278" s="141">
        <v>0</v>
      </c>
      <c r="AY278" s="141">
        <v>-171804</v>
      </c>
      <c r="AZ278" s="141">
        <v>-36124</v>
      </c>
      <c r="BA278" s="141">
        <v>0</v>
      </c>
      <c r="BB278" s="141">
        <v>-36124</v>
      </c>
      <c r="BC278" s="141">
        <v>-8699604</v>
      </c>
      <c r="BD278" s="141">
        <v>0</v>
      </c>
      <c r="BE278" s="141">
        <v>0</v>
      </c>
      <c r="BF278" s="141">
        <v>0</v>
      </c>
      <c r="BG278" s="141">
        <v>-8699604</v>
      </c>
      <c r="BH278" s="141">
        <v>0</v>
      </c>
      <c r="BI278" s="141">
        <v>-8699604</v>
      </c>
      <c r="BJ278" s="141">
        <v>0</v>
      </c>
      <c r="BK278" s="141">
        <v>0</v>
      </c>
      <c r="BL278" s="141">
        <v>0</v>
      </c>
      <c r="BM278" s="141">
        <v>-458903</v>
      </c>
      <c r="BN278" s="141">
        <v>0</v>
      </c>
      <c r="BO278" s="141">
        <v>-458903</v>
      </c>
      <c r="BP278" s="141">
        <v>-458903</v>
      </c>
      <c r="BQ278" s="141">
        <v>0</v>
      </c>
      <c r="BR278" s="141">
        <v>0</v>
      </c>
      <c r="BS278" s="141">
        <v>0</v>
      </c>
      <c r="BT278" s="141">
        <v>-458903</v>
      </c>
      <c r="BU278" s="141">
        <v>0</v>
      </c>
      <c r="BV278" s="141">
        <v>-458903</v>
      </c>
      <c r="BW278" s="141">
        <v>-30490</v>
      </c>
      <c r="BX278" s="141">
        <v>0</v>
      </c>
      <c r="BY278" s="141">
        <v>-30490</v>
      </c>
      <c r="BZ278" s="141">
        <v>0</v>
      </c>
      <c r="CA278" s="141">
        <v>0</v>
      </c>
      <c r="CB278" s="141">
        <v>0</v>
      </c>
      <c r="CC278" s="141">
        <v>0</v>
      </c>
      <c r="CD278" s="141">
        <v>0</v>
      </c>
      <c r="CE278" s="141">
        <v>0</v>
      </c>
      <c r="CF278" s="141">
        <v>0</v>
      </c>
      <c r="CG278" s="141">
        <v>0</v>
      </c>
      <c r="CH278" s="141">
        <v>0</v>
      </c>
      <c r="CI278" s="141">
        <v>0</v>
      </c>
      <c r="CJ278" s="141">
        <v>0</v>
      </c>
      <c r="CK278" s="141">
        <v>0</v>
      </c>
      <c r="CL278" s="141">
        <v>0</v>
      </c>
      <c r="CM278" s="141">
        <v>0</v>
      </c>
      <c r="CN278" s="141">
        <v>0</v>
      </c>
      <c r="CO278" s="141">
        <v>0</v>
      </c>
      <c r="CP278" s="141">
        <v>0</v>
      </c>
      <c r="CQ278" s="141">
        <v>-30490</v>
      </c>
      <c r="CR278" s="141">
        <v>0</v>
      </c>
      <c r="CS278" s="141">
        <v>0</v>
      </c>
      <c r="CT278" s="141">
        <v>0</v>
      </c>
      <c r="CU278" s="141">
        <v>-30490</v>
      </c>
      <c r="CV278" s="141">
        <v>0</v>
      </c>
      <c r="CW278" s="141">
        <v>-30490</v>
      </c>
      <c r="CX278" s="141">
        <v>-36124</v>
      </c>
      <c r="CY278" s="141">
        <v>0</v>
      </c>
      <c r="CZ278" s="141">
        <v>-36124</v>
      </c>
      <c r="DA278" s="141">
        <v>-1500</v>
      </c>
      <c r="DB278" s="141">
        <v>0</v>
      </c>
      <c r="DC278" s="141">
        <v>-1500</v>
      </c>
      <c r="DD278" s="141">
        <v>-13182</v>
      </c>
      <c r="DE278" s="141">
        <v>0</v>
      </c>
      <c r="DF278" s="141">
        <v>-13182</v>
      </c>
      <c r="DG278" s="141">
        <v>-42612</v>
      </c>
      <c r="DH278" s="141">
        <v>0</v>
      </c>
      <c r="DI278" s="141">
        <v>-42612</v>
      </c>
      <c r="DJ278" s="141">
        <v>0</v>
      </c>
      <c r="DK278" s="141">
        <v>0</v>
      </c>
      <c r="DL278" s="141">
        <v>0</v>
      </c>
      <c r="DM278" s="141">
        <v>-993526</v>
      </c>
      <c r="DN278" s="141">
        <v>0</v>
      </c>
      <c r="DO278" s="141">
        <v>-993526</v>
      </c>
      <c r="DP278" s="141">
        <v>-1086944</v>
      </c>
      <c r="DQ278" s="141">
        <v>0</v>
      </c>
      <c r="DR278" s="141">
        <v>0</v>
      </c>
      <c r="DS278" s="141">
        <v>0</v>
      </c>
      <c r="DT278" s="141">
        <v>-1086944</v>
      </c>
      <c r="DU278" s="141">
        <v>0</v>
      </c>
      <c r="DV278" s="141">
        <v>-1086944</v>
      </c>
      <c r="DW278" s="856">
        <v>28088918</v>
      </c>
      <c r="DX278" s="856">
        <v>0</v>
      </c>
      <c r="DY278" s="857">
        <v>28088918</v>
      </c>
      <c r="DZ278" t="s">
        <v>1844</v>
      </c>
    </row>
    <row r="279" spans="1:130" ht="12.75" x14ac:dyDescent="0.2">
      <c r="A279" s="764">
        <v>272</v>
      </c>
      <c r="B279" s="765" t="s">
        <v>435</v>
      </c>
      <c r="C279" s="766" t="s">
        <v>1217</v>
      </c>
      <c r="D279" s="767" t="s">
        <v>1218</v>
      </c>
      <c r="E279" s="768" t="s">
        <v>434</v>
      </c>
      <c r="F279" s="867">
        <v>43468</v>
      </c>
      <c r="G279" s="141">
        <v>137574828</v>
      </c>
      <c r="H279" s="141">
        <v>0</v>
      </c>
      <c r="I279" s="141">
        <v>137574828</v>
      </c>
      <c r="J279" s="141">
        <v>49.1</v>
      </c>
      <c r="K279" s="141">
        <v>67549241</v>
      </c>
      <c r="L279" s="141">
        <v>0</v>
      </c>
      <c r="M279" s="141">
        <v>-193870</v>
      </c>
      <c r="N279" s="141">
        <v>0</v>
      </c>
      <c r="O279" s="141">
        <v>67355371</v>
      </c>
      <c r="P279" s="141">
        <v>0</v>
      </c>
      <c r="Q279" s="141">
        <v>67355371</v>
      </c>
      <c r="R279" s="141">
        <v>-500889</v>
      </c>
      <c r="S279" s="141">
        <v>0</v>
      </c>
      <c r="T279" s="141">
        <v>-500889</v>
      </c>
      <c r="U279" s="141">
        <v>481031</v>
      </c>
      <c r="V279" s="141">
        <v>0</v>
      </c>
      <c r="W279" s="141">
        <v>481031</v>
      </c>
      <c r="X279" s="141">
        <v>-19858</v>
      </c>
      <c r="Y279" s="141">
        <v>0</v>
      </c>
      <c r="Z279" s="141">
        <v>0</v>
      </c>
      <c r="AA279" s="141">
        <v>0</v>
      </c>
      <c r="AB279" s="141">
        <v>-19858</v>
      </c>
      <c r="AC279" s="141">
        <v>0</v>
      </c>
      <c r="AD279" s="141">
        <v>-19858</v>
      </c>
      <c r="AE279" s="141">
        <v>19858</v>
      </c>
      <c r="AF279" s="141">
        <v>0</v>
      </c>
      <c r="AG279" s="141">
        <v>19858</v>
      </c>
      <c r="AH279" s="141">
        <v>-4414886</v>
      </c>
      <c r="AI279" s="141">
        <v>0</v>
      </c>
      <c r="AJ279" s="141">
        <v>-4414886</v>
      </c>
      <c r="AK279" s="141">
        <v>-17627</v>
      </c>
      <c r="AL279" s="141">
        <v>0</v>
      </c>
      <c r="AM279" s="141">
        <v>-17627</v>
      </c>
      <c r="AN279" s="141">
        <v>1248048</v>
      </c>
      <c r="AO279" s="141">
        <v>0</v>
      </c>
      <c r="AP279" s="141">
        <v>1248048</v>
      </c>
      <c r="AQ279" s="141">
        <v>-3166838</v>
      </c>
      <c r="AR279" s="141">
        <v>0</v>
      </c>
      <c r="AS279" s="141">
        <v>-3166838</v>
      </c>
      <c r="AT279" s="141">
        <v>-3166155</v>
      </c>
      <c r="AU279" s="141">
        <v>0</v>
      </c>
      <c r="AV279" s="141">
        <v>-3166155</v>
      </c>
      <c r="AW279" s="141">
        <v>-46601</v>
      </c>
      <c r="AX279" s="141">
        <v>0</v>
      </c>
      <c r="AY279" s="141">
        <v>-46601</v>
      </c>
      <c r="AZ279" s="141">
        <v>-23856</v>
      </c>
      <c r="BA279" s="141">
        <v>0</v>
      </c>
      <c r="BB279" s="141">
        <v>-23856</v>
      </c>
      <c r="BC279" s="141">
        <v>-6403450</v>
      </c>
      <c r="BD279" s="141">
        <v>0</v>
      </c>
      <c r="BE279" s="141">
        <v>0</v>
      </c>
      <c r="BF279" s="141">
        <v>0</v>
      </c>
      <c r="BG279" s="141">
        <v>-6403450</v>
      </c>
      <c r="BH279" s="141">
        <v>0</v>
      </c>
      <c r="BI279" s="141">
        <v>-6403450</v>
      </c>
      <c r="BJ279" s="141">
        <v>-44147</v>
      </c>
      <c r="BK279" s="141">
        <v>0</v>
      </c>
      <c r="BL279" s="141">
        <v>-44147</v>
      </c>
      <c r="BM279" s="141">
        <v>-1666096</v>
      </c>
      <c r="BN279" s="141">
        <v>0</v>
      </c>
      <c r="BO279" s="141">
        <v>-1666096</v>
      </c>
      <c r="BP279" s="141">
        <v>-1710243</v>
      </c>
      <c r="BQ279" s="141">
        <v>0</v>
      </c>
      <c r="BR279" s="141">
        <v>0</v>
      </c>
      <c r="BS279" s="141">
        <v>0</v>
      </c>
      <c r="BT279" s="141">
        <v>-1710243</v>
      </c>
      <c r="BU279" s="141">
        <v>0</v>
      </c>
      <c r="BV279" s="141">
        <v>-1710243</v>
      </c>
      <c r="BW279" s="141">
        <v>-181753</v>
      </c>
      <c r="BX279" s="141">
        <v>0</v>
      </c>
      <c r="BY279" s="141">
        <v>-181753</v>
      </c>
      <c r="BZ279" s="141">
        <v>-137819</v>
      </c>
      <c r="CA279" s="141">
        <v>0</v>
      </c>
      <c r="CB279" s="141">
        <v>-137819</v>
      </c>
      <c r="CC279" s="141">
        <v>-11650</v>
      </c>
      <c r="CD279" s="141">
        <v>0</v>
      </c>
      <c r="CE279" s="141">
        <v>-11650</v>
      </c>
      <c r="CF279" s="141">
        <v>0</v>
      </c>
      <c r="CG279" s="141">
        <v>0</v>
      </c>
      <c r="CH279" s="141">
        <v>0</v>
      </c>
      <c r="CI279" s="141">
        <v>-56592</v>
      </c>
      <c r="CJ279" s="141">
        <v>0</v>
      </c>
      <c r="CK279" s="141">
        <v>-56592</v>
      </c>
      <c r="CL279" s="141">
        <v>0</v>
      </c>
      <c r="CM279" s="141">
        <v>0</v>
      </c>
      <c r="CN279" s="141">
        <v>0</v>
      </c>
      <c r="CO279" s="141">
        <v>0</v>
      </c>
      <c r="CP279" s="141">
        <v>0</v>
      </c>
      <c r="CQ279" s="141">
        <v>-387814</v>
      </c>
      <c r="CR279" s="141">
        <v>0</v>
      </c>
      <c r="CS279" s="141">
        <v>0</v>
      </c>
      <c r="CT279" s="141">
        <v>0</v>
      </c>
      <c r="CU279" s="141">
        <v>-387814</v>
      </c>
      <c r="CV279" s="141">
        <v>0</v>
      </c>
      <c r="CW279" s="141">
        <v>-387814</v>
      </c>
      <c r="CX279" s="141">
        <v>-23856</v>
      </c>
      <c r="CY279" s="141">
        <v>0</v>
      </c>
      <c r="CZ279" s="141">
        <v>-23856</v>
      </c>
      <c r="DA279" s="141">
        <v>-3000</v>
      </c>
      <c r="DB279" s="141">
        <v>0</v>
      </c>
      <c r="DC279" s="141">
        <v>-3000</v>
      </c>
      <c r="DD279" s="141">
        <v>-21467</v>
      </c>
      <c r="DE279" s="141">
        <v>0</v>
      </c>
      <c r="DF279" s="141">
        <v>-21467</v>
      </c>
      <c r="DG279" s="141">
        <v>-64405</v>
      </c>
      <c r="DH279" s="141">
        <v>0</v>
      </c>
      <c r="DI279" s="141">
        <v>-64405</v>
      </c>
      <c r="DJ279" s="141">
        <v>0</v>
      </c>
      <c r="DK279" s="141">
        <v>0</v>
      </c>
      <c r="DL279" s="141">
        <v>0</v>
      </c>
      <c r="DM279" s="141">
        <v>-1415889</v>
      </c>
      <c r="DN279" s="141">
        <v>0</v>
      </c>
      <c r="DO279" s="141">
        <v>-1415889</v>
      </c>
      <c r="DP279" s="141">
        <v>-1528617</v>
      </c>
      <c r="DQ279" s="141">
        <v>0</v>
      </c>
      <c r="DR279" s="141">
        <v>0</v>
      </c>
      <c r="DS279" s="141">
        <v>0</v>
      </c>
      <c r="DT279" s="141">
        <v>-1528617</v>
      </c>
      <c r="DU279" s="141">
        <v>0</v>
      </c>
      <c r="DV279" s="141">
        <v>-1528617</v>
      </c>
      <c r="DW279" s="856">
        <v>57305389</v>
      </c>
      <c r="DX279" s="856">
        <v>0</v>
      </c>
      <c r="DY279" s="857">
        <v>57305389</v>
      </c>
      <c r="DZ279" t="s">
        <v>1845</v>
      </c>
    </row>
    <row r="280" spans="1:130" ht="12.75" x14ac:dyDescent="0.2">
      <c r="A280" s="764">
        <v>273</v>
      </c>
      <c r="B280" s="765" t="s">
        <v>437</v>
      </c>
      <c r="C280" s="766" t="s">
        <v>1217</v>
      </c>
      <c r="D280" s="767" t="s">
        <v>1226</v>
      </c>
      <c r="E280" s="768" t="s">
        <v>436</v>
      </c>
      <c r="F280" s="867">
        <v>43474</v>
      </c>
      <c r="G280" s="141">
        <v>91153379</v>
      </c>
      <c r="H280" s="141">
        <v>0</v>
      </c>
      <c r="I280" s="141">
        <v>91153379</v>
      </c>
      <c r="J280" s="141">
        <v>49.1</v>
      </c>
      <c r="K280" s="141">
        <v>44756309</v>
      </c>
      <c r="L280" s="141">
        <v>0</v>
      </c>
      <c r="M280" s="141">
        <v>0</v>
      </c>
      <c r="N280" s="141">
        <v>0</v>
      </c>
      <c r="O280" s="141">
        <v>44756309</v>
      </c>
      <c r="P280" s="141">
        <v>0</v>
      </c>
      <c r="Q280" s="141">
        <v>44756309</v>
      </c>
      <c r="R280" s="141">
        <v>-519418</v>
      </c>
      <c r="S280" s="141">
        <v>0</v>
      </c>
      <c r="T280" s="141">
        <v>-519418</v>
      </c>
      <c r="U280" s="141">
        <v>250659</v>
      </c>
      <c r="V280" s="141">
        <v>0</v>
      </c>
      <c r="W280" s="141">
        <v>250659</v>
      </c>
      <c r="X280" s="141">
        <v>-268759</v>
      </c>
      <c r="Y280" s="141">
        <v>0</v>
      </c>
      <c r="Z280" s="141">
        <v>0</v>
      </c>
      <c r="AA280" s="141">
        <v>0</v>
      </c>
      <c r="AB280" s="141">
        <v>-268759</v>
      </c>
      <c r="AC280" s="141">
        <v>0</v>
      </c>
      <c r="AD280" s="141">
        <v>-268759</v>
      </c>
      <c r="AE280" s="141">
        <v>268759</v>
      </c>
      <c r="AF280" s="141">
        <v>0</v>
      </c>
      <c r="AG280" s="141">
        <v>268759</v>
      </c>
      <c r="AH280" s="141">
        <v>-2915613</v>
      </c>
      <c r="AI280" s="141">
        <v>0</v>
      </c>
      <c r="AJ280" s="141">
        <v>-2915613</v>
      </c>
      <c r="AK280" s="141">
        <v>-70835</v>
      </c>
      <c r="AL280" s="141">
        <v>0</v>
      </c>
      <c r="AM280" s="141">
        <v>-70835</v>
      </c>
      <c r="AN280" s="141">
        <v>857962</v>
      </c>
      <c r="AO280" s="141">
        <v>0</v>
      </c>
      <c r="AP280" s="141">
        <v>857962</v>
      </c>
      <c r="AQ280" s="141">
        <v>-2057651</v>
      </c>
      <c r="AR280" s="141">
        <v>0</v>
      </c>
      <c r="AS280" s="141">
        <v>-2057651</v>
      </c>
      <c r="AT280" s="141">
        <v>-1321870</v>
      </c>
      <c r="AU280" s="141">
        <v>0</v>
      </c>
      <c r="AV280" s="141">
        <v>-1321870</v>
      </c>
      <c r="AW280" s="141">
        <v>-34897</v>
      </c>
      <c r="AX280" s="141">
        <v>0</v>
      </c>
      <c r="AY280" s="141">
        <v>-34897</v>
      </c>
      <c r="AZ280" s="141">
        <v>0</v>
      </c>
      <c r="BA280" s="141">
        <v>0</v>
      </c>
      <c r="BB280" s="141">
        <v>0</v>
      </c>
      <c r="BC280" s="141">
        <v>-3414418</v>
      </c>
      <c r="BD280" s="141">
        <v>0</v>
      </c>
      <c r="BE280" s="141">
        <v>0</v>
      </c>
      <c r="BF280" s="141">
        <v>0</v>
      </c>
      <c r="BG280" s="141">
        <v>-3414418</v>
      </c>
      <c r="BH280" s="141">
        <v>0</v>
      </c>
      <c r="BI280" s="141">
        <v>-3414418</v>
      </c>
      <c r="BJ280" s="141">
        <v>0</v>
      </c>
      <c r="BK280" s="141">
        <v>0</v>
      </c>
      <c r="BL280" s="141">
        <v>0</v>
      </c>
      <c r="BM280" s="141">
        <v>-529780</v>
      </c>
      <c r="BN280" s="141">
        <v>0</v>
      </c>
      <c r="BO280" s="141">
        <v>-529780</v>
      </c>
      <c r="BP280" s="141">
        <v>-529780</v>
      </c>
      <c r="BQ280" s="141">
        <v>0</v>
      </c>
      <c r="BR280" s="141">
        <v>0</v>
      </c>
      <c r="BS280" s="141">
        <v>0</v>
      </c>
      <c r="BT280" s="141">
        <v>-529780</v>
      </c>
      <c r="BU280" s="141">
        <v>0</v>
      </c>
      <c r="BV280" s="141">
        <v>-529780</v>
      </c>
      <c r="BW280" s="141">
        <v>-68597</v>
      </c>
      <c r="BX280" s="141">
        <v>0</v>
      </c>
      <c r="BY280" s="141">
        <v>-68597</v>
      </c>
      <c r="BZ280" s="141">
        <v>-4510</v>
      </c>
      <c r="CA280" s="141">
        <v>0</v>
      </c>
      <c r="CB280" s="141">
        <v>-4510</v>
      </c>
      <c r="CC280" s="141">
        <v>-627</v>
      </c>
      <c r="CD280" s="141">
        <v>0</v>
      </c>
      <c r="CE280" s="141">
        <v>-627</v>
      </c>
      <c r="CF280" s="141">
        <v>0</v>
      </c>
      <c r="CG280" s="141">
        <v>0</v>
      </c>
      <c r="CH280" s="141">
        <v>0</v>
      </c>
      <c r="CI280" s="141">
        <v>-5040</v>
      </c>
      <c r="CJ280" s="141">
        <v>0</v>
      </c>
      <c r="CK280" s="141">
        <v>-5040</v>
      </c>
      <c r="CL280" s="141">
        <v>0</v>
      </c>
      <c r="CM280" s="141">
        <v>0</v>
      </c>
      <c r="CN280" s="141">
        <v>0</v>
      </c>
      <c r="CO280" s="141">
        <v>0</v>
      </c>
      <c r="CP280" s="141">
        <v>0</v>
      </c>
      <c r="CQ280" s="141">
        <v>-78774</v>
      </c>
      <c r="CR280" s="141">
        <v>0</v>
      </c>
      <c r="CS280" s="141">
        <v>0</v>
      </c>
      <c r="CT280" s="141">
        <v>0</v>
      </c>
      <c r="CU280" s="141">
        <v>-78774</v>
      </c>
      <c r="CV280" s="141">
        <v>0</v>
      </c>
      <c r="CW280" s="141">
        <v>-78774</v>
      </c>
      <c r="CX280" s="141">
        <v>-24347</v>
      </c>
      <c r="CY280" s="141">
        <v>0</v>
      </c>
      <c r="CZ280" s="141">
        <v>-24347</v>
      </c>
      <c r="DA280" s="141">
        <v>0</v>
      </c>
      <c r="DB280" s="141">
        <v>0</v>
      </c>
      <c r="DC280" s="141">
        <v>0</v>
      </c>
      <c r="DD280" s="141">
        <v>-4106</v>
      </c>
      <c r="DE280" s="141">
        <v>0</v>
      </c>
      <c r="DF280" s="141">
        <v>-4106</v>
      </c>
      <c r="DG280" s="141">
        <v>-38000</v>
      </c>
      <c r="DH280" s="141">
        <v>0</v>
      </c>
      <c r="DI280" s="141">
        <v>-38000</v>
      </c>
      <c r="DJ280" s="141">
        <v>0</v>
      </c>
      <c r="DK280" s="141">
        <v>0</v>
      </c>
      <c r="DL280" s="141">
        <v>0</v>
      </c>
      <c r="DM280" s="141">
        <v>-782317</v>
      </c>
      <c r="DN280" s="141">
        <v>0</v>
      </c>
      <c r="DO280" s="141">
        <v>-782317</v>
      </c>
      <c r="DP280" s="141">
        <v>-848770</v>
      </c>
      <c r="DQ280" s="141">
        <v>0</v>
      </c>
      <c r="DR280" s="141">
        <v>0</v>
      </c>
      <c r="DS280" s="141">
        <v>0</v>
      </c>
      <c r="DT280" s="141">
        <v>-848770</v>
      </c>
      <c r="DU280" s="141">
        <v>0</v>
      </c>
      <c r="DV280" s="141">
        <v>-848770</v>
      </c>
      <c r="DW280" s="856">
        <v>39615808</v>
      </c>
      <c r="DX280" s="856">
        <v>0</v>
      </c>
      <c r="DY280" s="857">
        <v>39615808</v>
      </c>
      <c r="DZ280" t="s">
        <v>1846</v>
      </c>
    </row>
    <row r="281" spans="1:130" ht="12.75" x14ac:dyDescent="0.2">
      <c r="A281" s="764">
        <v>274</v>
      </c>
      <c r="B281" s="765" t="s">
        <v>439</v>
      </c>
      <c r="C281" s="766" t="s">
        <v>1217</v>
      </c>
      <c r="D281" s="767" t="s">
        <v>1218</v>
      </c>
      <c r="E281" s="768" t="s">
        <v>438</v>
      </c>
      <c r="F281" s="867">
        <v>43465</v>
      </c>
      <c r="G281" s="141">
        <v>96427608</v>
      </c>
      <c r="H281" s="141">
        <v>0</v>
      </c>
      <c r="I281" s="141">
        <v>96427608</v>
      </c>
      <c r="J281" s="141">
        <v>49.1</v>
      </c>
      <c r="K281" s="141">
        <v>47345956</v>
      </c>
      <c r="L281" s="141">
        <v>0</v>
      </c>
      <c r="M281" s="141">
        <v>0</v>
      </c>
      <c r="N281" s="141">
        <v>0</v>
      </c>
      <c r="O281" s="141">
        <v>47345956</v>
      </c>
      <c r="P281" s="141">
        <v>0</v>
      </c>
      <c r="Q281" s="141">
        <v>47345956</v>
      </c>
      <c r="R281" s="141">
        <v>-714517</v>
      </c>
      <c r="S281" s="141">
        <v>0</v>
      </c>
      <c r="T281" s="141">
        <v>-714517</v>
      </c>
      <c r="U281" s="141">
        <v>686285</v>
      </c>
      <c r="V281" s="141">
        <v>0</v>
      </c>
      <c r="W281" s="141">
        <v>686285</v>
      </c>
      <c r="X281" s="141">
        <v>-28232</v>
      </c>
      <c r="Y281" s="141">
        <v>0</v>
      </c>
      <c r="Z281" s="141">
        <v>0</v>
      </c>
      <c r="AA281" s="141">
        <v>0</v>
      </c>
      <c r="AB281" s="141">
        <v>-28232</v>
      </c>
      <c r="AC281" s="141">
        <v>0</v>
      </c>
      <c r="AD281" s="141">
        <v>-28232</v>
      </c>
      <c r="AE281" s="141">
        <v>28232</v>
      </c>
      <c r="AF281" s="141">
        <v>0</v>
      </c>
      <c r="AG281" s="141">
        <v>28232</v>
      </c>
      <c r="AH281" s="141">
        <v>-6318114</v>
      </c>
      <c r="AI281" s="141">
        <v>0</v>
      </c>
      <c r="AJ281" s="141">
        <v>-6318114</v>
      </c>
      <c r="AK281" s="141">
        <v>-33</v>
      </c>
      <c r="AL281" s="141">
        <v>0</v>
      </c>
      <c r="AM281" s="141">
        <v>-33</v>
      </c>
      <c r="AN281" s="141">
        <v>829242</v>
      </c>
      <c r="AO281" s="141">
        <v>0</v>
      </c>
      <c r="AP281" s="141">
        <v>829242</v>
      </c>
      <c r="AQ281" s="141">
        <v>-5488872</v>
      </c>
      <c r="AR281" s="141">
        <v>0</v>
      </c>
      <c r="AS281" s="141">
        <v>-5488872</v>
      </c>
      <c r="AT281" s="141">
        <v>-4500251</v>
      </c>
      <c r="AU281" s="141">
        <v>0</v>
      </c>
      <c r="AV281" s="141">
        <v>-4500251</v>
      </c>
      <c r="AW281" s="141">
        <v>-42842</v>
      </c>
      <c r="AX281" s="141">
        <v>0</v>
      </c>
      <c r="AY281" s="141">
        <v>-42842</v>
      </c>
      <c r="AZ281" s="141">
        <v>-4977</v>
      </c>
      <c r="BA281" s="141">
        <v>0</v>
      </c>
      <c r="BB281" s="141">
        <v>-4977</v>
      </c>
      <c r="BC281" s="141">
        <v>-10036942</v>
      </c>
      <c r="BD281" s="141">
        <v>0</v>
      </c>
      <c r="BE281" s="141">
        <v>0</v>
      </c>
      <c r="BF281" s="141">
        <v>0</v>
      </c>
      <c r="BG281" s="141">
        <v>-10036942</v>
      </c>
      <c r="BH281" s="141">
        <v>0</v>
      </c>
      <c r="BI281" s="141">
        <v>-10036942</v>
      </c>
      <c r="BJ281" s="141">
        <v>0</v>
      </c>
      <c r="BK281" s="141">
        <v>0</v>
      </c>
      <c r="BL281" s="141">
        <v>0</v>
      </c>
      <c r="BM281" s="141">
        <v>-1447253</v>
      </c>
      <c r="BN281" s="141">
        <v>0</v>
      </c>
      <c r="BO281" s="141">
        <v>-1447253</v>
      </c>
      <c r="BP281" s="141">
        <v>-1447253</v>
      </c>
      <c r="BQ281" s="141">
        <v>0</v>
      </c>
      <c r="BR281" s="141">
        <v>0</v>
      </c>
      <c r="BS281" s="141">
        <v>0</v>
      </c>
      <c r="BT281" s="141">
        <v>-1447253</v>
      </c>
      <c r="BU281" s="141">
        <v>0</v>
      </c>
      <c r="BV281" s="141">
        <v>-1447253</v>
      </c>
      <c r="BW281" s="141">
        <v>-214358</v>
      </c>
      <c r="BX281" s="141">
        <v>0</v>
      </c>
      <c r="BY281" s="141">
        <v>-214358</v>
      </c>
      <c r="BZ281" s="141">
        <v>-69619</v>
      </c>
      <c r="CA281" s="141">
        <v>0</v>
      </c>
      <c r="CB281" s="141">
        <v>-69619</v>
      </c>
      <c r="CC281" s="141">
        <v>-806</v>
      </c>
      <c r="CD281" s="141">
        <v>0</v>
      </c>
      <c r="CE281" s="141">
        <v>-806</v>
      </c>
      <c r="CF281" s="141">
        <v>0</v>
      </c>
      <c r="CG281" s="141">
        <v>0</v>
      </c>
      <c r="CH281" s="141">
        <v>0</v>
      </c>
      <c r="CI281" s="141">
        <v>0</v>
      </c>
      <c r="CJ281" s="141">
        <v>0</v>
      </c>
      <c r="CK281" s="141">
        <v>0</v>
      </c>
      <c r="CL281" s="141">
        <v>0</v>
      </c>
      <c r="CM281" s="141">
        <v>0</v>
      </c>
      <c r="CN281" s="141">
        <v>0</v>
      </c>
      <c r="CO281" s="141">
        <v>0</v>
      </c>
      <c r="CP281" s="141">
        <v>0</v>
      </c>
      <c r="CQ281" s="141">
        <v>-284783</v>
      </c>
      <c r="CR281" s="141">
        <v>0</v>
      </c>
      <c r="CS281" s="141">
        <v>0</v>
      </c>
      <c r="CT281" s="141">
        <v>0</v>
      </c>
      <c r="CU281" s="141">
        <v>-284783</v>
      </c>
      <c r="CV281" s="141">
        <v>0</v>
      </c>
      <c r="CW281" s="141">
        <v>-284783</v>
      </c>
      <c r="CX281" s="141">
        <v>-4977</v>
      </c>
      <c r="CY281" s="141">
        <v>0</v>
      </c>
      <c r="CZ281" s="141">
        <v>-4977</v>
      </c>
      <c r="DA281" s="141">
        <v>-1500</v>
      </c>
      <c r="DB281" s="141">
        <v>0</v>
      </c>
      <c r="DC281" s="141">
        <v>-1500</v>
      </c>
      <c r="DD281" s="141">
        <v>-41479</v>
      </c>
      <c r="DE281" s="141">
        <v>0</v>
      </c>
      <c r="DF281" s="141">
        <v>-41479</v>
      </c>
      <c r="DG281" s="141">
        <v>-65962</v>
      </c>
      <c r="DH281" s="141">
        <v>0</v>
      </c>
      <c r="DI281" s="141">
        <v>-65962</v>
      </c>
      <c r="DJ281" s="141">
        <v>0</v>
      </c>
      <c r="DK281" s="141">
        <v>0</v>
      </c>
      <c r="DL281" s="141">
        <v>0</v>
      </c>
      <c r="DM281" s="141">
        <v>-783419</v>
      </c>
      <c r="DN281" s="141">
        <v>0</v>
      </c>
      <c r="DO281" s="141">
        <v>-783419</v>
      </c>
      <c r="DP281" s="141">
        <v>-897337</v>
      </c>
      <c r="DQ281" s="141">
        <v>0</v>
      </c>
      <c r="DR281" s="141">
        <v>0</v>
      </c>
      <c r="DS281" s="141">
        <v>0</v>
      </c>
      <c r="DT281" s="141">
        <v>-897337</v>
      </c>
      <c r="DU281" s="141">
        <v>0</v>
      </c>
      <c r="DV281" s="141">
        <v>-897337</v>
      </c>
      <c r="DW281" s="856">
        <v>34651409</v>
      </c>
      <c r="DX281" s="856">
        <v>0</v>
      </c>
      <c r="DY281" s="857">
        <v>34651409</v>
      </c>
      <c r="DZ281" t="s">
        <v>1847</v>
      </c>
    </row>
    <row r="282" spans="1:130" ht="12.75" x14ac:dyDescent="0.2">
      <c r="A282" s="764">
        <v>275</v>
      </c>
      <c r="B282" s="765" t="s">
        <v>441</v>
      </c>
      <c r="C282" s="766" t="s">
        <v>1217</v>
      </c>
      <c r="D282" s="767" t="s">
        <v>1221</v>
      </c>
      <c r="E282" s="768" t="s">
        <v>440</v>
      </c>
      <c r="F282" s="867">
        <v>43460</v>
      </c>
      <c r="G282" s="141">
        <v>71010628</v>
      </c>
      <c r="H282" s="141">
        <v>0</v>
      </c>
      <c r="I282" s="141">
        <v>71010628</v>
      </c>
      <c r="J282" s="141">
        <v>49.1</v>
      </c>
      <c r="K282" s="141">
        <v>34866218</v>
      </c>
      <c r="L282" s="141">
        <v>0</v>
      </c>
      <c r="M282" s="141">
        <v>0</v>
      </c>
      <c r="N282" s="141">
        <v>0</v>
      </c>
      <c r="O282" s="141">
        <v>34866218</v>
      </c>
      <c r="P282" s="141">
        <v>0</v>
      </c>
      <c r="Q282" s="141">
        <v>34866218</v>
      </c>
      <c r="R282" s="141">
        <v>-281809</v>
      </c>
      <c r="S282" s="141">
        <v>0</v>
      </c>
      <c r="T282" s="141">
        <v>-281809</v>
      </c>
      <c r="U282" s="141">
        <v>217824</v>
      </c>
      <c r="V282" s="141">
        <v>0</v>
      </c>
      <c r="W282" s="141">
        <v>217824</v>
      </c>
      <c r="X282" s="141">
        <v>-63985</v>
      </c>
      <c r="Y282" s="141">
        <v>0</v>
      </c>
      <c r="Z282" s="141">
        <v>0</v>
      </c>
      <c r="AA282" s="141">
        <v>0</v>
      </c>
      <c r="AB282" s="141">
        <v>-63985</v>
      </c>
      <c r="AC282" s="141">
        <v>0</v>
      </c>
      <c r="AD282" s="141">
        <v>-63985</v>
      </c>
      <c r="AE282" s="141">
        <v>63985</v>
      </c>
      <c r="AF282" s="141">
        <v>0</v>
      </c>
      <c r="AG282" s="141">
        <v>63985</v>
      </c>
      <c r="AH282" s="141">
        <v>-1786844</v>
      </c>
      <c r="AI282" s="141">
        <v>0</v>
      </c>
      <c r="AJ282" s="141">
        <v>-1786844</v>
      </c>
      <c r="AK282" s="141">
        <v>0</v>
      </c>
      <c r="AL282" s="141">
        <v>0</v>
      </c>
      <c r="AM282" s="141">
        <v>0</v>
      </c>
      <c r="AN282" s="141">
        <v>647426</v>
      </c>
      <c r="AO282" s="141">
        <v>0</v>
      </c>
      <c r="AP282" s="141">
        <v>647426</v>
      </c>
      <c r="AQ282" s="141">
        <v>-1139418</v>
      </c>
      <c r="AR282" s="141">
        <v>0</v>
      </c>
      <c r="AS282" s="141">
        <v>-1139418</v>
      </c>
      <c r="AT282" s="141">
        <v>-2704726</v>
      </c>
      <c r="AU282" s="141">
        <v>0</v>
      </c>
      <c r="AV282" s="141">
        <v>-2704726</v>
      </c>
      <c r="AW282" s="141">
        <v>-31651</v>
      </c>
      <c r="AX282" s="141">
        <v>0</v>
      </c>
      <c r="AY282" s="141">
        <v>-31651</v>
      </c>
      <c r="AZ282" s="141">
        <v>-2066</v>
      </c>
      <c r="BA282" s="141">
        <v>0</v>
      </c>
      <c r="BB282" s="141">
        <v>-2066</v>
      </c>
      <c r="BC282" s="141">
        <v>-3877861</v>
      </c>
      <c r="BD282" s="141">
        <v>0</v>
      </c>
      <c r="BE282" s="141">
        <v>0</v>
      </c>
      <c r="BF282" s="141">
        <v>0</v>
      </c>
      <c r="BG282" s="141">
        <v>-3877861</v>
      </c>
      <c r="BH282" s="141">
        <v>0</v>
      </c>
      <c r="BI282" s="141">
        <v>-3877861</v>
      </c>
      <c r="BJ282" s="141">
        <v>0</v>
      </c>
      <c r="BK282" s="141">
        <v>0</v>
      </c>
      <c r="BL282" s="141">
        <v>0</v>
      </c>
      <c r="BM282" s="141">
        <v>-838627</v>
      </c>
      <c r="BN282" s="141">
        <v>0</v>
      </c>
      <c r="BO282" s="141">
        <v>-838627</v>
      </c>
      <c r="BP282" s="141">
        <v>-838627</v>
      </c>
      <c r="BQ282" s="141">
        <v>0</v>
      </c>
      <c r="BR282" s="141">
        <v>0</v>
      </c>
      <c r="BS282" s="141">
        <v>0</v>
      </c>
      <c r="BT282" s="141">
        <v>-838627</v>
      </c>
      <c r="BU282" s="141">
        <v>0</v>
      </c>
      <c r="BV282" s="141">
        <v>-838627</v>
      </c>
      <c r="BW282" s="141">
        <v>-11763</v>
      </c>
      <c r="BX282" s="141">
        <v>0</v>
      </c>
      <c r="BY282" s="141">
        <v>-11763</v>
      </c>
      <c r="BZ282" s="141">
        <v>-182196</v>
      </c>
      <c r="CA282" s="141">
        <v>0</v>
      </c>
      <c r="CB282" s="141">
        <v>-182196</v>
      </c>
      <c r="CC282" s="141">
        <v>0</v>
      </c>
      <c r="CD282" s="141">
        <v>0</v>
      </c>
      <c r="CE282" s="141">
        <v>0</v>
      </c>
      <c r="CF282" s="141">
        <v>-2066</v>
      </c>
      <c r="CG282" s="141">
        <v>0</v>
      </c>
      <c r="CH282" s="141">
        <v>-2066</v>
      </c>
      <c r="CI282" s="141">
        <v>0</v>
      </c>
      <c r="CJ282" s="141">
        <v>0</v>
      </c>
      <c r="CK282" s="141">
        <v>0</v>
      </c>
      <c r="CL282" s="141">
        <v>0</v>
      </c>
      <c r="CM282" s="141">
        <v>0</v>
      </c>
      <c r="CN282" s="141">
        <v>0</v>
      </c>
      <c r="CO282" s="141">
        <v>0</v>
      </c>
      <c r="CP282" s="141">
        <v>0</v>
      </c>
      <c r="CQ282" s="141">
        <v>-196025</v>
      </c>
      <c r="CR282" s="141">
        <v>0</v>
      </c>
      <c r="CS282" s="141">
        <v>0</v>
      </c>
      <c r="CT282" s="141">
        <v>0</v>
      </c>
      <c r="CU282" s="141">
        <v>-196025</v>
      </c>
      <c r="CV282" s="141">
        <v>0</v>
      </c>
      <c r="CW282" s="141">
        <v>-196025</v>
      </c>
      <c r="CX282" s="141">
        <v>-2066</v>
      </c>
      <c r="CY282" s="141">
        <v>0</v>
      </c>
      <c r="CZ282" s="141">
        <v>-2066</v>
      </c>
      <c r="DA282" s="141">
        <v>0</v>
      </c>
      <c r="DB282" s="141">
        <v>0</v>
      </c>
      <c r="DC282" s="141">
        <v>0</v>
      </c>
      <c r="DD282" s="141">
        <v>-17371</v>
      </c>
      <c r="DE282" s="141">
        <v>0</v>
      </c>
      <c r="DF282" s="141">
        <v>-17371</v>
      </c>
      <c r="DG282" s="141">
        <v>-25999</v>
      </c>
      <c r="DH282" s="141">
        <v>0</v>
      </c>
      <c r="DI282" s="141">
        <v>-25999</v>
      </c>
      <c r="DJ282" s="141">
        <v>0</v>
      </c>
      <c r="DK282" s="141">
        <v>0</v>
      </c>
      <c r="DL282" s="141">
        <v>0</v>
      </c>
      <c r="DM282" s="141">
        <v>-649513</v>
      </c>
      <c r="DN282" s="141">
        <v>0</v>
      </c>
      <c r="DO282" s="141">
        <v>-649513</v>
      </c>
      <c r="DP282" s="141">
        <v>-694949</v>
      </c>
      <c r="DQ282" s="141">
        <v>0</v>
      </c>
      <c r="DR282" s="141">
        <v>0</v>
      </c>
      <c r="DS282" s="141">
        <v>0</v>
      </c>
      <c r="DT282" s="141">
        <v>-694949</v>
      </c>
      <c r="DU282" s="141">
        <v>0</v>
      </c>
      <c r="DV282" s="141">
        <v>-694949</v>
      </c>
      <c r="DW282" s="856">
        <v>29194771</v>
      </c>
      <c r="DX282" s="856">
        <v>0</v>
      </c>
      <c r="DY282" s="857">
        <v>29194771</v>
      </c>
      <c r="DZ282" t="s">
        <v>1848</v>
      </c>
    </row>
    <row r="283" spans="1:130" ht="12.75" x14ac:dyDescent="0.2">
      <c r="A283" s="764">
        <v>276</v>
      </c>
      <c r="B283" s="765" t="s">
        <v>443</v>
      </c>
      <c r="C283" s="766" t="s">
        <v>529</v>
      </c>
      <c r="D283" s="767" t="s">
        <v>1221</v>
      </c>
      <c r="E283" s="768" t="s">
        <v>574</v>
      </c>
      <c r="F283" s="867">
        <v>43496</v>
      </c>
      <c r="G283" s="141">
        <v>273941880</v>
      </c>
      <c r="H283" s="141">
        <v>0</v>
      </c>
      <c r="I283" s="141">
        <v>273941880</v>
      </c>
      <c r="J283" s="141">
        <v>49.1</v>
      </c>
      <c r="K283" s="141">
        <v>134505463</v>
      </c>
      <c r="L283" s="141">
        <v>0</v>
      </c>
      <c r="M283" s="141">
        <v>348937</v>
      </c>
      <c r="N283" s="141">
        <v>0</v>
      </c>
      <c r="O283" s="141">
        <v>134854400</v>
      </c>
      <c r="P283" s="141">
        <v>0</v>
      </c>
      <c r="Q283" s="141">
        <v>134854400</v>
      </c>
      <c r="R283" s="141">
        <v>-438068</v>
      </c>
      <c r="S283" s="141">
        <v>0</v>
      </c>
      <c r="T283" s="141">
        <v>-438068</v>
      </c>
      <c r="U283" s="141">
        <v>1832098</v>
      </c>
      <c r="V283" s="141">
        <v>0</v>
      </c>
      <c r="W283" s="141">
        <v>1832098</v>
      </c>
      <c r="X283" s="141">
        <v>1394030</v>
      </c>
      <c r="Y283" s="141">
        <v>0</v>
      </c>
      <c r="Z283" s="141">
        <v>0</v>
      </c>
      <c r="AA283" s="141">
        <v>0</v>
      </c>
      <c r="AB283" s="141">
        <v>1394030</v>
      </c>
      <c r="AC283" s="141">
        <v>0</v>
      </c>
      <c r="AD283" s="141">
        <v>1394030</v>
      </c>
      <c r="AE283" s="141">
        <v>-1394030</v>
      </c>
      <c r="AF283" s="141">
        <v>0</v>
      </c>
      <c r="AG283" s="141">
        <v>-1394030</v>
      </c>
      <c r="AH283" s="141">
        <v>-4065639</v>
      </c>
      <c r="AI283" s="141">
        <v>0</v>
      </c>
      <c r="AJ283" s="141">
        <v>-4065639</v>
      </c>
      <c r="AK283" s="141">
        <v>-13895</v>
      </c>
      <c r="AL283" s="141">
        <v>0</v>
      </c>
      <c r="AM283" s="141">
        <v>-13895</v>
      </c>
      <c r="AN283" s="141">
        <v>3086294</v>
      </c>
      <c r="AO283" s="141">
        <v>0</v>
      </c>
      <c r="AP283" s="141">
        <v>3086294</v>
      </c>
      <c r="AQ283" s="141">
        <v>-979345</v>
      </c>
      <c r="AR283" s="141">
        <v>0</v>
      </c>
      <c r="AS283" s="141">
        <v>-979345</v>
      </c>
      <c r="AT283" s="141">
        <v>-4415000</v>
      </c>
      <c r="AU283" s="141">
        <v>0</v>
      </c>
      <c r="AV283" s="141">
        <v>-4415000</v>
      </c>
      <c r="AW283" s="141">
        <v>-42507</v>
      </c>
      <c r="AX283" s="141">
        <v>0</v>
      </c>
      <c r="AY283" s="141">
        <v>-42507</v>
      </c>
      <c r="AZ283" s="141">
        <v>0</v>
      </c>
      <c r="BA283" s="141">
        <v>0</v>
      </c>
      <c r="BB283" s="141">
        <v>0</v>
      </c>
      <c r="BC283" s="141">
        <v>-5436852</v>
      </c>
      <c r="BD283" s="141">
        <v>0</v>
      </c>
      <c r="BE283" s="141">
        <v>0</v>
      </c>
      <c r="BF283" s="141">
        <v>0</v>
      </c>
      <c r="BG283" s="141">
        <v>-5436852</v>
      </c>
      <c r="BH283" s="141">
        <v>0</v>
      </c>
      <c r="BI283" s="141">
        <v>-5436852</v>
      </c>
      <c r="BJ283" s="141">
        <v>-183000</v>
      </c>
      <c r="BK283" s="141">
        <v>0</v>
      </c>
      <c r="BL283" s="141">
        <v>-183000</v>
      </c>
      <c r="BM283" s="141">
        <v>-4552182</v>
      </c>
      <c r="BN283" s="141">
        <v>0</v>
      </c>
      <c r="BO283" s="141">
        <v>-4552182</v>
      </c>
      <c r="BP283" s="141">
        <v>-4735182</v>
      </c>
      <c r="BQ283" s="141">
        <v>0</v>
      </c>
      <c r="BR283" s="141">
        <v>0</v>
      </c>
      <c r="BS283" s="141">
        <v>0</v>
      </c>
      <c r="BT283" s="141">
        <v>-4735182</v>
      </c>
      <c r="BU283" s="141">
        <v>0</v>
      </c>
      <c r="BV283" s="141">
        <v>-4735182</v>
      </c>
      <c r="BW283" s="141">
        <v>-44744</v>
      </c>
      <c r="BX283" s="141">
        <v>0</v>
      </c>
      <c r="BY283" s="141">
        <v>-44744</v>
      </c>
      <c r="BZ283" s="141">
        <v>-28416</v>
      </c>
      <c r="CA283" s="141">
        <v>0</v>
      </c>
      <c r="CB283" s="141">
        <v>-28416</v>
      </c>
      <c r="CC283" s="141">
        <v>-1000</v>
      </c>
      <c r="CD283" s="141">
        <v>0</v>
      </c>
      <c r="CE283" s="141">
        <v>-1000</v>
      </c>
      <c r="CF283" s="141">
        <v>0</v>
      </c>
      <c r="CG283" s="141">
        <v>0</v>
      </c>
      <c r="CH283" s="141">
        <v>0</v>
      </c>
      <c r="CI283" s="141">
        <v>0</v>
      </c>
      <c r="CJ283" s="141">
        <v>0</v>
      </c>
      <c r="CK283" s="141">
        <v>0</v>
      </c>
      <c r="CL283" s="141">
        <v>0</v>
      </c>
      <c r="CM283" s="141">
        <v>0</v>
      </c>
      <c r="CN283" s="141">
        <v>0</v>
      </c>
      <c r="CO283" s="141">
        <v>0</v>
      </c>
      <c r="CP283" s="141">
        <v>0</v>
      </c>
      <c r="CQ283" s="141">
        <v>-74160</v>
      </c>
      <c r="CR283" s="141">
        <v>0</v>
      </c>
      <c r="CS283" s="141">
        <v>0</v>
      </c>
      <c r="CT283" s="141">
        <v>0</v>
      </c>
      <c r="CU283" s="141">
        <v>-74160</v>
      </c>
      <c r="CV283" s="141">
        <v>0</v>
      </c>
      <c r="CW283" s="141">
        <v>-74160</v>
      </c>
      <c r="CX283" s="141">
        <v>0</v>
      </c>
      <c r="CY283" s="141">
        <v>0</v>
      </c>
      <c r="CZ283" s="141">
        <v>0</v>
      </c>
      <c r="DA283" s="141">
        <v>0</v>
      </c>
      <c r="DB283" s="141">
        <v>0</v>
      </c>
      <c r="DC283" s="141">
        <v>0</v>
      </c>
      <c r="DD283" s="141">
        <v>-8888</v>
      </c>
      <c r="DE283" s="141">
        <v>0</v>
      </c>
      <c r="DF283" s="141">
        <v>-8888</v>
      </c>
      <c r="DG283" s="141">
        <v>-73500</v>
      </c>
      <c r="DH283" s="141">
        <v>0</v>
      </c>
      <c r="DI283" s="141">
        <v>-73500</v>
      </c>
      <c r="DJ283" s="141">
        <v>0</v>
      </c>
      <c r="DK283" s="141">
        <v>0</v>
      </c>
      <c r="DL283" s="141">
        <v>0</v>
      </c>
      <c r="DM283" s="141">
        <v>-1393105</v>
      </c>
      <c r="DN283" s="141">
        <v>0</v>
      </c>
      <c r="DO283" s="141">
        <v>-1393105</v>
      </c>
      <c r="DP283" s="141">
        <v>-1475493</v>
      </c>
      <c r="DQ283" s="141">
        <v>0</v>
      </c>
      <c r="DR283" s="141">
        <v>0</v>
      </c>
      <c r="DS283" s="141">
        <v>0</v>
      </c>
      <c r="DT283" s="141">
        <v>-1475493</v>
      </c>
      <c r="DU283" s="141">
        <v>0</v>
      </c>
      <c r="DV283" s="141">
        <v>-1475493</v>
      </c>
      <c r="DW283" s="856">
        <v>124526743</v>
      </c>
      <c r="DX283" s="856">
        <v>0</v>
      </c>
      <c r="DY283" s="857">
        <v>124526743</v>
      </c>
      <c r="DZ283" t="s">
        <v>1849</v>
      </c>
    </row>
    <row r="284" spans="1:130" ht="12.75" x14ac:dyDescent="0.2">
      <c r="A284" s="764">
        <v>277</v>
      </c>
      <c r="B284" s="765" t="s">
        <v>445</v>
      </c>
      <c r="C284" s="766" t="s">
        <v>1217</v>
      </c>
      <c r="D284" s="767" t="s">
        <v>1218</v>
      </c>
      <c r="E284" s="768" t="s">
        <v>444</v>
      </c>
      <c r="F284" s="867">
        <v>43468</v>
      </c>
      <c r="G284" s="141">
        <v>141159643</v>
      </c>
      <c r="H284" s="141">
        <v>0</v>
      </c>
      <c r="I284" s="141">
        <v>141159643</v>
      </c>
      <c r="J284" s="141">
        <v>49.1</v>
      </c>
      <c r="K284" s="141">
        <v>69309385</v>
      </c>
      <c r="L284" s="141">
        <v>0</v>
      </c>
      <c r="M284" s="141">
        <v>-540000</v>
      </c>
      <c r="N284" s="141">
        <v>0</v>
      </c>
      <c r="O284" s="141">
        <v>68769385</v>
      </c>
      <c r="P284" s="141">
        <v>0</v>
      </c>
      <c r="Q284" s="141">
        <v>68769385</v>
      </c>
      <c r="R284" s="141">
        <v>-493824</v>
      </c>
      <c r="S284" s="141">
        <v>0</v>
      </c>
      <c r="T284" s="141">
        <v>-493824</v>
      </c>
      <c r="U284" s="141">
        <v>159802</v>
      </c>
      <c r="V284" s="141">
        <v>0</v>
      </c>
      <c r="W284" s="141">
        <v>159802</v>
      </c>
      <c r="X284" s="141">
        <v>-334022</v>
      </c>
      <c r="Y284" s="141">
        <v>0</v>
      </c>
      <c r="Z284" s="141">
        <v>0</v>
      </c>
      <c r="AA284" s="141">
        <v>0</v>
      </c>
      <c r="AB284" s="141">
        <v>-334022</v>
      </c>
      <c r="AC284" s="141">
        <v>0</v>
      </c>
      <c r="AD284" s="141">
        <v>-334022</v>
      </c>
      <c r="AE284" s="141">
        <v>334022</v>
      </c>
      <c r="AF284" s="141">
        <v>0</v>
      </c>
      <c r="AG284" s="141">
        <v>334022</v>
      </c>
      <c r="AH284" s="141">
        <v>-3068478</v>
      </c>
      <c r="AI284" s="141">
        <v>0</v>
      </c>
      <c r="AJ284" s="141">
        <v>-3068478</v>
      </c>
      <c r="AK284" s="141">
        <v>0</v>
      </c>
      <c r="AL284" s="141">
        <v>0</v>
      </c>
      <c r="AM284" s="141">
        <v>0</v>
      </c>
      <c r="AN284" s="141">
        <v>1481927</v>
      </c>
      <c r="AO284" s="141">
        <v>0</v>
      </c>
      <c r="AP284" s="141">
        <v>1481927</v>
      </c>
      <c r="AQ284" s="141">
        <v>-1586551</v>
      </c>
      <c r="AR284" s="141">
        <v>0</v>
      </c>
      <c r="AS284" s="141">
        <v>-1586551</v>
      </c>
      <c r="AT284" s="141">
        <v>-5296314</v>
      </c>
      <c r="AU284" s="141">
        <v>0</v>
      </c>
      <c r="AV284" s="141">
        <v>-5296314</v>
      </c>
      <c r="AW284" s="141">
        <v>-69915</v>
      </c>
      <c r="AX284" s="141">
        <v>0</v>
      </c>
      <c r="AY284" s="141">
        <v>-69915</v>
      </c>
      <c r="AZ284" s="141">
        <v>-7104</v>
      </c>
      <c r="BA284" s="141">
        <v>0</v>
      </c>
      <c r="BB284" s="141">
        <v>-7104</v>
      </c>
      <c r="BC284" s="141">
        <v>-6959884</v>
      </c>
      <c r="BD284" s="141">
        <v>0</v>
      </c>
      <c r="BE284" s="141">
        <v>0</v>
      </c>
      <c r="BF284" s="141">
        <v>0</v>
      </c>
      <c r="BG284" s="141">
        <v>-6959884</v>
      </c>
      <c r="BH284" s="141">
        <v>0</v>
      </c>
      <c r="BI284" s="141">
        <v>-6959884</v>
      </c>
      <c r="BJ284" s="141">
        <v>-25574</v>
      </c>
      <c r="BK284" s="141">
        <v>0</v>
      </c>
      <c r="BL284" s="141">
        <v>-25574</v>
      </c>
      <c r="BM284" s="141">
        <v>-2189332</v>
      </c>
      <c r="BN284" s="141">
        <v>0</v>
      </c>
      <c r="BO284" s="141">
        <v>-2189332</v>
      </c>
      <c r="BP284" s="141">
        <v>-2214906</v>
      </c>
      <c r="BQ284" s="141">
        <v>0</v>
      </c>
      <c r="BR284" s="141">
        <v>0</v>
      </c>
      <c r="BS284" s="141">
        <v>0</v>
      </c>
      <c r="BT284" s="141">
        <v>-2214906</v>
      </c>
      <c r="BU284" s="141">
        <v>0</v>
      </c>
      <c r="BV284" s="141">
        <v>-2214906</v>
      </c>
      <c r="BW284" s="141">
        <v>-133343</v>
      </c>
      <c r="BX284" s="141">
        <v>0</v>
      </c>
      <c r="BY284" s="141">
        <v>-133343</v>
      </c>
      <c r="BZ284" s="141">
        <v>-48144</v>
      </c>
      <c r="CA284" s="141">
        <v>0</v>
      </c>
      <c r="CB284" s="141">
        <v>-48144</v>
      </c>
      <c r="CC284" s="141">
        <v>-14747</v>
      </c>
      <c r="CD284" s="141">
        <v>0</v>
      </c>
      <c r="CE284" s="141">
        <v>-14747</v>
      </c>
      <c r="CF284" s="141">
        <v>-7104</v>
      </c>
      <c r="CG284" s="141">
        <v>0</v>
      </c>
      <c r="CH284" s="141">
        <v>-7104</v>
      </c>
      <c r="CI284" s="141">
        <v>-8838</v>
      </c>
      <c r="CJ284" s="141">
        <v>0</v>
      </c>
      <c r="CK284" s="141">
        <v>-8838</v>
      </c>
      <c r="CL284" s="141">
        <v>0</v>
      </c>
      <c r="CM284" s="141">
        <v>0</v>
      </c>
      <c r="CN284" s="141">
        <v>0</v>
      </c>
      <c r="CO284" s="141">
        <v>0</v>
      </c>
      <c r="CP284" s="141">
        <v>0</v>
      </c>
      <c r="CQ284" s="141">
        <v>-212176</v>
      </c>
      <c r="CR284" s="141">
        <v>0</v>
      </c>
      <c r="CS284" s="141">
        <v>0</v>
      </c>
      <c r="CT284" s="141">
        <v>0</v>
      </c>
      <c r="CU284" s="141">
        <v>-212176</v>
      </c>
      <c r="CV284" s="141">
        <v>0</v>
      </c>
      <c r="CW284" s="141">
        <v>-212176</v>
      </c>
      <c r="CX284" s="141">
        <v>0</v>
      </c>
      <c r="CY284" s="141">
        <v>0</v>
      </c>
      <c r="CZ284" s="141">
        <v>0</v>
      </c>
      <c r="DA284" s="141">
        <v>0</v>
      </c>
      <c r="DB284" s="141">
        <v>0</v>
      </c>
      <c r="DC284" s="141">
        <v>0</v>
      </c>
      <c r="DD284" s="141">
        <v>-25340</v>
      </c>
      <c r="DE284" s="141">
        <v>0</v>
      </c>
      <c r="DF284" s="141">
        <v>-25340</v>
      </c>
      <c r="DG284" s="141">
        <v>-67500</v>
      </c>
      <c r="DH284" s="141">
        <v>0</v>
      </c>
      <c r="DI284" s="141">
        <v>-67500</v>
      </c>
      <c r="DJ284" s="141">
        <v>0</v>
      </c>
      <c r="DK284" s="141">
        <v>0</v>
      </c>
      <c r="DL284" s="141">
        <v>0</v>
      </c>
      <c r="DM284" s="141">
        <v>-500000</v>
      </c>
      <c r="DN284" s="141">
        <v>0</v>
      </c>
      <c r="DO284" s="141">
        <v>-500000</v>
      </c>
      <c r="DP284" s="141">
        <v>-592840</v>
      </c>
      <c r="DQ284" s="141">
        <v>0</v>
      </c>
      <c r="DR284" s="141">
        <v>0</v>
      </c>
      <c r="DS284" s="141">
        <v>0</v>
      </c>
      <c r="DT284" s="141">
        <v>-592840</v>
      </c>
      <c r="DU284" s="141">
        <v>0</v>
      </c>
      <c r="DV284" s="141">
        <v>-592840</v>
      </c>
      <c r="DW284" s="856">
        <v>58455557</v>
      </c>
      <c r="DX284" s="856">
        <v>0</v>
      </c>
      <c r="DY284" s="857">
        <v>58455557</v>
      </c>
      <c r="DZ284" t="s">
        <v>1850</v>
      </c>
    </row>
    <row r="285" spans="1:130" ht="12.75" x14ac:dyDescent="0.2">
      <c r="A285" s="764">
        <v>278</v>
      </c>
      <c r="B285" s="765" t="s">
        <v>447</v>
      </c>
      <c r="C285" s="766" t="s">
        <v>529</v>
      </c>
      <c r="D285" s="767" t="s">
        <v>1226</v>
      </c>
      <c r="E285" s="768" t="s">
        <v>564</v>
      </c>
      <c r="F285" s="867">
        <v>43465</v>
      </c>
      <c r="G285" s="141">
        <v>93724895</v>
      </c>
      <c r="H285" s="141">
        <v>0</v>
      </c>
      <c r="I285" s="141">
        <v>93724895</v>
      </c>
      <c r="J285" s="141">
        <v>49.1</v>
      </c>
      <c r="K285" s="141">
        <v>46018923</v>
      </c>
      <c r="L285" s="141">
        <v>0</v>
      </c>
      <c r="M285" s="141">
        <v>-300000</v>
      </c>
      <c r="N285" s="141">
        <v>0</v>
      </c>
      <c r="O285" s="141">
        <v>45718923</v>
      </c>
      <c r="P285" s="141">
        <v>0</v>
      </c>
      <c r="Q285" s="141">
        <v>45718923</v>
      </c>
      <c r="R285" s="141">
        <v>-343525.97</v>
      </c>
      <c r="S285" s="141">
        <v>0</v>
      </c>
      <c r="T285" s="141">
        <v>-343525.97</v>
      </c>
      <c r="U285" s="141">
        <v>1583788.25</v>
      </c>
      <c r="V285" s="141">
        <v>0</v>
      </c>
      <c r="W285" s="141">
        <v>1583788.25</v>
      </c>
      <c r="X285" s="141">
        <v>1240262.28</v>
      </c>
      <c r="Y285" s="141">
        <v>0</v>
      </c>
      <c r="Z285" s="141">
        <v>0</v>
      </c>
      <c r="AA285" s="141">
        <v>0</v>
      </c>
      <c r="AB285" s="141">
        <v>1240262.28</v>
      </c>
      <c r="AC285" s="141">
        <v>0</v>
      </c>
      <c r="AD285" s="141">
        <v>1240262.28</v>
      </c>
      <c r="AE285" s="141">
        <v>-1240262.28</v>
      </c>
      <c r="AF285" s="141">
        <v>0</v>
      </c>
      <c r="AG285" s="141">
        <v>-1240262.28</v>
      </c>
      <c r="AH285" s="141">
        <v>-6957457</v>
      </c>
      <c r="AI285" s="141">
        <v>0</v>
      </c>
      <c r="AJ285" s="141">
        <v>-6957457</v>
      </c>
      <c r="AK285" s="141">
        <v>-38209</v>
      </c>
      <c r="AL285" s="141">
        <v>0</v>
      </c>
      <c r="AM285" s="141">
        <v>-38209</v>
      </c>
      <c r="AN285" s="141">
        <v>718305.63</v>
      </c>
      <c r="AO285" s="141">
        <v>0</v>
      </c>
      <c r="AP285" s="141">
        <v>718305.63</v>
      </c>
      <c r="AQ285" s="141">
        <v>-6239151.3700000001</v>
      </c>
      <c r="AR285" s="141">
        <v>0</v>
      </c>
      <c r="AS285" s="141">
        <v>-6239151.3700000001</v>
      </c>
      <c r="AT285" s="141">
        <v>-3797660.71</v>
      </c>
      <c r="AU285" s="141">
        <v>0</v>
      </c>
      <c r="AV285" s="141">
        <v>-3797660.71</v>
      </c>
      <c r="AW285" s="141">
        <v>-122753.48</v>
      </c>
      <c r="AX285" s="141">
        <v>0</v>
      </c>
      <c r="AY285" s="141">
        <v>-122753.48</v>
      </c>
      <c r="AZ285" s="141">
        <v>0</v>
      </c>
      <c r="BA285" s="141">
        <v>0</v>
      </c>
      <c r="BB285" s="141">
        <v>0</v>
      </c>
      <c r="BC285" s="141">
        <v>-10159565.560000001</v>
      </c>
      <c r="BD285" s="141">
        <v>0</v>
      </c>
      <c r="BE285" s="141">
        <v>-100000</v>
      </c>
      <c r="BF285" s="141">
        <v>0</v>
      </c>
      <c r="BG285" s="141">
        <v>-10259565.560000001</v>
      </c>
      <c r="BH285" s="141">
        <v>0</v>
      </c>
      <c r="BI285" s="141">
        <v>-10259565.560000001</v>
      </c>
      <c r="BJ285" s="141">
        <v>0</v>
      </c>
      <c r="BK285" s="141">
        <v>0</v>
      </c>
      <c r="BL285" s="141">
        <v>0</v>
      </c>
      <c r="BM285" s="141">
        <v>-747966</v>
      </c>
      <c r="BN285" s="141">
        <v>0</v>
      </c>
      <c r="BO285" s="141">
        <v>-747966</v>
      </c>
      <c r="BP285" s="141">
        <v>-747966</v>
      </c>
      <c r="BQ285" s="141">
        <v>0</v>
      </c>
      <c r="BR285" s="141">
        <v>-100000</v>
      </c>
      <c r="BS285" s="141">
        <v>0</v>
      </c>
      <c r="BT285" s="141">
        <v>-847966</v>
      </c>
      <c r="BU285" s="141">
        <v>0</v>
      </c>
      <c r="BV285" s="141">
        <v>-847966</v>
      </c>
      <c r="BW285" s="141">
        <v>-95378.31</v>
      </c>
      <c r="BX285" s="141">
        <v>0</v>
      </c>
      <c r="BY285" s="141">
        <v>-95378.31</v>
      </c>
      <c r="BZ285" s="141">
        <v>-421050.87</v>
      </c>
      <c r="CA285" s="141">
        <v>0</v>
      </c>
      <c r="CB285" s="141">
        <v>-421050.87</v>
      </c>
      <c r="CC285" s="141">
        <v>-567</v>
      </c>
      <c r="CD285" s="141">
        <v>0</v>
      </c>
      <c r="CE285" s="141">
        <v>-567</v>
      </c>
      <c r="CF285" s="141">
        <v>0</v>
      </c>
      <c r="CG285" s="141">
        <v>0</v>
      </c>
      <c r="CH285" s="141">
        <v>0</v>
      </c>
      <c r="CI285" s="141">
        <v>0</v>
      </c>
      <c r="CJ285" s="141">
        <v>0</v>
      </c>
      <c r="CK285" s="141">
        <v>0</v>
      </c>
      <c r="CL285" s="141">
        <v>0</v>
      </c>
      <c r="CM285" s="141">
        <v>0</v>
      </c>
      <c r="CN285" s="141">
        <v>0</v>
      </c>
      <c r="CO285" s="141">
        <v>0</v>
      </c>
      <c r="CP285" s="141">
        <v>0</v>
      </c>
      <c r="CQ285" s="141">
        <v>-516996.18</v>
      </c>
      <c r="CR285" s="141">
        <v>0</v>
      </c>
      <c r="CS285" s="141">
        <v>0</v>
      </c>
      <c r="CT285" s="141">
        <v>0</v>
      </c>
      <c r="CU285" s="141">
        <v>-516996.18</v>
      </c>
      <c r="CV285" s="141">
        <v>0</v>
      </c>
      <c r="CW285" s="141">
        <v>-516996.18</v>
      </c>
      <c r="CX285" s="141">
        <v>0</v>
      </c>
      <c r="CY285" s="141">
        <v>0</v>
      </c>
      <c r="CZ285" s="141">
        <v>0</v>
      </c>
      <c r="DA285" s="141">
        <v>-1500</v>
      </c>
      <c r="DB285" s="141">
        <v>0</v>
      </c>
      <c r="DC285" s="141">
        <v>-1500</v>
      </c>
      <c r="DD285" s="141">
        <v>-5750</v>
      </c>
      <c r="DE285" s="141">
        <v>0</v>
      </c>
      <c r="DF285" s="141">
        <v>-5750</v>
      </c>
      <c r="DG285" s="141">
        <v>-42000</v>
      </c>
      <c r="DH285" s="141">
        <v>0</v>
      </c>
      <c r="DI285" s="141">
        <v>-42000</v>
      </c>
      <c r="DJ285" s="141">
        <v>0</v>
      </c>
      <c r="DK285" s="141">
        <v>0</v>
      </c>
      <c r="DL285" s="141">
        <v>0</v>
      </c>
      <c r="DM285" s="141">
        <v>-1812206</v>
      </c>
      <c r="DN285" s="141">
        <v>0</v>
      </c>
      <c r="DO285" s="141">
        <v>-1812206</v>
      </c>
      <c r="DP285" s="141">
        <v>-1861456</v>
      </c>
      <c r="DQ285" s="141">
        <v>0</v>
      </c>
      <c r="DR285" s="141">
        <v>0</v>
      </c>
      <c r="DS285" s="141">
        <v>0</v>
      </c>
      <c r="DT285" s="141">
        <v>-1861456</v>
      </c>
      <c r="DU285" s="141">
        <v>0</v>
      </c>
      <c r="DV285" s="141">
        <v>-1861456</v>
      </c>
      <c r="DW285" s="856">
        <v>33473201.539999999</v>
      </c>
      <c r="DX285" s="856">
        <v>0</v>
      </c>
      <c r="DY285" s="857">
        <v>33473201.539999999</v>
      </c>
      <c r="DZ285" t="s">
        <v>1851</v>
      </c>
    </row>
    <row r="286" spans="1:130" ht="12.75" x14ac:dyDescent="0.2">
      <c r="A286" s="764">
        <v>279</v>
      </c>
      <c r="B286" s="765" t="s">
        <v>449</v>
      </c>
      <c r="C286" s="766" t="s">
        <v>1217</v>
      </c>
      <c r="D286" s="767" t="s">
        <v>1226</v>
      </c>
      <c r="E286" s="768" t="s">
        <v>448</v>
      </c>
      <c r="F286" s="867">
        <v>43476</v>
      </c>
      <c r="G286" s="141">
        <v>38573477</v>
      </c>
      <c r="H286" s="141">
        <v>0</v>
      </c>
      <c r="I286" s="141">
        <v>38573477</v>
      </c>
      <c r="J286" s="141">
        <v>49.1</v>
      </c>
      <c r="K286" s="141">
        <v>18939577</v>
      </c>
      <c r="L286" s="141">
        <v>0</v>
      </c>
      <c r="M286" s="141">
        <v>0</v>
      </c>
      <c r="N286" s="141">
        <v>0</v>
      </c>
      <c r="O286" s="141">
        <v>18939577</v>
      </c>
      <c r="P286" s="141">
        <v>0</v>
      </c>
      <c r="Q286" s="141">
        <v>18939577</v>
      </c>
      <c r="R286" s="141">
        <v>-590031</v>
      </c>
      <c r="S286" s="141">
        <v>0</v>
      </c>
      <c r="T286" s="141">
        <v>-590031</v>
      </c>
      <c r="U286" s="141">
        <v>180863</v>
      </c>
      <c r="V286" s="141">
        <v>0</v>
      </c>
      <c r="W286" s="141">
        <v>180863</v>
      </c>
      <c r="X286" s="141">
        <v>-409168</v>
      </c>
      <c r="Y286" s="141">
        <v>0</v>
      </c>
      <c r="Z286" s="141">
        <v>0</v>
      </c>
      <c r="AA286" s="141">
        <v>0</v>
      </c>
      <c r="AB286" s="141">
        <v>-409168</v>
      </c>
      <c r="AC286" s="141">
        <v>0</v>
      </c>
      <c r="AD286" s="141">
        <v>-409168</v>
      </c>
      <c r="AE286" s="141">
        <v>409168</v>
      </c>
      <c r="AF286" s="141">
        <v>0</v>
      </c>
      <c r="AG286" s="141">
        <v>409168</v>
      </c>
      <c r="AH286" s="141">
        <v>-4376769</v>
      </c>
      <c r="AI286" s="141">
        <v>0</v>
      </c>
      <c r="AJ286" s="141">
        <v>-4376769</v>
      </c>
      <c r="AK286" s="141">
        <v>-2798</v>
      </c>
      <c r="AL286" s="141">
        <v>0</v>
      </c>
      <c r="AM286" s="141">
        <v>-2798</v>
      </c>
      <c r="AN286" s="141">
        <v>222088</v>
      </c>
      <c r="AO286" s="141">
        <v>0</v>
      </c>
      <c r="AP286" s="141">
        <v>222088</v>
      </c>
      <c r="AQ286" s="141">
        <v>-4154681</v>
      </c>
      <c r="AR286" s="141">
        <v>0</v>
      </c>
      <c r="AS286" s="141">
        <v>-4154681</v>
      </c>
      <c r="AT286" s="141">
        <v>-1493043</v>
      </c>
      <c r="AU286" s="141">
        <v>0</v>
      </c>
      <c r="AV286" s="141">
        <v>-1493043</v>
      </c>
      <c r="AW286" s="141">
        <v>-28008</v>
      </c>
      <c r="AX286" s="141">
        <v>0</v>
      </c>
      <c r="AY286" s="141">
        <v>-28008</v>
      </c>
      <c r="AZ286" s="141">
        <v>-48537</v>
      </c>
      <c r="BA286" s="141">
        <v>0</v>
      </c>
      <c r="BB286" s="141">
        <v>-48537</v>
      </c>
      <c r="BC286" s="141">
        <v>-5724269</v>
      </c>
      <c r="BD286" s="141">
        <v>0</v>
      </c>
      <c r="BE286" s="141">
        <v>0</v>
      </c>
      <c r="BF286" s="141">
        <v>0</v>
      </c>
      <c r="BG286" s="141">
        <v>-5724269</v>
      </c>
      <c r="BH286" s="141">
        <v>0</v>
      </c>
      <c r="BI286" s="141">
        <v>-5724269</v>
      </c>
      <c r="BJ286" s="141">
        <v>0</v>
      </c>
      <c r="BK286" s="141">
        <v>0</v>
      </c>
      <c r="BL286" s="141">
        <v>0</v>
      </c>
      <c r="BM286" s="141">
        <v>-315632</v>
      </c>
      <c r="BN286" s="141">
        <v>0</v>
      </c>
      <c r="BO286" s="141">
        <v>-315632</v>
      </c>
      <c r="BP286" s="141">
        <v>-315632</v>
      </c>
      <c r="BQ286" s="141">
        <v>0</v>
      </c>
      <c r="BR286" s="141">
        <v>0</v>
      </c>
      <c r="BS286" s="141">
        <v>0</v>
      </c>
      <c r="BT286" s="141">
        <v>-315632</v>
      </c>
      <c r="BU286" s="141">
        <v>0</v>
      </c>
      <c r="BV286" s="141">
        <v>-315632</v>
      </c>
      <c r="BW286" s="141">
        <v>-103863</v>
      </c>
      <c r="BX286" s="141">
        <v>0</v>
      </c>
      <c r="BY286" s="141">
        <v>-103863</v>
      </c>
      <c r="BZ286" s="141">
        <v>-6100</v>
      </c>
      <c r="CA286" s="141">
        <v>0</v>
      </c>
      <c r="CB286" s="141">
        <v>-6100</v>
      </c>
      <c r="CC286" s="141">
        <v>-3536</v>
      </c>
      <c r="CD286" s="141">
        <v>0</v>
      </c>
      <c r="CE286" s="141">
        <v>-3536</v>
      </c>
      <c r="CF286" s="141">
        <v>-12839</v>
      </c>
      <c r="CG286" s="141">
        <v>0</v>
      </c>
      <c r="CH286" s="141">
        <v>-12839</v>
      </c>
      <c r="CI286" s="141">
        <v>0</v>
      </c>
      <c r="CJ286" s="141">
        <v>0</v>
      </c>
      <c r="CK286" s="141">
        <v>0</v>
      </c>
      <c r="CL286" s="141">
        <v>0</v>
      </c>
      <c r="CM286" s="141">
        <v>0</v>
      </c>
      <c r="CN286" s="141">
        <v>0</v>
      </c>
      <c r="CO286" s="141">
        <v>0</v>
      </c>
      <c r="CP286" s="141">
        <v>0</v>
      </c>
      <c r="CQ286" s="141">
        <v>-126338</v>
      </c>
      <c r="CR286" s="141">
        <v>0</v>
      </c>
      <c r="CS286" s="141">
        <v>0</v>
      </c>
      <c r="CT286" s="141">
        <v>0</v>
      </c>
      <c r="CU286" s="141">
        <v>-126338</v>
      </c>
      <c r="CV286" s="141">
        <v>0</v>
      </c>
      <c r="CW286" s="141">
        <v>-126338</v>
      </c>
      <c r="CX286" s="141">
        <v>-51831</v>
      </c>
      <c r="CY286" s="141">
        <v>0</v>
      </c>
      <c r="CZ286" s="141">
        <v>-51831</v>
      </c>
      <c r="DA286" s="141">
        <v>0</v>
      </c>
      <c r="DB286" s="141">
        <v>0</v>
      </c>
      <c r="DC286" s="141">
        <v>0</v>
      </c>
      <c r="DD286" s="141">
        <v>-33220</v>
      </c>
      <c r="DE286" s="141">
        <v>0</v>
      </c>
      <c r="DF286" s="141">
        <v>-33220</v>
      </c>
      <c r="DG286" s="141">
        <v>-41597</v>
      </c>
      <c r="DH286" s="141">
        <v>0</v>
      </c>
      <c r="DI286" s="141">
        <v>-41597</v>
      </c>
      <c r="DJ286" s="141">
        <v>0</v>
      </c>
      <c r="DK286" s="141">
        <v>0</v>
      </c>
      <c r="DL286" s="141">
        <v>0</v>
      </c>
      <c r="DM286" s="141">
        <v>-427080</v>
      </c>
      <c r="DN286" s="141">
        <v>0</v>
      </c>
      <c r="DO286" s="141">
        <v>-427080</v>
      </c>
      <c r="DP286" s="141">
        <v>-553728</v>
      </c>
      <c r="DQ286" s="141">
        <v>0</v>
      </c>
      <c r="DR286" s="141">
        <v>0</v>
      </c>
      <c r="DS286" s="141">
        <v>0</v>
      </c>
      <c r="DT286" s="141">
        <v>-553728</v>
      </c>
      <c r="DU286" s="141">
        <v>0</v>
      </c>
      <c r="DV286" s="141">
        <v>-553728</v>
      </c>
      <c r="DW286" s="856">
        <v>11810442</v>
      </c>
      <c r="DX286" s="856">
        <v>0</v>
      </c>
      <c r="DY286" s="857">
        <v>11810442</v>
      </c>
      <c r="DZ286" t="s">
        <v>1852</v>
      </c>
    </row>
    <row r="287" spans="1:130" ht="12.75" x14ac:dyDescent="0.2">
      <c r="A287" s="764">
        <v>280</v>
      </c>
      <c r="B287" s="765" t="s">
        <v>451</v>
      </c>
      <c r="C287" s="766" t="s">
        <v>1228</v>
      </c>
      <c r="D287" s="767" t="s">
        <v>1223</v>
      </c>
      <c r="E287" s="768" t="s">
        <v>450</v>
      </c>
      <c r="F287" s="867">
        <v>43468</v>
      </c>
      <c r="G287" s="141">
        <v>1043514796</v>
      </c>
      <c r="H287" s="141">
        <v>0</v>
      </c>
      <c r="I287" s="141">
        <v>1043514796</v>
      </c>
      <c r="J287" s="141">
        <v>49.1</v>
      </c>
      <c r="K287" s="141">
        <v>512365765</v>
      </c>
      <c r="L287" s="141">
        <v>0</v>
      </c>
      <c r="M287" s="141">
        <v>5040000</v>
      </c>
      <c r="N287" s="141">
        <v>0</v>
      </c>
      <c r="O287" s="141">
        <v>517405765</v>
      </c>
      <c r="P287" s="141">
        <v>0</v>
      </c>
      <c r="Q287" s="141">
        <v>517405765</v>
      </c>
      <c r="R287" s="141">
        <v>-11740709</v>
      </c>
      <c r="S287" s="141">
        <v>0</v>
      </c>
      <c r="T287" s="141">
        <v>-11740709</v>
      </c>
      <c r="U287" s="141">
        <v>3218167</v>
      </c>
      <c r="V287" s="141">
        <v>0</v>
      </c>
      <c r="W287" s="141">
        <v>3218167</v>
      </c>
      <c r="X287" s="141">
        <v>-8522542</v>
      </c>
      <c r="Y287" s="141">
        <v>0</v>
      </c>
      <c r="Z287" s="141">
        <v>0</v>
      </c>
      <c r="AA287" s="141">
        <v>0</v>
      </c>
      <c r="AB287" s="141">
        <v>-8522542</v>
      </c>
      <c r="AC287" s="141">
        <v>0</v>
      </c>
      <c r="AD287" s="141">
        <v>-8522542</v>
      </c>
      <c r="AE287" s="141">
        <v>8522542</v>
      </c>
      <c r="AF287" s="141">
        <v>0</v>
      </c>
      <c r="AG287" s="141">
        <v>8522542</v>
      </c>
      <c r="AH287" s="141">
        <v>-10031695</v>
      </c>
      <c r="AI287" s="141">
        <v>0</v>
      </c>
      <c r="AJ287" s="141">
        <v>-10031695</v>
      </c>
      <c r="AK287" s="141">
        <v>0</v>
      </c>
      <c r="AL287" s="141">
        <v>0</v>
      </c>
      <c r="AM287" s="141">
        <v>0</v>
      </c>
      <c r="AN287" s="141">
        <v>13565690</v>
      </c>
      <c r="AO287" s="141">
        <v>0</v>
      </c>
      <c r="AP287" s="141">
        <v>13565690</v>
      </c>
      <c r="AQ287" s="141">
        <v>3533995</v>
      </c>
      <c r="AR287" s="141">
        <v>0</v>
      </c>
      <c r="AS287" s="141">
        <v>3533995</v>
      </c>
      <c r="AT287" s="141">
        <v>-18995232</v>
      </c>
      <c r="AU287" s="141">
        <v>0</v>
      </c>
      <c r="AV287" s="141">
        <v>-18995232</v>
      </c>
      <c r="AW287" s="141">
        <v>0</v>
      </c>
      <c r="AX287" s="141">
        <v>0</v>
      </c>
      <c r="AY287" s="141">
        <v>0</v>
      </c>
      <c r="AZ287" s="141">
        <v>0</v>
      </c>
      <c r="BA287" s="141">
        <v>0</v>
      </c>
      <c r="BB287" s="141">
        <v>0</v>
      </c>
      <c r="BC287" s="141">
        <v>-15461237</v>
      </c>
      <c r="BD287" s="141">
        <v>0</v>
      </c>
      <c r="BE287" s="141">
        <v>0</v>
      </c>
      <c r="BF287" s="141">
        <v>0</v>
      </c>
      <c r="BG287" s="141">
        <v>-15461237</v>
      </c>
      <c r="BH287" s="141">
        <v>0</v>
      </c>
      <c r="BI287" s="141">
        <v>-15461237</v>
      </c>
      <c r="BJ287" s="141">
        <v>-100000</v>
      </c>
      <c r="BK287" s="141">
        <v>0</v>
      </c>
      <c r="BL287" s="141">
        <v>-100000</v>
      </c>
      <c r="BM287" s="141">
        <v>-14740754</v>
      </c>
      <c r="BN287" s="141">
        <v>0</v>
      </c>
      <c r="BO287" s="141">
        <v>-14740754</v>
      </c>
      <c r="BP287" s="141">
        <v>-14840754</v>
      </c>
      <c r="BQ287" s="141">
        <v>0</v>
      </c>
      <c r="BR287" s="141">
        <v>0</v>
      </c>
      <c r="BS287" s="141">
        <v>0</v>
      </c>
      <c r="BT287" s="141">
        <v>-14840754</v>
      </c>
      <c r="BU287" s="141">
        <v>0</v>
      </c>
      <c r="BV287" s="141">
        <v>-14840754</v>
      </c>
      <c r="BW287" s="141">
        <v>-531380</v>
      </c>
      <c r="BX287" s="141">
        <v>0</v>
      </c>
      <c r="BY287" s="141">
        <v>-531380</v>
      </c>
      <c r="BZ287" s="141">
        <v>-513401</v>
      </c>
      <c r="CA287" s="141">
        <v>0</v>
      </c>
      <c r="CB287" s="141">
        <v>-513401</v>
      </c>
      <c r="CC287" s="141">
        <v>0</v>
      </c>
      <c r="CD287" s="141">
        <v>0</v>
      </c>
      <c r="CE287" s="141">
        <v>0</v>
      </c>
      <c r="CF287" s="141">
        <v>0</v>
      </c>
      <c r="CG287" s="141">
        <v>0</v>
      </c>
      <c r="CH287" s="141">
        <v>0</v>
      </c>
      <c r="CI287" s="141">
        <v>0</v>
      </c>
      <c r="CJ287" s="141">
        <v>0</v>
      </c>
      <c r="CK287" s="141">
        <v>0</v>
      </c>
      <c r="CL287" s="141">
        <v>0</v>
      </c>
      <c r="CM287" s="141">
        <v>0</v>
      </c>
      <c r="CN287" s="141">
        <v>0</v>
      </c>
      <c r="CO287" s="141">
        <v>0</v>
      </c>
      <c r="CP287" s="141">
        <v>0</v>
      </c>
      <c r="CQ287" s="141">
        <v>-1044781</v>
      </c>
      <c r="CR287" s="141">
        <v>0</v>
      </c>
      <c r="CS287" s="141">
        <v>0</v>
      </c>
      <c r="CT287" s="141">
        <v>0</v>
      </c>
      <c r="CU287" s="141">
        <v>-1044781</v>
      </c>
      <c r="CV287" s="141">
        <v>0</v>
      </c>
      <c r="CW287" s="141">
        <v>-1044781</v>
      </c>
      <c r="CX287" s="141">
        <v>0</v>
      </c>
      <c r="CY287" s="141">
        <v>0</v>
      </c>
      <c r="CZ287" s="141">
        <v>0</v>
      </c>
      <c r="DA287" s="141">
        <v>0</v>
      </c>
      <c r="DB287" s="141">
        <v>0</v>
      </c>
      <c r="DC287" s="141">
        <v>0</v>
      </c>
      <c r="DD287" s="141">
        <v>-599367</v>
      </c>
      <c r="DE287" s="141">
        <v>0</v>
      </c>
      <c r="DF287" s="141">
        <v>-599367</v>
      </c>
      <c r="DG287" s="141">
        <v>-954837</v>
      </c>
      <c r="DH287" s="141">
        <v>0</v>
      </c>
      <c r="DI287" s="141">
        <v>-954837</v>
      </c>
      <c r="DJ287" s="141">
        <v>0</v>
      </c>
      <c r="DK287" s="141">
        <v>0</v>
      </c>
      <c r="DL287" s="141">
        <v>0</v>
      </c>
      <c r="DM287" s="141">
        <v>-4340751</v>
      </c>
      <c r="DN287" s="141">
        <v>0</v>
      </c>
      <c r="DO287" s="141">
        <v>-4340751</v>
      </c>
      <c r="DP287" s="141">
        <v>-5894955</v>
      </c>
      <c r="DQ287" s="141">
        <v>0</v>
      </c>
      <c r="DR287" s="141">
        <v>0</v>
      </c>
      <c r="DS287" s="141">
        <v>0</v>
      </c>
      <c r="DT287" s="141">
        <v>-5894955</v>
      </c>
      <c r="DU287" s="141">
        <v>0</v>
      </c>
      <c r="DV287" s="141">
        <v>-5894955</v>
      </c>
      <c r="DW287" s="856">
        <v>471641496</v>
      </c>
      <c r="DX287" s="856">
        <v>0</v>
      </c>
      <c r="DY287" s="857">
        <v>471641496</v>
      </c>
      <c r="DZ287" t="s">
        <v>1853</v>
      </c>
    </row>
    <row r="288" spans="1:130" ht="12.75" x14ac:dyDescent="0.2">
      <c r="A288" s="764">
        <v>281</v>
      </c>
      <c r="B288" s="765" t="s">
        <v>453</v>
      </c>
      <c r="C288" s="766" t="s">
        <v>1224</v>
      </c>
      <c r="D288" s="767" t="s">
        <v>1219</v>
      </c>
      <c r="E288" s="768" t="s">
        <v>452</v>
      </c>
      <c r="F288" s="867">
        <v>43474</v>
      </c>
      <c r="G288" s="141">
        <v>374978371</v>
      </c>
      <c r="H288" s="141">
        <v>0</v>
      </c>
      <c r="I288" s="141">
        <v>374978371</v>
      </c>
      <c r="J288" s="141">
        <v>49.1</v>
      </c>
      <c r="K288" s="141">
        <v>184114380</v>
      </c>
      <c r="L288" s="141">
        <v>0</v>
      </c>
      <c r="M288" s="141">
        <v>0</v>
      </c>
      <c r="N288" s="141">
        <v>0</v>
      </c>
      <c r="O288" s="141">
        <v>184114380</v>
      </c>
      <c r="P288" s="141">
        <v>0</v>
      </c>
      <c r="Q288" s="141">
        <v>184114380</v>
      </c>
      <c r="R288" s="141">
        <v>-681470.64</v>
      </c>
      <c r="S288" s="141">
        <v>0</v>
      </c>
      <c r="T288" s="141">
        <v>-681470.64</v>
      </c>
      <c r="U288" s="141">
        <v>2046428.27</v>
      </c>
      <c r="V288" s="141">
        <v>0</v>
      </c>
      <c r="W288" s="141">
        <v>2046428.27</v>
      </c>
      <c r="X288" s="141">
        <v>1364957.63</v>
      </c>
      <c r="Y288" s="141">
        <v>0</v>
      </c>
      <c r="Z288" s="141">
        <v>0</v>
      </c>
      <c r="AA288" s="141">
        <v>0</v>
      </c>
      <c r="AB288" s="141">
        <v>1364957.63</v>
      </c>
      <c r="AC288" s="141">
        <v>0</v>
      </c>
      <c r="AD288" s="141">
        <v>1364957.63</v>
      </c>
      <c r="AE288" s="141">
        <v>-1364957.63</v>
      </c>
      <c r="AF288" s="141">
        <v>0</v>
      </c>
      <c r="AG288" s="141">
        <v>-1364957.63</v>
      </c>
      <c r="AH288" s="141">
        <v>-8416181</v>
      </c>
      <c r="AI288" s="141">
        <v>0</v>
      </c>
      <c r="AJ288" s="141">
        <v>-8416181</v>
      </c>
      <c r="AK288" s="141">
        <v>0</v>
      </c>
      <c r="AL288" s="141">
        <v>0</v>
      </c>
      <c r="AM288" s="141">
        <v>0</v>
      </c>
      <c r="AN288" s="141">
        <v>3902598.97</v>
      </c>
      <c r="AO288" s="141">
        <v>0</v>
      </c>
      <c r="AP288" s="141">
        <v>3902598.97</v>
      </c>
      <c r="AQ288" s="141">
        <v>-4513582.0299999993</v>
      </c>
      <c r="AR288" s="141">
        <v>0</v>
      </c>
      <c r="AS288" s="141">
        <v>-4513582.0299999993</v>
      </c>
      <c r="AT288" s="141">
        <v>-5096633.12</v>
      </c>
      <c r="AU288" s="141">
        <v>0</v>
      </c>
      <c r="AV288" s="141">
        <v>-5096633.12</v>
      </c>
      <c r="AW288" s="141">
        <v>-60379.199999999997</v>
      </c>
      <c r="AX288" s="141">
        <v>0</v>
      </c>
      <c r="AY288" s="141">
        <v>-60379.199999999997</v>
      </c>
      <c r="AZ288" s="141">
        <v>-642.6</v>
      </c>
      <c r="BA288" s="141">
        <v>0</v>
      </c>
      <c r="BB288" s="141">
        <v>-642.6</v>
      </c>
      <c r="BC288" s="141">
        <v>-9671236.9499999974</v>
      </c>
      <c r="BD288" s="141">
        <v>0</v>
      </c>
      <c r="BE288" s="141">
        <v>0</v>
      </c>
      <c r="BF288" s="141">
        <v>0</v>
      </c>
      <c r="BG288" s="141">
        <v>-9671236.9499999974</v>
      </c>
      <c r="BH288" s="141">
        <v>0</v>
      </c>
      <c r="BI288" s="141">
        <v>-9671236.9499999974</v>
      </c>
      <c r="BJ288" s="141">
        <v>0</v>
      </c>
      <c r="BK288" s="141">
        <v>0</v>
      </c>
      <c r="BL288" s="141">
        <v>0</v>
      </c>
      <c r="BM288" s="141">
        <v>-2471352</v>
      </c>
      <c r="BN288" s="141">
        <v>0</v>
      </c>
      <c r="BO288" s="141">
        <v>-2471352</v>
      </c>
      <c r="BP288" s="141">
        <v>-2471352</v>
      </c>
      <c r="BQ288" s="141">
        <v>0</v>
      </c>
      <c r="BR288" s="141">
        <v>-3528648</v>
      </c>
      <c r="BS288" s="141">
        <v>0</v>
      </c>
      <c r="BT288" s="141">
        <v>-6000000</v>
      </c>
      <c r="BU288" s="141">
        <v>0</v>
      </c>
      <c r="BV288" s="141">
        <v>-6000000</v>
      </c>
      <c r="BW288" s="141">
        <v>-51243.93</v>
      </c>
      <c r="BX288" s="141">
        <v>0</v>
      </c>
      <c r="BY288" s="141">
        <v>-51243.93</v>
      </c>
      <c r="BZ288" s="141">
        <v>-794664.81</v>
      </c>
      <c r="CA288" s="141">
        <v>0</v>
      </c>
      <c r="CB288" s="141">
        <v>-794664.81</v>
      </c>
      <c r="CC288" s="141">
        <v>-10987.2</v>
      </c>
      <c r="CD288" s="141">
        <v>0</v>
      </c>
      <c r="CE288" s="141">
        <v>-10987.2</v>
      </c>
      <c r="CF288" s="141">
        <v>-642.6</v>
      </c>
      <c r="CG288" s="141">
        <v>0</v>
      </c>
      <c r="CH288" s="141">
        <v>-642.6</v>
      </c>
      <c r="CI288" s="141">
        <v>0</v>
      </c>
      <c r="CJ288" s="141">
        <v>0</v>
      </c>
      <c r="CK288" s="141">
        <v>0</v>
      </c>
      <c r="CL288" s="141">
        <v>0</v>
      </c>
      <c r="CM288" s="141">
        <v>0</v>
      </c>
      <c r="CN288" s="141">
        <v>0</v>
      </c>
      <c r="CO288" s="141">
        <v>0</v>
      </c>
      <c r="CP288" s="141">
        <v>0</v>
      </c>
      <c r="CQ288" s="141">
        <v>-857538.54</v>
      </c>
      <c r="CR288" s="141">
        <v>0</v>
      </c>
      <c r="CS288" s="141">
        <v>0</v>
      </c>
      <c r="CT288" s="141">
        <v>0</v>
      </c>
      <c r="CU288" s="141">
        <v>-857538.54</v>
      </c>
      <c r="CV288" s="141">
        <v>0</v>
      </c>
      <c r="CW288" s="141">
        <v>-857538.54</v>
      </c>
      <c r="CX288" s="141">
        <v>0</v>
      </c>
      <c r="CY288" s="141">
        <v>0</v>
      </c>
      <c r="CZ288" s="141">
        <v>0</v>
      </c>
      <c r="DA288" s="141">
        <v>0</v>
      </c>
      <c r="DB288" s="141">
        <v>0</v>
      </c>
      <c r="DC288" s="141">
        <v>0</v>
      </c>
      <c r="DD288" s="141">
        <v>-17606</v>
      </c>
      <c r="DE288" s="141">
        <v>0</v>
      </c>
      <c r="DF288" s="141">
        <v>-17606</v>
      </c>
      <c r="DG288" s="141">
        <v>-69000</v>
      </c>
      <c r="DH288" s="141">
        <v>0</v>
      </c>
      <c r="DI288" s="141">
        <v>-69000</v>
      </c>
      <c r="DJ288" s="141">
        <v>0</v>
      </c>
      <c r="DK288" s="141">
        <v>0</v>
      </c>
      <c r="DL288" s="141">
        <v>0</v>
      </c>
      <c r="DM288" s="141">
        <v>-1914831.79</v>
      </c>
      <c r="DN288" s="141">
        <v>0</v>
      </c>
      <c r="DO288" s="141">
        <v>-1914831.79</v>
      </c>
      <c r="DP288" s="141">
        <v>-2001437.79</v>
      </c>
      <c r="DQ288" s="141">
        <v>0</v>
      </c>
      <c r="DR288" s="141">
        <v>0</v>
      </c>
      <c r="DS288" s="141">
        <v>0</v>
      </c>
      <c r="DT288" s="141">
        <v>-2001437.79</v>
      </c>
      <c r="DU288" s="141">
        <v>0</v>
      </c>
      <c r="DV288" s="141">
        <v>-2001437.79</v>
      </c>
      <c r="DW288" s="856">
        <v>166949124.35000002</v>
      </c>
      <c r="DX288" s="856">
        <v>0</v>
      </c>
      <c r="DY288" s="857">
        <v>166949124.35000002</v>
      </c>
      <c r="DZ288" t="s">
        <v>1854</v>
      </c>
    </row>
    <row r="289" spans="1:130" ht="12.75" x14ac:dyDescent="0.2">
      <c r="A289" s="764">
        <v>282</v>
      </c>
      <c r="B289" s="765" t="s">
        <v>455</v>
      </c>
      <c r="C289" s="766" t="s">
        <v>1217</v>
      </c>
      <c r="D289" s="767" t="s">
        <v>1218</v>
      </c>
      <c r="E289" s="768" t="s">
        <v>454</v>
      </c>
      <c r="F289" s="867">
        <v>43476</v>
      </c>
      <c r="G289" s="141">
        <v>136121253</v>
      </c>
      <c r="H289" s="141">
        <v>0</v>
      </c>
      <c r="I289" s="141">
        <v>136121253</v>
      </c>
      <c r="J289" s="141">
        <v>49.1</v>
      </c>
      <c r="K289" s="141">
        <v>66835535</v>
      </c>
      <c r="L289" s="141">
        <v>0</v>
      </c>
      <c r="M289" s="141">
        <v>-200000</v>
      </c>
      <c r="N289" s="141">
        <v>0</v>
      </c>
      <c r="O289" s="141">
        <v>66635535</v>
      </c>
      <c r="P289" s="141">
        <v>0</v>
      </c>
      <c r="Q289" s="141">
        <v>66635535</v>
      </c>
      <c r="R289" s="141">
        <v>-393133</v>
      </c>
      <c r="S289" s="141">
        <v>0</v>
      </c>
      <c r="T289" s="141">
        <v>-393133</v>
      </c>
      <c r="U289" s="141">
        <v>423882</v>
      </c>
      <c r="V289" s="141">
        <v>0</v>
      </c>
      <c r="W289" s="141">
        <v>423882</v>
      </c>
      <c r="X289" s="141">
        <v>30749</v>
      </c>
      <c r="Y289" s="141">
        <v>0</v>
      </c>
      <c r="Z289" s="141">
        <v>0</v>
      </c>
      <c r="AA289" s="141">
        <v>0</v>
      </c>
      <c r="AB289" s="141">
        <v>30749</v>
      </c>
      <c r="AC289" s="141">
        <v>0</v>
      </c>
      <c r="AD289" s="141">
        <v>30749</v>
      </c>
      <c r="AE289" s="141">
        <v>-30749</v>
      </c>
      <c r="AF289" s="141">
        <v>0</v>
      </c>
      <c r="AG289" s="141">
        <v>-30749</v>
      </c>
      <c r="AH289" s="141">
        <v>-4049624</v>
      </c>
      <c r="AI289" s="141">
        <v>0</v>
      </c>
      <c r="AJ289" s="141">
        <v>-4049624</v>
      </c>
      <c r="AK289" s="141">
        <v>-3056</v>
      </c>
      <c r="AL289" s="141">
        <v>0</v>
      </c>
      <c r="AM289" s="141">
        <v>-3056</v>
      </c>
      <c r="AN289" s="141">
        <v>1272876</v>
      </c>
      <c r="AO289" s="141">
        <v>0</v>
      </c>
      <c r="AP289" s="141">
        <v>1272876</v>
      </c>
      <c r="AQ289" s="141">
        <v>-2776748</v>
      </c>
      <c r="AR289" s="141">
        <v>0</v>
      </c>
      <c r="AS289" s="141">
        <v>-2776748</v>
      </c>
      <c r="AT289" s="141">
        <v>-4920128</v>
      </c>
      <c r="AU289" s="141">
        <v>0</v>
      </c>
      <c r="AV289" s="141">
        <v>-4920128</v>
      </c>
      <c r="AW289" s="141">
        <v>-25775</v>
      </c>
      <c r="AX289" s="141">
        <v>0</v>
      </c>
      <c r="AY289" s="141">
        <v>-25775</v>
      </c>
      <c r="AZ289" s="141">
        <v>-7600</v>
      </c>
      <c r="BA289" s="141">
        <v>0</v>
      </c>
      <c r="BB289" s="141">
        <v>-7600</v>
      </c>
      <c r="BC289" s="141">
        <v>-7730251</v>
      </c>
      <c r="BD289" s="141">
        <v>0</v>
      </c>
      <c r="BE289" s="141">
        <v>0</v>
      </c>
      <c r="BF289" s="141">
        <v>0</v>
      </c>
      <c r="BG289" s="141">
        <v>-7730251</v>
      </c>
      <c r="BH289" s="141">
        <v>0</v>
      </c>
      <c r="BI289" s="141">
        <v>-7730251</v>
      </c>
      <c r="BJ289" s="141">
        <v>0</v>
      </c>
      <c r="BK289" s="141">
        <v>0</v>
      </c>
      <c r="BL289" s="141">
        <v>0</v>
      </c>
      <c r="BM289" s="141">
        <v>-1754546</v>
      </c>
      <c r="BN289" s="141">
        <v>0</v>
      </c>
      <c r="BO289" s="141">
        <v>-1754546</v>
      </c>
      <c r="BP289" s="141">
        <v>-1754546</v>
      </c>
      <c r="BQ289" s="141">
        <v>0</v>
      </c>
      <c r="BR289" s="141">
        <v>0</v>
      </c>
      <c r="BS289" s="141">
        <v>0</v>
      </c>
      <c r="BT289" s="141">
        <v>-1754546</v>
      </c>
      <c r="BU289" s="141">
        <v>0</v>
      </c>
      <c r="BV289" s="141">
        <v>-1754546</v>
      </c>
      <c r="BW289" s="141">
        <v>-26929</v>
      </c>
      <c r="BX289" s="141">
        <v>0</v>
      </c>
      <c r="BY289" s="141">
        <v>-26929</v>
      </c>
      <c r="BZ289" s="141">
        <v>-38683</v>
      </c>
      <c r="CA289" s="141">
        <v>0</v>
      </c>
      <c r="CB289" s="141">
        <v>-38683</v>
      </c>
      <c r="CC289" s="141">
        <v>-1111</v>
      </c>
      <c r="CD289" s="141">
        <v>0</v>
      </c>
      <c r="CE289" s="141">
        <v>-1111</v>
      </c>
      <c r="CF289" s="141">
        <v>-7600</v>
      </c>
      <c r="CG289" s="141">
        <v>0</v>
      </c>
      <c r="CH289" s="141">
        <v>-7600</v>
      </c>
      <c r="CI289" s="141">
        <v>-26177</v>
      </c>
      <c r="CJ289" s="141">
        <v>0</v>
      </c>
      <c r="CK289" s="141">
        <v>-26177</v>
      </c>
      <c r="CL289" s="141">
        <v>0</v>
      </c>
      <c r="CM289" s="141">
        <v>0</v>
      </c>
      <c r="CN289" s="141">
        <v>0</v>
      </c>
      <c r="CO289" s="141">
        <v>0</v>
      </c>
      <c r="CP289" s="141">
        <v>0</v>
      </c>
      <c r="CQ289" s="141">
        <v>-100500</v>
      </c>
      <c r="CR289" s="141">
        <v>0</v>
      </c>
      <c r="CS289" s="141">
        <v>0</v>
      </c>
      <c r="CT289" s="141">
        <v>0</v>
      </c>
      <c r="CU289" s="141">
        <v>-100500</v>
      </c>
      <c r="CV289" s="141">
        <v>0</v>
      </c>
      <c r="CW289" s="141">
        <v>-100500</v>
      </c>
      <c r="CX289" s="141">
        <v>0</v>
      </c>
      <c r="CY289" s="141">
        <v>0</v>
      </c>
      <c r="CZ289" s="141">
        <v>0</v>
      </c>
      <c r="DA289" s="141">
        <v>-1500</v>
      </c>
      <c r="DB289" s="141">
        <v>0</v>
      </c>
      <c r="DC289" s="141">
        <v>-1500</v>
      </c>
      <c r="DD289" s="141">
        <v>-51823</v>
      </c>
      <c r="DE289" s="141">
        <v>0</v>
      </c>
      <c r="DF289" s="141">
        <v>-51823</v>
      </c>
      <c r="DG289" s="141">
        <v>-52000</v>
      </c>
      <c r="DH289" s="141">
        <v>0</v>
      </c>
      <c r="DI289" s="141">
        <v>-52000</v>
      </c>
      <c r="DJ289" s="141">
        <v>0</v>
      </c>
      <c r="DK289" s="141">
        <v>0</v>
      </c>
      <c r="DL289" s="141">
        <v>0</v>
      </c>
      <c r="DM289" s="141">
        <v>-1925619</v>
      </c>
      <c r="DN289" s="141">
        <v>0</v>
      </c>
      <c r="DO289" s="141">
        <v>-1925619</v>
      </c>
      <c r="DP289" s="141">
        <v>-2030942</v>
      </c>
      <c r="DQ289" s="141">
        <v>0</v>
      </c>
      <c r="DR289" s="141">
        <v>0</v>
      </c>
      <c r="DS289" s="141">
        <v>0</v>
      </c>
      <c r="DT289" s="141">
        <v>-2030942</v>
      </c>
      <c r="DU289" s="141">
        <v>0</v>
      </c>
      <c r="DV289" s="141">
        <v>-2030942</v>
      </c>
      <c r="DW289" s="856">
        <v>55050045</v>
      </c>
      <c r="DX289" s="856">
        <v>0</v>
      </c>
      <c r="DY289" s="857">
        <v>55050045</v>
      </c>
      <c r="DZ289" t="s">
        <v>1855</v>
      </c>
    </row>
    <row r="290" spans="1:130" ht="12.75" x14ac:dyDescent="0.2">
      <c r="A290" s="764">
        <v>283</v>
      </c>
      <c r="B290" s="765" t="s">
        <v>457</v>
      </c>
      <c r="C290" s="766" t="s">
        <v>1217</v>
      </c>
      <c r="D290" s="767" t="s">
        <v>1221</v>
      </c>
      <c r="E290" s="768" t="s">
        <v>456</v>
      </c>
      <c r="F290" s="867">
        <v>43465</v>
      </c>
      <c r="G290" s="141">
        <v>106483879</v>
      </c>
      <c r="H290" s="141">
        <v>0</v>
      </c>
      <c r="I290" s="141">
        <v>106483879</v>
      </c>
      <c r="J290" s="141">
        <v>49.1</v>
      </c>
      <c r="K290" s="141">
        <v>52283585</v>
      </c>
      <c r="L290" s="141">
        <v>0</v>
      </c>
      <c r="M290" s="141">
        <v>0</v>
      </c>
      <c r="N290" s="141">
        <v>0</v>
      </c>
      <c r="O290" s="141">
        <v>52283585</v>
      </c>
      <c r="P290" s="141">
        <v>0</v>
      </c>
      <c r="Q290" s="141">
        <v>52283585</v>
      </c>
      <c r="R290" s="141">
        <v>-608494</v>
      </c>
      <c r="S290" s="141">
        <v>0</v>
      </c>
      <c r="T290" s="141">
        <v>-608494</v>
      </c>
      <c r="U290" s="141">
        <v>424374</v>
      </c>
      <c r="V290" s="141">
        <v>0</v>
      </c>
      <c r="W290" s="141">
        <v>424374</v>
      </c>
      <c r="X290" s="141">
        <v>-184120</v>
      </c>
      <c r="Y290" s="141">
        <v>0</v>
      </c>
      <c r="Z290" s="141">
        <v>0</v>
      </c>
      <c r="AA290" s="141">
        <v>0</v>
      </c>
      <c r="AB290" s="141">
        <v>-184120</v>
      </c>
      <c r="AC290" s="141">
        <v>0</v>
      </c>
      <c r="AD290" s="141">
        <v>-184120</v>
      </c>
      <c r="AE290" s="141">
        <v>184120</v>
      </c>
      <c r="AF290" s="141">
        <v>0</v>
      </c>
      <c r="AG290" s="141">
        <v>184120</v>
      </c>
      <c r="AH290" s="141">
        <v>-3505668</v>
      </c>
      <c r="AI290" s="141">
        <v>0</v>
      </c>
      <c r="AJ290" s="141">
        <v>-3505668</v>
      </c>
      <c r="AK290" s="141">
        <v>-23070</v>
      </c>
      <c r="AL290" s="141">
        <v>0</v>
      </c>
      <c r="AM290" s="141">
        <v>-23070</v>
      </c>
      <c r="AN290" s="141">
        <v>1006526</v>
      </c>
      <c r="AO290" s="141">
        <v>0</v>
      </c>
      <c r="AP290" s="141">
        <v>1006526</v>
      </c>
      <c r="AQ290" s="141">
        <v>-2499142</v>
      </c>
      <c r="AR290" s="141">
        <v>0</v>
      </c>
      <c r="AS290" s="141">
        <v>-2499142</v>
      </c>
      <c r="AT290" s="141">
        <v>-2069902</v>
      </c>
      <c r="AU290" s="141">
        <v>0</v>
      </c>
      <c r="AV290" s="141">
        <v>-2069902</v>
      </c>
      <c r="AW290" s="141">
        <v>-16471</v>
      </c>
      <c r="AX290" s="141">
        <v>0</v>
      </c>
      <c r="AY290" s="141">
        <v>-16471</v>
      </c>
      <c r="AZ290" s="141">
        <v>-32568</v>
      </c>
      <c r="BA290" s="141">
        <v>0</v>
      </c>
      <c r="BB290" s="141">
        <v>-32568</v>
      </c>
      <c r="BC290" s="141">
        <v>-4618083</v>
      </c>
      <c r="BD290" s="141">
        <v>0</v>
      </c>
      <c r="BE290" s="141">
        <v>0</v>
      </c>
      <c r="BF290" s="141">
        <v>0</v>
      </c>
      <c r="BG290" s="141">
        <v>-4618083</v>
      </c>
      <c r="BH290" s="141">
        <v>0</v>
      </c>
      <c r="BI290" s="141">
        <v>-4618083</v>
      </c>
      <c r="BJ290" s="141">
        <v>-100000</v>
      </c>
      <c r="BK290" s="141">
        <v>0</v>
      </c>
      <c r="BL290" s="141">
        <v>-100000</v>
      </c>
      <c r="BM290" s="141">
        <v>-686328</v>
      </c>
      <c r="BN290" s="141">
        <v>0</v>
      </c>
      <c r="BO290" s="141">
        <v>-686328</v>
      </c>
      <c r="BP290" s="141">
        <v>-786328</v>
      </c>
      <c r="BQ290" s="141">
        <v>0</v>
      </c>
      <c r="BR290" s="141">
        <v>0</v>
      </c>
      <c r="BS290" s="141">
        <v>0</v>
      </c>
      <c r="BT290" s="141">
        <v>-786328</v>
      </c>
      <c r="BU290" s="141">
        <v>0</v>
      </c>
      <c r="BV290" s="141">
        <v>-786328</v>
      </c>
      <c r="BW290" s="141">
        <v>-55628</v>
      </c>
      <c r="BX290" s="141">
        <v>0</v>
      </c>
      <c r="BY290" s="141">
        <v>-55628</v>
      </c>
      <c r="BZ290" s="141">
        <v>-128789</v>
      </c>
      <c r="CA290" s="141">
        <v>0</v>
      </c>
      <c r="CB290" s="141">
        <v>-128789</v>
      </c>
      <c r="CC290" s="141">
        <v>-171</v>
      </c>
      <c r="CD290" s="141">
        <v>0</v>
      </c>
      <c r="CE290" s="141">
        <v>-171</v>
      </c>
      <c r="CF290" s="141">
        <v>-32568</v>
      </c>
      <c r="CG290" s="141">
        <v>0</v>
      </c>
      <c r="CH290" s="141">
        <v>-32568</v>
      </c>
      <c r="CI290" s="141">
        <v>-69794</v>
      </c>
      <c r="CJ290" s="141">
        <v>0</v>
      </c>
      <c r="CK290" s="141">
        <v>-69794</v>
      </c>
      <c r="CL290" s="141">
        <v>-40508</v>
      </c>
      <c r="CM290" s="141">
        <v>0</v>
      </c>
      <c r="CN290" s="141">
        <v>-40508</v>
      </c>
      <c r="CO290" s="141">
        <v>0</v>
      </c>
      <c r="CP290" s="141">
        <v>0</v>
      </c>
      <c r="CQ290" s="141">
        <v>-327458</v>
      </c>
      <c r="CR290" s="141">
        <v>0</v>
      </c>
      <c r="CS290" s="141">
        <v>0</v>
      </c>
      <c r="CT290" s="141">
        <v>0</v>
      </c>
      <c r="CU290" s="141">
        <v>-327458</v>
      </c>
      <c r="CV290" s="141">
        <v>0</v>
      </c>
      <c r="CW290" s="141">
        <v>-327458</v>
      </c>
      <c r="CX290" s="141">
        <v>-32568</v>
      </c>
      <c r="CY290" s="141">
        <v>0</v>
      </c>
      <c r="CZ290" s="141">
        <v>-32568</v>
      </c>
      <c r="DA290" s="141">
        <v>-1500</v>
      </c>
      <c r="DB290" s="141">
        <v>0</v>
      </c>
      <c r="DC290" s="141">
        <v>-1500</v>
      </c>
      <c r="DD290" s="141">
        <v>-138962</v>
      </c>
      <c r="DE290" s="141">
        <v>0</v>
      </c>
      <c r="DF290" s="141">
        <v>-138962</v>
      </c>
      <c r="DG290" s="141">
        <v>-37901</v>
      </c>
      <c r="DH290" s="141">
        <v>0</v>
      </c>
      <c r="DI290" s="141">
        <v>-37901</v>
      </c>
      <c r="DJ290" s="141">
        <v>0</v>
      </c>
      <c r="DK290" s="141">
        <v>0</v>
      </c>
      <c r="DL290" s="141">
        <v>0</v>
      </c>
      <c r="DM290" s="141">
        <v>-636879</v>
      </c>
      <c r="DN290" s="141">
        <v>0</v>
      </c>
      <c r="DO290" s="141">
        <v>-636879</v>
      </c>
      <c r="DP290" s="141">
        <v>-847810</v>
      </c>
      <c r="DQ290" s="141">
        <v>0</v>
      </c>
      <c r="DR290" s="141">
        <v>0</v>
      </c>
      <c r="DS290" s="141">
        <v>0</v>
      </c>
      <c r="DT290" s="141">
        <v>-847810</v>
      </c>
      <c r="DU290" s="141">
        <v>0</v>
      </c>
      <c r="DV290" s="141">
        <v>-847810</v>
      </c>
      <c r="DW290" s="856">
        <v>45519786</v>
      </c>
      <c r="DX290" s="856">
        <v>0</v>
      </c>
      <c r="DY290" s="857">
        <v>45519786</v>
      </c>
      <c r="DZ290" t="s">
        <v>1856</v>
      </c>
    </row>
    <row r="291" spans="1:130" ht="12.75" x14ac:dyDescent="0.2">
      <c r="A291" s="764">
        <v>284</v>
      </c>
      <c r="B291" s="765" t="s">
        <v>459</v>
      </c>
      <c r="C291" s="766" t="s">
        <v>1217</v>
      </c>
      <c r="D291" s="767" t="s">
        <v>1218</v>
      </c>
      <c r="E291" s="768" t="s">
        <v>458</v>
      </c>
      <c r="F291" s="867">
        <v>43453</v>
      </c>
      <c r="G291" s="141">
        <v>135725193</v>
      </c>
      <c r="H291" s="141">
        <v>8687090</v>
      </c>
      <c r="I291" s="141">
        <v>144412283</v>
      </c>
      <c r="J291" s="141">
        <v>49.1</v>
      </c>
      <c r="K291" s="141">
        <v>66641070</v>
      </c>
      <c r="L291" s="141">
        <v>4265361</v>
      </c>
      <c r="M291" s="141">
        <v>0</v>
      </c>
      <c r="N291" s="141">
        <v>0</v>
      </c>
      <c r="O291" s="141">
        <v>66641070</v>
      </c>
      <c r="P291" s="141">
        <v>4265361</v>
      </c>
      <c r="Q291" s="141">
        <v>70906431</v>
      </c>
      <c r="R291" s="141">
        <v>-361435</v>
      </c>
      <c r="S291" s="141">
        <v>-5775</v>
      </c>
      <c r="T291" s="141">
        <v>-367210</v>
      </c>
      <c r="U291" s="141">
        <v>3627230</v>
      </c>
      <c r="V291" s="141">
        <v>5961</v>
      </c>
      <c r="W291" s="141">
        <v>3633191</v>
      </c>
      <c r="X291" s="141">
        <v>3265795</v>
      </c>
      <c r="Y291" s="141">
        <v>186</v>
      </c>
      <c r="Z291" s="141">
        <v>0</v>
      </c>
      <c r="AA291" s="141">
        <v>0</v>
      </c>
      <c r="AB291" s="141">
        <v>3265795</v>
      </c>
      <c r="AC291" s="141">
        <v>186</v>
      </c>
      <c r="AD291" s="141">
        <v>3265981</v>
      </c>
      <c r="AE291" s="141">
        <v>-3265795</v>
      </c>
      <c r="AF291" s="141">
        <v>-186</v>
      </c>
      <c r="AG291" s="141">
        <v>-3265981</v>
      </c>
      <c r="AH291" s="141">
        <v>-2725506</v>
      </c>
      <c r="AI291" s="141">
        <v>-32283</v>
      </c>
      <c r="AJ291" s="141">
        <v>-2757789</v>
      </c>
      <c r="AK291" s="141">
        <v>0</v>
      </c>
      <c r="AL291" s="141">
        <v>0</v>
      </c>
      <c r="AM291" s="141">
        <v>0</v>
      </c>
      <c r="AN291" s="141">
        <v>1368995</v>
      </c>
      <c r="AO291" s="141">
        <v>97232</v>
      </c>
      <c r="AP291" s="141">
        <v>1466227</v>
      </c>
      <c r="AQ291" s="141">
        <v>-1356511</v>
      </c>
      <c r="AR291" s="141">
        <v>64949</v>
      </c>
      <c r="AS291" s="141">
        <v>-1291562</v>
      </c>
      <c r="AT291" s="141">
        <v>-7833012</v>
      </c>
      <c r="AU291" s="141">
        <v>-213454</v>
      </c>
      <c r="AV291" s="141">
        <v>-8046466</v>
      </c>
      <c r="AW291" s="141">
        <v>-103784</v>
      </c>
      <c r="AX291" s="141">
        <v>0</v>
      </c>
      <c r="AY291" s="141">
        <v>-103784</v>
      </c>
      <c r="AZ291" s="141">
        <v>-25024</v>
      </c>
      <c r="BA291" s="141">
        <v>0</v>
      </c>
      <c r="BB291" s="141">
        <v>-25024</v>
      </c>
      <c r="BC291" s="141">
        <v>-9318331</v>
      </c>
      <c r="BD291" s="141">
        <v>-148505</v>
      </c>
      <c r="BE291" s="141">
        <v>0</v>
      </c>
      <c r="BF291" s="141">
        <v>0</v>
      </c>
      <c r="BG291" s="141">
        <v>-9318331</v>
      </c>
      <c r="BH291" s="141">
        <v>-148505</v>
      </c>
      <c r="BI291" s="141">
        <v>-9466836</v>
      </c>
      <c r="BJ291" s="141">
        <v>0</v>
      </c>
      <c r="BK291" s="141">
        <v>0</v>
      </c>
      <c r="BL291" s="141">
        <v>0</v>
      </c>
      <c r="BM291" s="141">
        <v>-990214</v>
      </c>
      <c r="BN291" s="141">
        <v>-86350</v>
      </c>
      <c r="BO291" s="141">
        <v>-1076564</v>
      </c>
      <c r="BP291" s="141">
        <v>-990214</v>
      </c>
      <c r="BQ291" s="141">
        <v>-86350</v>
      </c>
      <c r="BR291" s="141">
        <v>0</v>
      </c>
      <c r="BS291" s="141">
        <v>0</v>
      </c>
      <c r="BT291" s="141">
        <v>-990214</v>
      </c>
      <c r="BU291" s="141">
        <v>-86350</v>
      </c>
      <c r="BV291" s="141">
        <v>-1076564</v>
      </c>
      <c r="BW291" s="141">
        <v>-167922</v>
      </c>
      <c r="BX291" s="141">
        <v>-343</v>
      </c>
      <c r="BY291" s="141">
        <v>-168265</v>
      </c>
      <c r="BZ291" s="141">
        <v>-6189</v>
      </c>
      <c r="CA291" s="141">
        <v>0</v>
      </c>
      <c r="CB291" s="141">
        <v>-6189</v>
      </c>
      <c r="CC291" s="141">
        <v>-6486</v>
      </c>
      <c r="CD291" s="141">
        <v>0</v>
      </c>
      <c r="CE291" s="141">
        <v>-6486</v>
      </c>
      <c r="CF291" s="141">
        <v>0</v>
      </c>
      <c r="CG291" s="141">
        <v>0</v>
      </c>
      <c r="CH291" s="141">
        <v>0</v>
      </c>
      <c r="CI291" s="141">
        <v>0</v>
      </c>
      <c r="CJ291" s="141">
        <v>0</v>
      </c>
      <c r="CK291" s="141">
        <v>0</v>
      </c>
      <c r="CL291" s="141">
        <v>0</v>
      </c>
      <c r="CM291" s="141">
        <v>-610735</v>
      </c>
      <c r="CN291" s="141">
        <v>-610735</v>
      </c>
      <c r="CO291" s="141">
        <v>-610735</v>
      </c>
      <c r="CP291" s="141">
        <v>0</v>
      </c>
      <c r="CQ291" s="141">
        <v>-180597</v>
      </c>
      <c r="CR291" s="141">
        <v>-611078</v>
      </c>
      <c r="CS291" s="141">
        <v>0</v>
      </c>
      <c r="CT291" s="141">
        <v>0</v>
      </c>
      <c r="CU291" s="141">
        <v>-180597</v>
      </c>
      <c r="CV291" s="141">
        <v>-611078</v>
      </c>
      <c r="CW291" s="141">
        <v>-791675</v>
      </c>
      <c r="CX291" s="141">
        <v>-25024</v>
      </c>
      <c r="CY291" s="141">
        <v>0</v>
      </c>
      <c r="CZ291" s="141">
        <v>-25024</v>
      </c>
      <c r="DA291" s="141">
        <v>0</v>
      </c>
      <c r="DB291" s="141">
        <v>0</v>
      </c>
      <c r="DC291" s="141">
        <v>0</v>
      </c>
      <c r="DD291" s="141">
        <v>-31680</v>
      </c>
      <c r="DE291" s="141">
        <v>0</v>
      </c>
      <c r="DF291" s="141">
        <v>-31680</v>
      </c>
      <c r="DG291" s="141">
        <v>-67061</v>
      </c>
      <c r="DH291" s="141">
        <v>0</v>
      </c>
      <c r="DI291" s="141">
        <v>-67061</v>
      </c>
      <c r="DJ291" s="141">
        <v>0</v>
      </c>
      <c r="DK291" s="141">
        <v>0</v>
      </c>
      <c r="DL291" s="141">
        <v>0</v>
      </c>
      <c r="DM291" s="141">
        <v>-692839</v>
      </c>
      <c r="DN291" s="141">
        <v>0</v>
      </c>
      <c r="DO291" s="141">
        <v>-692839</v>
      </c>
      <c r="DP291" s="141">
        <v>-816604</v>
      </c>
      <c r="DQ291" s="141">
        <v>0</v>
      </c>
      <c r="DR291" s="141">
        <v>0</v>
      </c>
      <c r="DS291" s="141">
        <v>0</v>
      </c>
      <c r="DT291" s="141">
        <v>-816604</v>
      </c>
      <c r="DU291" s="141">
        <v>0</v>
      </c>
      <c r="DV291" s="141">
        <v>-816604</v>
      </c>
      <c r="DW291" s="856">
        <v>58601119</v>
      </c>
      <c r="DX291" s="856">
        <v>3419614</v>
      </c>
      <c r="DY291" s="857">
        <v>62020733</v>
      </c>
      <c r="DZ291" t="s">
        <v>1857</v>
      </c>
    </row>
    <row r="292" spans="1:130" ht="12.75" x14ac:dyDescent="0.2">
      <c r="A292" s="764">
        <v>285</v>
      </c>
      <c r="B292" s="765" t="s">
        <v>461</v>
      </c>
      <c r="C292" s="766" t="s">
        <v>1224</v>
      </c>
      <c r="D292" s="767" t="s">
        <v>1225</v>
      </c>
      <c r="E292" s="768" t="s">
        <v>460</v>
      </c>
      <c r="F292" s="867">
        <v>43460</v>
      </c>
      <c r="G292" s="141">
        <v>323348369</v>
      </c>
      <c r="H292" s="141">
        <v>183250</v>
      </c>
      <c r="I292" s="141">
        <v>323531619</v>
      </c>
      <c r="J292" s="141">
        <v>49.1</v>
      </c>
      <c r="K292" s="141">
        <v>158764049</v>
      </c>
      <c r="L292" s="141">
        <v>89976</v>
      </c>
      <c r="M292" s="141">
        <v>2000000</v>
      </c>
      <c r="N292" s="141">
        <v>0</v>
      </c>
      <c r="O292" s="141">
        <v>160764049</v>
      </c>
      <c r="P292" s="141">
        <v>89976</v>
      </c>
      <c r="Q292" s="141">
        <v>160854025</v>
      </c>
      <c r="R292" s="141">
        <v>-1737857</v>
      </c>
      <c r="S292" s="141">
        <v>0</v>
      </c>
      <c r="T292" s="141">
        <v>-1737857</v>
      </c>
      <c r="U292" s="141">
        <v>2402270</v>
      </c>
      <c r="V292" s="141">
        <v>0</v>
      </c>
      <c r="W292" s="141">
        <v>2402270</v>
      </c>
      <c r="X292" s="141">
        <v>664413</v>
      </c>
      <c r="Y292" s="141">
        <v>0</v>
      </c>
      <c r="Z292" s="141">
        <v>0</v>
      </c>
      <c r="AA292" s="141">
        <v>0</v>
      </c>
      <c r="AB292" s="141">
        <v>664413</v>
      </c>
      <c r="AC292" s="141">
        <v>0</v>
      </c>
      <c r="AD292" s="141">
        <v>664413</v>
      </c>
      <c r="AE292" s="141">
        <v>-664413</v>
      </c>
      <c r="AF292" s="141">
        <v>0</v>
      </c>
      <c r="AG292" s="141">
        <v>-664413</v>
      </c>
      <c r="AH292" s="141">
        <v>-12717262</v>
      </c>
      <c r="AI292" s="141">
        <v>0</v>
      </c>
      <c r="AJ292" s="141">
        <v>-12717262</v>
      </c>
      <c r="AK292" s="141">
        <v>-10000</v>
      </c>
      <c r="AL292" s="141">
        <v>0</v>
      </c>
      <c r="AM292" s="141">
        <v>-10000</v>
      </c>
      <c r="AN292" s="141">
        <v>2985678</v>
      </c>
      <c r="AO292" s="141">
        <v>1950</v>
      </c>
      <c r="AP292" s="141">
        <v>2987628</v>
      </c>
      <c r="AQ292" s="141">
        <v>-9731584</v>
      </c>
      <c r="AR292" s="141">
        <v>1950</v>
      </c>
      <c r="AS292" s="141">
        <v>-9729634</v>
      </c>
      <c r="AT292" s="141">
        <v>-7963776</v>
      </c>
      <c r="AU292" s="141">
        <v>0</v>
      </c>
      <c r="AV292" s="141">
        <v>-7963776</v>
      </c>
      <c r="AW292" s="141">
        <v>-93592</v>
      </c>
      <c r="AX292" s="141">
        <v>0</v>
      </c>
      <c r="AY292" s="141">
        <v>-93592</v>
      </c>
      <c r="AZ292" s="141">
        <v>-13306</v>
      </c>
      <c r="BA292" s="141">
        <v>0</v>
      </c>
      <c r="BB292" s="141">
        <v>-13306</v>
      </c>
      <c r="BC292" s="141">
        <v>-17802258</v>
      </c>
      <c r="BD292" s="141">
        <v>1950</v>
      </c>
      <c r="BE292" s="141">
        <v>0</v>
      </c>
      <c r="BF292" s="141">
        <v>0</v>
      </c>
      <c r="BG292" s="141">
        <v>-17802258</v>
      </c>
      <c r="BH292" s="141">
        <v>1950</v>
      </c>
      <c r="BI292" s="141">
        <v>-17800308</v>
      </c>
      <c r="BJ292" s="141">
        <v>-500000</v>
      </c>
      <c r="BK292" s="141">
        <v>0</v>
      </c>
      <c r="BL292" s="141">
        <v>-500000</v>
      </c>
      <c r="BM292" s="141">
        <v>-5200000</v>
      </c>
      <c r="BN292" s="141">
        <v>0</v>
      </c>
      <c r="BO292" s="141">
        <v>-5200000</v>
      </c>
      <c r="BP292" s="141">
        <v>-5700000</v>
      </c>
      <c r="BQ292" s="141">
        <v>0</v>
      </c>
      <c r="BR292" s="141">
        <v>0</v>
      </c>
      <c r="BS292" s="141">
        <v>0</v>
      </c>
      <c r="BT292" s="141">
        <v>-5700000</v>
      </c>
      <c r="BU292" s="141">
        <v>0</v>
      </c>
      <c r="BV292" s="141">
        <v>-5700000</v>
      </c>
      <c r="BW292" s="141">
        <v>-658508</v>
      </c>
      <c r="BX292" s="141">
        <v>0</v>
      </c>
      <c r="BY292" s="141">
        <v>-658508</v>
      </c>
      <c r="BZ292" s="141">
        <v>-527683</v>
      </c>
      <c r="CA292" s="141">
        <v>0</v>
      </c>
      <c r="CB292" s="141">
        <v>-527683</v>
      </c>
      <c r="CC292" s="141">
        <v>-11806</v>
      </c>
      <c r="CD292" s="141">
        <v>0</v>
      </c>
      <c r="CE292" s="141">
        <v>-11806</v>
      </c>
      <c r="CF292" s="141">
        <v>0</v>
      </c>
      <c r="CG292" s="141">
        <v>0</v>
      </c>
      <c r="CH292" s="141">
        <v>0</v>
      </c>
      <c r="CI292" s="141">
        <v>0</v>
      </c>
      <c r="CJ292" s="141">
        <v>0</v>
      </c>
      <c r="CK292" s="141">
        <v>0</v>
      </c>
      <c r="CL292" s="141">
        <v>0</v>
      </c>
      <c r="CM292" s="141">
        <v>-71326</v>
      </c>
      <c r="CN292" s="141">
        <v>-71326</v>
      </c>
      <c r="CO292" s="141">
        <v>-71326</v>
      </c>
      <c r="CP292" s="141">
        <v>0</v>
      </c>
      <c r="CQ292" s="141">
        <v>-1197997</v>
      </c>
      <c r="CR292" s="141">
        <v>-71326</v>
      </c>
      <c r="CS292" s="141">
        <v>0</v>
      </c>
      <c r="CT292" s="141">
        <v>0</v>
      </c>
      <c r="CU292" s="141">
        <v>-1197997</v>
      </c>
      <c r="CV292" s="141">
        <v>-71326</v>
      </c>
      <c r="CW292" s="141">
        <v>-1269323</v>
      </c>
      <c r="CX292" s="141">
        <v>0</v>
      </c>
      <c r="CY292" s="141">
        <v>0</v>
      </c>
      <c r="CZ292" s="141">
        <v>0</v>
      </c>
      <c r="DA292" s="141">
        <v>-1500</v>
      </c>
      <c r="DB292" s="141">
        <v>0</v>
      </c>
      <c r="DC292" s="141">
        <v>-1500</v>
      </c>
      <c r="DD292" s="141">
        <v>-74945</v>
      </c>
      <c r="DE292" s="141">
        <v>0</v>
      </c>
      <c r="DF292" s="141">
        <v>-74945</v>
      </c>
      <c r="DG292" s="141">
        <v>-166833</v>
      </c>
      <c r="DH292" s="141">
        <v>0</v>
      </c>
      <c r="DI292" s="141">
        <v>-166833</v>
      </c>
      <c r="DJ292" s="141">
        <v>0</v>
      </c>
      <c r="DK292" s="141">
        <v>0</v>
      </c>
      <c r="DL292" s="141">
        <v>0</v>
      </c>
      <c r="DM292" s="141">
        <v>-2080276</v>
      </c>
      <c r="DN292" s="141">
        <v>0</v>
      </c>
      <c r="DO292" s="141">
        <v>-2080276</v>
      </c>
      <c r="DP292" s="141">
        <v>-2323554</v>
      </c>
      <c r="DQ292" s="141">
        <v>0</v>
      </c>
      <c r="DR292" s="141">
        <v>0</v>
      </c>
      <c r="DS292" s="141">
        <v>0</v>
      </c>
      <c r="DT292" s="141">
        <v>-2323554</v>
      </c>
      <c r="DU292" s="141">
        <v>0</v>
      </c>
      <c r="DV292" s="141">
        <v>-2323554</v>
      </c>
      <c r="DW292" s="856">
        <v>134404653</v>
      </c>
      <c r="DX292" s="856">
        <v>20600</v>
      </c>
      <c r="DY292" s="857">
        <v>134425253</v>
      </c>
      <c r="DZ292" t="s">
        <v>1858</v>
      </c>
    </row>
    <row r="293" spans="1:130" ht="12.75" x14ac:dyDescent="0.2">
      <c r="A293" s="764">
        <v>286</v>
      </c>
      <c r="B293" s="765" t="s">
        <v>463</v>
      </c>
      <c r="C293" s="766" t="s">
        <v>1224</v>
      </c>
      <c r="D293" s="767" t="s">
        <v>1227</v>
      </c>
      <c r="E293" s="768" t="s">
        <v>462</v>
      </c>
      <c r="F293" s="867">
        <v>43474</v>
      </c>
      <c r="G293" s="141">
        <v>189426542</v>
      </c>
      <c r="H293" s="141">
        <v>440350</v>
      </c>
      <c r="I293" s="141">
        <v>189866892</v>
      </c>
      <c r="J293" s="141">
        <v>49.1</v>
      </c>
      <c r="K293" s="141">
        <v>93008432</v>
      </c>
      <c r="L293" s="141">
        <v>216212</v>
      </c>
      <c r="M293" s="141">
        <v>556000</v>
      </c>
      <c r="N293" s="141">
        <v>0</v>
      </c>
      <c r="O293" s="141">
        <v>93564432</v>
      </c>
      <c r="P293" s="141">
        <v>216212</v>
      </c>
      <c r="Q293" s="141">
        <v>93780644</v>
      </c>
      <c r="R293" s="141">
        <v>-1597630</v>
      </c>
      <c r="S293" s="141">
        <v>-1833</v>
      </c>
      <c r="T293" s="141">
        <v>-1599463</v>
      </c>
      <c r="U293" s="141">
        <v>848559</v>
      </c>
      <c r="V293" s="141">
        <v>0</v>
      </c>
      <c r="W293" s="141">
        <v>848559</v>
      </c>
      <c r="X293" s="141">
        <v>-749071</v>
      </c>
      <c r="Y293" s="141">
        <v>-1833</v>
      </c>
      <c r="Z293" s="141">
        <v>0</v>
      </c>
      <c r="AA293" s="141">
        <v>0</v>
      </c>
      <c r="AB293" s="141">
        <v>-749071</v>
      </c>
      <c r="AC293" s="141">
        <v>-1833</v>
      </c>
      <c r="AD293" s="141">
        <v>-750904</v>
      </c>
      <c r="AE293" s="141">
        <v>749071</v>
      </c>
      <c r="AF293" s="141">
        <v>1833</v>
      </c>
      <c r="AG293" s="141">
        <v>750904</v>
      </c>
      <c r="AH293" s="141">
        <v>-9682603</v>
      </c>
      <c r="AI293" s="141">
        <v>-1211</v>
      </c>
      <c r="AJ293" s="141">
        <v>-9683814</v>
      </c>
      <c r="AK293" s="141">
        <v>-40415</v>
      </c>
      <c r="AL293" s="141">
        <v>0</v>
      </c>
      <c r="AM293" s="141">
        <v>-40415</v>
      </c>
      <c r="AN293" s="141">
        <v>1652245</v>
      </c>
      <c r="AO293" s="141">
        <v>43680</v>
      </c>
      <c r="AP293" s="141">
        <v>1695925</v>
      </c>
      <c r="AQ293" s="141">
        <v>-8030358</v>
      </c>
      <c r="AR293" s="141">
        <v>42469</v>
      </c>
      <c r="AS293" s="141">
        <v>-7987889</v>
      </c>
      <c r="AT293" s="141">
        <v>-5651092</v>
      </c>
      <c r="AU293" s="141">
        <v>0</v>
      </c>
      <c r="AV293" s="141">
        <v>-5651092</v>
      </c>
      <c r="AW293" s="141">
        <v>-54004</v>
      </c>
      <c r="AX293" s="141">
        <v>0</v>
      </c>
      <c r="AY293" s="141">
        <v>-54004</v>
      </c>
      <c r="AZ293" s="141">
        <v>0</v>
      </c>
      <c r="BA293" s="141">
        <v>0</v>
      </c>
      <c r="BB293" s="141">
        <v>0</v>
      </c>
      <c r="BC293" s="141">
        <v>-13735454</v>
      </c>
      <c r="BD293" s="141">
        <v>42469</v>
      </c>
      <c r="BE293" s="141">
        <v>0</v>
      </c>
      <c r="BF293" s="141">
        <v>0</v>
      </c>
      <c r="BG293" s="141">
        <v>-13735454</v>
      </c>
      <c r="BH293" s="141">
        <v>42469</v>
      </c>
      <c r="BI293" s="141">
        <v>-13692985</v>
      </c>
      <c r="BJ293" s="141">
        <v>0</v>
      </c>
      <c r="BK293" s="141">
        <v>0</v>
      </c>
      <c r="BL293" s="141">
        <v>0</v>
      </c>
      <c r="BM293" s="141">
        <v>-1685213</v>
      </c>
      <c r="BN293" s="141">
        <v>0</v>
      </c>
      <c r="BO293" s="141">
        <v>-1685213</v>
      </c>
      <c r="BP293" s="141">
        <v>-1685213</v>
      </c>
      <c r="BQ293" s="141">
        <v>0</v>
      </c>
      <c r="BR293" s="141">
        <v>0</v>
      </c>
      <c r="BS293" s="141">
        <v>0</v>
      </c>
      <c r="BT293" s="141">
        <v>-1685213</v>
      </c>
      <c r="BU293" s="141">
        <v>0</v>
      </c>
      <c r="BV293" s="141">
        <v>-1685213</v>
      </c>
      <c r="BW293" s="141">
        <v>-140447</v>
      </c>
      <c r="BX293" s="141">
        <v>0</v>
      </c>
      <c r="BY293" s="141">
        <v>-140447</v>
      </c>
      <c r="BZ293" s="141">
        <v>-27344</v>
      </c>
      <c r="CA293" s="141">
        <v>0</v>
      </c>
      <c r="CB293" s="141">
        <v>-27344</v>
      </c>
      <c r="CC293" s="141">
        <v>-3556</v>
      </c>
      <c r="CD293" s="141">
        <v>0</v>
      </c>
      <c r="CE293" s="141">
        <v>-3556</v>
      </c>
      <c r="CF293" s="141">
        <v>0</v>
      </c>
      <c r="CG293" s="141">
        <v>0</v>
      </c>
      <c r="CH293" s="141">
        <v>0</v>
      </c>
      <c r="CI293" s="141">
        <v>0</v>
      </c>
      <c r="CJ293" s="141">
        <v>0</v>
      </c>
      <c r="CK293" s="141">
        <v>0</v>
      </c>
      <c r="CL293" s="141">
        <v>0</v>
      </c>
      <c r="CM293" s="141">
        <v>-18044</v>
      </c>
      <c r="CN293" s="141">
        <v>-18044</v>
      </c>
      <c r="CO293" s="141">
        <v>-18044</v>
      </c>
      <c r="CP293" s="141">
        <v>0</v>
      </c>
      <c r="CQ293" s="141">
        <v>-171347</v>
      </c>
      <c r="CR293" s="141">
        <v>-18044</v>
      </c>
      <c r="CS293" s="141">
        <v>0</v>
      </c>
      <c r="CT293" s="141">
        <v>0</v>
      </c>
      <c r="CU293" s="141">
        <v>-171347</v>
      </c>
      <c r="CV293" s="141">
        <v>-18044</v>
      </c>
      <c r="CW293" s="141">
        <v>-189391</v>
      </c>
      <c r="CX293" s="141">
        <v>0</v>
      </c>
      <c r="CY293" s="141">
        <v>0</v>
      </c>
      <c r="CZ293" s="141">
        <v>0</v>
      </c>
      <c r="DA293" s="141">
        <v>0</v>
      </c>
      <c r="DB293" s="141">
        <v>0</v>
      </c>
      <c r="DC293" s="141">
        <v>0</v>
      </c>
      <c r="DD293" s="141">
        <v>-24320</v>
      </c>
      <c r="DE293" s="141">
        <v>0</v>
      </c>
      <c r="DF293" s="141">
        <v>-24320</v>
      </c>
      <c r="DG293" s="141">
        <v>-68000</v>
      </c>
      <c r="DH293" s="141">
        <v>0</v>
      </c>
      <c r="DI293" s="141">
        <v>-68000</v>
      </c>
      <c r="DJ293" s="141">
        <v>0</v>
      </c>
      <c r="DK293" s="141">
        <v>0</v>
      </c>
      <c r="DL293" s="141">
        <v>0</v>
      </c>
      <c r="DM293" s="141">
        <v>-1500000</v>
      </c>
      <c r="DN293" s="141">
        <v>0</v>
      </c>
      <c r="DO293" s="141">
        <v>-1500000</v>
      </c>
      <c r="DP293" s="141">
        <v>-1592320</v>
      </c>
      <c r="DQ293" s="141">
        <v>0</v>
      </c>
      <c r="DR293" s="141">
        <v>0</v>
      </c>
      <c r="DS293" s="141">
        <v>0</v>
      </c>
      <c r="DT293" s="141">
        <v>-1592320</v>
      </c>
      <c r="DU293" s="141">
        <v>0</v>
      </c>
      <c r="DV293" s="141">
        <v>-1592320</v>
      </c>
      <c r="DW293" s="856">
        <v>75631027</v>
      </c>
      <c r="DX293" s="856">
        <v>238804</v>
      </c>
      <c r="DY293" s="857">
        <v>75869831</v>
      </c>
      <c r="DZ293" t="s">
        <v>1859</v>
      </c>
    </row>
    <row r="294" spans="1:130" ht="12.75" x14ac:dyDescent="0.2">
      <c r="A294" s="764">
        <v>287</v>
      </c>
      <c r="B294" s="765" t="s">
        <v>465</v>
      </c>
      <c r="C294" s="766" t="s">
        <v>1222</v>
      </c>
      <c r="D294" s="767" t="s">
        <v>1223</v>
      </c>
      <c r="E294" s="768" t="s">
        <v>464</v>
      </c>
      <c r="F294" s="867">
        <v>43465</v>
      </c>
      <c r="G294" s="141">
        <v>179128715</v>
      </c>
      <c r="H294" s="141">
        <v>0</v>
      </c>
      <c r="I294" s="141">
        <v>179128715</v>
      </c>
      <c r="J294" s="141">
        <v>49.1</v>
      </c>
      <c r="K294" s="141">
        <v>87952199</v>
      </c>
      <c r="L294" s="141">
        <v>0</v>
      </c>
      <c r="M294" s="141">
        <v>-633979</v>
      </c>
      <c r="N294" s="141">
        <v>0</v>
      </c>
      <c r="O294" s="141">
        <v>87318220</v>
      </c>
      <c r="P294" s="141">
        <v>0</v>
      </c>
      <c r="Q294" s="141">
        <v>87318220</v>
      </c>
      <c r="R294" s="141">
        <v>-3730596</v>
      </c>
      <c r="S294" s="141">
        <v>0</v>
      </c>
      <c r="T294" s="141">
        <v>-3730596</v>
      </c>
      <c r="U294" s="141">
        <v>443670</v>
      </c>
      <c r="V294" s="141">
        <v>0</v>
      </c>
      <c r="W294" s="141">
        <v>443670</v>
      </c>
      <c r="X294" s="141">
        <v>-3286926</v>
      </c>
      <c r="Y294" s="141">
        <v>0</v>
      </c>
      <c r="Z294" s="141">
        <v>0</v>
      </c>
      <c r="AA294" s="141">
        <v>0</v>
      </c>
      <c r="AB294" s="141">
        <v>-3286926</v>
      </c>
      <c r="AC294" s="141">
        <v>0</v>
      </c>
      <c r="AD294" s="141">
        <v>-3286926</v>
      </c>
      <c r="AE294" s="141">
        <v>3286926</v>
      </c>
      <c r="AF294" s="141">
        <v>0</v>
      </c>
      <c r="AG294" s="141">
        <v>3286926</v>
      </c>
      <c r="AH294" s="141">
        <v>-8617798</v>
      </c>
      <c r="AI294" s="141">
        <v>0</v>
      </c>
      <c r="AJ294" s="141">
        <v>-8617798</v>
      </c>
      <c r="AK294" s="141">
        <v>0</v>
      </c>
      <c r="AL294" s="141">
        <v>0</v>
      </c>
      <c r="AM294" s="141">
        <v>0</v>
      </c>
      <c r="AN294" s="141">
        <v>1471046</v>
      </c>
      <c r="AO294" s="141">
        <v>0</v>
      </c>
      <c r="AP294" s="141">
        <v>1471046</v>
      </c>
      <c r="AQ294" s="141">
        <v>-7146752</v>
      </c>
      <c r="AR294" s="141">
        <v>0</v>
      </c>
      <c r="AS294" s="141">
        <v>-7146752</v>
      </c>
      <c r="AT294" s="141">
        <v>-6833935</v>
      </c>
      <c r="AU294" s="141">
        <v>0</v>
      </c>
      <c r="AV294" s="141">
        <v>-6833935</v>
      </c>
      <c r="AW294" s="141">
        <v>-69108</v>
      </c>
      <c r="AX294" s="141">
        <v>0</v>
      </c>
      <c r="AY294" s="141">
        <v>-69108</v>
      </c>
      <c r="AZ294" s="141">
        <v>0</v>
      </c>
      <c r="BA294" s="141">
        <v>0</v>
      </c>
      <c r="BB294" s="141">
        <v>0</v>
      </c>
      <c r="BC294" s="141">
        <v>-14049795</v>
      </c>
      <c r="BD294" s="141">
        <v>0</v>
      </c>
      <c r="BE294" s="141">
        <v>0</v>
      </c>
      <c r="BF294" s="141">
        <v>0</v>
      </c>
      <c r="BG294" s="141">
        <v>-14049795</v>
      </c>
      <c r="BH294" s="141">
        <v>0</v>
      </c>
      <c r="BI294" s="141">
        <v>-14049795</v>
      </c>
      <c r="BJ294" s="141">
        <v>-25000</v>
      </c>
      <c r="BK294" s="141">
        <v>0</v>
      </c>
      <c r="BL294" s="141">
        <v>-25000</v>
      </c>
      <c r="BM294" s="141">
        <v>-1061656</v>
      </c>
      <c r="BN294" s="141">
        <v>0</v>
      </c>
      <c r="BO294" s="141">
        <v>-1061656</v>
      </c>
      <c r="BP294" s="141">
        <v>-1086656</v>
      </c>
      <c r="BQ294" s="141">
        <v>0</v>
      </c>
      <c r="BR294" s="141">
        <v>0</v>
      </c>
      <c r="BS294" s="141">
        <v>0</v>
      </c>
      <c r="BT294" s="141">
        <v>-1086656</v>
      </c>
      <c r="BU294" s="141">
        <v>0</v>
      </c>
      <c r="BV294" s="141">
        <v>-1086656</v>
      </c>
      <c r="BW294" s="141">
        <v>-235556</v>
      </c>
      <c r="BX294" s="141">
        <v>0</v>
      </c>
      <c r="BY294" s="141">
        <v>-235556</v>
      </c>
      <c r="BZ294" s="141">
        <v>-219921</v>
      </c>
      <c r="CA294" s="141">
        <v>0</v>
      </c>
      <c r="CB294" s="141">
        <v>-219921</v>
      </c>
      <c r="CC294" s="141">
        <v>-6469</v>
      </c>
      <c r="CD294" s="141">
        <v>0</v>
      </c>
      <c r="CE294" s="141">
        <v>-6469</v>
      </c>
      <c r="CF294" s="141">
        <v>0</v>
      </c>
      <c r="CG294" s="141">
        <v>0</v>
      </c>
      <c r="CH294" s="141">
        <v>0</v>
      </c>
      <c r="CI294" s="141">
        <v>0</v>
      </c>
      <c r="CJ294" s="141">
        <v>0</v>
      </c>
      <c r="CK294" s="141">
        <v>0</v>
      </c>
      <c r="CL294" s="141">
        <v>0</v>
      </c>
      <c r="CM294" s="141">
        <v>0</v>
      </c>
      <c r="CN294" s="141">
        <v>0</v>
      </c>
      <c r="CO294" s="141">
        <v>0</v>
      </c>
      <c r="CP294" s="141">
        <v>0</v>
      </c>
      <c r="CQ294" s="141">
        <v>-461946</v>
      </c>
      <c r="CR294" s="141">
        <v>0</v>
      </c>
      <c r="CS294" s="141">
        <v>0</v>
      </c>
      <c r="CT294" s="141">
        <v>0</v>
      </c>
      <c r="CU294" s="141">
        <v>-461946</v>
      </c>
      <c r="CV294" s="141">
        <v>0</v>
      </c>
      <c r="CW294" s="141">
        <v>-461946</v>
      </c>
      <c r="CX294" s="141">
        <v>0</v>
      </c>
      <c r="CY294" s="141">
        <v>0</v>
      </c>
      <c r="CZ294" s="141">
        <v>0</v>
      </c>
      <c r="DA294" s="141">
        <v>0</v>
      </c>
      <c r="DB294" s="141">
        <v>0</v>
      </c>
      <c r="DC294" s="141">
        <v>0</v>
      </c>
      <c r="DD294" s="141">
        <v>-260047</v>
      </c>
      <c r="DE294" s="141">
        <v>0</v>
      </c>
      <c r="DF294" s="141">
        <v>-260047</v>
      </c>
      <c r="DG294" s="141">
        <v>-224944</v>
      </c>
      <c r="DH294" s="141">
        <v>0</v>
      </c>
      <c r="DI294" s="141">
        <v>-224944</v>
      </c>
      <c r="DJ294" s="141">
        <v>0</v>
      </c>
      <c r="DK294" s="141">
        <v>0</v>
      </c>
      <c r="DL294" s="141">
        <v>0</v>
      </c>
      <c r="DM294" s="141">
        <v>-3026423</v>
      </c>
      <c r="DN294" s="141">
        <v>0</v>
      </c>
      <c r="DO294" s="141">
        <v>-3026423</v>
      </c>
      <c r="DP294" s="141">
        <v>-3511414</v>
      </c>
      <c r="DQ294" s="141">
        <v>0</v>
      </c>
      <c r="DR294" s="141">
        <v>0</v>
      </c>
      <c r="DS294" s="141">
        <v>0</v>
      </c>
      <c r="DT294" s="141">
        <v>-3511414</v>
      </c>
      <c r="DU294" s="141">
        <v>0</v>
      </c>
      <c r="DV294" s="141">
        <v>-3511414</v>
      </c>
      <c r="DW294" s="856">
        <v>64921483</v>
      </c>
      <c r="DX294" s="856">
        <v>0</v>
      </c>
      <c r="DY294" s="857">
        <v>64921483</v>
      </c>
      <c r="DZ294" t="s">
        <v>1860</v>
      </c>
    </row>
    <row r="295" spans="1:130" ht="12.75" x14ac:dyDescent="0.2">
      <c r="A295" s="764">
        <v>288</v>
      </c>
      <c r="B295" s="765" t="s">
        <v>467</v>
      </c>
      <c r="C295" s="766" t="s">
        <v>1228</v>
      </c>
      <c r="D295" s="767" t="s">
        <v>1223</v>
      </c>
      <c r="E295" s="768" t="s">
        <v>466</v>
      </c>
      <c r="F295" s="867">
        <v>43468</v>
      </c>
      <c r="G295" s="141">
        <v>288967672</v>
      </c>
      <c r="H295" s="141">
        <v>8080065</v>
      </c>
      <c r="I295" s="141">
        <v>297047737</v>
      </c>
      <c r="J295" s="141">
        <v>49.1</v>
      </c>
      <c r="K295" s="141">
        <v>141883127</v>
      </c>
      <c r="L295" s="141">
        <v>3967312</v>
      </c>
      <c r="M295" s="141">
        <v>0</v>
      </c>
      <c r="N295" s="141">
        <v>0</v>
      </c>
      <c r="O295" s="141">
        <v>141883127</v>
      </c>
      <c r="P295" s="141">
        <v>3967312</v>
      </c>
      <c r="Q295" s="141">
        <v>145850439</v>
      </c>
      <c r="R295" s="141">
        <v>-1959468</v>
      </c>
      <c r="S295" s="141">
        <v>-145184</v>
      </c>
      <c r="T295" s="141">
        <v>-2104652</v>
      </c>
      <c r="U295" s="141">
        <v>210177</v>
      </c>
      <c r="V295" s="141">
        <v>0</v>
      </c>
      <c r="W295" s="141">
        <v>210177</v>
      </c>
      <c r="X295" s="141">
        <v>-1749291</v>
      </c>
      <c r="Y295" s="141">
        <v>-145184</v>
      </c>
      <c r="Z295" s="141">
        <v>0</v>
      </c>
      <c r="AA295" s="141">
        <v>0</v>
      </c>
      <c r="AB295" s="141">
        <v>-1749291</v>
      </c>
      <c r="AC295" s="141">
        <v>-145184</v>
      </c>
      <c r="AD295" s="141">
        <v>-1894475</v>
      </c>
      <c r="AE295" s="141">
        <v>1749291</v>
      </c>
      <c r="AF295" s="141">
        <v>145184</v>
      </c>
      <c r="AG295" s="141">
        <v>1894475</v>
      </c>
      <c r="AH295" s="141">
        <v>-7208777</v>
      </c>
      <c r="AI295" s="141">
        <v>-214981</v>
      </c>
      <c r="AJ295" s="141">
        <v>-7423758</v>
      </c>
      <c r="AK295" s="141">
        <v>-15871</v>
      </c>
      <c r="AL295" s="141">
        <v>0</v>
      </c>
      <c r="AM295" s="141">
        <v>-15871</v>
      </c>
      <c r="AN295" s="141">
        <v>2632745</v>
      </c>
      <c r="AO295" s="141">
        <v>58466</v>
      </c>
      <c r="AP295" s="141">
        <v>2691211</v>
      </c>
      <c r="AQ295" s="141">
        <v>-4576032</v>
      </c>
      <c r="AR295" s="141">
        <v>-156515</v>
      </c>
      <c r="AS295" s="141">
        <v>-4732547</v>
      </c>
      <c r="AT295" s="141">
        <v>-13121367</v>
      </c>
      <c r="AU295" s="141">
        <v>-1462</v>
      </c>
      <c r="AV295" s="141">
        <v>-13122829</v>
      </c>
      <c r="AW295" s="141">
        <v>-29413</v>
      </c>
      <c r="AX295" s="141">
        <v>0</v>
      </c>
      <c r="AY295" s="141">
        <v>-29413</v>
      </c>
      <c r="AZ295" s="141">
        <v>0</v>
      </c>
      <c r="BA295" s="141">
        <v>0</v>
      </c>
      <c r="BB295" s="141">
        <v>0</v>
      </c>
      <c r="BC295" s="141">
        <v>-17726812</v>
      </c>
      <c r="BD295" s="141">
        <v>-157977</v>
      </c>
      <c r="BE295" s="141">
        <v>0</v>
      </c>
      <c r="BF295" s="141">
        <v>0</v>
      </c>
      <c r="BG295" s="141">
        <v>-17726812</v>
      </c>
      <c r="BH295" s="141">
        <v>-157977</v>
      </c>
      <c r="BI295" s="141">
        <v>-17884789</v>
      </c>
      <c r="BJ295" s="141">
        <v>0</v>
      </c>
      <c r="BK295" s="141">
        <v>0</v>
      </c>
      <c r="BL295" s="141">
        <v>0</v>
      </c>
      <c r="BM295" s="141">
        <v>-2583003</v>
      </c>
      <c r="BN295" s="141">
        <v>-298588</v>
      </c>
      <c r="BO295" s="141">
        <v>-2881591</v>
      </c>
      <c r="BP295" s="141">
        <v>-2583003</v>
      </c>
      <c r="BQ295" s="141">
        <v>-298588</v>
      </c>
      <c r="BR295" s="141">
        <v>0</v>
      </c>
      <c r="BS295" s="141">
        <v>0</v>
      </c>
      <c r="BT295" s="141">
        <v>-2583003</v>
      </c>
      <c r="BU295" s="141">
        <v>-298588</v>
      </c>
      <c r="BV295" s="141">
        <v>-2881591</v>
      </c>
      <c r="BW295" s="141">
        <v>-276420</v>
      </c>
      <c r="BX295" s="141">
        <v>0</v>
      </c>
      <c r="BY295" s="141">
        <v>-276420</v>
      </c>
      <c r="BZ295" s="141">
        <v>-1239962</v>
      </c>
      <c r="CA295" s="141">
        <v>0</v>
      </c>
      <c r="CB295" s="141">
        <v>-1239962</v>
      </c>
      <c r="CC295" s="141">
        <v>-1492</v>
      </c>
      <c r="CD295" s="141">
        <v>0</v>
      </c>
      <c r="CE295" s="141">
        <v>-1492</v>
      </c>
      <c r="CF295" s="141">
        <v>0</v>
      </c>
      <c r="CG295" s="141">
        <v>0</v>
      </c>
      <c r="CH295" s="141">
        <v>0</v>
      </c>
      <c r="CI295" s="141">
        <v>0</v>
      </c>
      <c r="CJ295" s="141">
        <v>0</v>
      </c>
      <c r="CK295" s="141">
        <v>0</v>
      </c>
      <c r="CL295" s="141">
        <v>0</v>
      </c>
      <c r="CM295" s="141">
        <v>0</v>
      </c>
      <c r="CN295" s="141">
        <v>0</v>
      </c>
      <c r="CO295" s="141">
        <v>0</v>
      </c>
      <c r="CP295" s="141">
        <v>0</v>
      </c>
      <c r="CQ295" s="141">
        <v>-1517874</v>
      </c>
      <c r="CR295" s="141">
        <v>0</v>
      </c>
      <c r="CS295" s="141">
        <v>0</v>
      </c>
      <c r="CT295" s="141">
        <v>0</v>
      </c>
      <c r="CU295" s="141">
        <v>-1517874</v>
      </c>
      <c r="CV295" s="141">
        <v>0</v>
      </c>
      <c r="CW295" s="141">
        <v>-1517874</v>
      </c>
      <c r="CX295" s="141">
        <v>0</v>
      </c>
      <c r="CY295" s="141">
        <v>0</v>
      </c>
      <c r="CZ295" s="141">
        <v>0</v>
      </c>
      <c r="DA295" s="141">
        <v>0</v>
      </c>
      <c r="DB295" s="141">
        <v>0</v>
      </c>
      <c r="DC295" s="141">
        <v>0</v>
      </c>
      <c r="DD295" s="141">
        <v>-15235</v>
      </c>
      <c r="DE295" s="141">
        <v>0</v>
      </c>
      <c r="DF295" s="141">
        <v>-15235</v>
      </c>
      <c r="DG295" s="141">
        <v>-305004</v>
      </c>
      <c r="DH295" s="141">
        <v>0</v>
      </c>
      <c r="DI295" s="141">
        <v>-305004</v>
      </c>
      <c r="DJ295" s="141">
        <v>0</v>
      </c>
      <c r="DK295" s="141">
        <v>0</v>
      </c>
      <c r="DL295" s="141">
        <v>0</v>
      </c>
      <c r="DM295" s="141">
        <v>-4584189</v>
      </c>
      <c r="DN295" s="141">
        <v>-30093</v>
      </c>
      <c r="DO295" s="141">
        <v>-4614282</v>
      </c>
      <c r="DP295" s="141">
        <v>-4904428</v>
      </c>
      <c r="DQ295" s="141">
        <v>-30093</v>
      </c>
      <c r="DR295" s="141">
        <v>0</v>
      </c>
      <c r="DS295" s="141">
        <v>0</v>
      </c>
      <c r="DT295" s="141">
        <v>-4904428</v>
      </c>
      <c r="DU295" s="141">
        <v>-30093</v>
      </c>
      <c r="DV295" s="141">
        <v>-4934521</v>
      </c>
      <c r="DW295" s="856">
        <v>113401719</v>
      </c>
      <c r="DX295" s="856">
        <v>3335470</v>
      </c>
      <c r="DY295" s="857">
        <v>116737189</v>
      </c>
      <c r="DZ295" t="s">
        <v>1861</v>
      </c>
    </row>
    <row r="296" spans="1:130" ht="12.75" x14ac:dyDescent="0.2">
      <c r="A296" s="764">
        <v>289</v>
      </c>
      <c r="B296" s="765" t="s">
        <v>469</v>
      </c>
      <c r="C296" s="766" t="s">
        <v>529</v>
      </c>
      <c r="D296" s="767" t="s">
        <v>1219</v>
      </c>
      <c r="E296" s="768" t="s">
        <v>550</v>
      </c>
      <c r="F296" s="867">
        <v>43472</v>
      </c>
      <c r="G296" s="141">
        <v>245595390</v>
      </c>
      <c r="H296" s="141">
        <v>2584830</v>
      </c>
      <c r="I296" s="141">
        <v>248180220</v>
      </c>
      <c r="J296" s="141">
        <v>49.1</v>
      </c>
      <c r="K296" s="141">
        <v>120587336</v>
      </c>
      <c r="L296" s="141">
        <v>1269152</v>
      </c>
      <c r="M296" s="141">
        <v>0</v>
      </c>
      <c r="N296" s="141">
        <v>0</v>
      </c>
      <c r="O296" s="141">
        <v>120587336</v>
      </c>
      <c r="P296" s="141">
        <v>1269152</v>
      </c>
      <c r="Q296" s="141">
        <v>121856488</v>
      </c>
      <c r="R296" s="141">
        <v>-715522</v>
      </c>
      <c r="S296" s="141">
        <v>0</v>
      </c>
      <c r="T296" s="141">
        <v>-715522</v>
      </c>
      <c r="U296" s="141">
        <v>4772609</v>
      </c>
      <c r="V296" s="141">
        <v>27393</v>
      </c>
      <c r="W296" s="141">
        <v>4800002</v>
      </c>
      <c r="X296" s="141">
        <v>4057087</v>
      </c>
      <c r="Y296" s="141">
        <v>27393</v>
      </c>
      <c r="Z296" s="141">
        <v>0</v>
      </c>
      <c r="AA296" s="141">
        <v>0</v>
      </c>
      <c r="AB296" s="141">
        <v>4057087</v>
      </c>
      <c r="AC296" s="141">
        <v>27393</v>
      </c>
      <c r="AD296" s="141">
        <v>4084480</v>
      </c>
      <c r="AE296" s="141">
        <v>-4057087</v>
      </c>
      <c r="AF296" s="141">
        <v>-27393</v>
      </c>
      <c r="AG296" s="141">
        <v>-4084480</v>
      </c>
      <c r="AH296" s="141">
        <v>-5973671</v>
      </c>
      <c r="AI296" s="141">
        <v>-5401</v>
      </c>
      <c r="AJ296" s="141">
        <v>-5979072</v>
      </c>
      <c r="AK296" s="141">
        <v>0</v>
      </c>
      <c r="AL296" s="141">
        <v>0</v>
      </c>
      <c r="AM296" s="141">
        <v>0</v>
      </c>
      <c r="AN296" s="141">
        <v>2443458</v>
      </c>
      <c r="AO296" s="141">
        <v>27427</v>
      </c>
      <c r="AP296" s="141">
        <v>2470885</v>
      </c>
      <c r="AQ296" s="141">
        <v>-3530213</v>
      </c>
      <c r="AR296" s="141">
        <v>22026</v>
      </c>
      <c r="AS296" s="141">
        <v>-3508187</v>
      </c>
      <c r="AT296" s="141">
        <v>-4663337</v>
      </c>
      <c r="AU296" s="141">
        <v>0</v>
      </c>
      <c r="AV296" s="141">
        <v>-4663337</v>
      </c>
      <c r="AW296" s="141">
        <v>-44210</v>
      </c>
      <c r="AX296" s="141">
        <v>0</v>
      </c>
      <c r="AY296" s="141">
        <v>-44210</v>
      </c>
      <c r="AZ296" s="141">
        <v>0</v>
      </c>
      <c r="BA296" s="141">
        <v>0</v>
      </c>
      <c r="BB296" s="141">
        <v>0</v>
      </c>
      <c r="BC296" s="141">
        <v>-8237760</v>
      </c>
      <c r="BD296" s="141">
        <v>22026</v>
      </c>
      <c r="BE296" s="141">
        <v>0</v>
      </c>
      <c r="BF296" s="141">
        <v>0</v>
      </c>
      <c r="BG296" s="141">
        <v>-8237760</v>
      </c>
      <c r="BH296" s="141">
        <v>22026</v>
      </c>
      <c r="BI296" s="141">
        <v>-8215734</v>
      </c>
      <c r="BJ296" s="141">
        <v>0</v>
      </c>
      <c r="BK296" s="141">
        <v>0</v>
      </c>
      <c r="BL296" s="141">
        <v>0</v>
      </c>
      <c r="BM296" s="141">
        <v>-1846572</v>
      </c>
      <c r="BN296" s="141">
        <v>-3691</v>
      </c>
      <c r="BO296" s="141">
        <v>-1850263</v>
      </c>
      <c r="BP296" s="141">
        <v>-1846572</v>
      </c>
      <c r="BQ296" s="141">
        <v>-3691</v>
      </c>
      <c r="BR296" s="141">
        <v>0</v>
      </c>
      <c r="BS296" s="141">
        <v>0</v>
      </c>
      <c r="BT296" s="141">
        <v>-1846572</v>
      </c>
      <c r="BU296" s="141">
        <v>-3691</v>
      </c>
      <c r="BV296" s="141">
        <v>-1850263</v>
      </c>
      <c r="BW296" s="141">
        <v>-159986</v>
      </c>
      <c r="BX296" s="141">
        <v>0</v>
      </c>
      <c r="BY296" s="141">
        <v>-159986</v>
      </c>
      <c r="BZ296" s="141">
        <v>-775996</v>
      </c>
      <c r="CA296" s="141">
        <v>0</v>
      </c>
      <c r="CB296" s="141">
        <v>-775996</v>
      </c>
      <c r="CC296" s="141">
        <v>-3860</v>
      </c>
      <c r="CD296" s="141">
        <v>0</v>
      </c>
      <c r="CE296" s="141">
        <v>-3860</v>
      </c>
      <c r="CF296" s="141">
        <v>0</v>
      </c>
      <c r="CG296" s="141">
        <v>0</v>
      </c>
      <c r="CH296" s="141">
        <v>0</v>
      </c>
      <c r="CI296" s="141">
        <v>-4142</v>
      </c>
      <c r="CJ296" s="141">
        <v>0</v>
      </c>
      <c r="CK296" s="141">
        <v>-4142</v>
      </c>
      <c r="CL296" s="141">
        <v>0</v>
      </c>
      <c r="CM296" s="141">
        <v>-145784</v>
      </c>
      <c r="CN296" s="141">
        <v>-145784</v>
      </c>
      <c r="CO296" s="141">
        <v>-145784</v>
      </c>
      <c r="CP296" s="141">
        <v>0</v>
      </c>
      <c r="CQ296" s="141">
        <v>-943984</v>
      </c>
      <c r="CR296" s="141">
        <v>-145784</v>
      </c>
      <c r="CS296" s="141">
        <v>0</v>
      </c>
      <c r="CT296" s="141">
        <v>0</v>
      </c>
      <c r="CU296" s="141">
        <v>-943984</v>
      </c>
      <c r="CV296" s="141">
        <v>-145784</v>
      </c>
      <c r="CW296" s="141">
        <v>-1089768</v>
      </c>
      <c r="CX296" s="141">
        <v>-4443</v>
      </c>
      <c r="CY296" s="141">
        <v>0</v>
      </c>
      <c r="CZ296" s="141">
        <v>-4443</v>
      </c>
      <c r="DA296" s="141">
        <v>0</v>
      </c>
      <c r="DB296" s="141">
        <v>0</v>
      </c>
      <c r="DC296" s="141">
        <v>0</v>
      </c>
      <c r="DD296" s="141">
        <v>-44089</v>
      </c>
      <c r="DE296" s="141">
        <v>0</v>
      </c>
      <c r="DF296" s="141">
        <v>-44089</v>
      </c>
      <c r="DG296" s="141">
        <v>-1430</v>
      </c>
      <c r="DH296" s="141">
        <v>0</v>
      </c>
      <c r="DI296" s="141">
        <v>-1430</v>
      </c>
      <c r="DJ296" s="141">
        <v>0</v>
      </c>
      <c r="DK296" s="141">
        <v>0</v>
      </c>
      <c r="DL296" s="141">
        <v>0</v>
      </c>
      <c r="DM296" s="141">
        <v>-921145</v>
      </c>
      <c r="DN296" s="141">
        <v>0</v>
      </c>
      <c r="DO296" s="141">
        <v>-921145</v>
      </c>
      <c r="DP296" s="141">
        <v>-971107</v>
      </c>
      <c r="DQ296" s="141">
        <v>0</v>
      </c>
      <c r="DR296" s="141">
        <v>0</v>
      </c>
      <c r="DS296" s="141">
        <v>0</v>
      </c>
      <c r="DT296" s="141">
        <v>-971107</v>
      </c>
      <c r="DU296" s="141">
        <v>0</v>
      </c>
      <c r="DV296" s="141">
        <v>-971107</v>
      </c>
      <c r="DW296" s="856">
        <v>112645000</v>
      </c>
      <c r="DX296" s="856">
        <v>1169096</v>
      </c>
      <c r="DY296" s="857">
        <v>113814096</v>
      </c>
      <c r="DZ296" t="s">
        <v>1862</v>
      </c>
    </row>
    <row r="297" spans="1:130" ht="12.75" x14ac:dyDescent="0.2">
      <c r="A297" s="764">
        <v>290</v>
      </c>
      <c r="B297" s="765" t="s">
        <v>471</v>
      </c>
      <c r="C297" s="766" t="s">
        <v>1217</v>
      </c>
      <c r="D297" s="767" t="s">
        <v>1227</v>
      </c>
      <c r="E297" s="768" t="s">
        <v>470</v>
      </c>
      <c r="F297" s="867">
        <v>43465</v>
      </c>
      <c r="G297" s="141">
        <v>171253130</v>
      </c>
      <c r="H297" s="141">
        <v>0</v>
      </c>
      <c r="I297" s="141">
        <v>171253130</v>
      </c>
      <c r="J297" s="141">
        <v>49.1</v>
      </c>
      <c r="K297" s="141">
        <v>84085287</v>
      </c>
      <c r="L297" s="141">
        <v>0</v>
      </c>
      <c r="M297" s="141">
        <v>0</v>
      </c>
      <c r="N297" s="141">
        <v>0</v>
      </c>
      <c r="O297" s="141">
        <v>84085287</v>
      </c>
      <c r="P297" s="141">
        <v>0</v>
      </c>
      <c r="Q297" s="141">
        <v>84085287</v>
      </c>
      <c r="R297" s="141">
        <v>-631287</v>
      </c>
      <c r="S297" s="141">
        <v>0</v>
      </c>
      <c r="T297" s="141">
        <v>-631287</v>
      </c>
      <c r="U297" s="141">
        <v>676521</v>
      </c>
      <c r="V297" s="141">
        <v>0</v>
      </c>
      <c r="W297" s="141">
        <v>676521</v>
      </c>
      <c r="X297" s="141">
        <v>45234</v>
      </c>
      <c r="Y297" s="141">
        <v>0</v>
      </c>
      <c r="Z297" s="141">
        <v>0</v>
      </c>
      <c r="AA297" s="141">
        <v>0</v>
      </c>
      <c r="AB297" s="141">
        <v>45234</v>
      </c>
      <c r="AC297" s="141">
        <v>0</v>
      </c>
      <c r="AD297" s="141">
        <v>45234</v>
      </c>
      <c r="AE297" s="141">
        <v>-45234</v>
      </c>
      <c r="AF297" s="141">
        <v>0</v>
      </c>
      <c r="AG297" s="141">
        <v>-45234</v>
      </c>
      <c r="AH297" s="141">
        <v>-5317486</v>
      </c>
      <c r="AI297" s="141">
        <v>0</v>
      </c>
      <c r="AJ297" s="141">
        <v>-5317486</v>
      </c>
      <c r="AK297" s="141">
        <v>0</v>
      </c>
      <c r="AL297" s="141">
        <v>0</v>
      </c>
      <c r="AM297" s="141">
        <v>0</v>
      </c>
      <c r="AN297" s="141">
        <v>1638862</v>
      </c>
      <c r="AO297" s="141">
        <v>0</v>
      </c>
      <c r="AP297" s="141">
        <v>1638862</v>
      </c>
      <c r="AQ297" s="141">
        <v>-3678624</v>
      </c>
      <c r="AR297" s="141">
        <v>0</v>
      </c>
      <c r="AS297" s="141">
        <v>-3678624</v>
      </c>
      <c r="AT297" s="141">
        <v>-4951969</v>
      </c>
      <c r="AU297" s="141">
        <v>0</v>
      </c>
      <c r="AV297" s="141">
        <v>-4951969</v>
      </c>
      <c r="AW297" s="141">
        <v>-63866</v>
      </c>
      <c r="AX297" s="141">
        <v>0</v>
      </c>
      <c r="AY297" s="141">
        <v>-63866</v>
      </c>
      <c r="AZ297" s="141">
        <v>-7988</v>
      </c>
      <c r="BA297" s="141">
        <v>0</v>
      </c>
      <c r="BB297" s="141">
        <v>-7988</v>
      </c>
      <c r="BC297" s="141">
        <v>-8702447</v>
      </c>
      <c r="BD297" s="141">
        <v>0</v>
      </c>
      <c r="BE297" s="141">
        <v>0</v>
      </c>
      <c r="BF297" s="141">
        <v>0</v>
      </c>
      <c r="BG297" s="141">
        <v>-8702447</v>
      </c>
      <c r="BH297" s="141">
        <v>0</v>
      </c>
      <c r="BI297" s="141">
        <v>-8702447</v>
      </c>
      <c r="BJ297" s="141">
        <v>-17631</v>
      </c>
      <c r="BK297" s="141">
        <v>0</v>
      </c>
      <c r="BL297" s="141">
        <v>-17631</v>
      </c>
      <c r="BM297" s="141">
        <v>-1299685</v>
      </c>
      <c r="BN297" s="141">
        <v>0</v>
      </c>
      <c r="BO297" s="141">
        <v>-1299685</v>
      </c>
      <c r="BP297" s="141">
        <v>-1317316</v>
      </c>
      <c r="BQ297" s="141">
        <v>0</v>
      </c>
      <c r="BR297" s="141">
        <v>0</v>
      </c>
      <c r="BS297" s="141">
        <v>0</v>
      </c>
      <c r="BT297" s="141">
        <v>-1317316</v>
      </c>
      <c r="BU297" s="141">
        <v>0</v>
      </c>
      <c r="BV297" s="141">
        <v>-1317316</v>
      </c>
      <c r="BW297" s="141">
        <v>-8087</v>
      </c>
      <c r="BX297" s="141">
        <v>0</v>
      </c>
      <c r="BY297" s="141">
        <v>-8087</v>
      </c>
      <c r="BZ297" s="141">
        <v>-61451</v>
      </c>
      <c r="CA297" s="141">
        <v>0</v>
      </c>
      <c r="CB297" s="141">
        <v>-61451</v>
      </c>
      <c r="CC297" s="141">
        <v>0</v>
      </c>
      <c r="CD297" s="141">
        <v>0</v>
      </c>
      <c r="CE297" s="141">
        <v>0</v>
      </c>
      <c r="CF297" s="141">
        <v>-11855</v>
      </c>
      <c r="CG297" s="141">
        <v>0</v>
      </c>
      <c r="CH297" s="141">
        <v>-11855</v>
      </c>
      <c r="CI297" s="141">
        <v>0</v>
      </c>
      <c r="CJ297" s="141">
        <v>0</v>
      </c>
      <c r="CK297" s="141">
        <v>0</v>
      </c>
      <c r="CL297" s="141">
        <v>0</v>
      </c>
      <c r="CM297" s="141">
        <v>0</v>
      </c>
      <c r="CN297" s="141">
        <v>0</v>
      </c>
      <c r="CO297" s="141">
        <v>0</v>
      </c>
      <c r="CP297" s="141">
        <v>0</v>
      </c>
      <c r="CQ297" s="141">
        <v>-81393</v>
      </c>
      <c r="CR297" s="141">
        <v>0</v>
      </c>
      <c r="CS297" s="141">
        <v>0</v>
      </c>
      <c r="CT297" s="141">
        <v>0</v>
      </c>
      <c r="CU297" s="141">
        <v>-81393</v>
      </c>
      <c r="CV297" s="141">
        <v>0</v>
      </c>
      <c r="CW297" s="141">
        <v>-81393</v>
      </c>
      <c r="CX297" s="141">
        <v>-7814</v>
      </c>
      <c r="CY297" s="141">
        <v>0</v>
      </c>
      <c r="CZ297" s="141">
        <v>-7814</v>
      </c>
      <c r="DA297" s="141">
        <v>-1500</v>
      </c>
      <c r="DB297" s="141">
        <v>0</v>
      </c>
      <c r="DC297" s="141">
        <v>-1500</v>
      </c>
      <c r="DD297" s="141">
        <v>0</v>
      </c>
      <c r="DE297" s="141">
        <v>0</v>
      </c>
      <c r="DF297" s="141">
        <v>0</v>
      </c>
      <c r="DG297" s="141">
        <v>0</v>
      </c>
      <c r="DH297" s="141">
        <v>0</v>
      </c>
      <c r="DI297" s="141">
        <v>0</v>
      </c>
      <c r="DJ297" s="141">
        <v>0</v>
      </c>
      <c r="DK297" s="141">
        <v>0</v>
      </c>
      <c r="DL297" s="141">
        <v>0</v>
      </c>
      <c r="DM297" s="141">
        <v>-2000000</v>
      </c>
      <c r="DN297" s="141">
        <v>0</v>
      </c>
      <c r="DO297" s="141">
        <v>-2000000</v>
      </c>
      <c r="DP297" s="141">
        <v>-2009314</v>
      </c>
      <c r="DQ297" s="141">
        <v>0</v>
      </c>
      <c r="DR297" s="141">
        <v>0</v>
      </c>
      <c r="DS297" s="141">
        <v>0</v>
      </c>
      <c r="DT297" s="141">
        <v>-2009314</v>
      </c>
      <c r="DU297" s="141">
        <v>0</v>
      </c>
      <c r="DV297" s="141">
        <v>-2009314</v>
      </c>
      <c r="DW297" s="856">
        <v>72020051</v>
      </c>
      <c r="DX297" s="856">
        <v>0</v>
      </c>
      <c r="DY297" s="857">
        <v>72020051</v>
      </c>
      <c r="DZ297" t="s">
        <v>1863</v>
      </c>
    </row>
    <row r="298" spans="1:130" ht="12.75" x14ac:dyDescent="0.2">
      <c r="A298" s="764">
        <v>291</v>
      </c>
      <c r="B298" s="765" t="s">
        <v>473</v>
      </c>
      <c r="C298" s="766" t="s">
        <v>1217</v>
      </c>
      <c r="D298" s="767" t="s">
        <v>1221</v>
      </c>
      <c r="E298" s="768" t="s">
        <v>472</v>
      </c>
      <c r="F298" s="867">
        <v>43460</v>
      </c>
      <c r="G298" s="141">
        <v>154904472</v>
      </c>
      <c r="H298" s="141">
        <v>0</v>
      </c>
      <c r="I298" s="141">
        <v>154904472</v>
      </c>
      <c r="J298" s="141">
        <v>49.1</v>
      </c>
      <c r="K298" s="141">
        <v>76058096</v>
      </c>
      <c r="L298" s="141">
        <v>0</v>
      </c>
      <c r="M298" s="141">
        <v>0</v>
      </c>
      <c r="N298" s="141">
        <v>0</v>
      </c>
      <c r="O298" s="141">
        <v>76058096</v>
      </c>
      <c r="P298" s="141">
        <v>0</v>
      </c>
      <c r="Q298" s="141">
        <v>76058096</v>
      </c>
      <c r="R298" s="141">
        <v>-407673</v>
      </c>
      <c r="S298" s="141">
        <v>0</v>
      </c>
      <c r="T298" s="141">
        <v>-407673</v>
      </c>
      <c r="U298" s="141">
        <v>2716887</v>
      </c>
      <c r="V298" s="141">
        <v>0</v>
      </c>
      <c r="W298" s="141">
        <v>2716887</v>
      </c>
      <c r="X298" s="141">
        <v>2309214</v>
      </c>
      <c r="Y298" s="141">
        <v>0</v>
      </c>
      <c r="Z298" s="141">
        <v>0</v>
      </c>
      <c r="AA298" s="141">
        <v>0</v>
      </c>
      <c r="AB298" s="141">
        <v>2309214</v>
      </c>
      <c r="AC298" s="141">
        <v>0</v>
      </c>
      <c r="AD298" s="141">
        <v>2309214</v>
      </c>
      <c r="AE298" s="141">
        <v>-2309214</v>
      </c>
      <c r="AF298" s="141">
        <v>0</v>
      </c>
      <c r="AG298" s="141">
        <v>-2309214</v>
      </c>
      <c r="AH298" s="141">
        <v>-2749748</v>
      </c>
      <c r="AI298" s="141">
        <v>0</v>
      </c>
      <c r="AJ298" s="141">
        <v>-2749748</v>
      </c>
      <c r="AK298" s="141">
        <v>-14246</v>
      </c>
      <c r="AL298" s="141">
        <v>0</v>
      </c>
      <c r="AM298" s="141">
        <v>-14246</v>
      </c>
      <c r="AN298" s="141">
        <v>1533128</v>
      </c>
      <c r="AO298" s="141">
        <v>0</v>
      </c>
      <c r="AP298" s="141">
        <v>1533128</v>
      </c>
      <c r="AQ298" s="141">
        <v>-1216620</v>
      </c>
      <c r="AR298" s="141">
        <v>0</v>
      </c>
      <c r="AS298" s="141">
        <v>-1216620</v>
      </c>
      <c r="AT298" s="141">
        <v>-3074874</v>
      </c>
      <c r="AU298" s="141">
        <v>0</v>
      </c>
      <c r="AV298" s="141">
        <v>-3074874</v>
      </c>
      <c r="AW298" s="141">
        <v>0</v>
      </c>
      <c r="AX298" s="141">
        <v>0</v>
      </c>
      <c r="AY298" s="141">
        <v>0</v>
      </c>
      <c r="AZ298" s="141">
        <v>0</v>
      </c>
      <c r="BA298" s="141">
        <v>0</v>
      </c>
      <c r="BB298" s="141">
        <v>0</v>
      </c>
      <c r="BC298" s="141">
        <v>-4291494</v>
      </c>
      <c r="BD298" s="141">
        <v>0</v>
      </c>
      <c r="BE298" s="141">
        <v>0</v>
      </c>
      <c r="BF298" s="141">
        <v>0</v>
      </c>
      <c r="BG298" s="141">
        <v>-4291494</v>
      </c>
      <c r="BH298" s="141">
        <v>0</v>
      </c>
      <c r="BI298" s="141">
        <v>-4291494</v>
      </c>
      <c r="BJ298" s="141">
        <v>0</v>
      </c>
      <c r="BK298" s="141">
        <v>0</v>
      </c>
      <c r="BL298" s="141">
        <v>0</v>
      </c>
      <c r="BM298" s="141">
        <v>-1739601</v>
      </c>
      <c r="BN298" s="141">
        <v>0</v>
      </c>
      <c r="BO298" s="141">
        <v>-1739601</v>
      </c>
      <c r="BP298" s="141">
        <v>-1739601</v>
      </c>
      <c r="BQ298" s="141">
        <v>0</v>
      </c>
      <c r="BR298" s="141">
        <v>0</v>
      </c>
      <c r="BS298" s="141">
        <v>0</v>
      </c>
      <c r="BT298" s="141">
        <v>-1739601</v>
      </c>
      <c r="BU298" s="141">
        <v>0</v>
      </c>
      <c r="BV298" s="141">
        <v>-1739601</v>
      </c>
      <c r="BW298" s="141">
        <v>-1068</v>
      </c>
      <c r="BX298" s="141">
        <v>0</v>
      </c>
      <c r="BY298" s="141">
        <v>-1068</v>
      </c>
      <c r="BZ298" s="141">
        <v>0</v>
      </c>
      <c r="CA298" s="141">
        <v>0</v>
      </c>
      <c r="CB298" s="141">
        <v>0</v>
      </c>
      <c r="CC298" s="141">
        <v>0</v>
      </c>
      <c r="CD298" s="141">
        <v>0</v>
      </c>
      <c r="CE298" s="141">
        <v>0</v>
      </c>
      <c r="CF298" s="141">
        <v>0</v>
      </c>
      <c r="CG298" s="141">
        <v>0</v>
      </c>
      <c r="CH298" s="141">
        <v>0</v>
      </c>
      <c r="CI298" s="141">
        <v>0</v>
      </c>
      <c r="CJ298" s="141">
        <v>0</v>
      </c>
      <c r="CK298" s="141">
        <v>0</v>
      </c>
      <c r="CL298" s="141">
        <v>0</v>
      </c>
      <c r="CM298" s="141">
        <v>0</v>
      </c>
      <c r="CN298" s="141">
        <v>0</v>
      </c>
      <c r="CO298" s="141">
        <v>0</v>
      </c>
      <c r="CP298" s="141">
        <v>0</v>
      </c>
      <c r="CQ298" s="141">
        <v>-1068</v>
      </c>
      <c r="CR298" s="141">
        <v>0</v>
      </c>
      <c r="CS298" s="141">
        <v>0</v>
      </c>
      <c r="CT298" s="141">
        <v>0</v>
      </c>
      <c r="CU298" s="141">
        <v>-1068</v>
      </c>
      <c r="CV298" s="141">
        <v>0</v>
      </c>
      <c r="CW298" s="141">
        <v>-1068</v>
      </c>
      <c r="CX298" s="141">
        <v>0</v>
      </c>
      <c r="CY298" s="141">
        <v>0</v>
      </c>
      <c r="CZ298" s="141">
        <v>0</v>
      </c>
      <c r="DA298" s="141">
        <v>-1500</v>
      </c>
      <c r="DB298" s="141">
        <v>0</v>
      </c>
      <c r="DC298" s="141">
        <v>-1500</v>
      </c>
      <c r="DD298" s="141">
        <v>-24780</v>
      </c>
      <c r="DE298" s="141">
        <v>0</v>
      </c>
      <c r="DF298" s="141">
        <v>-24780</v>
      </c>
      <c r="DG298" s="141">
        <v>-43000</v>
      </c>
      <c r="DH298" s="141">
        <v>0</v>
      </c>
      <c r="DI298" s="141">
        <v>-43000</v>
      </c>
      <c r="DJ298" s="141">
        <v>0</v>
      </c>
      <c r="DK298" s="141">
        <v>0</v>
      </c>
      <c r="DL298" s="141">
        <v>0</v>
      </c>
      <c r="DM298" s="141">
        <v>-911108</v>
      </c>
      <c r="DN298" s="141">
        <v>0</v>
      </c>
      <c r="DO298" s="141">
        <v>-911108</v>
      </c>
      <c r="DP298" s="141">
        <v>-980388</v>
      </c>
      <c r="DQ298" s="141">
        <v>0</v>
      </c>
      <c r="DR298" s="141">
        <v>0</v>
      </c>
      <c r="DS298" s="141">
        <v>0</v>
      </c>
      <c r="DT298" s="141">
        <v>-980388</v>
      </c>
      <c r="DU298" s="141">
        <v>0</v>
      </c>
      <c r="DV298" s="141">
        <v>-980388</v>
      </c>
      <c r="DW298" s="856">
        <v>71354759</v>
      </c>
      <c r="DX298" s="856">
        <v>0</v>
      </c>
      <c r="DY298" s="857">
        <v>71354759</v>
      </c>
      <c r="DZ298" t="s">
        <v>1864</v>
      </c>
    </row>
    <row r="299" spans="1:130" ht="12.75" x14ac:dyDescent="0.2">
      <c r="A299" s="764">
        <v>292</v>
      </c>
      <c r="B299" s="765" t="s">
        <v>475</v>
      </c>
      <c r="C299" s="766" t="s">
        <v>1217</v>
      </c>
      <c r="D299" s="767" t="s">
        <v>1218</v>
      </c>
      <c r="E299" s="768" t="s">
        <v>474</v>
      </c>
      <c r="F299" s="867">
        <v>43465</v>
      </c>
      <c r="G299" s="141">
        <v>107664357</v>
      </c>
      <c r="H299" s="141">
        <v>0</v>
      </c>
      <c r="I299" s="141">
        <v>107664357</v>
      </c>
      <c r="J299" s="141">
        <v>49.1</v>
      </c>
      <c r="K299" s="141">
        <v>52863199</v>
      </c>
      <c r="L299" s="141">
        <v>0</v>
      </c>
      <c r="M299" s="141">
        <v>-940000</v>
      </c>
      <c r="N299" s="141">
        <v>0</v>
      </c>
      <c r="O299" s="141">
        <v>51923199</v>
      </c>
      <c r="P299" s="141">
        <v>0</v>
      </c>
      <c r="Q299" s="141">
        <v>51923199</v>
      </c>
      <c r="R299" s="141">
        <v>-961620</v>
      </c>
      <c r="S299" s="141">
        <v>0</v>
      </c>
      <c r="T299" s="141">
        <v>-961620</v>
      </c>
      <c r="U299" s="141">
        <v>56449</v>
      </c>
      <c r="V299" s="141">
        <v>0</v>
      </c>
      <c r="W299" s="141">
        <v>56449</v>
      </c>
      <c r="X299" s="141">
        <v>-905171</v>
      </c>
      <c r="Y299" s="141">
        <v>0</v>
      </c>
      <c r="Z299" s="141">
        <v>0</v>
      </c>
      <c r="AA299" s="141">
        <v>0</v>
      </c>
      <c r="AB299" s="141">
        <v>-905171</v>
      </c>
      <c r="AC299" s="141">
        <v>0</v>
      </c>
      <c r="AD299" s="141">
        <v>-905171</v>
      </c>
      <c r="AE299" s="141">
        <v>905171</v>
      </c>
      <c r="AF299" s="141">
        <v>0</v>
      </c>
      <c r="AG299" s="141">
        <v>905171</v>
      </c>
      <c r="AH299" s="141">
        <v>-4036377</v>
      </c>
      <c r="AI299" s="141">
        <v>0</v>
      </c>
      <c r="AJ299" s="141">
        <v>-4036377</v>
      </c>
      <c r="AK299" s="141">
        <v>0</v>
      </c>
      <c r="AL299" s="141">
        <v>0</v>
      </c>
      <c r="AM299" s="141">
        <v>0</v>
      </c>
      <c r="AN299" s="141">
        <v>910730</v>
      </c>
      <c r="AO299" s="141">
        <v>0</v>
      </c>
      <c r="AP299" s="141">
        <v>910730</v>
      </c>
      <c r="AQ299" s="141">
        <v>-3125647</v>
      </c>
      <c r="AR299" s="141">
        <v>0</v>
      </c>
      <c r="AS299" s="141">
        <v>-3125647</v>
      </c>
      <c r="AT299" s="141">
        <v>-6313732</v>
      </c>
      <c r="AU299" s="141">
        <v>0</v>
      </c>
      <c r="AV299" s="141">
        <v>-6313732</v>
      </c>
      <c r="AW299" s="141">
        <v>-40946</v>
      </c>
      <c r="AX299" s="141">
        <v>0</v>
      </c>
      <c r="AY299" s="141">
        <v>-40946</v>
      </c>
      <c r="AZ299" s="141">
        <v>-5947</v>
      </c>
      <c r="BA299" s="141">
        <v>0</v>
      </c>
      <c r="BB299" s="141">
        <v>-5947</v>
      </c>
      <c r="BC299" s="141">
        <v>-9486272</v>
      </c>
      <c r="BD299" s="141">
        <v>0</v>
      </c>
      <c r="BE299" s="141">
        <v>0</v>
      </c>
      <c r="BF299" s="141">
        <v>0</v>
      </c>
      <c r="BG299" s="141">
        <v>-9486272</v>
      </c>
      <c r="BH299" s="141">
        <v>0</v>
      </c>
      <c r="BI299" s="141">
        <v>-9486272</v>
      </c>
      <c r="BJ299" s="141">
        <v>-32805</v>
      </c>
      <c r="BK299" s="141">
        <v>0</v>
      </c>
      <c r="BL299" s="141">
        <v>-32805</v>
      </c>
      <c r="BM299" s="141">
        <v>-796731</v>
      </c>
      <c r="BN299" s="141">
        <v>0</v>
      </c>
      <c r="BO299" s="141">
        <v>-796731</v>
      </c>
      <c r="BP299" s="141">
        <v>-829536</v>
      </c>
      <c r="BQ299" s="141">
        <v>0</v>
      </c>
      <c r="BR299" s="141">
        <v>0</v>
      </c>
      <c r="BS299" s="141">
        <v>0</v>
      </c>
      <c r="BT299" s="141">
        <v>-829536</v>
      </c>
      <c r="BU299" s="141">
        <v>0</v>
      </c>
      <c r="BV299" s="141">
        <v>-829536</v>
      </c>
      <c r="BW299" s="141">
        <v>-89141</v>
      </c>
      <c r="BX299" s="141">
        <v>0</v>
      </c>
      <c r="BY299" s="141">
        <v>-89141</v>
      </c>
      <c r="BZ299" s="141">
        <v>-515259</v>
      </c>
      <c r="CA299" s="141">
        <v>0</v>
      </c>
      <c r="CB299" s="141">
        <v>-515259</v>
      </c>
      <c r="CC299" s="141">
        <v>0</v>
      </c>
      <c r="CD299" s="141">
        <v>0</v>
      </c>
      <c r="CE299" s="141">
        <v>0</v>
      </c>
      <c r="CF299" s="141">
        <v>0</v>
      </c>
      <c r="CG299" s="141">
        <v>0</v>
      </c>
      <c r="CH299" s="141">
        <v>0</v>
      </c>
      <c r="CI299" s="141">
        <v>-7404</v>
      </c>
      <c r="CJ299" s="141">
        <v>0</v>
      </c>
      <c r="CK299" s="141">
        <v>-7404</v>
      </c>
      <c r="CL299" s="141">
        <v>0</v>
      </c>
      <c r="CM299" s="141">
        <v>0</v>
      </c>
      <c r="CN299" s="141">
        <v>0</v>
      </c>
      <c r="CO299" s="141">
        <v>0</v>
      </c>
      <c r="CP299" s="141">
        <v>0</v>
      </c>
      <c r="CQ299" s="141">
        <v>-611804</v>
      </c>
      <c r="CR299" s="141">
        <v>0</v>
      </c>
      <c r="CS299" s="141">
        <v>0</v>
      </c>
      <c r="CT299" s="141">
        <v>0</v>
      </c>
      <c r="CU299" s="141">
        <v>-611804</v>
      </c>
      <c r="CV299" s="141">
        <v>0</v>
      </c>
      <c r="CW299" s="141">
        <v>-611804</v>
      </c>
      <c r="CX299" s="141">
        <v>-5947</v>
      </c>
      <c r="CY299" s="141">
        <v>0</v>
      </c>
      <c r="CZ299" s="141">
        <v>-5947</v>
      </c>
      <c r="DA299" s="141">
        <v>-4500</v>
      </c>
      <c r="DB299" s="141">
        <v>0</v>
      </c>
      <c r="DC299" s="141">
        <v>-4500</v>
      </c>
      <c r="DD299" s="141">
        <v>-36510</v>
      </c>
      <c r="DE299" s="141">
        <v>0</v>
      </c>
      <c r="DF299" s="141">
        <v>-36510</v>
      </c>
      <c r="DG299" s="141">
        <v>-98759</v>
      </c>
      <c r="DH299" s="141">
        <v>0</v>
      </c>
      <c r="DI299" s="141">
        <v>-98759</v>
      </c>
      <c r="DJ299" s="141">
        <v>-5000</v>
      </c>
      <c r="DK299" s="141">
        <v>0</v>
      </c>
      <c r="DL299" s="141">
        <v>-5000</v>
      </c>
      <c r="DM299" s="141">
        <v>-1150000</v>
      </c>
      <c r="DN299" s="141">
        <v>0</v>
      </c>
      <c r="DO299" s="141">
        <v>-1150000</v>
      </c>
      <c r="DP299" s="141">
        <v>-1300716</v>
      </c>
      <c r="DQ299" s="141">
        <v>0</v>
      </c>
      <c r="DR299" s="141">
        <v>0</v>
      </c>
      <c r="DS299" s="141">
        <v>0</v>
      </c>
      <c r="DT299" s="141">
        <v>-1300716</v>
      </c>
      <c r="DU299" s="141">
        <v>0</v>
      </c>
      <c r="DV299" s="141">
        <v>-1300716</v>
      </c>
      <c r="DW299" s="856">
        <v>38789700</v>
      </c>
      <c r="DX299" s="856">
        <v>0</v>
      </c>
      <c r="DY299" s="857">
        <v>38789700</v>
      </c>
      <c r="DZ299" t="s">
        <v>1865</v>
      </c>
    </row>
    <row r="300" spans="1:130" ht="12.75" x14ac:dyDescent="0.2">
      <c r="A300" s="764">
        <v>293</v>
      </c>
      <c r="B300" s="765" t="s">
        <v>477</v>
      </c>
      <c r="C300" s="766" t="s">
        <v>1217</v>
      </c>
      <c r="D300" s="767" t="s">
        <v>1218</v>
      </c>
      <c r="E300" s="768" t="s">
        <v>476</v>
      </c>
      <c r="F300" s="867">
        <v>43481</v>
      </c>
      <c r="G300" s="141">
        <v>93356436</v>
      </c>
      <c r="H300" s="141">
        <v>0</v>
      </c>
      <c r="I300" s="141">
        <v>93356436</v>
      </c>
      <c r="J300" s="141">
        <v>49.1</v>
      </c>
      <c r="K300" s="141">
        <v>45838010</v>
      </c>
      <c r="L300" s="141">
        <v>0</v>
      </c>
      <c r="M300" s="141">
        <v>0</v>
      </c>
      <c r="N300" s="141">
        <v>0</v>
      </c>
      <c r="O300" s="141">
        <v>45838010</v>
      </c>
      <c r="P300" s="141">
        <v>0</v>
      </c>
      <c r="Q300" s="141">
        <v>45838010</v>
      </c>
      <c r="R300" s="141">
        <v>-674564</v>
      </c>
      <c r="S300" s="141">
        <v>0</v>
      </c>
      <c r="T300" s="141">
        <v>-674564</v>
      </c>
      <c r="U300" s="141">
        <v>128508</v>
      </c>
      <c r="V300" s="141">
        <v>0</v>
      </c>
      <c r="W300" s="141">
        <v>128508</v>
      </c>
      <c r="X300" s="141">
        <v>-546056</v>
      </c>
      <c r="Y300" s="141">
        <v>0</v>
      </c>
      <c r="Z300" s="141">
        <v>0</v>
      </c>
      <c r="AA300" s="141">
        <v>0</v>
      </c>
      <c r="AB300" s="141">
        <v>-546056</v>
      </c>
      <c r="AC300" s="141">
        <v>0</v>
      </c>
      <c r="AD300" s="141">
        <v>-546056</v>
      </c>
      <c r="AE300" s="141">
        <v>546056</v>
      </c>
      <c r="AF300" s="141">
        <v>0</v>
      </c>
      <c r="AG300" s="141">
        <v>546056</v>
      </c>
      <c r="AH300" s="141">
        <v>-8466850</v>
      </c>
      <c r="AI300" s="141">
        <v>0</v>
      </c>
      <c r="AJ300" s="141">
        <v>-8466850</v>
      </c>
      <c r="AK300" s="141">
        <v>-31296</v>
      </c>
      <c r="AL300" s="141">
        <v>0</v>
      </c>
      <c r="AM300" s="141">
        <v>-31296</v>
      </c>
      <c r="AN300" s="141">
        <v>594346</v>
      </c>
      <c r="AO300" s="141">
        <v>0</v>
      </c>
      <c r="AP300" s="141">
        <v>594346</v>
      </c>
      <c r="AQ300" s="141">
        <v>-7872504</v>
      </c>
      <c r="AR300" s="141">
        <v>0</v>
      </c>
      <c r="AS300" s="141">
        <v>-7872504</v>
      </c>
      <c r="AT300" s="141">
        <v>-3276883</v>
      </c>
      <c r="AU300" s="141">
        <v>0</v>
      </c>
      <c r="AV300" s="141">
        <v>-3276883</v>
      </c>
      <c r="AW300" s="141">
        <v>-100370</v>
      </c>
      <c r="AX300" s="141">
        <v>0</v>
      </c>
      <c r="AY300" s="141">
        <v>-100370</v>
      </c>
      <c r="AZ300" s="141">
        <v>-38046</v>
      </c>
      <c r="BA300" s="141">
        <v>0</v>
      </c>
      <c r="BB300" s="141">
        <v>-38046</v>
      </c>
      <c r="BC300" s="141">
        <v>-11287803</v>
      </c>
      <c r="BD300" s="141">
        <v>0</v>
      </c>
      <c r="BE300" s="141">
        <v>0</v>
      </c>
      <c r="BF300" s="141">
        <v>0</v>
      </c>
      <c r="BG300" s="141">
        <v>-11287803</v>
      </c>
      <c r="BH300" s="141">
        <v>0</v>
      </c>
      <c r="BI300" s="141">
        <v>-11287803</v>
      </c>
      <c r="BJ300" s="141">
        <v>-10000</v>
      </c>
      <c r="BK300" s="141">
        <v>0</v>
      </c>
      <c r="BL300" s="141">
        <v>-10000</v>
      </c>
      <c r="BM300" s="141">
        <v>-473945</v>
      </c>
      <c r="BN300" s="141">
        <v>0</v>
      </c>
      <c r="BO300" s="141">
        <v>-473945</v>
      </c>
      <c r="BP300" s="141">
        <v>-483945</v>
      </c>
      <c r="BQ300" s="141">
        <v>0</v>
      </c>
      <c r="BR300" s="141">
        <v>-146055</v>
      </c>
      <c r="BS300" s="141">
        <v>0</v>
      </c>
      <c r="BT300" s="141">
        <v>-630000</v>
      </c>
      <c r="BU300" s="141">
        <v>0</v>
      </c>
      <c r="BV300" s="141">
        <v>-630000</v>
      </c>
      <c r="BW300" s="141">
        <v>-92358</v>
      </c>
      <c r="BX300" s="141">
        <v>0</v>
      </c>
      <c r="BY300" s="141">
        <v>-92358</v>
      </c>
      <c r="BZ300" s="141">
        <v>-5000</v>
      </c>
      <c r="CA300" s="141">
        <v>0</v>
      </c>
      <c r="CB300" s="141">
        <v>-5000</v>
      </c>
      <c r="CC300" s="141">
        <v>0</v>
      </c>
      <c r="CD300" s="141">
        <v>0</v>
      </c>
      <c r="CE300" s="141">
        <v>0</v>
      </c>
      <c r="CF300" s="141">
        <v>0</v>
      </c>
      <c r="CG300" s="141">
        <v>0</v>
      </c>
      <c r="CH300" s="141">
        <v>0</v>
      </c>
      <c r="CI300" s="141">
        <v>-5000</v>
      </c>
      <c r="CJ300" s="141">
        <v>0</v>
      </c>
      <c r="CK300" s="141">
        <v>-5000</v>
      </c>
      <c r="CL300" s="141">
        <v>0</v>
      </c>
      <c r="CM300" s="141">
        <v>0</v>
      </c>
      <c r="CN300" s="141">
        <v>0</v>
      </c>
      <c r="CO300" s="141">
        <v>0</v>
      </c>
      <c r="CP300" s="141">
        <v>0</v>
      </c>
      <c r="CQ300" s="141">
        <v>-102358</v>
      </c>
      <c r="CR300" s="141">
        <v>0</v>
      </c>
      <c r="CS300" s="141">
        <v>0</v>
      </c>
      <c r="CT300" s="141">
        <v>0</v>
      </c>
      <c r="CU300" s="141">
        <v>-102358</v>
      </c>
      <c r="CV300" s="141">
        <v>0</v>
      </c>
      <c r="CW300" s="141">
        <v>-102358</v>
      </c>
      <c r="CX300" s="141">
        <v>-38046</v>
      </c>
      <c r="CY300" s="141">
        <v>0</v>
      </c>
      <c r="CZ300" s="141">
        <v>-38046</v>
      </c>
      <c r="DA300" s="141">
        <v>0</v>
      </c>
      <c r="DB300" s="141">
        <v>0</v>
      </c>
      <c r="DC300" s="141">
        <v>0</v>
      </c>
      <c r="DD300" s="141">
        <v>-60100</v>
      </c>
      <c r="DE300" s="141">
        <v>0</v>
      </c>
      <c r="DF300" s="141">
        <v>-60100</v>
      </c>
      <c r="DG300" s="141">
        <v>-62708</v>
      </c>
      <c r="DH300" s="141">
        <v>0</v>
      </c>
      <c r="DI300" s="141">
        <v>-62708</v>
      </c>
      <c r="DJ300" s="141">
        <v>0</v>
      </c>
      <c r="DK300" s="141">
        <v>0</v>
      </c>
      <c r="DL300" s="141">
        <v>0</v>
      </c>
      <c r="DM300" s="141">
        <v>-1125000</v>
      </c>
      <c r="DN300" s="141">
        <v>0</v>
      </c>
      <c r="DO300" s="141">
        <v>-1125000</v>
      </c>
      <c r="DP300" s="141">
        <v>-1285854</v>
      </c>
      <c r="DQ300" s="141">
        <v>0</v>
      </c>
      <c r="DR300" s="141">
        <v>0</v>
      </c>
      <c r="DS300" s="141">
        <v>0</v>
      </c>
      <c r="DT300" s="141">
        <v>-1285854</v>
      </c>
      <c r="DU300" s="141">
        <v>0</v>
      </c>
      <c r="DV300" s="141">
        <v>-1285854</v>
      </c>
      <c r="DW300" s="856">
        <v>31985939</v>
      </c>
      <c r="DX300" s="856">
        <v>0</v>
      </c>
      <c r="DY300" s="857">
        <v>31985939</v>
      </c>
      <c r="DZ300" t="s">
        <v>1866</v>
      </c>
    </row>
    <row r="301" spans="1:130" ht="12.75" x14ac:dyDescent="0.2">
      <c r="A301" s="764">
        <v>294</v>
      </c>
      <c r="B301" s="765" t="s">
        <v>479</v>
      </c>
      <c r="C301" s="766" t="s">
        <v>1217</v>
      </c>
      <c r="D301" s="767" t="s">
        <v>1220</v>
      </c>
      <c r="E301" s="768" t="s">
        <v>478</v>
      </c>
      <c r="F301" s="867">
        <v>43465</v>
      </c>
      <c r="G301" s="141">
        <v>72112106</v>
      </c>
      <c r="H301" s="141">
        <v>0</v>
      </c>
      <c r="I301" s="141">
        <v>72112106</v>
      </c>
      <c r="J301" s="141">
        <v>49.1</v>
      </c>
      <c r="K301" s="141">
        <v>35407044</v>
      </c>
      <c r="L301" s="141">
        <v>0</v>
      </c>
      <c r="M301" s="141">
        <v>0</v>
      </c>
      <c r="N301" s="141">
        <v>0</v>
      </c>
      <c r="O301" s="141">
        <v>35407044</v>
      </c>
      <c r="P301" s="141">
        <v>0</v>
      </c>
      <c r="Q301" s="141">
        <v>35407044</v>
      </c>
      <c r="R301" s="141">
        <v>-251663</v>
      </c>
      <c r="S301" s="141">
        <v>0</v>
      </c>
      <c r="T301" s="141">
        <v>-251663</v>
      </c>
      <c r="U301" s="141">
        <v>560350</v>
      </c>
      <c r="V301" s="141">
        <v>0</v>
      </c>
      <c r="W301" s="141">
        <v>560350</v>
      </c>
      <c r="X301" s="141">
        <v>308687</v>
      </c>
      <c r="Y301" s="141">
        <v>0</v>
      </c>
      <c r="Z301" s="141">
        <v>0</v>
      </c>
      <c r="AA301" s="141">
        <v>0</v>
      </c>
      <c r="AB301" s="141">
        <v>308687</v>
      </c>
      <c r="AC301" s="141">
        <v>0</v>
      </c>
      <c r="AD301" s="141">
        <v>308687</v>
      </c>
      <c r="AE301" s="141">
        <v>-308687</v>
      </c>
      <c r="AF301" s="141">
        <v>0</v>
      </c>
      <c r="AG301" s="141">
        <v>-308687</v>
      </c>
      <c r="AH301" s="141">
        <v>-3472289</v>
      </c>
      <c r="AI301" s="141">
        <v>0</v>
      </c>
      <c r="AJ301" s="141">
        <v>-3472289</v>
      </c>
      <c r="AK301" s="141">
        <v>0</v>
      </c>
      <c r="AL301" s="141">
        <v>0</v>
      </c>
      <c r="AM301" s="141">
        <v>0</v>
      </c>
      <c r="AN301" s="141">
        <v>667062</v>
      </c>
      <c r="AO301" s="141">
        <v>0</v>
      </c>
      <c r="AP301" s="141">
        <v>667062</v>
      </c>
      <c r="AQ301" s="141">
        <v>-2805227</v>
      </c>
      <c r="AR301" s="141">
        <v>0</v>
      </c>
      <c r="AS301" s="141">
        <v>-2805227</v>
      </c>
      <c r="AT301" s="141">
        <v>-1833690</v>
      </c>
      <c r="AU301" s="141">
        <v>0</v>
      </c>
      <c r="AV301" s="141">
        <v>-1833690</v>
      </c>
      <c r="AW301" s="141">
        <v>-1533</v>
      </c>
      <c r="AX301" s="141">
        <v>0</v>
      </c>
      <c r="AY301" s="141">
        <v>-1533</v>
      </c>
      <c r="AZ301" s="141">
        <v>0</v>
      </c>
      <c r="BA301" s="141">
        <v>0</v>
      </c>
      <c r="BB301" s="141">
        <v>0</v>
      </c>
      <c r="BC301" s="141">
        <v>-4640450</v>
      </c>
      <c r="BD301" s="141">
        <v>0</v>
      </c>
      <c r="BE301" s="141">
        <v>0</v>
      </c>
      <c r="BF301" s="141">
        <v>0</v>
      </c>
      <c r="BG301" s="141">
        <v>-4640450</v>
      </c>
      <c r="BH301" s="141">
        <v>0</v>
      </c>
      <c r="BI301" s="141">
        <v>-4640450</v>
      </c>
      <c r="BJ301" s="141">
        <v>-195743</v>
      </c>
      <c r="BK301" s="141">
        <v>0</v>
      </c>
      <c r="BL301" s="141">
        <v>-195743</v>
      </c>
      <c r="BM301" s="141">
        <v>-1151733</v>
      </c>
      <c r="BN301" s="141">
        <v>0</v>
      </c>
      <c r="BO301" s="141">
        <v>-1151733</v>
      </c>
      <c r="BP301" s="141">
        <v>-1347476</v>
      </c>
      <c r="BQ301" s="141">
        <v>0</v>
      </c>
      <c r="BR301" s="141">
        <v>0</v>
      </c>
      <c r="BS301" s="141">
        <v>0</v>
      </c>
      <c r="BT301" s="141">
        <v>-1347476</v>
      </c>
      <c r="BU301" s="141">
        <v>0</v>
      </c>
      <c r="BV301" s="141">
        <v>-1347476</v>
      </c>
      <c r="BW301" s="141">
        <v>-88492</v>
      </c>
      <c r="BX301" s="141">
        <v>0</v>
      </c>
      <c r="BY301" s="141">
        <v>-88492</v>
      </c>
      <c r="BZ301" s="141">
        <v>-11698</v>
      </c>
      <c r="CA301" s="141">
        <v>0</v>
      </c>
      <c r="CB301" s="141">
        <v>-11698</v>
      </c>
      <c r="CC301" s="141">
        <v>-383</v>
      </c>
      <c r="CD301" s="141">
        <v>0</v>
      </c>
      <c r="CE301" s="141">
        <v>-383</v>
      </c>
      <c r="CF301" s="141">
        <v>0</v>
      </c>
      <c r="CG301" s="141">
        <v>0</v>
      </c>
      <c r="CH301" s="141">
        <v>0</v>
      </c>
      <c r="CI301" s="141">
        <v>0</v>
      </c>
      <c r="CJ301" s="141">
        <v>0</v>
      </c>
      <c r="CK301" s="141">
        <v>0</v>
      </c>
      <c r="CL301" s="141">
        <v>0</v>
      </c>
      <c r="CM301" s="141">
        <v>0</v>
      </c>
      <c r="CN301" s="141">
        <v>0</v>
      </c>
      <c r="CO301" s="141">
        <v>0</v>
      </c>
      <c r="CP301" s="141">
        <v>0</v>
      </c>
      <c r="CQ301" s="141">
        <v>-100573</v>
      </c>
      <c r="CR301" s="141">
        <v>0</v>
      </c>
      <c r="CS301" s="141">
        <v>0</v>
      </c>
      <c r="CT301" s="141">
        <v>0</v>
      </c>
      <c r="CU301" s="141">
        <v>-100573</v>
      </c>
      <c r="CV301" s="141">
        <v>0</v>
      </c>
      <c r="CW301" s="141">
        <v>-100573</v>
      </c>
      <c r="CX301" s="141">
        <v>0</v>
      </c>
      <c r="CY301" s="141">
        <v>0</v>
      </c>
      <c r="CZ301" s="141">
        <v>0</v>
      </c>
      <c r="DA301" s="141">
        <v>0</v>
      </c>
      <c r="DB301" s="141">
        <v>0</v>
      </c>
      <c r="DC301" s="141">
        <v>0</v>
      </c>
      <c r="DD301" s="141">
        <v>0</v>
      </c>
      <c r="DE301" s="141">
        <v>0</v>
      </c>
      <c r="DF301" s="141">
        <v>0</v>
      </c>
      <c r="DG301" s="141">
        <v>-12168</v>
      </c>
      <c r="DH301" s="141">
        <v>0</v>
      </c>
      <c r="DI301" s="141">
        <v>-12168</v>
      </c>
      <c r="DJ301" s="141">
        <v>0</v>
      </c>
      <c r="DK301" s="141">
        <v>0</v>
      </c>
      <c r="DL301" s="141">
        <v>0</v>
      </c>
      <c r="DM301" s="141">
        <v>-546353</v>
      </c>
      <c r="DN301" s="141">
        <v>0</v>
      </c>
      <c r="DO301" s="141">
        <v>-546353</v>
      </c>
      <c r="DP301" s="141">
        <v>-558521</v>
      </c>
      <c r="DQ301" s="141">
        <v>0</v>
      </c>
      <c r="DR301" s="141">
        <v>0</v>
      </c>
      <c r="DS301" s="141">
        <v>0</v>
      </c>
      <c r="DT301" s="141">
        <v>-558521</v>
      </c>
      <c r="DU301" s="141">
        <v>0</v>
      </c>
      <c r="DV301" s="141">
        <v>-558521</v>
      </c>
      <c r="DW301" s="856">
        <v>29068711</v>
      </c>
      <c r="DX301" s="856">
        <v>0</v>
      </c>
      <c r="DY301" s="857">
        <v>29068711</v>
      </c>
      <c r="DZ301" t="s">
        <v>1867</v>
      </c>
    </row>
    <row r="302" spans="1:130" ht="12.75" x14ac:dyDescent="0.2">
      <c r="A302" s="764">
        <v>295</v>
      </c>
      <c r="B302" s="765" t="s">
        <v>481</v>
      </c>
      <c r="C302" s="766" t="s">
        <v>1217</v>
      </c>
      <c r="D302" s="767" t="s">
        <v>1221</v>
      </c>
      <c r="E302" s="768" t="s">
        <v>480</v>
      </c>
      <c r="F302" s="867">
        <v>43465</v>
      </c>
      <c r="G302" s="141">
        <v>146137719</v>
      </c>
      <c r="H302" s="141">
        <v>0</v>
      </c>
      <c r="I302" s="141">
        <v>146137719</v>
      </c>
      <c r="J302" s="141">
        <v>49.1</v>
      </c>
      <c r="K302" s="141">
        <v>71753620</v>
      </c>
      <c r="L302" s="141">
        <v>0</v>
      </c>
      <c r="M302" s="141">
        <v>-260171</v>
      </c>
      <c r="N302" s="141">
        <v>0</v>
      </c>
      <c r="O302" s="141">
        <v>71493449</v>
      </c>
      <c r="P302" s="141">
        <v>0</v>
      </c>
      <c r="Q302" s="141">
        <v>71493449</v>
      </c>
      <c r="R302" s="141">
        <v>-585359</v>
      </c>
      <c r="S302" s="141">
        <v>0</v>
      </c>
      <c r="T302" s="141">
        <v>-585359</v>
      </c>
      <c r="U302" s="141">
        <v>442510</v>
      </c>
      <c r="V302" s="141">
        <v>0</v>
      </c>
      <c r="W302" s="141">
        <v>442510</v>
      </c>
      <c r="X302" s="141">
        <v>-142849</v>
      </c>
      <c r="Y302" s="141">
        <v>0</v>
      </c>
      <c r="Z302" s="141">
        <v>0</v>
      </c>
      <c r="AA302" s="141">
        <v>0</v>
      </c>
      <c r="AB302" s="141">
        <v>-142849</v>
      </c>
      <c r="AC302" s="141">
        <v>0</v>
      </c>
      <c r="AD302" s="141">
        <v>-142849</v>
      </c>
      <c r="AE302" s="141">
        <v>142849</v>
      </c>
      <c r="AF302" s="141">
        <v>0</v>
      </c>
      <c r="AG302" s="141">
        <v>142849</v>
      </c>
      <c r="AH302" s="141">
        <v>-2264191</v>
      </c>
      <c r="AI302" s="141">
        <v>0</v>
      </c>
      <c r="AJ302" s="141">
        <v>-2264191</v>
      </c>
      <c r="AK302" s="141">
        <v>0</v>
      </c>
      <c r="AL302" s="141">
        <v>0</v>
      </c>
      <c r="AM302" s="141">
        <v>0</v>
      </c>
      <c r="AN302" s="141">
        <v>1539042</v>
      </c>
      <c r="AO302" s="141">
        <v>0</v>
      </c>
      <c r="AP302" s="141">
        <v>1539042</v>
      </c>
      <c r="AQ302" s="141">
        <v>-725149</v>
      </c>
      <c r="AR302" s="141">
        <v>0</v>
      </c>
      <c r="AS302" s="141">
        <v>-725149</v>
      </c>
      <c r="AT302" s="141">
        <v>-7081584</v>
      </c>
      <c r="AU302" s="141">
        <v>0</v>
      </c>
      <c r="AV302" s="141">
        <v>-7081584</v>
      </c>
      <c r="AW302" s="141">
        <v>-52978</v>
      </c>
      <c r="AX302" s="141">
        <v>0</v>
      </c>
      <c r="AY302" s="141">
        <v>-52978</v>
      </c>
      <c r="AZ302" s="141">
        <v>0</v>
      </c>
      <c r="BA302" s="141">
        <v>0</v>
      </c>
      <c r="BB302" s="141">
        <v>0</v>
      </c>
      <c r="BC302" s="141">
        <v>-7859711</v>
      </c>
      <c r="BD302" s="141">
        <v>0</v>
      </c>
      <c r="BE302" s="141">
        <v>-157194</v>
      </c>
      <c r="BF302" s="141">
        <v>0</v>
      </c>
      <c r="BG302" s="141">
        <v>-8016905</v>
      </c>
      <c r="BH302" s="141">
        <v>0</v>
      </c>
      <c r="BI302" s="141">
        <v>-8016905</v>
      </c>
      <c r="BJ302" s="141">
        <v>-50000</v>
      </c>
      <c r="BK302" s="141">
        <v>0</v>
      </c>
      <c r="BL302" s="141">
        <v>-50000</v>
      </c>
      <c r="BM302" s="141">
        <v>-496524</v>
      </c>
      <c r="BN302" s="141">
        <v>0</v>
      </c>
      <c r="BO302" s="141">
        <v>-496524</v>
      </c>
      <c r="BP302" s="141">
        <v>-546524</v>
      </c>
      <c r="BQ302" s="141">
        <v>0</v>
      </c>
      <c r="BR302" s="141">
        <v>-54652</v>
      </c>
      <c r="BS302" s="141">
        <v>0</v>
      </c>
      <c r="BT302" s="141">
        <v>-601176</v>
      </c>
      <c r="BU302" s="141">
        <v>0</v>
      </c>
      <c r="BV302" s="141">
        <v>-601176</v>
      </c>
      <c r="BW302" s="141">
        <v>-189615</v>
      </c>
      <c r="BX302" s="141">
        <v>0</v>
      </c>
      <c r="BY302" s="141">
        <v>-189615</v>
      </c>
      <c r="BZ302" s="141">
        <v>-30091</v>
      </c>
      <c r="CA302" s="141">
        <v>0</v>
      </c>
      <c r="CB302" s="141">
        <v>-30091</v>
      </c>
      <c r="CC302" s="141">
        <v>-7017</v>
      </c>
      <c r="CD302" s="141">
        <v>0</v>
      </c>
      <c r="CE302" s="141">
        <v>-7017</v>
      </c>
      <c r="CF302" s="141">
        <v>0</v>
      </c>
      <c r="CG302" s="141">
        <v>0</v>
      </c>
      <c r="CH302" s="141">
        <v>0</v>
      </c>
      <c r="CI302" s="141">
        <v>0</v>
      </c>
      <c r="CJ302" s="141">
        <v>0</v>
      </c>
      <c r="CK302" s="141">
        <v>0</v>
      </c>
      <c r="CL302" s="141">
        <v>0</v>
      </c>
      <c r="CM302" s="141">
        <v>0</v>
      </c>
      <c r="CN302" s="141">
        <v>0</v>
      </c>
      <c r="CO302" s="141">
        <v>0</v>
      </c>
      <c r="CP302" s="141">
        <v>0</v>
      </c>
      <c r="CQ302" s="141">
        <v>-226723</v>
      </c>
      <c r="CR302" s="141">
        <v>0</v>
      </c>
      <c r="CS302" s="141">
        <v>-4534</v>
      </c>
      <c r="CT302" s="141">
        <v>0</v>
      </c>
      <c r="CU302" s="141">
        <v>-231257</v>
      </c>
      <c r="CV302" s="141">
        <v>0</v>
      </c>
      <c r="CW302" s="141">
        <v>-231257</v>
      </c>
      <c r="CX302" s="141">
        <v>0</v>
      </c>
      <c r="CY302" s="141">
        <v>0</v>
      </c>
      <c r="CZ302" s="141">
        <v>0</v>
      </c>
      <c r="DA302" s="141">
        <v>-1500</v>
      </c>
      <c r="DB302" s="141">
        <v>0</v>
      </c>
      <c r="DC302" s="141">
        <v>-1500</v>
      </c>
      <c r="DD302" s="141">
        <v>-50262</v>
      </c>
      <c r="DE302" s="141">
        <v>0</v>
      </c>
      <c r="DF302" s="141">
        <v>-50262</v>
      </c>
      <c r="DG302" s="141">
        <v>-59808</v>
      </c>
      <c r="DH302" s="141">
        <v>0</v>
      </c>
      <c r="DI302" s="141">
        <v>-59808</v>
      </c>
      <c r="DJ302" s="141">
        <v>0</v>
      </c>
      <c r="DK302" s="141">
        <v>0</v>
      </c>
      <c r="DL302" s="141">
        <v>0</v>
      </c>
      <c r="DM302" s="141">
        <v>-952610</v>
      </c>
      <c r="DN302" s="141">
        <v>0</v>
      </c>
      <c r="DO302" s="141">
        <v>-952610</v>
      </c>
      <c r="DP302" s="141">
        <v>-1064180</v>
      </c>
      <c r="DQ302" s="141">
        <v>0</v>
      </c>
      <c r="DR302" s="141">
        <v>0</v>
      </c>
      <c r="DS302" s="141">
        <v>0</v>
      </c>
      <c r="DT302" s="141">
        <v>-1064180</v>
      </c>
      <c r="DU302" s="141">
        <v>0</v>
      </c>
      <c r="DV302" s="141">
        <v>-1064180</v>
      </c>
      <c r="DW302" s="856">
        <v>61437082</v>
      </c>
      <c r="DX302" s="856">
        <v>0</v>
      </c>
      <c r="DY302" s="857">
        <v>61437082</v>
      </c>
      <c r="DZ302" t="s">
        <v>1868</v>
      </c>
    </row>
    <row r="303" spans="1:130" ht="12.75" x14ac:dyDescent="0.2">
      <c r="A303" s="764">
        <v>296</v>
      </c>
      <c r="B303" s="765" t="s">
        <v>483</v>
      </c>
      <c r="C303" s="766" t="s">
        <v>529</v>
      </c>
      <c r="D303" s="767" t="s">
        <v>1218</v>
      </c>
      <c r="E303" s="768" t="s">
        <v>538</v>
      </c>
      <c r="F303" s="867">
        <v>43473</v>
      </c>
      <c r="G303" s="141">
        <v>205609151</v>
      </c>
      <c r="H303" s="141">
        <v>0</v>
      </c>
      <c r="I303" s="141">
        <v>205609151</v>
      </c>
      <c r="J303" s="141">
        <v>49.1</v>
      </c>
      <c r="K303" s="141">
        <v>100954093</v>
      </c>
      <c r="L303" s="141">
        <v>0</v>
      </c>
      <c r="M303" s="141">
        <v>-3400000</v>
      </c>
      <c r="N303" s="141">
        <v>0</v>
      </c>
      <c r="O303" s="141">
        <v>97554093</v>
      </c>
      <c r="P303" s="141">
        <v>0</v>
      </c>
      <c r="Q303" s="141">
        <v>97554093</v>
      </c>
      <c r="R303" s="141">
        <v>-1843284</v>
      </c>
      <c r="S303" s="141">
        <v>0</v>
      </c>
      <c r="T303" s="141">
        <v>-1843284</v>
      </c>
      <c r="U303" s="141">
        <v>3029500</v>
      </c>
      <c r="V303" s="141">
        <v>0</v>
      </c>
      <c r="W303" s="141">
        <v>3029500</v>
      </c>
      <c r="X303" s="141">
        <v>1186216</v>
      </c>
      <c r="Y303" s="141">
        <v>0</v>
      </c>
      <c r="Z303" s="141">
        <v>200000</v>
      </c>
      <c r="AA303" s="141">
        <v>0</v>
      </c>
      <c r="AB303" s="141">
        <v>1386216</v>
      </c>
      <c r="AC303" s="141">
        <v>0</v>
      </c>
      <c r="AD303" s="141">
        <v>1386216</v>
      </c>
      <c r="AE303" s="141">
        <v>-1386216</v>
      </c>
      <c r="AF303" s="141">
        <v>0</v>
      </c>
      <c r="AG303" s="141">
        <v>-1386216</v>
      </c>
      <c r="AH303" s="141">
        <v>-4962260</v>
      </c>
      <c r="AI303" s="141">
        <v>0</v>
      </c>
      <c r="AJ303" s="141">
        <v>-4962260</v>
      </c>
      <c r="AK303" s="141">
        <v>-13253</v>
      </c>
      <c r="AL303" s="141">
        <v>0</v>
      </c>
      <c r="AM303" s="141">
        <v>-13253</v>
      </c>
      <c r="AN303" s="141">
        <v>1960827</v>
      </c>
      <c r="AO303" s="141">
        <v>0</v>
      </c>
      <c r="AP303" s="141">
        <v>1960827</v>
      </c>
      <c r="AQ303" s="141">
        <v>-3001433</v>
      </c>
      <c r="AR303" s="141">
        <v>0</v>
      </c>
      <c r="AS303" s="141">
        <v>-3001433</v>
      </c>
      <c r="AT303" s="141">
        <v>-5125626</v>
      </c>
      <c r="AU303" s="141">
        <v>0</v>
      </c>
      <c r="AV303" s="141">
        <v>-5125626</v>
      </c>
      <c r="AW303" s="141">
        <v>-70711</v>
      </c>
      <c r="AX303" s="141">
        <v>0</v>
      </c>
      <c r="AY303" s="141">
        <v>-70711</v>
      </c>
      <c r="AZ303" s="141">
        <v>-9245</v>
      </c>
      <c r="BA303" s="141">
        <v>0</v>
      </c>
      <c r="BB303" s="141">
        <v>-9245</v>
      </c>
      <c r="BC303" s="141">
        <v>-8207015</v>
      </c>
      <c r="BD303" s="141">
        <v>0</v>
      </c>
      <c r="BE303" s="141">
        <v>0</v>
      </c>
      <c r="BF303" s="141">
        <v>0</v>
      </c>
      <c r="BG303" s="141">
        <v>-8207015</v>
      </c>
      <c r="BH303" s="141">
        <v>0</v>
      </c>
      <c r="BI303" s="141">
        <v>-8207015</v>
      </c>
      <c r="BJ303" s="141">
        <v>0</v>
      </c>
      <c r="BK303" s="141">
        <v>0</v>
      </c>
      <c r="BL303" s="141">
        <v>0</v>
      </c>
      <c r="BM303" s="141">
        <v>-1708434</v>
      </c>
      <c r="BN303" s="141">
        <v>0</v>
      </c>
      <c r="BO303" s="141">
        <v>-1708434</v>
      </c>
      <c r="BP303" s="141">
        <v>-1708434</v>
      </c>
      <c r="BQ303" s="141">
        <v>0</v>
      </c>
      <c r="BR303" s="141">
        <v>0</v>
      </c>
      <c r="BS303" s="141">
        <v>0</v>
      </c>
      <c r="BT303" s="141">
        <v>-1708434</v>
      </c>
      <c r="BU303" s="141">
        <v>0</v>
      </c>
      <c r="BV303" s="141">
        <v>-1708434</v>
      </c>
      <c r="BW303" s="141">
        <v>-66056</v>
      </c>
      <c r="BX303" s="141">
        <v>0</v>
      </c>
      <c r="BY303" s="141">
        <v>-66056</v>
      </c>
      <c r="BZ303" s="141">
        <v>-29332</v>
      </c>
      <c r="CA303" s="141">
        <v>0</v>
      </c>
      <c r="CB303" s="141">
        <v>-29332</v>
      </c>
      <c r="CC303" s="141">
        <v>-5596</v>
      </c>
      <c r="CD303" s="141">
        <v>0</v>
      </c>
      <c r="CE303" s="141">
        <v>-5596</v>
      </c>
      <c r="CF303" s="141">
        <v>-7749</v>
      </c>
      <c r="CG303" s="141">
        <v>0</v>
      </c>
      <c r="CH303" s="141">
        <v>-7749</v>
      </c>
      <c r="CI303" s="141">
        <v>-7431</v>
      </c>
      <c r="CJ303" s="141">
        <v>0</v>
      </c>
      <c r="CK303" s="141">
        <v>-7431</v>
      </c>
      <c r="CL303" s="141">
        <v>0</v>
      </c>
      <c r="CM303" s="141">
        <v>0</v>
      </c>
      <c r="CN303" s="141">
        <v>0</v>
      </c>
      <c r="CO303" s="141">
        <v>0</v>
      </c>
      <c r="CP303" s="141">
        <v>0</v>
      </c>
      <c r="CQ303" s="141">
        <v>-116164</v>
      </c>
      <c r="CR303" s="141">
        <v>0</v>
      </c>
      <c r="CS303" s="141">
        <v>0</v>
      </c>
      <c r="CT303" s="141">
        <v>0</v>
      </c>
      <c r="CU303" s="141">
        <v>-116164</v>
      </c>
      <c r="CV303" s="141">
        <v>0</v>
      </c>
      <c r="CW303" s="141">
        <v>-116164</v>
      </c>
      <c r="CX303" s="141">
        <v>0</v>
      </c>
      <c r="CY303" s="141">
        <v>0</v>
      </c>
      <c r="CZ303" s="141">
        <v>0</v>
      </c>
      <c r="DA303" s="141">
        <v>0</v>
      </c>
      <c r="DB303" s="141">
        <v>0</v>
      </c>
      <c r="DC303" s="141">
        <v>0</v>
      </c>
      <c r="DD303" s="141">
        <v>-50509</v>
      </c>
      <c r="DE303" s="141">
        <v>0</v>
      </c>
      <c r="DF303" s="141">
        <v>-50509</v>
      </c>
      <c r="DG303" s="141">
        <v>-110186</v>
      </c>
      <c r="DH303" s="141">
        <v>0</v>
      </c>
      <c r="DI303" s="141">
        <v>-110186</v>
      </c>
      <c r="DJ303" s="141">
        <v>0</v>
      </c>
      <c r="DK303" s="141">
        <v>0</v>
      </c>
      <c r="DL303" s="141">
        <v>0</v>
      </c>
      <c r="DM303" s="141">
        <v>-535000</v>
      </c>
      <c r="DN303" s="141">
        <v>0</v>
      </c>
      <c r="DO303" s="141">
        <v>-535000</v>
      </c>
      <c r="DP303" s="141">
        <v>-695695</v>
      </c>
      <c r="DQ303" s="141">
        <v>0</v>
      </c>
      <c r="DR303" s="141">
        <v>0</v>
      </c>
      <c r="DS303" s="141">
        <v>0</v>
      </c>
      <c r="DT303" s="141">
        <v>-695695</v>
      </c>
      <c r="DU303" s="141">
        <v>0</v>
      </c>
      <c r="DV303" s="141">
        <v>-695695</v>
      </c>
      <c r="DW303" s="856">
        <v>88213001</v>
      </c>
      <c r="DX303" s="856">
        <v>0</v>
      </c>
      <c r="DY303" s="857">
        <v>88213001</v>
      </c>
      <c r="DZ303" t="s">
        <v>1869</v>
      </c>
    </row>
    <row r="304" spans="1:130" ht="12.75" x14ac:dyDescent="0.2">
      <c r="A304" s="764">
        <v>297</v>
      </c>
      <c r="B304" s="765" t="s">
        <v>485</v>
      </c>
      <c r="C304" s="766" t="s">
        <v>1217</v>
      </c>
      <c r="D304" s="767" t="s">
        <v>1226</v>
      </c>
      <c r="E304" s="768" t="s">
        <v>484</v>
      </c>
      <c r="F304" s="867">
        <v>43493</v>
      </c>
      <c r="G304" s="141">
        <v>32123674</v>
      </c>
      <c r="H304" s="141">
        <v>0</v>
      </c>
      <c r="I304" s="141">
        <v>32123674</v>
      </c>
      <c r="J304" s="141">
        <v>49.1</v>
      </c>
      <c r="K304" s="141">
        <v>15772724</v>
      </c>
      <c r="L304" s="141">
        <v>0</v>
      </c>
      <c r="M304" s="141">
        <v>0</v>
      </c>
      <c r="N304" s="141">
        <v>0</v>
      </c>
      <c r="O304" s="141">
        <v>15772724</v>
      </c>
      <c r="P304" s="141">
        <v>0</v>
      </c>
      <c r="Q304" s="141">
        <v>15772724</v>
      </c>
      <c r="R304" s="141">
        <v>-299972</v>
      </c>
      <c r="S304" s="141">
        <v>0</v>
      </c>
      <c r="T304" s="141">
        <v>-299972</v>
      </c>
      <c r="U304" s="141">
        <v>15153</v>
      </c>
      <c r="V304" s="141">
        <v>0</v>
      </c>
      <c r="W304" s="141">
        <v>15153</v>
      </c>
      <c r="X304" s="141">
        <v>-284819</v>
      </c>
      <c r="Y304" s="141">
        <v>0</v>
      </c>
      <c r="Z304" s="141">
        <v>0</v>
      </c>
      <c r="AA304" s="141">
        <v>0</v>
      </c>
      <c r="AB304" s="141">
        <v>-284819</v>
      </c>
      <c r="AC304" s="141">
        <v>0</v>
      </c>
      <c r="AD304" s="141">
        <v>-284819</v>
      </c>
      <c r="AE304" s="141">
        <v>284819</v>
      </c>
      <c r="AF304" s="141">
        <v>0</v>
      </c>
      <c r="AG304" s="141">
        <v>284819</v>
      </c>
      <c r="AH304" s="141">
        <v>-2776918</v>
      </c>
      <c r="AI304" s="141">
        <v>0</v>
      </c>
      <c r="AJ304" s="141">
        <v>-2776918</v>
      </c>
      <c r="AK304" s="141">
        <v>0</v>
      </c>
      <c r="AL304" s="141">
        <v>0</v>
      </c>
      <c r="AM304" s="141">
        <v>0</v>
      </c>
      <c r="AN304" s="141">
        <v>210152</v>
      </c>
      <c r="AO304" s="141">
        <v>0</v>
      </c>
      <c r="AP304" s="141">
        <v>210152</v>
      </c>
      <c r="AQ304" s="141">
        <v>-2566766</v>
      </c>
      <c r="AR304" s="141">
        <v>0</v>
      </c>
      <c r="AS304" s="141">
        <v>-2566766</v>
      </c>
      <c r="AT304" s="141">
        <v>-1369420</v>
      </c>
      <c r="AU304" s="141">
        <v>0</v>
      </c>
      <c r="AV304" s="141">
        <v>-1369420</v>
      </c>
      <c r="AW304" s="141">
        <v>-75167</v>
      </c>
      <c r="AX304" s="141">
        <v>0</v>
      </c>
      <c r="AY304" s="141">
        <v>-75167</v>
      </c>
      <c r="AZ304" s="141">
        <v>-43030</v>
      </c>
      <c r="BA304" s="141">
        <v>0</v>
      </c>
      <c r="BB304" s="141">
        <v>-43030</v>
      </c>
      <c r="BC304" s="141">
        <v>-4054383</v>
      </c>
      <c r="BD304" s="141">
        <v>0</v>
      </c>
      <c r="BE304" s="141">
        <v>0</v>
      </c>
      <c r="BF304" s="141">
        <v>0</v>
      </c>
      <c r="BG304" s="141">
        <v>-4054383</v>
      </c>
      <c r="BH304" s="141">
        <v>0</v>
      </c>
      <c r="BI304" s="141">
        <v>-4054383</v>
      </c>
      <c r="BJ304" s="141">
        <v>-10000</v>
      </c>
      <c r="BK304" s="141">
        <v>0</v>
      </c>
      <c r="BL304" s="141">
        <v>-10000</v>
      </c>
      <c r="BM304" s="141">
        <v>-466881</v>
      </c>
      <c r="BN304" s="141">
        <v>0</v>
      </c>
      <c r="BO304" s="141">
        <v>-466881</v>
      </c>
      <c r="BP304" s="141">
        <v>-476881</v>
      </c>
      <c r="BQ304" s="141">
        <v>0</v>
      </c>
      <c r="BR304" s="141">
        <v>0</v>
      </c>
      <c r="BS304" s="141">
        <v>0</v>
      </c>
      <c r="BT304" s="141">
        <v>-476881</v>
      </c>
      <c r="BU304" s="141">
        <v>0</v>
      </c>
      <c r="BV304" s="141">
        <v>-476881</v>
      </c>
      <c r="BW304" s="141">
        <v>-51000</v>
      </c>
      <c r="BX304" s="141">
        <v>0</v>
      </c>
      <c r="BY304" s="141">
        <v>-51000</v>
      </c>
      <c r="BZ304" s="141">
        <v>-15000</v>
      </c>
      <c r="CA304" s="141">
        <v>0</v>
      </c>
      <c r="CB304" s="141">
        <v>-15000</v>
      </c>
      <c r="CC304" s="141">
        <v>-5000</v>
      </c>
      <c r="CD304" s="141">
        <v>0</v>
      </c>
      <c r="CE304" s="141">
        <v>-5000</v>
      </c>
      <c r="CF304" s="141">
        <v>0</v>
      </c>
      <c r="CG304" s="141">
        <v>0</v>
      </c>
      <c r="CH304" s="141">
        <v>0</v>
      </c>
      <c r="CI304" s="141">
        <v>0</v>
      </c>
      <c r="CJ304" s="141">
        <v>0</v>
      </c>
      <c r="CK304" s="141">
        <v>0</v>
      </c>
      <c r="CL304" s="141">
        <v>0</v>
      </c>
      <c r="CM304" s="141">
        <v>0</v>
      </c>
      <c r="CN304" s="141">
        <v>0</v>
      </c>
      <c r="CO304" s="141">
        <v>0</v>
      </c>
      <c r="CP304" s="141">
        <v>0</v>
      </c>
      <c r="CQ304" s="141">
        <v>-71000</v>
      </c>
      <c r="CR304" s="141">
        <v>0</v>
      </c>
      <c r="CS304" s="141">
        <v>0</v>
      </c>
      <c r="CT304" s="141">
        <v>0</v>
      </c>
      <c r="CU304" s="141">
        <v>-71000</v>
      </c>
      <c r="CV304" s="141">
        <v>0</v>
      </c>
      <c r="CW304" s="141">
        <v>-71000</v>
      </c>
      <c r="CX304" s="141">
        <v>-43030</v>
      </c>
      <c r="CY304" s="141">
        <v>0</v>
      </c>
      <c r="CZ304" s="141">
        <v>-43030</v>
      </c>
      <c r="DA304" s="141">
        <v>-1500</v>
      </c>
      <c r="DB304" s="141">
        <v>0</v>
      </c>
      <c r="DC304" s="141">
        <v>-1500</v>
      </c>
      <c r="DD304" s="141">
        <v>-23068</v>
      </c>
      <c r="DE304" s="141">
        <v>0</v>
      </c>
      <c r="DF304" s="141">
        <v>-23068</v>
      </c>
      <c r="DG304" s="141">
        <v>-22386</v>
      </c>
      <c r="DH304" s="141">
        <v>0</v>
      </c>
      <c r="DI304" s="141">
        <v>-22386</v>
      </c>
      <c r="DJ304" s="141">
        <v>0</v>
      </c>
      <c r="DK304" s="141">
        <v>0</v>
      </c>
      <c r="DL304" s="141">
        <v>0</v>
      </c>
      <c r="DM304" s="141">
        <v>-545759</v>
      </c>
      <c r="DN304" s="141">
        <v>0</v>
      </c>
      <c r="DO304" s="141">
        <v>-545759</v>
      </c>
      <c r="DP304" s="141">
        <v>-635743</v>
      </c>
      <c r="DQ304" s="141">
        <v>0</v>
      </c>
      <c r="DR304" s="141">
        <v>0</v>
      </c>
      <c r="DS304" s="141">
        <v>0</v>
      </c>
      <c r="DT304" s="141">
        <v>-635743</v>
      </c>
      <c r="DU304" s="141">
        <v>0</v>
      </c>
      <c r="DV304" s="141">
        <v>-635743</v>
      </c>
      <c r="DW304" s="856">
        <v>10249898</v>
      </c>
      <c r="DX304" s="856">
        <v>0</v>
      </c>
      <c r="DY304" s="857">
        <v>10249898</v>
      </c>
      <c r="DZ304" t="s">
        <v>1870</v>
      </c>
    </row>
    <row r="305" spans="1:130" ht="12.75" x14ac:dyDescent="0.2">
      <c r="A305" s="764">
        <v>298</v>
      </c>
      <c r="B305" s="765" t="s">
        <v>487</v>
      </c>
      <c r="C305" s="766" t="s">
        <v>1217</v>
      </c>
      <c r="D305" s="767" t="s">
        <v>1219</v>
      </c>
      <c r="E305" s="768" t="s">
        <v>486</v>
      </c>
      <c r="F305" s="867">
        <v>43453</v>
      </c>
      <c r="G305" s="141">
        <v>79980125</v>
      </c>
      <c r="H305" s="141">
        <v>0</v>
      </c>
      <c r="I305" s="141">
        <v>79980125</v>
      </c>
      <c r="J305" s="141">
        <v>49.1</v>
      </c>
      <c r="K305" s="141">
        <v>39270241</v>
      </c>
      <c r="L305" s="141">
        <v>0</v>
      </c>
      <c r="M305" s="141">
        <v>-39008</v>
      </c>
      <c r="N305" s="141">
        <v>0</v>
      </c>
      <c r="O305" s="141">
        <v>39231233</v>
      </c>
      <c r="P305" s="141">
        <v>0</v>
      </c>
      <c r="Q305" s="141">
        <v>39231233</v>
      </c>
      <c r="R305" s="141">
        <v>-274662</v>
      </c>
      <c r="S305" s="141">
        <v>0</v>
      </c>
      <c r="T305" s="141">
        <v>-274662</v>
      </c>
      <c r="U305" s="141">
        <v>477804</v>
      </c>
      <c r="V305" s="141">
        <v>0</v>
      </c>
      <c r="W305" s="141">
        <v>477804</v>
      </c>
      <c r="X305" s="141">
        <v>203142</v>
      </c>
      <c r="Y305" s="141">
        <v>0</v>
      </c>
      <c r="Z305" s="141">
        <v>0</v>
      </c>
      <c r="AA305" s="141">
        <v>0</v>
      </c>
      <c r="AB305" s="141">
        <v>203142</v>
      </c>
      <c r="AC305" s="141">
        <v>0</v>
      </c>
      <c r="AD305" s="141">
        <v>203142</v>
      </c>
      <c r="AE305" s="141">
        <v>-203142</v>
      </c>
      <c r="AF305" s="141">
        <v>0</v>
      </c>
      <c r="AG305" s="141">
        <v>-203142</v>
      </c>
      <c r="AH305" s="141">
        <v>-3658576</v>
      </c>
      <c r="AI305" s="141">
        <v>0</v>
      </c>
      <c r="AJ305" s="141">
        <v>-3658576</v>
      </c>
      <c r="AK305" s="141">
        <v>-5892</v>
      </c>
      <c r="AL305" s="141">
        <v>0</v>
      </c>
      <c r="AM305" s="141">
        <v>-5892</v>
      </c>
      <c r="AN305" s="141">
        <v>693784</v>
      </c>
      <c r="AO305" s="141">
        <v>0</v>
      </c>
      <c r="AP305" s="141">
        <v>693784</v>
      </c>
      <c r="AQ305" s="141">
        <v>-2964792</v>
      </c>
      <c r="AR305" s="141">
        <v>0</v>
      </c>
      <c r="AS305" s="141">
        <v>-2964792</v>
      </c>
      <c r="AT305" s="141">
        <v>-2691610</v>
      </c>
      <c r="AU305" s="141">
        <v>0</v>
      </c>
      <c r="AV305" s="141">
        <v>-2691610</v>
      </c>
      <c r="AW305" s="141">
        <v>0</v>
      </c>
      <c r="AX305" s="141">
        <v>0</v>
      </c>
      <c r="AY305" s="141">
        <v>0</v>
      </c>
      <c r="AZ305" s="141">
        <v>-1499</v>
      </c>
      <c r="BA305" s="141">
        <v>0</v>
      </c>
      <c r="BB305" s="141">
        <v>-1499</v>
      </c>
      <c r="BC305" s="141">
        <v>-5657901</v>
      </c>
      <c r="BD305" s="141">
        <v>0</v>
      </c>
      <c r="BE305" s="141">
        <v>0</v>
      </c>
      <c r="BF305" s="141">
        <v>0</v>
      </c>
      <c r="BG305" s="141">
        <v>-5657901</v>
      </c>
      <c r="BH305" s="141">
        <v>0</v>
      </c>
      <c r="BI305" s="141">
        <v>-5657901</v>
      </c>
      <c r="BJ305" s="141">
        <v>-71116</v>
      </c>
      <c r="BK305" s="141">
        <v>0</v>
      </c>
      <c r="BL305" s="141">
        <v>-71116</v>
      </c>
      <c r="BM305" s="141">
        <v>-445805</v>
      </c>
      <c r="BN305" s="141">
        <v>0</v>
      </c>
      <c r="BO305" s="141">
        <v>-445805</v>
      </c>
      <c r="BP305" s="141">
        <v>-516921</v>
      </c>
      <c r="BQ305" s="141">
        <v>0</v>
      </c>
      <c r="BR305" s="141">
        <v>-310000</v>
      </c>
      <c r="BS305" s="141">
        <v>0</v>
      </c>
      <c r="BT305" s="141">
        <v>-826921</v>
      </c>
      <c r="BU305" s="141">
        <v>0</v>
      </c>
      <c r="BV305" s="141">
        <v>-826921</v>
      </c>
      <c r="BW305" s="141">
        <v>-11441</v>
      </c>
      <c r="BX305" s="141">
        <v>0</v>
      </c>
      <c r="BY305" s="141">
        <v>-11441</v>
      </c>
      <c r="BZ305" s="141">
        <v>-15614</v>
      </c>
      <c r="CA305" s="141">
        <v>0</v>
      </c>
      <c r="CB305" s="141">
        <v>-15614</v>
      </c>
      <c r="CC305" s="141">
        <v>0</v>
      </c>
      <c r="CD305" s="141">
        <v>0</v>
      </c>
      <c r="CE305" s="141">
        <v>0</v>
      </c>
      <c r="CF305" s="141">
        <v>0</v>
      </c>
      <c r="CG305" s="141">
        <v>0</v>
      </c>
      <c r="CH305" s="141">
        <v>0</v>
      </c>
      <c r="CI305" s="141">
        <v>0</v>
      </c>
      <c r="CJ305" s="141">
        <v>0</v>
      </c>
      <c r="CK305" s="141">
        <v>0</v>
      </c>
      <c r="CL305" s="141">
        <v>0</v>
      </c>
      <c r="CM305" s="141">
        <v>0</v>
      </c>
      <c r="CN305" s="141">
        <v>0</v>
      </c>
      <c r="CO305" s="141">
        <v>0</v>
      </c>
      <c r="CP305" s="141">
        <v>0</v>
      </c>
      <c r="CQ305" s="141">
        <v>-27055</v>
      </c>
      <c r="CR305" s="141">
        <v>0</v>
      </c>
      <c r="CS305" s="141">
        <v>0</v>
      </c>
      <c r="CT305" s="141">
        <v>0</v>
      </c>
      <c r="CU305" s="141">
        <v>-27055</v>
      </c>
      <c r="CV305" s="141">
        <v>0</v>
      </c>
      <c r="CW305" s="141">
        <v>-27055</v>
      </c>
      <c r="CX305" s="141">
        <v>-1499</v>
      </c>
      <c r="CY305" s="141">
        <v>0</v>
      </c>
      <c r="CZ305" s="141">
        <v>-1499</v>
      </c>
      <c r="DA305" s="141">
        <v>0</v>
      </c>
      <c r="DB305" s="141">
        <v>0</v>
      </c>
      <c r="DC305" s="141">
        <v>0</v>
      </c>
      <c r="DD305" s="141">
        <v>-7903</v>
      </c>
      <c r="DE305" s="141">
        <v>0</v>
      </c>
      <c r="DF305" s="141">
        <v>-7903</v>
      </c>
      <c r="DG305" s="141">
        <v>-33704</v>
      </c>
      <c r="DH305" s="141">
        <v>0</v>
      </c>
      <c r="DI305" s="141">
        <v>-33704</v>
      </c>
      <c r="DJ305" s="141">
        <v>0</v>
      </c>
      <c r="DK305" s="141">
        <v>0</v>
      </c>
      <c r="DL305" s="141">
        <v>0</v>
      </c>
      <c r="DM305" s="141">
        <v>-612915</v>
      </c>
      <c r="DN305" s="141">
        <v>0</v>
      </c>
      <c r="DO305" s="141">
        <v>-612915</v>
      </c>
      <c r="DP305" s="141">
        <v>-656021</v>
      </c>
      <c r="DQ305" s="141">
        <v>0</v>
      </c>
      <c r="DR305" s="141">
        <v>0</v>
      </c>
      <c r="DS305" s="141">
        <v>0</v>
      </c>
      <c r="DT305" s="141">
        <v>-656021</v>
      </c>
      <c r="DU305" s="141">
        <v>0</v>
      </c>
      <c r="DV305" s="141">
        <v>-656021</v>
      </c>
      <c r="DW305" s="856">
        <v>32266477</v>
      </c>
      <c r="DX305" s="856">
        <v>0</v>
      </c>
      <c r="DY305" s="857">
        <v>32266477</v>
      </c>
      <c r="DZ305" t="s">
        <v>1871</v>
      </c>
    </row>
    <row r="306" spans="1:130" ht="12.75" x14ac:dyDescent="0.2">
      <c r="A306" s="764">
        <v>299</v>
      </c>
      <c r="B306" s="765" t="s">
        <v>489</v>
      </c>
      <c r="C306" s="766" t="s">
        <v>1217</v>
      </c>
      <c r="D306" s="767" t="s">
        <v>1220</v>
      </c>
      <c r="E306" s="768" t="s">
        <v>488</v>
      </c>
      <c r="F306" s="867">
        <v>43465</v>
      </c>
      <c r="G306" s="141">
        <v>48836102</v>
      </c>
      <c r="H306" s="141">
        <v>0</v>
      </c>
      <c r="I306" s="141">
        <v>48836102</v>
      </c>
      <c r="J306" s="141">
        <v>49.1</v>
      </c>
      <c r="K306" s="141">
        <v>23978526</v>
      </c>
      <c r="L306" s="141">
        <v>0</v>
      </c>
      <c r="M306" s="141">
        <v>0</v>
      </c>
      <c r="N306" s="141">
        <v>0</v>
      </c>
      <c r="O306" s="141">
        <v>23978526</v>
      </c>
      <c r="P306" s="141">
        <v>0</v>
      </c>
      <c r="Q306" s="141">
        <v>23978526</v>
      </c>
      <c r="R306" s="141">
        <v>-437766</v>
      </c>
      <c r="S306" s="141">
        <v>0</v>
      </c>
      <c r="T306" s="141">
        <v>-437766</v>
      </c>
      <c r="U306" s="141">
        <v>100758</v>
      </c>
      <c r="V306" s="141">
        <v>0</v>
      </c>
      <c r="W306" s="141">
        <v>100758</v>
      </c>
      <c r="X306" s="141">
        <v>-337008</v>
      </c>
      <c r="Y306" s="141">
        <v>0</v>
      </c>
      <c r="Z306" s="141">
        <v>0</v>
      </c>
      <c r="AA306" s="141">
        <v>0</v>
      </c>
      <c r="AB306" s="141">
        <v>-337008</v>
      </c>
      <c r="AC306" s="141">
        <v>0</v>
      </c>
      <c r="AD306" s="141">
        <v>-337008</v>
      </c>
      <c r="AE306" s="141">
        <v>337008</v>
      </c>
      <c r="AF306" s="141">
        <v>0</v>
      </c>
      <c r="AG306" s="141">
        <v>337008</v>
      </c>
      <c r="AH306" s="141">
        <v>-2662308</v>
      </c>
      <c r="AI306" s="141">
        <v>0</v>
      </c>
      <c r="AJ306" s="141">
        <v>-2662308</v>
      </c>
      <c r="AK306" s="141">
        <v>-3879</v>
      </c>
      <c r="AL306" s="141">
        <v>0</v>
      </c>
      <c r="AM306" s="141">
        <v>-3879</v>
      </c>
      <c r="AN306" s="141">
        <v>378436</v>
      </c>
      <c r="AO306" s="141">
        <v>0</v>
      </c>
      <c r="AP306" s="141">
        <v>378436</v>
      </c>
      <c r="AQ306" s="141">
        <v>-2283872</v>
      </c>
      <c r="AR306" s="141">
        <v>0</v>
      </c>
      <c r="AS306" s="141">
        <v>-2283872</v>
      </c>
      <c r="AT306" s="141">
        <v>-1763416</v>
      </c>
      <c r="AU306" s="141">
        <v>0</v>
      </c>
      <c r="AV306" s="141">
        <v>-1763416</v>
      </c>
      <c r="AW306" s="141">
        <v>-35828</v>
      </c>
      <c r="AX306" s="141">
        <v>0</v>
      </c>
      <c r="AY306" s="141">
        <v>-35828</v>
      </c>
      <c r="AZ306" s="141">
        <v>-32045</v>
      </c>
      <c r="BA306" s="141">
        <v>0</v>
      </c>
      <c r="BB306" s="141">
        <v>-32045</v>
      </c>
      <c r="BC306" s="141">
        <v>-4115161</v>
      </c>
      <c r="BD306" s="141">
        <v>0</v>
      </c>
      <c r="BE306" s="141">
        <v>0</v>
      </c>
      <c r="BF306" s="141">
        <v>0</v>
      </c>
      <c r="BG306" s="141">
        <v>-4115161</v>
      </c>
      <c r="BH306" s="141">
        <v>0</v>
      </c>
      <c r="BI306" s="141">
        <v>-4115161</v>
      </c>
      <c r="BJ306" s="141">
        <v>0</v>
      </c>
      <c r="BK306" s="141">
        <v>0</v>
      </c>
      <c r="BL306" s="141">
        <v>0</v>
      </c>
      <c r="BM306" s="141">
        <v>-546866</v>
      </c>
      <c r="BN306" s="141">
        <v>0</v>
      </c>
      <c r="BO306" s="141">
        <v>-546866</v>
      </c>
      <c r="BP306" s="141">
        <v>-546866</v>
      </c>
      <c r="BQ306" s="141">
        <v>0</v>
      </c>
      <c r="BR306" s="141">
        <v>-300000</v>
      </c>
      <c r="BS306" s="141">
        <v>0</v>
      </c>
      <c r="BT306" s="141">
        <v>-846866</v>
      </c>
      <c r="BU306" s="141">
        <v>0</v>
      </c>
      <c r="BV306" s="141">
        <v>-846866</v>
      </c>
      <c r="BW306" s="141">
        <v>-43841</v>
      </c>
      <c r="BX306" s="141">
        <v>0</v>
      </c>
      <c r="BY306" s="141">
        <v>-43841</v>
      </c>
      <c r="BZ306" s="141">
        <v>-4124</v>
      </c>
      <c r="CA306" s="141">
        <v>0</v>
      </c>
      <c r="CB306" s="141">
        <v>-4124</v>
      </c>
      <c r="CC306" s="141">
        <v>-1787</v>
      </c>
      <c r="CD306" s="141">
        <v>0</v>
      </c>
      <c r="CE306" s="141">
        <v>-1787</v>
      </c>
      <c r="CF306" s="141">
        <v>-2419</v>
      </c>
      <c r="CG306" s="141">
        <v>0</v>
      </c>
      <c r="CH306" s="141">
        <v>-2419</v>
      </c>
      <c r="CI306" s="141">
        <v>-29626</v>
      </c>
      <c r="CJ306" s="141">
        <v>0</v>
      </c>
      <c r="CK306" s="141">
        <v>-29626</v>
      </c>
      <c r="CL306" s="141">
        <v>0</v>
      </c>
      <c r="CM306" s="141">
        <v>0</v>
      </c>
      <c r="CN306" s="141">
        <v>0</v>
      </c>
      <c r="CO306" s="141">
        <v>0</v>
      </c>
      <c r="CP306" s="141">
        <v>0</v>
      </c>
      <c r="CQ306" s="141">
        <v>-81797</v>
      </c>
      <c r="CR306" s="141">
        <v>0</v>
      </c>
      <c r="CS306" s="141">
        <v>-1222</v>
      </c>
      <c r="CT306" s="141">
        <v>0</v>
      </c>
      <c r="CU306" s="141">
        <v>-83019</v>
      </c>
      <c r="CV306" s="141">
        <v>0</v>
      </c>
      <c r="CW306" s="141">
        <v>-83019</v>
      </c>
      <c r="CX306" s="141">
        <v>-29626</v>
      </c>
      <c r="CY306" s="141">
        <v>0</v>
      </c>
      <c r="CZ306" s="141">
        <v>-29626</v>
      </c>
      <c r="DA306" s="141">
        <v>-3000</v>
      </c>
      <c r="DB306" s="141">
        <v>0</v>
      </c>
      <c r="DC306" s="141">
        <v>-3000</v>
      </c>
      <c r="DD306" s="141">
        <v>-24252</v>
      </c>
      <c r="DE306" s="141">
        <v>0</v>
      </c>
      <c r="DF306" s="141">
        <v>-24252</v>
      </c>
      <c r="DG306" s="141">
        <v>-31000</v>
      </c>
      <c r="DH306" s="141">
        <v>0</v>
      </c>
      <c r="DI306" s="141">
        <v>-31000</v>
      </c>
      <c r="DJ306" s="141">
        <v>0</v>
      </c>
      <c r="DK306" s="141">
        <v>0</v>
      </c>
      <c r="DL306" s="141">
        <v>0</v>
      </c>
      <c r="DM306" s="141">
        <v>-516354</v>
      </c>
      <c r="DN306" s="141">
        <v>0</v>
      </c>
      <c r="DO306" s="141">
        <v>-516354</v>
      </c>
      <c r="DP306" s="141">
        <v>-604232</v>
      </c>
      <c r="DQ306" s="141">
        <v>0</v>
      </c>
      <c r="DR306" s="141">
        <v>0</v>
      </c>
      <c r="DS306" s="141">
        <v>0</v>
      </c>
      <c r="DT306" s="141">
        <v>-604232</v>
      </c>
      <c r="DU306" s="141">
        <v>0</v>
      </c>
      <c r="DV306" s="141">
        <v>-604232</v>
      </c>
      <c r="DW306" s="856">
        <v>17992240</v>
      </c>
      <c r="DX306" s="856">
        <v>0</v>
      </c>
      <c r="DY306" s="857">
        <v>17992240</v>
      </c>
      <c r="DZ306" t="s">
        <v>1872</v>
      </c>
    </row>
    <row r="307" spans="1:130" ht="12.75" x14ac:dyDescent="0.2">
      <c r="A307" s="764">
        <v>300</v>
      </c>
      <c r="B307" s="765" t="s">
        <v>491</v>
      </c>
      <c r="C307" s="766" t="s">
        <v>1217</v>
      </c>
      <c r="D307" s="767" t="s">
        <v>1218</v>
      </c>
      <c r="E307" s="768" t="s">
        <v>490</v>
      </c>
      <c r="F307" s="867">
        <v>43481</v>
      </c>
      <c r="G307" s="141">
        <v>98749961</v>
      </c>
      <c r="H307" s="141">
        <v>0</v>
      </c>
      <c r="I307" s="141">
        <v>98749961</v>
      </c>
      <c r="J307" s="141">
        <v>49.1</v>
      </c>
      <c r="K307" s="141">
        <v>48486231</v>
      </c>
      <c r="L307" s="141">
        <v>0</v>
      </c>
      <c r="M307" s="141">
        <v>91493</v>
      </c>
      <c r="N307" s="141">
        <v>0</v>
      </c>
      <c r="O307" s="141">
        <v>48577724</v>
      </c>
      <c r="P307" s="141">
        <v>0</v>
      </c>
      <c r="Q307" s="141">
        <v>48577724</v>
      </c>
      <c r="R307" s="141">
        <v>-1147917</v>
      </c>
      <c r="S307" s="141">
        <v>0</v>
      </c>
      <c r="T307" s="141">
        <v>-1147917</v>
      </c>
      <c r="U307" s="141">
        <v>257003</v>
      </c>
      <c r="V307" s="141">
        <v>0</v>
      </c>
      <c r="W307" s="141">
        <v>257003</v>
      </c>
      <c r="X307" s="141">
        <v>-890914</v>
      </c>
      <c r="Y307" s="141">
        <v>0</v>
      </c>
      <c r="Z307" s="141">
        <v>0</v>
      </c>
      <c r="AA307" s="141">
        <v>0</v>
      </c>
      <c r="AB307" s="141">
        <v>-890914</v>
      </c>
      <c r="AC307" s="141">
        <v>0</v>
      </c>
      <c r="AD307" s="141">
        <v>-890914</v>
      </c>
      <c r="AE307" s="141">
        <v>890914</v>
      </c>
      <c r="AF307" s="141">
        <v>0</v>
      </c>
      <c r="AG307" s="141">
        <v>890914</v>
      </c>
      <c r="AH307" s="141">
        <v>-3866318</v>
      </c>
      <c r="AI307" s="141">
        <v>0</v>
      </c>
      <c r="AJ307" s="141">
        <v>-3866318</v>
      </c>
      <c r="AK307" s="141">
        <v>-24073</v>
      </c>
      <c r="AL307" s="141">
        <v>0</v>
      </c>
      <c r="AM307" s="141">
        <v>-24073</v>
      </c>
      <c r="AN307" s="141">
        <v>803457</v>
      </c>
      <c r="AO307" s="141">
        <v>0</v>
      </c>
      <c r="AP307" s="141">
        <v>803457</v>
      </c>
      <c r="AQ307" s="141">
        <v>-3062861</v>
      </c>
      <c r="AR307" s="141">
        <v>0</v>
      </c>
      <c r="AS307" s="141">
        <v>-3062861</v>
      </c>
      <c r="AT307" s="141">
        <v>-3334796</v>
      </c>
      <c r="AU307" s="141">
        <v>0</v>
      </c>
      <c r="AV307" s="141">
        <v>-3334796</v>
      </c>
      <c r="AW307" s="141">
        <v>-54490</v>
      </c>
      <c r="AX307" s="141">
        <v>0</v>
      </c>
      <c r="AY307" s="141">
        <v>-54490</v>
      </c>
      <c r="AZ307" s="141">
        <v>-29156</v>
      </c>
      <c r="BA307" s="141">
        <v>0</v>
      </c>
      <c r="BB307" s="141">
        <v>-29156</v>
      </c>
      <c r="BC307" s="141">
        <v>-6481303</v>
      </c>
      <c r="BD307" s="141">
        <v>0</v>
      </c>
      <c r="BE307" s="141">
        <v>0</v>
      </c>
      <c r="BF307" s="141">
        <v>0</v>
      </c>
      <c r="BG307" s="141">
        <v>-6481303</v>
      </c>
      <c r="BH307" s="141">
        <v>0</v>
      </c>
      <c r="BI307" s="141">
        <v>-6481303</v>
      </c>
      <c r="BJ307" s="141">
        <v>0</v>
      </c>
      <c r="BK307" s="141">
        <v>0</v>
      </c>
      <c r="BL307" s="141">
        <v>0</v>
      </c>
      <c r="BM307" s="141">
        <v>-888590</v>
      </c>
      <c r="BN307" s="141">
        <v>0</v>
      </c>
      <c r="BO307" s="141">
        <v>-888590</v>
      </c>
      <c r="BP307" s="141">
        <v>-888590</v>
      </c>
      <c r="BQ307" s="141">
        <v>0</v>
      </c>
      <c r="BR307" s="141">
        <v>0</v>
      </c>
      <c r="BS307" s="141">
        <v>0</v>
      </c>
      <c r="BT307" s="141">
        <v>-888590</v>
      </c>
      <c r="BU307" s="141">
        <v>0</v>
      </c>
      <c r="BV307" s="141">
        <v>-888590</v>
      </c>
      <c r="BW307" s="141">
        <v>-103668</v>
      </c>
      <c r="BX307" s="141">
        <v>0</v>
      </c>
      <c r="BY307" s="141">
        <v>-103668</v>
      </c>
      <c r="BZ307" s="141">
        <v>-9765</v>
      </c>
      <c r="CA307" s="141">
        <v>0</v>
      </c>
      <c r="CB307" s="141">
        <v>-9765</v>
      </c>
      <c r="CC307" s="141">
        <v>0</v>
      </c>
      <c r="CD307" s="141">
        <v>0</v>
      </c>
      <c r="CE307" s="141">
        <v>0</v>
      </c>
      <c r="CF307" s="141">
        <v>0</v>
      </c>
      <c r="CG307" s="141">
        <v>0</v>
      </c>
      <c r="CH307" s="141">
        <v>0</v>
      </c>
      <c r="CI307" s="141">
        <v>0</v>
      </c>
      <c r="CJ307" s="141">
        <v>0</v>
      </c>
      <c r="CK307" s="141">
        <v>0</v>
      </c>
      <c r="CL307" s="141">
        <v>0</v>
      </c>
      <c r="CM307" s="141">
        <v>0</v>
      </c>
      <c r="CN307" s="141">
        <v>0</v>
      </c>
      <c r="CO307" s="141">
        <v>0</v>
      </c>
      <c r="CP307" s="141">
        <v>0</v>
      </c>
      <c r="CQ307" s="141">
        <v>-113433</v>
      </c>
      <c r="CR307" s="141">
        <v>0</v>
      </c>
      <c r="CS307" s="141">
        <v>0</v>
      </c>
      <c r="CT307" s="141">
        <v>0</v>
      </c>
      <c r="CU307" s="141">
        <v>-113433</v>
      </c>
      <c r="CV307" s="141">
        <v>0</v>
      </c>
      <c r="CW307" s="141">
        <v>-113433</v>
      </c>
      <c r="CX307" s="141">
        <v>-29156</v>
      </c>
      <c r="CY307" s="141">
        <v>0</v>
      </c>
      <c r="CZ307" s="141">
        <v>-29156</v>
      </c>
      <c r="DA307" s="141">
        <v>0</v>
      </c>
      <c r="DB307" s="141">
        <v>0</v>
      </c>
      <c r="DC307" s="141">
        <v>0</v>
      </c>
      <c r="DD307" s="141">
        <v>-58588</v>
      </c>
      <c r="DE307" s="141">
        <v>0</v>
      </c>
      <c r="DF307" s="141">
        <v>-58588</v>
      </c>
      <c r="DG307" s="141">
        <v>-111858</v>
      </c>
      <c r="DH307" s="141">
        <v>0</v>
      </c>
      <c r="DI307" s="141">
        <v>-111858</v>
      </c>
      <c r="DJ307" s="141">
        <v>0</v>
      </c>
      <c r="DK307" s="141">
        <v>0</v>
      </c>
      <c r="DL307" s="141">
        <v>0</v>
      </c>
      <c r="DM307" s="141">
        <v>-971960</v>
      </c>
      <c r="DN307" s="141">
        <v>0</v>
      </c>
      <c r="DO307" s="141">
        <v>-971960</v>
      </c>
      <c r="DP307" s="141">
        <v>-1171562</v>
      </c>
      <c r="DQ307" s="141">
        <v>0</v>
      </c>
      <c r="DR307" s="141">
        <v>0</v>
      </c>
      <c r="DS307" s="141">
        <v>0</v>
      </c>
      <c r="DT307" s="141">
        <v>-1171562</v>
      </c>
      <c r="DU307" s="141">
        <v>0</v>
      </c>
      <c r="DV307" s="141">
        <v>-1171562</v>
      </c>
      <c r="DW307" s="856">
        <v>39031922</v>
      </c>
      <c r="DX307" s="856">
        <v>0</v>
      </c>
      <c r="DY307" s="857">
        <v>39031922</v>
      </c>
      <c r="DZ307" t="s">
        <v>1873</v>
      </c>
    </row>
    <row r="308" spans="1:130" ht="12.75" x14ac:dyDescent="0.2">
      <c r="A308" s="764">
        <v>301</v>
      </c>
      <c r="B308" s="765" t="s">
        <v>1152</v>
      </c>
      <c r="C308" s="766" t="s">
        <v>1217</v>
      </c>
      <c r="D308" s="767" t="s">
        <v>1226</v>
      </c>
      <c r="E308" s="768" t="s">
        <v>1151</v>
      </c>
      <c r="F308" s="867">
        <v>43460</v>
      </c>
      <c r="G308" s="141">
        <v>177014088</v>
      </c>
      <c r="H308" s="141">
        <v>0</v>
      </c>
      <c r="I308" s="141">
        <v>177014088</v>
      </c>
      <c r="J308" s="141">
        <v>49.1</v>
      </c>
      <c r="K308" s="141">
        <v>86913917</v>
      </c>
      <c r="L308" s="141">
        <v>0</v>
      </c>
      <c r="M308" s="141">
        <v>0</v>
      </c>
      <c r="N308" s="141">
        <v>0</v>
      </c>
      <c r="O308" s="141">
        <v>86913917</v>
      </c>
      <c r="P308" s="141">
        <v>0</v>
      </c>
      <c r="Q308" s="141">
        <v>86913917</v>
      </c>
      <c r="R308" s="141">
        <v>-683099</v>
      </c>
      <c r="S308" s="141">
        <v>0</v>
      </c>
      <c r="T308" s="141">
        <v>-683099</v>
      </c>
      <c r="U308" s="141">
        <v>453197</v>
      </c>
      <c r="V308" s="141">
        <v>0</v>
      </c>
      <c r="W308" s="141">
        <v>453197</v>
      </c>
      <c r="X308" s="141">
        <v>-229902</v>
      </c>
      <c r="Y308" s="141">
        <v>0</v>
      </c>
      <c r="Z308" s="141">
        <v>0</v>
      </c>
      <c r="AA308" s="141">
        <v>0</v>
      </c>
      <c r="AB308" s="141">
        <v>-229902</v>
      </c>
      <c r="AC308" s="141">
        <v>0</v>
      </c>
      <c r="AD308" s="141">
        <v>-229902</v>
      </c>
      <c r="AE308" s="141">
        <v>229902</v>
      </c>
      <c r="AF308" s="141">
        <v>0</v>
      </c>
      <c r="AG308" s="141">
        <v>229902</v>
      </c>
      <c r="AH308" s="141">
        <v>-5939789</v>
      </c>
      <c r="AI308" s="141">
        <v>0</v>
      </c>
      <c r="AJ308" s="141">
        <v>-5939789</v>
      </c>
      <c r="AK308" s="141">
        <v>0</v>
      </c>
      <c r="AL308" s="141">
        <v>0</v>
      </c>
      <c r="AM308" s="141">
        <v>0</v>
      </c>
      <c r="AN308" s="141">
        <v>1579697</v>
      </c>
      <c r="AO308" s="141">
        <v>0</v>
      </c>
      <c r="AP308" s="141">
        <v>1579697</v>
      </c>
      <c r="AQ308" s="141">
        <v>-4360092</v>
      </c>
      <c r="AR308" s="141">
        <v>0</v>
      </c>
      <c r="AS308" s="141">
        <v>-4360092</v>
      </c>
      <c r="AT308" s="141">
        <v>-4805204</v>
      </c>
      <c r="AU308" s="141">
        <v>0</v>
      </c>
      <c r="AV308" s="141">
        <v>-4805204</v>
      </c>
      <c r="AW308" s="141">
        <v>-43936</v>
      </c>
      <c r="AX308" s="141">
        <v>0</v>
      </c>
      <c r="AY308" s="141">
        <v>-43936</v>
      </c>
      <c r="AZ308" s="141">
        <v>-49219</v>
      </c>
      <c r="BA308" s="141">
        <v>0</v>
      </c>
      <c r="BB308" s="141">
        <v>-49219</v>
      </c>
      <c r="BC308" s="141">
        <v>-9258451</v>
      </c>
      <c r="BD308" s="141">
        <v>0</v>
      </c>
      <c r="BE308" s="141">
        <v>0</v>
      </c>
      <c r="BF308" s="141">
        <v>0</v>
      </c>
      <c r="BG308" s="141">
        <v>-9258451</v>
      </c>
      <c r="BH308" s="141">
        <v>0</v>
      </c>
      <c r="BI308" s="141">
        <v>-9258451</v>
      </c>
      <c r="BJ308" s="141">
        <v>-101921</v>
      </c>
      <c r="BK308" s="141">
        <v>0</v>
      </c>
      <c r="BL308" s="141">
        <v>-101921</v>
      </c>
      <c r="BM308" s="141">
        <v>-1608970</v>
      </c>
      <c r="BN308" s="141">
        <v>0</v>
      </c>
      <c r="BO308" s="141">
        <v>-1608970</v>
      </c>
      <c r="BP308" s="141">
        <v>-1710891</v>
      </c>
      <c r="BQ308" s="141">
        <v>0</v>
      </c>
      <c r="BR308" s="141">
        <v>0</v>
      </c>
      <c r="BS308" s="141">
        <v>0</v>
      </c>
      <c r="BT308" s="141">
        <v>-1710891</v>
      </c>
      <c r="BU308" s="141">
        <v>0</v>
      </c>
      <c r="BV308" s="141">
        <v>-1710891</v>
      </c>
      <c r="BW308" s="141">
        <v>-56744</v>
      </c>
      <c r="BX308" s="141">
        <v>0</v>
      </c>
      <c r="BY308" s="141">
        <v>-56744</v>
      </c>
      <c r="BZ308" s="141">
        <v>-19809</v>
      </c>
      <c r="CA308" s="141">
        <v>0</v>
      </c>
      <c r="CB308" s="141">
        <v>-19809</v>
      </c>
      <c r="CC308" s="141">
        <v>-5520</v>
      </c>
      <c r="CD308" s="141">
        <v>0</v>
      </c>
      <c r="CE308" s="141">
        <v>-5520</v>
      </c>
      <c r="CF308" s="141">
        <v>-2344</v>
      </c>
      <c r="CG308" s="141">
        <v>0</v>
      </c>
      <c r="CH308" s="141">
        <v>-2344</v>
      </c>
      <c r="CI308" s="141">
        <v>-969</v>
      </c>
      <c r="CJ308" s="141">
        <v>0</v>
      </c>
      <c r="CK308" s="141">
        <v>-969</v>
      </c>
      <c r="CL308" s="141">
        <v>0</v>
      </c>
      <c r="CM308" s="141">
        <v>0</v>
      </c>
      <c r="CN308" s="141">
        <v>0</v>
      </c>
      <c r="CO308" s="141">
        <v>0</v>
      </c>
      <c r="CP308" s="141">
        <v>0</v>
      </c>
      <c r="CQ308" s="141">
        <v>-85386</v>
      </c>
      <c r="CR308" s="141">
        <v>0</v>
      </c>
      <c r="CS308" s="141">
        <v>0</v>
      </c>
      <c r="CT308" s="141">
        <v>0</v>
      </c>
      <c r="CU308" s="141">
        <v>-85386</v>
      </c>
      <c r="CV308" s="141">
        <v>0</v>
      </c>
      <c r="CW308" s="141">
        <v>-85386</v>
      </c>
      <c r="CX308" s="141">
        <v>-46876</v>
      </c>
      <c r="CY308" s="141">
        <v>0</v>
      </c>
      <c r="CZ308" s="141">
        <v>-46876</v>
      </c>
      <c r="DA308" s="141">
        <v>-5455</v>
      </c>
      <c r="DB308" s="141">
        <v>0</v>
      </c>
      <c r="DC308" s="141">
        <v>-5455</v>
      </c>
      <c r="DD308" s="141">
        <v>-33931</v>
      </c>
      <c r="DE308" s="141">
        <v>0</v>
      </c>
      <c r="DF308" s="141">
        <v>-33931</v>
      </c>
      <c r="DG308" s="141">
        <v>-87258</v>
      </c>
      <c r="DH308" s="141">
        <v>0</v>
      </c>
      <c r="DI308" s="141">
        <v>-87258</v>
      </c>
      <c r="DJ308" s="141">
        <v>0</v>
      </c>
      <c r="DK308" s="141">
        <v>0</v>
      </c>
      <c r="DL308" s="141">
        <v>0</v>
      </c>
      <c r="DM308" s="141">
        <v>-1888130</v>
      </c>
      <c r="DN308" s="141">
        <v>0</v>
      </c>
      <c r="DO308" s="141">
        <v>-1888130</v>
      </c>
      <c r="DP308" s="141">
        <v>-2061650</v>
      </c>
      <c r="DQ308" s="141">
        <v>0</v>
      </c>
      <c r="DR308" s="141">
        <v>0</v>
      </c>
      <c r="DS308" s="141">
        <v>0</v>
      </c>
      <c r="DT308" s="141">
        <v>-2061650</v>
      </c>
      <c r="DU308" s="141">
        <v>0</v>
      </c>
      <c r="DV308" s="141">
        <v>-2061650</v>
      </c>
      <c r="DW308" s="856">
        <v>73567637</v>
      </c>
      <c r="DX308" s="856">
        <v>0</v>
      </c>
      <c r="DY308" s="857">
        <v>73567637</v>
      </c>
      <c r="DZ308" t="s">
        <v>1874</v>
      </c>
    </row>
    <row r="309" spans="1:130" ht="12.75" x14ac:dyDescent="0.2">
      <c r="A309" s="764">
        <v>302</v>
      </c>
      <c r="B309" s="765" t="s">
        <v>493</v>
      </c>
      <c r="C309" s="766" t="s">
        <v>1228</v>
      </c>
      <c r="D309" s="767" t="s">
        <v>1223</v>
      </c>
      <c r="E309" s="768" t="s">
        <v>492</v>
      </c>
      <c r="F309" s="867">
        <v>43453</v>
      </c>
      <c r="G309" s="141">
        <v>5182212010</v>
      </c>
      <c r="H309" s="141">
        <v>0</v>
      </c>
      <c r="I309" s="141">
        <v>5182212010</v>
      </c>
      <c r="J309" s="141">
        <v>49.1</v>
      </c>
      <c r="K309" s="141">
        <v>2544466097</v>
      </c>
      <c r="L309" s="141">
        <v>0</v>
      </c>
      <c r="M309" s="141">
        <v>3500000</v>
      </c>
      <c r="N309" s="141">
        <v>0</v>
      </c>
      <c r="O309" s="141">
        <v>2547966097</v>
      </c>
      <c r="P309" s="141">
        <v>0</v>
      </c>
      <c r="Q309" s="141">
        <v>2547966097</v>
      </c>
      <c r="R309" s="141">
        <v>-12710785</v>
      </c>
      <c r="S309" s="141">
        <v>0</v>
      </c>
      <c r="T309" s="141">
        <v>-12710785</v>
      </c>
      <c r="U309" s="141">
        <v>4896702</v>
      </c>
      <c r="V309" s="141">
        <v>0</v>
      </c>
      <c r="W309" s="141">
        <v>4896702</v>
      </c>
      <c r="X309" s="141">
        <v>-7814083</v>
      </c>
      <c r="Y309" s="141">
        <v>0</v>
      </c>
      <c r="Z309" s="141">
        <v>0</v>
      </c>
      <c r="AA309" s="141">
        <v>0</v>
      </c>
      <c r="AB309" s="141">
        <v>-7814083</v>
      </c>
      <c r="AC309" s="141">
        <v>0</v>
      </c>
      <c r="AD309" s="141">
        <v>-7814083</v>
      </c>
      <c r="AE309" s="141">
        <v>7814083</v>
      </c>
      <c r="AF309" s="141">
        <v>0</v>
      </c>
      <c r="AG309" s="141">
        <v>7814083</v>
      </c>
      <c r="AH309" s="141">
        <v>-4683371</v>
      </c>
      <c r="AI309" s="141">
        <v>0</v>
      </c>
      <c r="AJ309" s="141">
        <v>-4683371</v>
      </c>
      <c r="AK309" s="141">
        <v>0</v>
      </c>
      <c r="AL309" s="141">
        <v>0</v>
      </c>
      <c r="AM309" s="141">
        <v>0</v>
      </c>
      <c r="AN309" s="141">
        <v>63517278</v>
      </c>
      <c r="AO309" s="141">
        <v>0</v>
      </c>
      <c r="AP309" s="141">
        <v>63517278</v>
      </c>
      <c r="AQ309" s="141">
        <v>58833907</v>
      </c>
      <c r="AR309" s="141">
        <v>0</v>
      </c>
      <c r="AS309" s="141">
        <v>58833907</v>
      </c>
      <c r="AT309" s="141">
        <v>-87163849</v>
      </c>
      <c r="AU309" s="141">
        <v>0</v>
      </c>
      <c r="AV309" s="141">
        <v>-87163849</v>
      </c>
      <c r="AW309" s="141">
        <v>-23789</v>
      </c>
      <c r="AX309" s="141">
        <v>0</v>
      </c>
      <c r="AY309" s="141">
        <v>-23789</v>
      </c>
      <c r="AZ309" s="141">
        <v>0</v>
      </c>
      <c r="BA309" s="141">
        <v>0</v>
      </c>
      <c r="BB309" s="141">
        <v>0</v>
      </c>
      <c r="BC309" s="141">
        <v>-28353731</v>
      </c>
      <c r="BD309" s="141">
        <v>0</v>
      </c>
      <c r="BE309" s="141">
        <v>0</v>
      </c>
      <c r="BF309" s="141">
        <v>0</v>
      </c>
      <c r="BG309" s="141">
        <v>-28353731</v>
      </c>
      <c r="BH309" s="141">
        <v>0</v>
      </c>
      <c r="BI309" s="141">
        <v>-28353731</v>
      </c>
      <c r="BJ309" s="141">
        <v>-10000000</v>
      </c>
      <c r="BK309" s="141">
        <v>0</v>
      </c>
      <c r="BL309" s="141">
        <v>-10000000</v>
      </c>
      <c r="BM309" s="141">
        <v>-152970620</v>
      </c>
      <c r="BN309" s="141">
        <v>0</v>
      </c>
      <c r="BO309" s="141">
        <v>-152970620</v>
      </c>
      <c r="BP309" s="141">
        <v>-162970620</v>
      </c>
      <c r="BQ309" s="141">
        <v>0</v>
      </c>
      <c r="BR309" s="141">
        <v>0</v>
      </c>
      <c r="BS309" s="141">
        <v>0</v>
      </c>
      <c r="BT309" s="141">
        <v>-162970620</v>
      </c>
      <c r="BU309" s="141">
        <v>0</v>
      </c>
      <c r="BV309" s="141">
        <v>-162970620</v>
      </c>
      <c r="BW309" s="141">
        <v>-273275</v>
      </c>
      <c r="BX309" s="141">
        <v>0</v>
      </c>
      <c r="BY309" s="141">
        <v>-273275</v>
      </c>
      <c r="BZ309" s="141">
        <v>-6961</v>
      </c>
      <c r="CA309" s="141">
        <v>0</v>
      </c>
      <c r="CB309" s="141">
        <v>-6961</v>
      </c>
      <c r="CC309" s="141">
        <v>-1487</v>
      </c>
      <c r="CD309" s="141">
        <v>0</v>
      </c>
      <c r="CE309" s="141">
        <v>-1487</v>
      </c>
      <c r="CF309" s="141">
        <v>0</v>
      </c>
      <c r="CG309" s="141">
        <v>0</v>
      </c>
      <c r="CH309" s="141">
        <v>0</v>
      </c>
      <c r="CI309" s="141">
        <v>0</v>
      </c>
      <c r="CJ309" s="141">
        <v>0</v>
      </c>
      <c r="CK309" s="141">
        <v>0</v>
      </c>
      <c r="CL309" s="141">
        <v>0</v>
      </c>
      <c r="CM309" s="141">
        <v>0</v>
      </c>
      <c r="CN309" s="141">
        <v>0</v>
      </c>
      <c r="CO309" s="141">
        <v>0</v>
      </c>
      <c r="CP309" s="141">
        <v>0</v>
      </c>
      <c r="CQ309" s="141">
        <v>-281723</v>
      </c>
      <c r="CR309" s="141">
        <v>0</v>
      </c>
      <c r="CS309" s="141">
        <v>0</v>
      </c>
      <c r="CT309" s="141">
        <v>0</v>
      </c>
      <c r="CU309" s="141">
        <v>-281723</v>
      </c>
      <c r="CV309" s="141">
        <v>0</v>
      </c>
      <c r="CW309" s="141">
        <v>-281723</v>
      </c>
      <c r="CX309" s="141">
        <v>0</v>
      </c>
      <c r="CY309" s="141">
        <v>0</v>
      </c>
      <c r="CZ309" s="141">
        <v>0</v>
      </c>
      <c r="DA309" s="141">
        <v>0</v>
      </c>
      <c r="DB309" s="141">
        <v>0</v>
      </c>
      <c r="DC309" s="141">
        <v>0</v>
      </c>
      <c r="DD309" s="141">
        <v>-71248</v>
      </c>
      <c r="DE309" s="141">
        <v>0</v>
      </c>
      <c r="DF309" s="141">
        <v>-71248</v>
      </c>
      <c r="DG309" s="141">
        <v>-2320557</v>
      </c>
      <c r="DH309" s="141">
        <v>0</v>
      </c>
      <c r="DI309" s="141">
        <v>-2320557</v>
      </c>
      <c r="DJ309" s="141">
        <v>0</v>
      </c>
      <c r="DK309" s="141">
        <v>0</v>
      </c>
      <c r="DL309" s="141">
        <v>0</v>
      </c>
      <c r="DM309" s="141">
        <v>-12541080</v>
      </c>
      <c r="DN309" s="141">
        <v>0</v>
      </c>
      <c r="DO309" s="141">
        <v>-12541080</v>
      </c>
      <c r="DP309" s="141">
        <v>-14932885</v>
      </c>
      <c r="DQ309" s="141">
        <v>0</v>
      </c>
      <c r="DR309" s="141">
        <v>0</v>
      </c>
      <c r="DS309" s="141">
        <v>0</v>
      </c>
      <c r="DT309" s="141">
        <v>-14932885</v>
      </c>
      <c r="DU309" s="141">
        <v>0</v>
      </c>
      <c r="DV309" s="141">
        <v>-14932885</v>
      </c>
      <c r="DW309" s="856">
        <v>2333613055</v>
      </c>
      <c r="DX309" s="856">
        <v>0</v>
      </c>
      <c r="DY309" s="857">
        <v>2333613055</v>
      </c>
      <c r="DZ309" t="s">
        <v>1875</v>
      </c>
    </row>
    <row r="310" spans="1:130" ht="12.75" x14ac:dyDescent="0.2">
      <c r="A310" s="764">
        <v>303</v>
      </c>
      <c r="B310" s="765" t="s">
        <v>495</v>
      </c>
      <c r="C310" s="770" t="s">
        <v>1224</v>
      </c>
      <c r="D310" s="771" t="s">
        <v>1219</v>
      </c>
      <c r="E310" s="768" t="s">
        <v>494</v>
      </c>
      <c r="F310" s="867">
        <v>43476</v>
      </c>
      <c r="G310" s="141">
        <v>213657099</v>
      </c>
      <c r="H310" s="141">
        <v>0</v>
      </c>
      <c r="I310" s="141">
        <v>213657099</v>
      </c>
      <c r="J310" s="141">
        <v>49.1</v>
      </c>
      <c r="K310" s="141">
        <v>104905636</v>
      </c>
      <c r="L310" s="141">
        <v>0</v>
      </c>
      <c r="M310" s="141">
        <v>0</v>
      </c>
      <c r="N310" s="141">
        <v>0</v>
      </c>
      <c r="O310" s="141">
        <v>104905636</v>
      </c>
      <c r="P310" s="141">
        <v>0</v>
      </c>
      <c r="Q310" s="141">
        <v>104905636</v>
      </c>
      <c r="R310" s="141">
        <v>-1305107</v>
      </c>
      <c r="S310" s="141">
        <v>0</v>
      </c>
      <c r="T310" s="141">
        <v>-1305107</v>
      </c>
      <c r="U310" s="141">
        <v>2789657</v>
      </c>
      <c r="V310" s="141">
        <v>0</v>
      </c>
      <c r="W310" s="141">
        <v>2789657</v>
      </c>
      <c r="X310" s="141">
        <v>1484550</v>
      </c>
      <c r="Y310" s="141">
        <v>0</v>
      </c>
      <c r="Z310" s="141">
        <v>0</v>
      </c>
      <c r="AA310" s="141">
        <v>0</v>
      </c>
      <c r="AB310" s="141">
        <v>1484550</v>
      </c>
      <c r="AC310" s="141">
        <v>0</v>
      </c>
      <c r="AD310" s="141">
        <v>1484550</v>
      </c>
      <c r="AE310" s="141">
        <v>-1484550</v>
      </c>
      <c r="AF310" s="141">
        <v>0</v>
      </c>
      <c r="AG310" s="141">
        <v>-1484550</v>
      </c>
      <c r="AH310" s="141">
        <v>-10879628</v>
      </c>
      <c r="AI310" s="141">
        <v>0</v>
      </c>
      <c r="AJ310" s="141">
        <v>-10879628</v>
      </c>
      <c r="AK310" s="141">
        <v>-33513</v>
      </c>
      <c r="AL310" s="141">
        <v>0</v>
      </c>
      <c r="AM310" s="141">
        <v>-33513</v>
      </c>
      <c r="AN310" s="141">
        <v>1859015</v>
      </c>
      <c r="AO310" s="141">
        <v>0</v>
      </c>
      <c r="AP310" s="141">
        <v>1859015</v>
      </c>
      <c r="AQ310" s="141">
        <v>-9020613</v>
      </c>
      <c r="AR310" s="141">
        <v>0</v>
      </c>
      <c r="AS310" s="141">
        <v>-9020613</v>
      </c>
      <c r="AT310" s="141">
        <v>-6145487</v>
      </c>
      <c r="AU310" s="141">
        <v>0</v>
      </c>
      <c r="AV310" s="141">
        <v>-6145487</v>
      </c>
      <c r="AW310" s="141">
        <v>-151643</v>
      </c>
      <c r="AX310" s="141">
        <v>0</v>
      </c>
      <c r="AY310" s="141">
        <v>-151643</v>
      </c>
      <c r="AZ310" s="141">
        <v>0</v>
      </c>
      <c r="BA310" s="141">
        <v>0</v>
      </c>
      <c r="BB310" s="141">
        <v>0</v>
      </c>
      <c r="BC310" s="141">
        <v>-15317743</v>
      </c>
      <c r="BD310" s="141">
        <v>0</v>
      </c>
      <c r="BE310" s="141">
        <v>0</v>
      </c>
      <c r="BF310" s="141">
        <v>0</v>
      </c>
      <c r="BG310" s="141">
        <v>-15317743</v>
      </c>
      <c r="BH310" s="141">
        <v>0</v>
      </c>
      <c r="BI310" s="141">
        <v>-15317743</v>
      </c>
      <c r="BJ310" s="141">
        <v>0</v>
      </c>
      <c r="BK310" s="141">
        <v>0</v>
      </c>
      <c r="BL310" s="141">
        <v>0</v>
      </c>
      <c r="BM310" s="141">
        <v>-3203641</v>
      </c>
      <c r="BN310" s="141">
        <v>0</v>
      </c>
      <c r="BO310" s="141">
        <v>-3203641</v>
      </c>
      <c r="BP310" s="141">
        <v>-3203641</v>
      </c>
      <c r="BQ310" s="141">
        <v>0</v>
      </c>
      <c r="BR310" s="141">
        <v>0</v>
      </c>
      <c r="BS310" s="141">
        <v>0</v>
      </c>
      <c r="BT310" s="141">
        <v>-3203641</v>
      </c>
      <c r="BU310" s="141">
        <v>0</v>
      </c>
      <c r="BV310" s="141">
        <v>-3203641</v>
      </c>
      <c r="BW310" s="141">
        <v>-716525</v>
      </c>
      <c r="BX310" s="141">
        <v>0</v>
      </c>
      <c r="BY310" s="141">
        <v>-716525</v>
      </c>
      <c r="BZ310" s="141">
        <v>-350348</v>
      </c>
      <c r="CA310" s="141">
        <v>0</v>
      </c>
      <c r="CB310" s="141">
        <v>-350348</v>
      </c>
      <c r="CC310" s="141">
        <v>-29539</v>
      </c>
      <c r="CD310" s="141">
        <v>0</v>
      </c>
      <c r="CE310" s="141">
        <v>-29539</v>
      </c>
      <c r="CF310" s="141">
        <v>0</v>
      </c>
      <c r="CG310" s="141">
        <v>0</v>
      </c>
      <c r="CH310" s="141">
        <v>0</v>
      </c>
      <c r="CI310" s="141">
        <v>0</v>
      </c>
      <c r="CJ310" s="141">
        <v>0</v>
      </c>
      <c r="CK310" s="141">
        <v>0</v>
      </c>
      <c r="CL310" s="141">
        <v>0</v>
      </c>
      <c r="CM310" s="141">
        <v>0</v>
      </c>
      <c r="CN310" s="141">
        <v>0</v>
      </c>
      <c r="CO310" s="141">
        <v>0</v>
      </c>
      <c r="CP310" s="141">
        <v>0</v>
      </c>
      <c r="CQ310" s="141">
        <v>-1096412</v>
      </c>
      <c r="CR310" s="141">
        <v>0</v>
      </c>
      <c r="CS310" s="141">
        <v>0</v>
      </c>
      <c r="CT310" s="141">
        <v>0</v>
      </c>
      <c r="CU310" s="141">
        <v>-1096412</v>
      </c>
      <c r="CV310" s="141">
        <v>0</v>
      </c>
      <c r="CW310" s="141">
        <v>-1096412</v>
      </c>
      <c r="CX310" s="141">
        <v>0</v>
      </c>
      <c r="CY310" s="141">
        <v>0</v>
      </c>
      <c r="CZ310" s="141">
        <v>0</v>
      </c>
      <c r="DA310" s="141">
        <v>-1500</v>
      </c>
      <c r="DB310" s="141">
        <v>0</v>
      </c>
      <c r="DC310" s="141">
        <v>-1500</v>
      </c>
      <c r="DD310" s="141">
        <v>-20983</v>
      </c>
      <c r="DE310" s="141">
        <v>0</v>
      </c>
      <c r="DF310" s="141">
        <v>-20983</v>
      </c>
      <c r="DG310" s="141">
        <v>-102000</v>
      </c>
      <c r="DH310" s="141">
        <v>0</v>
      </c>
      <c r="DI310" s="141">
        <v>-102000</v>
      </c>
      <c r="DJ310" s="141">
        <v>0</v>
      </c>
      <c r="DK310" s="141">
        <v>0</v>
      </c>
      <c r="DL310" s="141">
        <v>0</v>
      </c>
      <c r="DM310" s="141">
        <v>-1401152</v>
      </c>
      <c r="DN310" s="141">
        <v>0</v>
      </c>
      <c r="DO310" s="141">
        <v>-1401152</v>
      </c>
      <c r="DP310" s="141">
        <v>-1525635</v>
      </c>
      <c r="DQ310" s="141">
        <v>0</v>
      </c>
      <c r="DR310" s="141">
        <v>0</v>
      </c>
      <c r="DS310" s="141">
        <v>0</v>
      </c>
      <c r="DT310" s="141">
        <v>-1525635</v>
      </c>
      <c r="DU310" s="141">
        <v>0</v>
      </c>
      <c r="DV310" s="141">
        <v>-1525635</v>
      </c>
      <c r="DW310" s="856">
        <v>85246755</v>
      </c>
      <c r="DX310" s="856">
        <v>0</v>
      </c>
      <c r="DY310" s="857">
        <v>85246755</v>
      </c>
      <c r="DZ310" t="s">
        <v>1876</v>
      </c>
    </row>
    <row r="311" spans="1:130" ht="12.75" x14ac:dyDescent="0.2">
      <c r="A311" s="764">
        <v>304</v>
      </c>
      <c r="B311" s="765" t="s">
        <v>497</v>
      </c>
      <c r="C311" s="766" t="s">
        <v>529</v>
      </c>
      <c r="D311" s="767" t="s">
        <v>1226</v>
      </c>
      <c r="E311" s="768" t="s">
        <v>496</v>
      </c>
      <c r="F311" s="867">
        <v>43466</v>
      </c>
      <c r="G311" s="141">
        <v>385483882</v>
      </c>
      <c r="H311" s="141">
        <v>0</v>
      </c>
      <c r="I311" s="141">
        <v>385483882</v>
      </c>
      <c r="J311" s="141">
        <v>49.1</v>
      </c>
      <c r="K311" s="141">
        <v>189272586</v>
      </c>
      <c r="L311" s="141">
        <v>0</v>
      </c>
      <c r="M311" s="141">
        <v>-4163997</v>
      </c>
      <c r="N311" s="141">
        <v>0</v>
      </c>
      <c r="O311" s="141">
        <v>185108589</v>
      </c>
      <c r="P311" s="141">
        <v>0</v>
      </c>
      <c r="Q311" s="141">
        <v>185108589</v>
      </c>
      <c r="R311" s="141">
        <v>-1699875</v>
      </c>
      <c r="S311" s="141">
        <v>0</v>
      </c>
      <c r="T311" s="141">
        <v>-1699875</v>
      </c>
      <c r="U311" s="141">
        <v>2771371</v>
      </c>
      <c r="V311" s="141">
        <v>0</v>
      </c>
      <c r="W311" s="141">
        <v>2771371</v>
      </c>
      <c r="X311" s="141">
        <v>1071496</v>
      </c>
      <c r="Y311" s="141">
        <v>0</v>
      </c>
      <c r="Z311" s="141">
        <v>23572</v>
      </c>
      <c r="AA311" s="141">
        <v>0</v>
      </c>
      <c r="AB311" s="141">
        <v>1095068</v>
      </c>
      <c r="AC311" s="141">
        <v>0</v>
      </c>
      <c r="AD311" s="141">
        <v>1095068</v>
      </c>
      <c r="AE311" s="141">
        <v>-1095068</v>
      </c>
      <c r="AF311" s="141">
        <v>0</v>
      </c>
      <c r="AG311" s="141">
        <v>-1095068</v>
      </c>
      <c r="AH311" s="141">
        <v>-17254517</v>
      </c>
      <c r="AI311" s="141">
        <v>0</v>
      </c>
      <c r="AJ311" s="141">
        <v>-17254517</v>
      </c>
      <c r="AK311" s="141">
        <v>-59140</v>
      </c>
      <c r="AL311" s="141">
        <v>0</v>
      </c>
      <c r="AM311" s="141">
        <v>-59140</v>
      </c>
      <c r="AN311" s="141">
        <v>3394536</v>
      </c>
      <c r="AO311" s="141">
        <v>0</v>
      </c>
      <c r="AP311" s="141">
        <v>3394536</v>
      </c>
      <c r="AQ311" s="141">
        <v>-13859981</v>
      </c>
      <c r="AR311" s="141">
        <v>0</v>
      </c>
      <c r="AS311" s="141">
        <v>-13859981</v>
      </c>
      <c r="AT311" s="141">
        <v>-12045376</v>
      </c>
      <c r="AU311" s="141">
        <v>0</v>
      </c>
      <c r="AV311" s="141">
        <v>-12045376</v>
      </c>
      <c r="AW311" s="141">
        <v>-110149</v>
      </c>
      <c r="AX311" s="141">
        <v>0</v>
      </c>
      <c r="AY311" s="141">
        <v>-110149</v>
      </c>
      <c r="AZ311" s="141">
        <v>-162227</v>
      </c>
      <c r="BA311" s="141">
        <v>0</v>
      </c>
      <c r="BB311" s="141">
        <v>-162227</v>
      </c>
      <c r="BC311" s="141">
        <v>-26177733</v>
      </c>
      <c r="BD311" s="141">
        <v>0</v>
      </c>
      <c r="BE311" s="141">
        <v>575910</v>
      </c>
      <c r="BF311" s="141">
        <v>0</v>
      </c>
      <c r="BG311" s="141">
        <v>-25601823</v>
      </c>
      <c r="BH311" s="141">
        <v>0</v>
      </c>
      <c r="BI311" s="141">
        <v>-25601823</v>
      </c>
      <c r="BJ311" s="141">
        <v>-100000</v>
      </c>
      <c r="BK311" s="141">
        <v>0</v>
      </c>
      <c r="BL311" s="141">
        <v>-100000</v>
      </c>
      <c r="BM311" s="141">
        <v>-2913856</v>
      </c>
      <c r="BN311" s="141">
        <v>0</v>
      </c>
      <c r="BO311" s="141">
        <v>-2913856</v>
      </c>
      <c r="BP311" s="141">
        <v>-3013856</v>
      </c>
      <c r="BQ311" s="141">
        <v>0</v>
      </c>
      <c r="BR311" s="141">
        <v>66304</v>
      </c>
      <c r="BS311" s="141">
        <v>0</v>
      </c>
      <c r="BT311" s="141">
        <v>-2947552</v>
      </c>
      <c r="BU311" s="141">
        <v>0</v>
      </c>
      <c r="BV311" s="141">
        <v>-2947552</v>
      </c>
      <c r="BW311" s="141">
        <v>-226961</v>
      </c>
      <c r="BX311" s="141">
        <v>0</v>
      </c>
      <c r="BY311" s="141">
        <v>-226961</v>
      </c>
      <c r="BZ311" s="141">
        <v>-464258</v>
      </c>
      <c r="CA311" s="141">
        <v>0</v>
      </c>
      <c r="CB311" s="141">
        <v>-464258</v>
      </c>
      <c r="CC311" s="141">
        <v>-1191</v>
      </c>
      <c r="CD311" s="141">
        <v>0</v>
      </c>
      <c r="CE311" s="141">
        <v>-1191</v>
      </c>
      <c r="CF311" s="141">
        <v>0</v>
      </c>
      <c r="CG311" s="141">
        <v>0</v>
      </c>
      <c r="CH311" s="141">
        <v>0</v>
      </c>
      <c r="CI311" s="141">
        <v>0</v>
      </c>
      <c r="CJ311" s="141">
        <v>0</v>
      </c>
      <c r="CK311" s="141">
        <v>0</v>
      </c>
      <c r="CL311" s="141">
        <v>0</v>
      </c>
      <c r="CM311" s="141">
        <v>0</v>
      </c>
      <c r="CN311" s="141">
        <v>0</v>
      </c>
      <c r="CO311" s="141">
        <v>0</v>
      </c>
      <c r="CP311" s="141">
        <v>0</v>
      </c>
      <c r="CQ311" s="141">
        <v>-692410</v>
      </c>
      <c r="CR311" s="141">
        <v>0</v>
      </c>
      <c r="CS311" s="141">
        <v>15233</v>
      </c>
      <c r="CT311" s="141">
        <v>0</v>
      </c>
      <c r="CU311" s="141">
        <v>-677177</v>
      </c>
      <c r="CV311" s="141">
        <v>0</v>
      </c>
      <c r="CW311" s="141">
        <v>-677177</v>
      </c>
      <c r="CX311" s="141">
        <v>-163165</v>
      </c>
      <c r="CY311" s="141">
        <v>0</v>
      </c>
      <c r="CZ311" s="141">
        <v>-163165</v>
      </c>
      <c r="DA311" s="141">
        <v>0</v>
      </c>
      <c r="DB311" s="141">
        <v>0</v>
      </c>
      <c r="DC311" s="141">
        <v>0</v>
      </c>
      <c r="DD311" s="141">
        <v>-179511</v>
      </c>
      <c r="DE311" s="141">
        <v>0</v>
      </c>
      <c r="DF311" s="141">
        <v>-179511</v>
      </c>
      <c r="DG311" s="141">
        <v>-185000</v>
      </c>
      <c r="DH311" s="141">
        <v>0</v>
      </c>
      <c r="DI311" s="141">
        <v>-185000</v>
      </c>
      <c r="DJ311" s="141">
        <v>0</v>
      </c>
      <c r="DK311" s="141">
        <v>0</v>
      </c>
      <c r="DL311" s="141">
        <v>0</v>
      </c>
      <c r="DM311" s="141">
        <v>-3006248</v>
      </c>
      <c r="DN311" s="141">
        <v>0</v>
      </c>
      <c r="DO311" s="141">
        <v>-3006248</v>
      </c>
      <c r="DP311" s="141">
        <v>-3533924</v>
      </c>
      <c r="DQ311" s="141">
        <v>0</v>
      </c>
      <c r="DR311" s="141">
        <v>77746</v>
      </c>
      <c r="DS311" s="141">
        <v>0</v>
      </c>
      <c r="DT311" s="141">
        <v>-3456178</v>
      </c>
      <c r="DU311" s="141">
        <v>0</v>
      </c>
      <c r="DV311" s="141">
        <v>-3456178</v>
      </c>
      <c r="DW311" s="856">
        <v>153520927</v>
      </c>
      <c r="DX311" s="856">
        <v>0</v>
      </c>
      <c r="DY311" s="857">
        <v>153520927</v>
      </c>
      <c r="DZ311" t="s">
        <v>1877</v>
      </c>
    </row>
    <row r="312" spans="1:130" ht="12.75" x14ac:dyDescent="0.2">
      <c r="A312" s="764">
        <v>305</v>
      </c>
      <c r="B312" s="765" t="s">
        <v>499</v>
      </c>
      <c r="C312" s="766" t="s">
        <v>1217</v>
      </c>
      <c r="D312" s="767" t="s">
        <v>1218</v>
      </c>
      <c r="E312" s="768" t="s">
        <v>498</v>
      </c>
      <c r="F312" s="867">
        <v>43474</v>
      </c>
      <c r="G312" s="141">
        <v>152884895</v>
      </c>
      <c r="H312" s="141">
        <v>0</v>
      </c>
      <c r="I312" s="141">
        <v>152884895</v>
      </c>
      <c r="J312" s="141">
        <v>49.1</v>
      </c>
      <c r="K312" s="141">
        <v>75066483</v>
      </c>
      <c r="L312" s="141">
        <v>0</v>
      </c>
      <c r="M312" s="141">
        <v>0</v>
      </c>
      <c r="N312" s="141">
        <v>0</v>
      </c>
      <c r="O312" s="141">
        <v>75066483</v>
      </c>
      <c r="P312" s="141">
        <v>0</v>
      </c>
      <c r="Q312" s="141">
        <v>75066483</v>
      </c>
      <c r="R312" s="141">
        <v>-1064395</v>
      </c>
      <c r="S312" s="141">
        <v>0</v>
      </c>
      <c r="T312" s="141">
        <v>-1064395</v>
      </c>
      <c r="U312" s="141">
        <v>0</v>
      </c>
      <c r="V312" s="141">
        <v>0</v>
      </c>
      <c r="W312" s="141">
        <v>0</v>
      </c>
      <c r="X312" s="141">
        <v>-1064395</v>
      </c>
      <c r="Y312" s="141">
        <v>0</v>
      </c>
      <c r="Z312" s="141">
        <v>494278</v>
      </c>
      <c r="AA312" s="141">
        <v>0</v>
      </c>
      <c r="AB312" s="141">
        <v>-570117</v>
      </c>
      <c r="AC312" s="141">
        <v>0</v>
      </c>
      <c r="AD312" s="141">
        <v>-570117</v>
      </c>
      <c r="AE312" s="141">
        <v>570117</v>
      </c>
      <c r="AF312" s="141">
        <v>0</v>
      </c>
      <c r="AG312" s="141">
        <v>570117</v>
      </c>
      <c r="AH312" s="141">
        <v>-4476962</v>
      </c>
      <c r="AI312" s="141">
        <v>0</v>
      </c>
      <c r="AJ312" s="141">
        <v>-4476962</v>
      </c>
      <c r="AK312" s="141">
        <v>-17754</v>
      </c>
      <c r="AL312" s="141">
        <v>0</v>
      </c>
      <c r="AM312" s="141">
        <v>-17754</v>
      </c>
      <c r="AN312" s="141">
        <v>1407320</v>
      </c>
      <c r="AO312" s="141">
        <v>0</v>
      </c>
      <c r="AP312" s="141">
        <v>1407320</v>
      </c>
      <c r="AQ312" s="141">
        <v>-3069642</v>
      </c>
      <c r="AR312" s="141">
        <v>0</v>
      </c>
      <c r="AS312" s="141">
        <v>-3069642</v>
      </c>
      <c r="AT312" s="141">
        <v>-4587356</v>
      </c>
      <c r="AU312" s="141">
        <v>0</v>
      </c>
      <c r="AV312" s="141">
        <v>-4587356</v>
      </c>
      <c r="AW312" s="141">
        <v>-46252</v>
      </c>
      <c r="AX312" s="141">
        <v>0</v>
      </c>
      <c r="AY312" s="141">
        <v>-46252</v>
      </c>
      <c r="AZ312" s="141">
        <v>-10687</v>
      </c>
      <c r="BA312" s="141">
        <v>0</v>
      </c>
      <c r="BB312" s="141">
        <v>-10687</v>
      </c>
      <c r="BC312" s="141">
        <v>-7713937</v>
      </c>
      <c r="BD312" s="141">
        <v>0</v>
      </c>
      <c r="BE312" s="141">
        <v>0</v>
      </c>
      <c r="BF312" s="141">
        <v>0</v>
      </c>
      <c r="BG312" s="141">
        <v>-7713937</v>
      </c>
      <c r="BH312" s="141">
        <v>0</v>
      </c>
      <c r="BI312" s="141">
        <v>-7713937</v>
      </c>
      <c r="BJ312" s="141">
        <v>-10000</v>
      </c>
      <c r="BK312" s="141">
        <v>0</v>
      </c>
      <c r="BL312" s="141">
        <v>-10000</v>
      </c>
      <c r="BM312" s="141">
        <v>-1068701</v>
      </c>
      <c r="BN312" s="141">
        <v>0</v>
      </c>
      <c r="BO312" s="141">
        <v>-1068701</v>
      </c>
      <c r="BP312" s="141">
        <v>-1078701</v>
      </c>
      <c r="BQ312" s="141">
        <v>0</v>
      </c>
      <c r="BR312" s="141">
        <v>0</v>
      </c>
      <c r="BS312" s="141">
        <v>0</v>
      </c>
      <c r="BT312" s="141">
        <v>-1078701</v>
      </c>
      <c r="BU312" s="141">
        <v>0</v>
      </c>
      <c r="BV312" s="141">
        <v>-1078701</v>
      </c>
      <c r="BW312" s="141">
        <v>-59521</v>
      </c>
      <c r="BX312" s="141">
        <v>0</v>
      </c>
      <c r="BY312" s="141">
        <v>-59521</v>
      </c>
      <c r="BZ312" s="141">
        <v>-228257</v>
      </c>
      <c r="CA312" s="141">
        <v>0</v>
      </c>
      <c r="CB312" s="141">
        <v>-228257</v>
      </c>
      <c r="CC312" s="141">
        <v>-4203</v>
      </c>
      <c r="CD312" s="141">
        <v>0</v>
      </c>
      <c r="CE312" s="141">
        <v>-4203</v>
      </c>
      <c r="CF312" s="141">
        <v>0</v>
      </c>
      <c r="CG312" s="141">
        <v>0</v>
      </c>
      <c r="CH312" s="141">
        <v>0</v>
      </c>
      <c r="CI312" s="141">
        <v>0</v>
      </c>
      <c r="CJ312" s="141">
        <v>0</v>
      </c>
      <c r="CK312" s="141">
        <v>0</v>
      </c>
      <c r="CL312" s="141">
        <v>0</v>
      </c>
      <c r="CM312" s="141">
        <v>0</v>
      </c>
      <c r="CN312" s="141">
        <v>0</v>
      </c>
      <c r="CO312" s="141">
        <v>0</v>
      </c>
      <c r="CP312" s="141">
        <v>0</v>
      </c>
      <c r="CQ312" s="141">
        <v>-291981</v>
      </c>
      <c r="CR312" s="141">
        <v>0</v>
      </c>
      <c r="CS312" s="141">
        <v>0</v>
      </c>
      <c r="CT312" s="141">
        <v>0</v>
      </c>
      <c r="CU312" s="141">
        <v>-291981</v>
      </c>
      <c r="CV312" s="141">
        <v>0</v>
      </c>
      <c r="CW312" s="141">
        <v>-291981</v>
      </c>
      <c r="CX312" s="141">
        <v>-5974</v>
      </c>
      <c r="CY312" s="141">
        <v>0</v>
      </c>
      <c r="CZ312" s="141">
        <v>-5974</v>
      </c>
      <c r="DA312" s="141">
        <v>-1500</v>
      </c>
      <c r="DB312" s="141">
        <v>0</v>
      </c>
      <c r="DC312" s="141">
        <v>-1500</v>
      </c>
      <c r="DD312" s="141">
        <v>-73548</v>
      </c>
      <c r="DE312" s="141">
        <v>0</v>
      </c>
      <c r="DF312" s="141">
        <v>-73548</v>
      </c>
      <c r="DG312" s="141">
        <v>-105994</v>
      </c>
      <c r="DH312" s="141">
        <v>0</v>
      </c>
      <c r="DI312" s="141">
        <v>-105994</v>
      </c>
      <c r="DJ312" s="141">
        <v>0</v>
      </c>
      <c r="DK312" s="141">
        <v>0</v>
      </c>
      <c r="DL312" s="141">
        <v>0</v>
      </c>
      <c r="DM312" s="141">
        <v>-1436541</v>
      </c>
      <c r="DN312" s="141">
        <v>0</v>
      </c>
      <c r="DO312" s="141">
        <v>-1436541</v>
      </c>
      <c r="DP312" s="141">
        <v>-1623557</v>
      </c>
      <c r="DQ312" s="141">
        <v>0</v>
      </c>
      <c r="DR312" s="141">
        <v>0</v>
      </c>
      <c r="DS312" s="141">
        <v>0</v>
      </c>
      <c r="DT312" s="141">
        <v>-1623557</v>
      </c>
      <c r="DU312" s="141">
        <v>0</v>
      </c>
      <c r="DV312" s="141">
        <v>-1623557</v>
      </c>
      <c r="DW312" s="856">
        <v>63788190</v>
      </c>
      <c r="DX312" s="856">
        <v>0</v>
      </c>
      <c r="DY312" s="857">
        <v>63788190</v>
      </c>
      <c r="DZ312" t="s">
        <v>1878</v>
      </c>
    </row>
    <row r="313" spans="1:130" ht="12.75" x14ac:dyDescent="0.2">
      <c r="A313" s="764">
        <v>306</v>
      </c>
      <c r="B313" s="765" t="s">
        <v>501</v>
      </c>
      <c r="C313" s="766" t="s">
        <v>529</v>
      </c>
      <c r="D313" s="767" t="s">
        <v>1218</v>
      </c>
      <c r="E313" s="768" t="s">
        <v>894</v>
      </c>
      <c r="F313" s="867">
        <v>43474</v>
      </c>
      <c r="G313" s="141">
        <v>220294372</v>
      </c>
      <c r="H313" s="141">
        <v>0</v>
      </c>
      <c r="I313" s="141">
        <v>220294372</v>
      </c>
      <c r="J313" s="141">
        <v>49.1</v>
      </c>
      <c r="K313" s="141">
        <v>108164537</v>
      </c>
      <c r="L313" s="141">
        <v>0</v>
      </c>
      <c r="M313" s="141">
        <v>310876</v>
      </c>
      <c r="N313" s="141">
        <v>0</v>
      </c>
      <c r="O313" s="141">
        <v>108475413</v>
      </c>
      <c r="P313" s="141">
        <v>0</v>
      </c>
      <c r="Q313" s="141">
        <v>108475413</v>
      </c>
      <c r="R313" s="141">
        <v>-918973</v>
      </c>
      <c r="S313" s="141">
        <v>0</v>
      </c>
      <c r="T313" s="141">
        <v>-918973</v>
      </c>
      <c r="U313" s="141">
        <v>834388</v>
      </c>
      <c r="V313" s="141">
        <v>0</v>
      </c>
      <c r="W313" s="141">
        <v>834388</v>
      </c>
      <c r="X313" s="141">
        <v>-84585</v>
      </c>
      <c r="Y313" s="141">
        <v>0</v>
      </c>
      <c r="Z313" s="141">
        <v>0</v>
      </c>
      <c r="AA313" s="141">
        <v>0</v>
      </c>
      <c r="AB313" s="141">
        <v>-84585</v>
      </c>
      <c r="AC313" s="141">
        <v>0</v>
      </c>
      <c r="AD313" s="141">
        <v>-84585</v>
      </c>
      <c r="AE313" s="141">
        <v>84585</v>
      </c>
      <c r="AF313" s="141">
        <v>0</v>
      </c>
      <c r="AG313" s="141">
        <v>84585</v>
      </c>
      <c r="AH313" s="141">
        <v>-3664594</v>
      </c>
      <c r="AI313" s="141">
        <v>0</v>
      </c>
      <c r="AJ313" s="141">
        <v>-3664594</v>
      </c>
      <c r="AK313" s="141">
        <v>0</v>
      </c>
      <c r="AL313" s="141">
        <v>0</v>
      </c>
      <c r="AM313" s="141">
        <v>0</v>
      </c>
      <c r="AN313" s="141">
        <v>2247290</v>
      </c>
      <c r="AO313" s="141">
        <v>0</v>
      </c>
      <c r="AP313" s="141">
        <v>2247290</v>
      </c>
      <c r="AQ313" s="141">
        <v>-1417304</v>
      </c>
      <c r="AR313" s="141">
        <v>0</v>
      </c>
      <c r="AS313" s="141">
        <v>-1417304</v>
      </c>
      <c r="AT313" s="141">
        <v>-7661681</v>
      </c>
      <c r="AU313" s="141">
        <v>0</v>
      </c>
      <c r="AV313" s="141">
        <v>-7661681</v>
      </c>
      <c r="AW313" s="141">
        <v>0</v>
      </c>
      <c r="AX313" s="141">
        <v>0</v>
      </c>
      <c r="AY313" s="141">
        <v>0</v>
      </c>
      <c r="AZ313" s="141">
        <v>-4498</v>
      </c>
      <c r="BA313" s="141">
        <v>0</v>
      </c>
      <c r="BB313" s="141">
        <v>-4498</v>
      </c>
      <c r="BC313" s="141">
        <v>-9083483</v>
      </c>
      <c r="BD313" s="141">
        <v>0</v>
      </c>
      <c r="BE313" s="141">
        <v>0</v>
      </c>
      <c r="BF313" s="141">
        <v>0</v>
      </c>
      <c r="BG313" s="141">
        <v>-9083483</v>
      </c>
      <c r="BH313" s="141">
        <v>0</v>
      </c>
      <c r="BI313" s="141">
        <v>-9083483</v>
      </c>
      <c r="BJ313" s="141">
        <v>0</v>
      </c>
      <c r="BK313" s="141">
        <v>0</v>
      </c>
      <c r="BL313" s="141">
        <v>0</v>
      </c>
      <c r="BM313" s="141">
        <v>-2097251</v>
      </c>
      <c r="BN313" s="141">
        <v>0</v>
      </c>
      <c r="BO313" s="141">
        <v>-2097251</v>
      </c>
      <c r="BP313" s="141">
        <v>-2097251</v>
      </c>
      <c r="BQ313" s="141">
        <v>0</v>
      </c>
      <c r="BR313" s="141">
        <v>0</v>
      </c>
      <c r="BS313" s="141">
        <v>0</v>
      </c>
      <c r="BT313" s="141">
        <v>-2097251</v>
      </c>
      <c r="BU313" s="141">
        <v>0</v>
      </c>
      <c r="BV313" s="141">
        <v>-2097251</v>
      </c>
      <c r="BW313" s="141">
        <v>-445768</v>
      </c>
      <c r="BX313" s="141">
        <v>0</v>
      </c>
      <c r="BY313" s="141">
        <v>-445768</v>
      </c>
      <c r="BZ313" s="141">
        <v>-169304</v>
      </c>
      <c r="CA313" s="141">
        <v>0</v>
      </c>
      <c r="CB313" s="141">
        <v>-169304</v>
      </c>
      <c r="CC313" s="141">
        <v>0</v>
      </c>
      <c r="CD313" s="141">
        <v>0</v>
      </c>
      <c r="CE313" s="141">
        <v>0</v>
      </c>
      <c r="CF313" s="141">
        <v>0</v>
      </c>
      <c r="CG313" s="141">
        <v>0</v>
      </c>
      <c r="CH313" s="141">
        <v>0</v>
      </c>
      <c r="CI313" s="141">
        <v>-9390</v>
      </c>
      <c r="CJ313" s="141">
        <v>0</v>
      </c>
      <c r="CK313" s="141">
        <v>-9390</v>
      </c>
      <c r="CL313" s="141">
        <v>-35495</v>
      </c>
      <c r="CM313" s="141">
        <v>0</v>
      </c>
      <c r="CN313" s="141">
        <v>-35495</v>
      </c>
      <c r="CO313" s="141">
        <v>0</v>
      </c>
      <c r="CP313" s="141">
        <v>0</v>
      </c>
      <c r="CQ313" s="141">
        <v>-659957</v>
      </c>
      <c r="CR313" s="141">
        <v>0</v>
      </c>
      <c r="CS313" s="141">
        <v>0</v>
      </c>
      <c r="CT313" s="141">
        <v>0</v>
      </c>
      <c r="CU313" s="141">
        <v>-659957</v>
      </c>
      <c r="CV313" s="141">
        <v>0</v>
      </c>
      <c r="CW313" s="141">
        <v>-659957</v>
      </c>
      <c r="CX313" s="141">
        <v>-4311</v>
      </c>
      <c r="CY313" s="141">
        <v>0</v>
      </c>
      <c r="CZ313" s="141">
        <v>-4311</v>
      </c>
      <c r="DA313" s="141">
        <v>-1500</v>
      </c>
      <c r="DB313" s="141">
        <v>0</v>
      </c>
      <c r="DC313" s="141">
        <v>-1500</v>
      </c>
      <c r="DD313" s="141">
        <v>-5240</v>
      </c>
      <c r="DE313" s="141">
        <v>0</v>
      </c>
      <c r="DF313" s="141">
        <v>-5240</v>
      </c>
      <c r="DG313" s="141">
        <v>-136000</v>
      </c>
      <c r="DH313" s="141">
        <v>0</v>
      </c>
      <c r="DI313" s="141">
        <v>-136000</v>
      </c>
      <c r="DJ313" s="141">
        <v>0</v>
      </c>
      <c r="DK313" s="141">
        <v>0</v>
      </c>
      <c r="DL313" s="141">
        <v>0</v>
      </c>
      <c r="DM313" s="141">
        <v>-2096778</v>
      </c>
      <c r="DN313" s="141">
        <v>0</v>
      </c>
      <c r="DO313" s="141">
        <v>-2096778</v>
      </c>
      <c r="DP313" s="141">
        <v>-2243829</v>
      </c>
      <c r="DQ313" s="141">
        <v>0</v>
      </c>
      <c r="DR313" s="141">
        <v>0</v>
      </c>
      <c r="DS313" s="141">
        <v>0</v>
      </c>
      <c r="DT313" s="141">
        <v>-2243829</v>
      </c>
      <c r="DU313" s="141">
        <v>0</v>
      </c>
      <c r="DV313" s="141">
        <v>-2243829</v>
      </c>
      <c r="DW313" s="856">
        <v>94306308</v>
      </c>
      <c r="DX313" s="856">
        <v>0</v>
      </c>
      <c r="DY313" s="857">
        <v>94306308</v>
      </c>
      <c r="DZ313" t="s">
        <v>1879</v>
      </c>
    </row>
    <row r="314" spans="1:130" ht="12.75" x14ac:dyDescent="0.2">
      <c r="A314" s="764">
        <v>307</v>
      </c>
      <c r="B314" s="765" t="s">
        <v>503</v>
      </c>
      <c r="C314" s="766" t="s">
        <v>1224</v>
      </c>
      <c r="D314" s="767" t="s">
        <v>1219</v>
      </c>
      <c r="E314" s="768" t="s">
        <v>502</v>
      </c>
      <c r="F314" s="867">
        <v>43481</v>
      </c>
      <c r="G314" s="141">
        <v>189325051</v>
      </c>
      <c r="H314" s="141">
        <v>2260700</v>
      </c>
      <c r="I314" s="141">
        <v>191585751</v>
      </c>
      <c r="J314" s="141">
        <v>49.1</v>
      </c>
      <c r="K314" s="141">
        <v>92958600</v>
      </c>
      <c r="L314" s="141">
        <v>1110004</v>
      </c>
      <c r="M314" s="141">
        <v>0</v>
      </c>
      <c r="N314" s="141">
        <v>0</v>
      </c>
      <c r="O314" s="141">
        <v>92958600</v>
      </c>
      <c r="P314" s="141">
        <v>1110004</v>
      </c>
      <c r="Q314" s="141">
        <v>94068604</v>
      </c>
      <c r="R314" s="141">
        <v>-1173201</v>
      </c>
      <c r="S314" s="141">
        <v>0</v>
      </c>
      <c r="T314" s="141">
        <v>-1173201</v>
      </c>
      <c r="U314" s="141">
        <v>1603555</v>
      </c>
      <c r="V314" s="141">
        <v>2762</v>
      </c>
      <c r="W314" s="141">
        <v>1606317</v>
      </c>
      <c r="X314" s="141">
        <v>430354</v>
      </c>
      <c r="Y314" s="141">
        <v>2762</v>
      </c>
      <c r="Z314" s="141">
        <v>0</v>
      </c>
      <c r="AA314" s="141">
        <v>0</v>
      </c>
      <c r="AB314" s="141">
        <v>430354</v>
      </c>
      <c r="AC314" s="141">
        <v>2762</v>
      </c>
      <c r="AD314" s="141">
        <v>433116</v>
      </c>
      <c r="AE314" s="141">
        <v>-430354</v>
      </c>
      <c r="AF314" s="141">
        <v>-2762</v>
      </c>
      <c r="AG314" s="141">
        <v>-433116</v>
      </c>
      <c r="AH314" s="141">
        <v>-9908119</v>
      </c>
      <c r="AI314" s="141">
        <v>-26146</v>
      </c>
      <c r="AJ314" s="141">
        <v>-9934265</v>
      </c>
      <c r="AK314" s="141">
        <v>-36887</v>
      </c>
      <c r="AL314" s="141">
        <v>0</v>
      </c>
      <c r="AM314" s="141">
        <v>-36887</v>
      </c>
      <c r="AN314" s="141">
        <v>1656473</v>
      </c>
      <c r="AO314" s="141">
        <v>26130</v>
      </c>
      <c r="AP314" s="141">
        <v>1682603</v>
      </c>
      <c r="AQ314" s="141">
        <v>-8251646</v>
      </c>
      <c r="AR314" s="141">
        <v>-16</v>
      </c>
      <c r="AS314" s="141">
        <v>-8251662</v>
      </c>
      <c r="AT314" s="141">
        <v>-5673534</v>
      </c>
      <c r="AU314" s="141">
        <v>-88099</v>
      </c>
      <c r="AV314" s="141">
        <v>-5761633</v>
      </c>
      <c r="AW314" s="141">
        <v>-29050</v>
      </c>
      <c r="AX314" s="141">
        <v>0</v>
      </c>
      <c r="AY314" s="141">
        <v>-29050</v>
      </c>
      <c r="AZ314" s="141">
        <v>0</v>
      </c>
      <c r="BA314" s="141">
        <v>0</v>
      </c>
      <c r="BB314" s="141">
        <v>0</v>
      </c>
      <c r="BC314" s="141">
        <v>-13954230</v>
      </c>
      <c r="BD314" s="141">
        <v>-88115</v>
      </c>
      <c r="BE314" s="141">
        <v>0</v>
      </c>
      <c r="BF314" s="141">
        <v>0</v>
      </c>
      <c r="BG314" s="141">
        <v>-13954230</v>
      </c>
      <c r="BH314" s="141">
        <v>-88115</v>
      </c>
      <c r="BI314" s="141">
        <v>-14042345</v>
      </c>
      <c r="BJ314" s="141">
        <v>-50000</v>
      </c>
      <c r="BK314" s="141">
        <v>0</v>
      </c>
      <c r="BL314" s="141">
        <v>-50000</v>
      </c>
      <c r="BM314" s="141">
        <v>-3121991</v>
      </c>
      <c r="BN314" s="141">
        <v>-30492</v>
      </c>
      <c r="BO314" s="141">
        <v>-3152483</v>
      </c>
      <c r="BP314" s="141">
        <v>-3171991</v>
      </c>
      <c r="BQ314" s="141">
        <v>-30492</v>
      </c>
      <c r="BR314" s="141">
        <v>0</v>
      </c>
      <c r="BS314" s="141">
        <v>0</v>
      </c>
      <c r="BT314" s="141">
        <v>-3171991</v>
      </c>
      <c r="BU314" s="141">
        <v>-30492</v>
      </c>
      <c r="BV314" s="141">
        <v>-3202483</v>
      </c>
      <c r="BW314" s="141">
        <v>-680007</v>
      </c>
      <c r="BX314" s="141">
        <v>-1865</v>
      </c>
      <c r="BY314" s="141">
        <v>-681872</v>
      </c>
      <c r="BZ314" s="141">
        <v>-104558</v>
      </c>
      <c r="CA314" s="141">
        <v>0</v>
      </c>
      <c r="CB314" s="141">
        <v>-104558</v>
      </c>
      <c r="CC314" s="141">
        <v>-7263</v>
      </c>
      <c r="CD314" s="141">
        <v>0</v>
      </c>
      <c r="CE314" s="141">
        <v>-7263</v>
      </c>
      <c r="CF314" s="141">
        <v>0</v>
      </c>
      <c r="CG314" s="141">
        <v>0</v>
      </c>
      <c r="CH314" s="141">
        <v>0</v>
      </c>
      <c r="CI314" s="141">
        <v>0</v>
      </c>
      <c r="CJ314" s="141">
        <v>0</v>
      </c>
      <c r="CK314" s="141">
        <v>0</v>
      </c>
      <c r="CL314" s="141">
        <v>0</v>
      </c>
      <c r="CM314" s="141">
        <v>-76307</v>
      </c>
      <c r="CN314" s="141">
        <v>-76307</v>
      </c>
      <c r="CO314" s="141">
        <v>-76307</v>
      </c>
      <c r="CP314" s="141">
        <v>0</v>
      </c>
      <c r="CQ314" s="141">
        <v>-791828</v>
      </c>
      <c r="CR314" s="141">
        <v>-78172</v>
      </c>
      <c r="CS314" s="141">
        <v>0</v>
      </c>
      <c r="CT314" s="141">
        <v>0</v>
      </c>
      <c r="CU314" s="141">
        <v>-791828</v>
      </c>
      <c r="CV314" s="141">
        <v>-78172</v>
      </c>
      <c r="CW314" s="141">
        <v>-870000</v>
      </c>
      <c r="CX314" s="141">
        <v>0</v>
      </c>
      <c r="CY314" s="141">
        <v>0</v>
      </c>
      <c r="CZ314" s="141">
        <v>0</v>
      </c>
      <c r="DA314" s="141">
        <v>-1500</v>
      </c>
      <c r="DB314" s="141">
        <v>0</v>
      </c>
      <c r="DC314" s="141">
        <v>-1500</v>
      </c>
      <c r="DD314" s="141">
        <v>-35054</v>
      </c>
      <c r="DE314" s="141">
        <v>0</v>
      </c>
      <c r="DF314" s="141">
        <v>-35054</v>
      </c>
      <c r="DG314" s="141">
        <v>-106000</v>
      </c>
      <c r="DH314" s="141">
        <v>0</v>
      </c>
      <c r="DI314" s="141">
        <v>-106000</v>
      </c>
      <c r="DJ314" s="141">
        <v>0</v>
      </c>
      <c r="DK314" s="141">
        <v>0</v>
      </c>
      <c r="DL314" s="141">
        <v>0</v>
      </c>
      <c r="DM314" s="141">
        <v>-1700000</v>
      </c>
      <c r="DN314" s="141">
        <v>0</v>
      </c>
      <c r="DO314" s="141">
        <v>-1700000</v>
      </c>
      <c r="DP314" s="141">
        <v>-1842554</v>
      </c>
      <c r="DQ314" s="141">
        <v>0</v>
      </c>
      <c r="DR314" s="141">
        <v>0</v>
      </c>
      <c r="DS314" s="141">
        <v>0</v>
      </c>
      <c r="DT314" s="141">
        <v>-1842554</v>
      </c>
      <c r="DU314" s="141">
        <v>0</v>
      </c>
      <c r="DV314" s="141">
        <v>-1842554</v>
      </c>
      <c r="DW314" s="856">
        <v>73628351</v>
      </c>
      <c r="DX314" s="856">
        <v>915987</v>
      </c>
      <c r="DY314" s="857">
        <v>74544338</v>
      </c>
      <c r="DZ314" t="s">
        <v>1880</v>
      </c>
    </row>
    <row r="315" spans="1:130" ht="12.75" x14ac:dyDescent="0.2">
      <c r="A315" s="764">
        <v>308</v>
      </c>
      <c r="B315" s="765" t="s">
        <v>505</v>
      </c>
      <c r="C315" s="766" t="s">
        <v>1217</v>
      </c>
      <c r="D315" s="767" t="s">
        <v>1218</v>
      </c>
      <c r="E315" s="768" t="s">
        <v>504</v>
      </c>
      <c r="F315" s="867">
        <v>43474</v>
      </c>
      <c r="G315" s="141">
        <v>114995728</v>
      </c>
      <c r="H315" s="141">
        <v>0</v>
      </c>
      <c r="I315" s="141">
        <v>114995728</v>
      </c>
      <c r="J315" s="141">
        <v>49.1</v>
      </c>
      <c r="K315" s="141">
        <v>56462902</v>
      </c>
      <c r="L315" s="141">
        <v>0</v>
      </c>
      <c r="M315" s="141">
        <v>0</v>
      </c>
      <c r="N315" s="141">
        <v>0</v>
      </c>
      <c r="O315" s="141">
        <v>56462902</v>
      </c>
      <c r="P315" s="141">
        <v>0</v>
      </c>
      <c r="Q315" s="141">
        <v>56462902</v>
      </c>
      <c r="R315" s="141">
        <v>-336419</v>
      </c>
      <c r="S315" s="141">
        <v>0</v>
      </c>
      <c r="T315" s="141">
        <v>-336419</v>
      </c>
      <c r="U315" s="141">
        <v>260058</v>
      </c>
      <c r="V315" s="141">
        <v>0</v>
      </c>
      <c r="W315" s="141">
        <v>260058</v>
      </c>
      <c r="X315" s="141">
        <v>-76361</v>
      </c>
      <c r="Y315" s="141">
        <v>0</v>
      </c>
      <c r="Z315" s="141">
        <v>0</v>
      </c>
      <c r="AA315" s="141">
        <v>0</v>
      </c>
      <c r="AB315" s="141">
        <v>-76361</v>
      </c>
      <c r="AC315" s="141">
        <v>0</v>
      </c>
      <c r="AD315" s="141">
        <v>-76361</v>
      </c>
      <c r="AE315" s="141">
        <v>76361</v>
      </c>
      <c r="AF315" s="141">
        <v>0</v>
      </c>
      <c r="AG315" s="141">
        <v>76361</v>
      </c>
      <c r="AH315" s="141">
        <v>-2294931</v>
      </c>
      <c r="AI315" s="141">
        <v>0</v>
      </c>
      <c r="AJ315" s="141">
        <v>-2294931</v>
      </c>
      <c r="AK315" s="141">
        <v>0</v>
      </c>
      <c r="AL315" s="141">
        <v>0</v>
      </c>
      <c r="AM315" s="141">
        <v>0</v>
      </c>
      <c r="AN315" s="141">
        <v>1160048</v>
      </c>
      <c r="AO315" s="141">
        <v>0</v>
      </c>
      <c r="AP315" s="141">
        <v>1160048</v>
      </c>
      <c r="AQ315" s="141">
        <v>-1134883</v>
      </c>
      <c r="AR315" s="141">
        <v>0</v>
      </c>
      <c r="AS315" s="141">
        <v>-1134883</v>
      </c>
      <c r="AT315" s="141">
        <v>-3308774</v>
      </c>
      <c r="AU315" s="141">
        <v>0</v>
      </c>
      <c r="AV315" s="141">
        <v>-3308774</v>
      </c>
      <c r="AW315" s="141">
        <v>0</v>
      </c>
      <c r="AX315" s="141">
        <v>0</v>
      </c>
      <c r="AY315" s="141">
        <v>0</v>
      </c>
      <c r="AZ315" s="141">
        <v>-962</v>
      </c>
      <c r="BA315" s="141">
        <v>0</v>
      </c>
      <c r="BB315" s="141">
        <v>-962</v>
      </c>
      <c r="BC315" s="141">
        <v>-4444619</v>
      </c>
      <c r="BD315" s="141">
        <v>0</v>
      </c>
      <c r="BE315" s="141">
        <v>0</v>
      </c>
      <c r="BF315" s="141">
        <v>0</v>
      </c>
      <c r="BG315" s="141">
        <v>-4444619</v>
      </c>
      <c r="BH315" s="141">
        <v>0</v>
      </c>
      <c r="BI315" s="141">
        <v>-4444619</v>
      </c>
      <c r="BJ315" s="141">
        <v>0</v>
      </c>
      <c r="BK315" s="141">
        <v>0</v>
      </c>
      <c r="BL315" s="141">
        <v>0</v>
      </c>
      <c r="BM315" s="141">
        <v>-664852</v>
      </c>
      <c r="BN315" s="141">
        <v>0</v>
      </c>
      <c r="BO315" s="141">
        <v>-664852</v>
      </c>
      <c r="BP315" s="141">
        <v>-664852</v>
      </c>
      <c r="BQ315" s="141">
        <v>0</v>
      </c>
      <c r="BR315" s="141">
        <v>0</v>
      </c>
      <c r="BS315" s="141">
        <v>0</v>
      </c>
      <c r="BT315" s="141">
        <v>-664852</v>
      </c>
      <c r="BU315" s="141">
        <v>0</v>
      </c>
      <c r="BV315" s="141">
        <v>-664852</v>
      </c>
      <c r="BW315" s="141">
        <v>-347350</v>
      </c>
      <c r="BX315" s="141">
        <v>0</v>
      </c>
      <c r="BY315" s="141">
        <v>-347350</v>
      </c>
      <c r="BZ315" s="141">
        <v>-93059</v>
      </c>
      <c r="CA315" s="141">
        <v>0</v>
      </c>
      <c r="CB315" s="141">
        <v>-93059</v>
      </c>
      <c r="CC315" s="141">
        <v>0</v>
      </c>
      <c r="CD315" s="141">
        <v>0</v>
      </c>
      <c r="CE315" s="141">
        <v>0</v>
      </c>
      <c r="CF315" s="141">
        <v>0</v>
      </c>
      <c r="CG315" s="141">
        <v>0</v>
      </c>
      <c r="CH315" s="141">
        <v>0</v>
      </c>
      <c r="CI315" s="141">
        <v>0</v>
      </c>
      <c r="CJ315" s="141">
        <v>0</v>
      </c>
      <c r="CK315" s="141">
        <v>0</v>
      </c>
      <c r="CL315" s="141">
        <v>-399852</v>
      </c>
      <c r="CM315" s="141">
        <v>0</v>
      </c>
      <c r="CN315" s="141">
        <v>-399852</v>
      </c>
      <c r="CO315" s="141">
        <v>0</v>
      </c>
      <c r="CP315" s="141">
        <v>0</v>
      </c>
      <c r="CQ315" s="141">
        <v>-840261</v>
      </c>
      <c r="CR315" s="141">
        <v>0</v>
      </c>
      <c r="CS315" s="141">
        <v>0</v>
      </c>
      <c r="CT315" s="141">
        <v>0</v>
      </c>
      <c r="CU315" s="141">
        <v>-840261</v>
      </c>
      <c r="CV315" s="141">
        <v>0</v>
      </c>
      <c r="CW315" s="141">
        <v>-840261</v>
      </c>
      <c r="CX315" s="141">
        <v>0</v>
      </c>
      <c r="CY315" s="141">
        <v>0</v>
      </c>
      <c r="CZ315" s="141">
        <v>0</v>
      </c>
      <c r="DA315" s="141">
        <v>0</v>
      </c>
      <c r="DB315" s="141">
        <v>0</v>
      </c>
      <c r="DC315" s="141">
        <v>0</v>
      </c>
      <c r="DD315" s="141">
        <v>-21582</v>
      </c>
      <c r="DE315" s="141">
        <v>0</v>
      </c>
      <c r="DF315" s="141">
        <v>-21582</v>
      </c>
      <c r="DG315" s="141">
        <v>-57500</v>
      </c>
      <c r="DH315" s="141">
        <v>0</v>
      </c>
      <c r="DI315" s="141">
        <v>-57500</v>
      </c>
      <c r="DJ315" s="141">
        <v>0</v>
      </c>
      <c r="DK315" s="141">
        <v>0</v>
      </c>
      <c r="DL315" s="141">
        <v>0</v>
      </c>
      <c r="DM315" s="141">
        <v>-1912936</v>
      </c>
      <c r="DN315" s="141">
        <v>0</v>
      </c>
      <c r="DO315" s="141">
        <v>-1912936</v>
      </c>
      <c r="DP315" s="141">
        <v>-1992018</v>
      </c>
      <c r="DQ315" s="141">
        <v>0</v>
      </c>
      <c r="DR315" s="141">
        <v>0</v>
      </c>
      <c r="DS315" s="141">
        <v>0</v>
      </c>
      <c r="DT315" s="141">
        <v>-1992018</v>
      </c>
      <c r="DU315" s="141">
        <v>0</v>
      </c>
      <c r="DV315" s="141">
        <v>-1992018</v>
      </c>
      <c r="DW315" s="856">
        <v>48444791</v>
      </c>
      <c r="DX315" s="856">
        <v>0</v>
      </c>
      <c r="DY315" s="857">
        <v>48444791</v>
      </c>
      <c r="DZ315" t="s">
        <v>1881</v>
      </c>
    </row>
    <row r="316" spans="1:130" ht="12.75" x14ac:dyDescent="0.2">
      <c r="A316" s="764">
        <v>309</v>
      </c>
      <c r="B316" s="765" t="s">
        <v>507</v>
      </c>
      <c r="C316" s="766" t="s">
        <v>529</v>
      </c>
      <c r="D316" s="767" t="s">
        <v>1218</v>
      </c>
      <c r="E316" s="768" t="s">
        <v>541</v>
      </c>
      <c r="F316" s="867">
        <v>43453</v>
      </c>
      <c r="G316" s="141">
        <v>181058036</v>
      </c>
      <c r="H316" s="141">
        <v>0</v>
      </c>
      <c r="I316" s="141">
        <v>181058036</v>
      </c>
      <c r="J316" s="141">
        <v>49.1</v>
      </c>
      <c r="K316" s="141">
        <v>88899496</v>
      </c>
      <c r="L316" s="141">
        <v>0</v>
      </c>
      <c r="M316" s="141">
        <v>400000</v>
      </c>
      <c r="N316" s="141">
        <v>0</v>
      </c>
      <c r="O316" s="141">
        <v>89299496</v>
      </c>
      <c r="P316" s="141">
        <v>0</v>
      </c>
      <c r="Q316" s="141">
        <v>89299496</v>
      </c>
      <c r="R316" s="141">
        <v>-996629</v>
      </c>
      <c r="S316" s="141">
        <v>0</v>
      </c>
      <c r="T316" s="141">
        <v>-996629</v>
      </c>
      <c r="U316" s="141">
        <v>109556</v>
      </c>
      <c r="V316" s="141">
        <v>0</v>
      </c>
      <c r="W316" s="141">
        <v>109556</v>
      </c>
      <c r="X316" s="141">
        <v>-887073</v>
      </c>
      <c r="Y316" s="141">
        <v>0</v>
      </c>
      <c r="Z316" s="141">
        <v>0</v>
      </c>
      <c r="AA316" s="141">
        <v>0</v>
      </c>
      <c r="AB316" s="141">
        <v>-887073</v>
      </c>
      <c r="AC316" s="141">
        <v>0</v>
      </c>
      <c r="AD316" s="141">
        <v>-887073</v>
      </c>
      <c r="AE316" s="141">
        <v>887073</v>
      </c>
      <c r="AF316" s="141">
        <v>0</v>
      </c>
      <c r="AG316" s="141">
        <v>887073</v>
      </c>
      <c r="AH316" s="141">
        <v>-3326951</v>
      </c>
      <c r="AI316" s="141">
        <v>0</v>
      </c>
      <c r="AJ316" s="141">
        <v>-3326951</v>
      </c>
      <c r="AK316" s="141">
        <v>-4198</v>
      </c>
      <c r="AL316" s="141">
        <v>0</v>
      </c>
      <c r="AM316" s="141">
        <v>-4198</v>
      </c>
      <c r="AN316" s="141">
        <v>1843217</v>
      </c>
      <c r="AO316" s="141">
        <v>0</v>
      </c>
      <c r="AP316" s="141">
        <v>1843217</v>
      </c>
      <c r="AQ316" s="141">
        <v>-1483734</v>
      </c>
      <c r="AR316" s="141">
        <v>0</v>
      </c>
      <c r="AS316" s="141">
        <v>-1483734</v>
      </c>
      <c r="AT316" s="141">
        <v>-6776925</v>
      </c>
      <c r="AU316" s="141">
        <v>0</v>
      </c>
      <c r="AV316" s="141">
        <v>-6776925</v>
      </c>
      <c r="AW316" s="141">
        <v>-65445</v>
      </c>
      <c r="AX316" s="141">
        <v>0</v>
      </c>
      <c r="AY316" s="141">
        <v>-65445</v>
      </c>
      <c r="AZ316" s="141">
        <v>-2445</v>
      </c>
      <c r="BA316" s="141">
        <v>0</v>
      </c>
      <c r="BB316" s="141">
        <v>-2445</v>
      </c>
      <c r="BC316" s="141">
        <v>-8328549</v>
      </c>
      <c r="BD316" s="141">
        <v>0</v>
      </c>
      <c r="BE316" s="141">
        <v>0</v>
      </c>
      <c r="BF316" s="141">
        <v>0</v>
      </c>
      <c r="BG316" s="141">
        <v>-8328549</v>
      </c>
      <c r="BH316" s="141">
        <v>0</v>
      </c>
      <c r="BI316" s="141">
        <v>-8328549</v>
      </c>
      <c r="BJ316" s="141">
        <v>-100000</v>
      </c>
      <c r="BK316" s="141">
        <v>0</v>
      </c>
      <c r="BL316" s="141">
        <v>-100000</v>
      </c>
      <c r="BM316" s="141">
        <v>-3245280</v>
      </c>
      <c r="BN316" s="141">
        <v>0</v>
      </c>
      <c r="BO316" s="141">
        <v>-3245280</v>
      </c>
      <c r="BP316" s="141">
        <v>-3345280</v>
      </c>
      <c r="BQ316" s="141">
        <v>0</v>
      </c>
      <c r="BR316" s="141">
        <v>400000</v>
      </c>
      <c r="BS316" s="141">
        <v>0</v>
      </c>
      <c r="BT316" s="141">
        <v>-2945280</v>
      </c>
      <c r="BU316" s="141">
        <v>0</v>
      </c>
      <c r="BV316" s="141">
        <v>-2945280</v>
      </c>
      <c r="BW316" s="141">
        <v>-5416</v>
      </c>
      <c r="BX316" s="141">
        <v>0</v>
      </c>
      <c r="BY316" s="141">
        <v>-5416</v>
      </c>
      <c r="BZ316" s="141">
        <v>-49903</v>
      </c>
      <c r="CA316" s="141">
        <v>0</v>
      </c>
      <c r="CB316" s="141">
        <v>-49903</v>
      </c>
      <c r="CC316" s="141">
        <v>-459</v>
      </c>
      <c r="CD316" s="141">
        <v>0</v>
      </c>
      <c r="CE316" s="141">
        <v>-459</v>
      </c>
      <c r="CF316" s="141">
        <v>0</v>
      </c>
      <c r="CG316" s="141">
        <v>0</v>
      </c>
      <c r="CH316" s="141">
        <v>0</v>
      </c>
      <c r="CI316" s="141">
        <v>0</v>
      </c>
      <c r="CJ316" s="141">
        <v>0</v>
      </c>
      <c r="CK316" s="141">
        <v>0</v>
      </c>
      <c r="CL316" s="141">
        <v>-35000</v>
      </c>
      <c r="CM316" s="141">
        <v>0</v>
      </c>
      <c r="CN316" s="141">
        <v>-35000</v>
      </c>
      <c r="CO316" s="141">
        <v>0</v>
      </c>
      <c r="CP316" s="141">
        <v>0</v>
      </c>
      <c r="CQ316" s="141">
        <v>-90778</v>
      </c>
      <c r="CR316" s="141">
        <v>0</v>
      </c>
      <c r="CS316" s="141">
        <v>0</v>
      </c>
      <c r="CT316" s="141">
        <v>0</v>
      </c>
      <c r="CU316" s="141">
        <v>-90778</v>
      </c>
      <c r="CV316" s="141">
        <v>0</v>
      </c>
      <c r="CW316" s="141">
        <v>-90778</v>
      </c>
      <c r="CX316" s="141">
        <v>-2444</v>
      </c>
      <c r="CY316" s="141">
        <v>0</v>
      </c>
      <c r="CZ316" s="141">
        <v>-2444</v>
      </c>
      <c r="DA316" s="141">
        <v>0</v>
      </c>
      <c r="DB316" s="141">
        <v>0</v>
      </c>
      <c r="DC316" s="141">
        <v>0</v>
      </c>
      <c r="DD316" s="141">
        <v>-37199</v>
      </c>
      <c r="DE316" s="141">
        <v>0</v>
      </c>
      <c r="DF316" s="141">
        <v>-37199</v>
      </c>
      <c r="DG316" s="141">
        <v>-79000</v>
      </c>
      <c r="DH316" s="141">
        <v>0</v>
      </c>
      <c r="DI316" s="141">
        <v>-79000</v>
      </c>
      <c r="DJ316" s="141">
        <v>0</v>
      </c>
      <c r="DK316" s="141">
        <v>0</v>
      </c>
      <c r="DL316" s="141">
        <v>0</v>
      </c>
      <c r="DM316" s="141">
        <v>-700000</v>
      </c>
      <c r="DN316" s="141">
        <v>0</v>
      </c>
      <c r="DO316" s="141">
        <v>-700000</v>
      </c>
      <c r="DP316" s="141">
        <v>-818643</v>
      </c>
      <c r="DQ316" s="141">
        <v>0</v>
      </c>
      <c r="DR316" s="141">
        <v>0</v>
      </c>
      <c r="DS316" s="141">
        <v>0</v>
      </c>
      <c r="DT316" s="141">
        <v>-818643</v>
      </c>
      <c r="DU316" s="141">
        <v>0</v>
      </c>
      <c r="DV316" s="141">
        <v>-818643</v>
      </c>
      <c r="DW316" s="856">
        <v>76229173</v>
      </c>
      <c r="DX316" s="856">
        <v>0</v>
      </c>
      <c r="DY316" s="857">
        <v>76229173</v>
      </c>
      <c r="DZ316" t="s">
        <v>1882</v>
      </c>
    </row>
    <row r="317" spans="1:130" ht="12.75" x14ac:dyDescent="0.2">
      <c r="A317" s="764">
        <v>310</v>
      </c>
      <c r="B317" s="765" t="s">
        <v>509</v>
      </c>
      <c r="C317" s="766" t="s">
        <v>1224</v>
      </c>
      <c r="D317" s="767" t="s">
        <v>1227</v>
      </c>
      <c r="E317" s="768" t="s">
        <v>508</v>
      </c>
      <c r="F317" s="867">
        <v>43465</v>
      </c>
      <c r="G317" s="141">
        <v>193426317</v>
      </c>
      <c r="H317" s="141">
        <v>392750</v>
      </c>
      <c r="I317" s="141">
        <v>193819067</v>
      </c>
      <c r="J317" s="141">
        <v>49.1</v>
      </c>
      <c r="K317" s="141">
        <v>94972322</v>
      </c>
      <c r="L317" s="141">
        <v>192840</v>
      </c>
      <c r="M317" s="141">
        <v>0</v>
      </c>
      <c r="N317" s="141">
        <v>0</v>
      </c>
      <c r="O317" s="141">
        <v>94972322</v>
      </c>
      <c r="P317" s="141">
        <v>192840</v>
      </c>
      <c r="Q317" s="141">
        <v>95165162</v>
      </c>
      <c r="R317" s="141">
        <v>-984056</v>
      </c>
      <c r="S317" s="141">
        <v>0</v>
      </c>
      <c r="T317" s="141">
        <v>-984056</v>
      </c>
      <c r="U317" s="141">
        <v>690586</v>
      </c>
      <c r="V317" s="141">
        <v>0</v>
      </c>
      <c r="W317" s="141">
        <v>690586</v>
      </c>
      <c r="X317" s="141">
        <v>-293470</v>
      </c>
      <c r="Y317" s="141">
        <v>0</v>
      </c>
      <c r="Z317" s="141">
        <v>0</v>
      </c>
      <c r="AA317" s="141">
        <v>0</v>
      </c>
      <c r="AB317" s="141">
        <v>-293470</v>
      </c>
      <c r="AC317" s="141">
        <v>0</v>
      </c>
      <c r="AD317" s="141">
        <v>-293470</v>
      </c>
      <c r="AE317" s="141">
        <v>293470</v>
      </c>
      <c r="AF317" s="141">
        <v>0</v>
      </c>
      <c r="AG317" s="141">
        <v>293470</v>
      </c>
      <c r="AH317" s="141">
        <v>-9431120</v>
      </c>
      <c r="AI317" s="141">
        <v>0</v>
      </c>
      <c r="AJ317" s="141">
        <v>-9431120</v>
      </c>
      <c r="AK317" s="141">
        <v>-16237</v>
      </c>
      <c r="AL317" s="141">
        <v>0</v>
      </c>
      <c r="AM317" s="141">
        <v>-16237</v>
      </c>
      <c r="AN317" s="141">
        <v>1714146</v>
      </c>
      <c r="AO317" s="141">
        <v>0</v>
      </c>
      <c r="AP317" s="141">
        <v>1714146</v>
      </c>
      <c r="AQ317" s="141">
        <v>-7716974</v>
      </c>
      <c r="AR317" s="141">
        <v>0</v>
      </c>
      <c r="AS317" s="141">
        <v>-7716974</v>
      </c>
      <c r="AT317" s="141">
        <v>-6626913</v>
      </c>
      <c r="AU317" s="141">
        <v>0</v>
      </c>
      <c r="AV317" s="141">
        <v>-6626913</v>
      </c>
      <c r="AW317" s="141">
        <v>-13191</v>
      </c>
      <c r="AX317" s="141">
        <v>0</v>
      </c>
      <c r="AY317" s="141">
        <v>-13191</v>
      </c>
      <c r="AZ317" s="141">
        <v>0</v>
      </c>
      <c r="BA317" s="141">
        <v>0</v>
      </c>
      <c r="BB317" s="141">
        <v>0</v>
      </c>
      <c r="BC317" s="141">
        <v>-14357078</v>
      </c>
      <c r="BD317" s="141">
        <v>0</v>
      </c>
      <c r="BE317" s="141">
        <v>0</v>
      </c>
      <c r="BF317" s="141">
        <v>0</v>
      </c>
      <c r="BG317" s="141">
        <v>-14357078</v>
      </c>
      <c r="BH317" s="141">
        <v>0</v>
      </c>
      <c r="BI317" s="141">
        <v>-14357078</v>
      </c>
      <c r="BJ317" s="141">
        <v>0</v>
      </c>
      <c r="BK317" s="141">
        <v>0</v>
      </c>
      <c r="BL317" s="141">
        <v>0</v>
      </c>
      <c r="BM317" s="141">
        <v>-2822468</v>
      </c>
      <c r="BN317" s="141">
        <v>0</v>
      </c>
      <c r="BO317" s="141">
        <v>-2822468</v>
      </c>
      <c r="BP317" s="141">
        <v>-2822468</v>
      </c>
      <c r="BQ317" s="141">
        <v>0</v>
      </c>
      <c r="BR317" s="141">
        <v>0</v>
      </c>
      <c r="BS317" s="141">
        <v>0</v>
      </c>
      <c r="BT317" s="141">
        <v>-2822468</v>
      </c>
      <c r="BU317" s="141">
        <v>0</v>
      </c>
      <c r="BV317" s="141">
        <v>-2822468</v>
      </c>
      <c r="BW317" s="141">
        <v>-248158</v>
      </c>
      <c r="BX317" s="141">
        <v>0</v>
      </c>
      <c r="BY317" s="141">
        <v>-248158</v>
      </c>
      <c r="BZ317" s="141">
        <v>-369414</v>
      </c>
      <c r="CA317" s="141">
        <v>0</v>
      </c>
      <c r="CB317" s="141">
        <v>-369414</v>
      </c>
      <c r="CC317" s="141">
        <v>-1748</v>
      </c>
      <c r="CD317" s="141">
        <v>0</v>
      </c>
      <c r="CE317" s="141">
        <v>-1748</v>
      </c>
      <c r="CF317" s="141">
        <v>0</v>
      </c>
      <c r="CG317" s="141">
        <v>0</v>
      </c>
      <c r="CH317" s="141">
        <v>0</v>
      </c>
      <c r="CI317" s="141">
        <v>0</v>
      </c>
      <c r="CJ317" s="141">
        <v>0</v>
      </c>
      <c r="CK317" s="141">
        <v>0</v>
      </c>
      <c r="CL317" s="141">
        <v>0</v>
      </c>
      <c r="CM317" s="141">
        <v>-8715</v>
      </c>
      <c r="CN317" s="141">
        <v>-8715</v>
      </c>
      <c r="CO317" s="141">
        <v>-8715</v>
      </c>
      <c r="CP317" s="141">
        <v>0</v>
      </c>
      <c r="CQ317" s="141">
        <v>-619320</v>
      </c>
      <c r="CR317" s="141">
        <v>-8715</v>
      </c>
      <c r="CS317" s="141">
        <v>0</v>
      </c>
      <c r="CT317" s="141">
        <v>0</v>
      </c>
      <c r="CU317" s="141">
        <v>-619320</v>
      </c>
      <c r="CV317" s="141">
        <v>-8715</v>
      </c>
      <c r="CW317" s="141">
        <v>-628035</v>
      </c>
      <c r="CX317" s="141">
        <v>0</v>
      </c>
      <c r="CY317" s="141">
        <v>0</v>
      </c>
      <c r="CZ317" s="141">
        <v>0</v>
      </c>
      <c r="DA317" s="141">
        <v>-1500</v>
      </c>
      <c r="DB317" s="141">
        <v>0</v>
      </c>
      <c r="DC317" s="141">
        <v>-1500</v>
      </c>
      <c r="DD317" s="141">
        <v>-31171</v>
      </c>
      <c r="DE317" s="141">
        <v>0</v>
      </c>
      <c r="DF317" s="141">
        <v>-31171</v>
      </c>
      <c r="DG317" s="141">
        <v>-78415</v>
      </c>
      <c r="DH317" s="141">
        <v>0</v>
      </c>
      <c r="DI317" s="141">
        <v>-78415</v>
      </c>
      <c r="DJ317" s="141">
        <v>0</v>
      </c>
      <c r="DK317" s="141">
        <v>0</v>
      </c>
      <c r="DL317" s="141">
        <v>0</v>
      </c>
      <c r="DM317" s="141">
        <v>-1195617</v>
      </c>
      <c r="DN317" s="141">
        <v>0</v>
      </c>
      <c r="DO317" s="141">
        <v>-1195617</v>
      </c>
      <c r="DP317" s="141">
        <v>-1306703</v>
      </c>
      <c r="DQ317" s="141">
        <v>0</v>
      </c>
      <c r="DR317" s="141">
        <v>0</v>
      </c>
      <c r="DS317" s="141">
        <v>0</v>
      </c>
      <c r="DT317" s="141">
        <v>-1306703</v>
      </c>
      <c r="DU317" s="141">
        <v>0</v>
      </c>
      <c r="DV317" s="141">
        <v>-1306703</v>
      </c>
      <c r="DW317" s="856">
        <v>75573283</v>
      </c>
      <c r="DX317" s="856">
        <v>184125</v>
      </c>
      <c r="DY317" s="857">
        <v>75757408</v>
      </c>
      <c r="DZ317" t="s">
        <v>1883</v>
      </c>
    </row>
    <row r="318" spans="1:130" ht="12.75" x14ac:dyDescent="0.2">
      <c r="A318" s="764">
        <v>311</v>
      </c>
      <c r="B318" s="765" t="s">
        <v>511</v>
      </c>
      <c r="C318" s="766" t="s">
        <v>1217</v>
      </c>
      <c r="D318" s="767" t="s">
        <v>1227</v>
      </c>
      <c r="E318" s="768" t="s">
        <v>510</v>
      </c>
      <c r="F318" s="867">
        <v>43453</v>
      </c>
      <c r="G318" s="141">
        <v>105641771</v>
      </c>
      <c r="H318" s="141">
        <v>0</v>
      </c>
      <c r="I318" s="141">
        <v>105641771</v>
      </c>
      <c r="J318" s="141">
        <v>49.1</v>
      </c>
      <c r="K318" s="141">
        <v>51870110</v>
      </c>
      <c r="L318" s="141">
        <v>0</v>
      </c>
      <c r="M318" s="141">
        <v>0</v>
      </c>
      <c r="N318" s="141">
        <v>0</v>
      </c>
      <c r="O318" s="141">
        <v>51870110</v>
      </c>
      <c r="P318" s="141">
        <v>0</v>
      </c>
      <c r="Q318" s="141">
        <v>51870110</v>
      </c>
      <c r="R318" s="141">
        <v>-422060</v>
      </c>
      <c r="S318" s="141">
        <v>0</v>
      </c>
      <c r="T318" s="141">
        <v>-422060</v>
      </c>
      <c r="U318" s="141">
        <v>672213</v>
      </c>
      <c r="V318" s="141">
        <v>0</v>
      </c>
      <c r="W318" s="141">
        <v>672213</v>
      </c>
      <c r="X318" s="141">
        <v>250153</v>
      </c>
      <c r="Y318" s="141">
        <v>0</v>
      </c>
      <c r="Z318" s="141">
        <v>0</v>
      </c>
      <c r="AA318" s="141">
        <v>0</v>
      </c>
      <c r="AB318" s="141">
        <v>250153</v>
      </c>
      <c r="AC318" s="141">
        <v>0</v>
      </c>
      <c r="AD318" s="141">
        <v>250153</v>
      </c>
      <c r="AE318" s="141">
        <v>-250153</v>
      </c>
      <c r="AF318" s="141">
        <v>0</v>
      </c>
      <c r="AG318" s="141">
        <v>-250153</v>
      </c>
      <c r="AH318" s="141">
        <v>-3272535</v>
      </c>
      <c r="AI318" s="141">
        <v>0</v>
      </c>
      <c r="AJ318" s="141">
        <v>-3272535</v>
      </c>
      <c r="AK318" s="141">
        <v>0</v>
      </c>
      <c r="AL318" s="141">
        <v>0</v>
      </c>
      <c r="AM318" s="141">
        <v>0</v>
      </c>
      <c r="AN318" s="141">
        <v>1027461</v>
      </c>
      <c r="AO318" s="141">
        <v>0</v>
      </c>
      <c r="AP318" s="141">
        <v>1027461</v>
      </c>
      <c r="AQ318" s="141">
        <v>-2245074</v>
      </c>
      <c r="AR318" s="141">
        <v>0</v>
      </c>
      <c r="AS318" s="141">
        <v>-2245074</v>
      </c>
      <c r="AT318" s="141">
        <v>-4449321</v>
      </c>
      <c r="AU318" s="141">
        <v>0</v>
      </c>
      <c r="AV318" s="141">
        <v>-4449321</v>
      </c>
      <c r="AW318" s="141">
        <v>-18749</v>
      </c>
      <c r="AX318" s="141">
        <v>0</v>
      </c>
      <c r="AY318" s="141">
        <v>-18749</v>
      </c>
      <c r="AZ318" s="141">
        <v>0</v>
      </c>
      <c r="BA318" s="141">
        <v>0</v>
      </c>
      <c r="BB318" s="141">
        <v>0</v>
      </c>
      <c r="BC318" s="141">
        <v>-6713144</v>
      </c>
      <c r="BD318" s="141">
        <v>0</v>
      </c>
      <c r="BE318" s="141">
        <v>0</v>
      </c>
      <c r="BF318" s="141">
        <v>0</v>
      </c>
      <c r="BG318" s="141">
        <v>-6713144</v>
      </c>
      <c r="BH318" s="141">
        <v>0</v>
      </c>
      <c r="BI318" s="141">
        <v>-6713144</v>
      </c>
      <c r="BJ318" s="141">
        <v>0</v>
      </c>
      <c r="BK318" s="141">
        <v>0</v>
      </c>
      <c r="BL318" s="141">
        <v>0</v>
      </c>
      <c r="BM318" s="141">
        <v>-1131949</v>
      </c>
      <c r="BN318" s="141">
        <v>0</v>
      </c>
      <c r="BO318" s="141">
        <v>-1131949</v>
      </c>
      <c r="BP318" s="141">
        <v>-1131949</v>
      </c>
      <c r="BQ318" s="141">
        <v>0</v>
      </c>
      <c r="BR318" s="141">
        <v>-999873</v>
      </c>
      <c r="BS318" s="141">
        <v>0</v>
      </c>
      <c r="BT318" s="141">
        <v>-2131822</v>
      </c>
      <c r="BU318" s="141">
        <v>0</v>
      </c>
      <c r="BV318" s="141">
        <v>-2131822</v>
      </c>
      <c r="BW318" s="141">
        <v>-192196</v>
      </c>
      <c r="BX318" s="141">
        <v>0</v>
      </c>
      <c r="BY318" s="141">
        <v>-192196</v>
      </c>
      <c r="BZ318" s="141">
        <v>-8824</v>
      </c>
      <c r="CA318" s="141">
        <v>0</v>
      </c>
      <c r="CB318" s="141">
        <v>-8824</v>
      </c>
      <c r="CC318" s="141">
        <v>-4687</v>
      </c>
      <c r="CD318" s="141">
        <v>0</v>
      </c>
      <c r="CE318" s="141">
        <v>-4687</v>
      </c>
      <c r="CF318" s="141">
        <v>0</v>
      </c>
      <c r="CG318" s="141">
        <v>0</v>
      </c>
      <c r="CH318" s="141">
        <v>0</v>
      </c>
      <c r="CI318" s="141">
        <v>0</v>
      </c>
      <c r="CJ318" s="141">
        <v>0</v>
      </c>
      <c r="CK318" s="141">
        <v>0</v>
      </c>
      <c r="CL318" s="141">
        <v>0</v>
      </c>
      <c r="CM318" s="141">
        <v>0</v>
      </c>
      <c r="CN318" s="141">
        <v>0</v>
      </c>
      <c r="CO318" s="141">
        <v>0</v>
      </c>
      <c r="CP318" s="141">
        <v>0</v>
      </c>
      <c r="CQ318" s="141">
        <v>-205707</v>
      </c>
      <c r="CR318" s="141">
        <v>0</v>
      </c>
      <c r="CS318" s="141">
        <v>0</v>
      </c>
      <c r="CT318" s="141">
        <v>0</v>
      </c>
      <c r="CU318" s="141">
        <v>-205707</v>
      </c>
      <c r="CV318" s="141">
        <v>0</v>
      </c>
      <c r="CW318" s="141">
        <v>-205707</v>
      </c>
      <c r="CX318" s="141">
        <v>0</v>
      </c>
      <c r="CY318" s="141">
        <v>0</v>
      </c>
      <c r="CZ318" s="141">
        <v>0</v>
      </c>
      <c r="DA318" s="141">
        <v>-1500</v>
      </c>
      <c r="DB318" s="141">
        <v>0</v>
      </c>
      <c r="DC318" s="141">
        <v>-1500</v>
      </c>
      <c r="DD318" s="141">
        <v>-135126</v>
      </c>
      <c r="DE318" s="141">
        <v>0</v>
      </c>
      <c r="DF318" s="141">
        <v>-135126</v>
      </c>
      <c r="DG318" s="141">
        <v>-47608</v>
      </c>
      <c r="DH318" s="141">
        <v>0</v>
      </c>
      <c r="DI318" s="141">
        <v>-47608</v>
      </c>
      <c r="DJ318" s="141">
        <v>0</v>
      </c>
      <c r="DK318" s="141">
        <v>0</v>
      </c>
      <c r="DL318" s="141">
        <v>0</v>
      </c>
      <c r="DM318" s="141">
        <v>-1862629</v>
      </c>
      <c r="DN318" s="141">
        <v>0</v>
      </c>
      <c r="DO318" s="141">
        <v>-1862629</v>
      </c>
      <c r="DP318" s="141">
        <v>-2046863</v>
      </c>
      <c r="DQ318" s="141">
        <v>0</v>
      </c>
      <c r="DR318" s="141">
        <v>0</v>
      </c>
      <c r="DS318" s="141">
        <v>0</v>
      </c>
      <c r="DT318" s="141">
        <v>-2046863</v>
      </c>
      <c r="DU318" s="141">
        <v>0</v>
      </c>
      <c r="DV318" s="141">
        <v>-2046863</v>
      </c>
      <c r="DW318" s="856">
        <v>41022727</v>
      </c>
      <c r="DX318" s="856">
        <v>0</v>
      </c>
      <c r="DY318" s="857">
        <v>41022727</v>
      </c>
      <c r="DZ318" t="s">
        <v>1884</v>
      </c>
    </row>
    <row r="319" spans="1:130" ht="12.75" x14ac:dyDescent="0.2">
      <c r="A319" s="764">
        <v>312</v>
      </c>
      <c r="B319" s="769" t="s">
        <v>513</v>
      </c>
      <c r="C319" s="766" t="s">
        <v>1217</v>
      </c>
      <c r="D319" s="767" t="s">
        <v>1218</v>
      </c>
      <c r="E319" s="772" t="s">
        <v>512</v>
      </c>
      <c r="F319" s="867">
        <v>43469</v>
      </c>
      <c r="G319" s="141">
        <v>81073724</v>
      </c>
      <c r="H319" s="141">
        <v>0</v>
      </c>
      <c r="I319" s="141">
        <v>81073724</v>
      </c>
      <c r="J319" s="141">
        <v>49.1</v>
      </c>
      <c r="K319" s="141">
        <v>39807198</v>
      </c>
      <c r="L319" s="141">
        <v>0</v>
      </c>
      <c r="M319" s="141">
        <v>106547</v>
      </c>
      <c r="N319" s="141">
        <v>0</v>
      </c>
      <c r="O319" s="141">
        <v>39913745</v>
      </c>
      <c r="P319" s="141">
        <v>0</v>
      </c>
      <c r="Q319" s="141">
        <v>39913745</v>
      </c>
      <c r="R319" s="141">
        <v>-331696</v>
      </c>
      <c r="S319" s="141">
        <v>0</v>
      </c>
      <c r="T319" s="141">
        <v>-331696</v>
      </c>
      <c r="U319" s="141">
        <v>177166</v>
      </c>
      <c r="V319" s="141">
        <v>0</v>
      </c>
      <c r="W319" s="141">
        <v>177166</v>
      </c>
      <c r="X319" s="141">
        <v>-154530</v>
      </c>
      <c r="Y319" s="141">
        <v>0</v>
      </c>
      <c r="Z319" s="141">
        <v>0</v>
      </c>
      <c r="AA319" s="141">
        <v>0</v>
      </c>
      <c r="AB319" s="141">
        <v>-154530</v>
      </c>
      <c r="AC319" s="141">
        <v>0</v>
      </c>
      <c r="AD319" s="141">
        <v>-154530</v>
      </c>
      <c r="AE319" s="141">
        <v>154530</v>
      </c>
      <c r="AF319" s="141">
        <v>0</v>
      </c>
      <c r="AG319" s="141">
        <v>154530</v>
      </c>
      <c r="AH319" s="141">
        <v>-3476299</v>
      </c>
      <c r="AI319" s="141">
        <v>0</v>
      </c>
      <c r="AJ319" s="141">
        <v>-3476299</v>
      </c>
      <c r="AK319" s="141">
        <v>0</v>
      </c>
      <c r="AL319" s="141">
        <v>0</v>
      </c>
      <c r="AM319" s="141">
        <v>0</v>
      </c>
      <c r="AN319" s="141">
        <v>731839</v>
      </c>
      <c r="AO319" s="141">
        <v>0</v>
      </c>
      <c r="AP319" s="141">
        <v>731839</v>
      </c>
      <c r="AQ319" s="141">
        <v>-2744460</v>
      </c>
      <c r="AR319" s="141">
        <v>0</v>
      </c>
      <c r="AS319" s="141">
        <v>-2744460</v>
      </c>
      <c r="AT319" s="141">
        <v>-3168900</v>
      </c>
      <c r="AU319" s="141">
        <v>0</v>
      </c>
      <c r="AV319" s="141">
        <v>-3168900</v>
      </c>
      <c r="AW319" s="141">
        <v>-41913</v>
      </c>
      <c r="AX319" s="141">
        <v>0</v>
      </c>
      <c r="AY319" s="141">
        <v>-41913</v>
      </c>
      <c r="AZ319" s="141">
        <v>0</v>
      </c>
      <c r="BA319" s="141">
        <v>0</v>
      </c>
      <c r="BB319" s="141">
        <v>0</v>
      </c>
      <c r="BC319" s="141">
        <v>-5955273</v>
      </c>
      <c r="BD319" s="141">
        <v>0</v>
      </c>
      <c r="BE319" s="141">
        <v>0</v>
      </c>
      <c r="BF319" s="141">
        <v>0</v>
      </c>
      <c r="BG319" s="141">
        <v>-5955273</v>
      </c>
      <c r="BH319" s="141">
        <v>0</v>
      </c>
      <c r="BI319" s="141">
        <v>-5955273</v>
      </c>
      <c r="BJ319" s="141">
        <v>0</v>
      </c>
      <c r="BK319" s="141">
        <v>0</v>
      </c>
      <c r="BL319" s="141">
        <v>0</v>
      </c>
      <c r="BM319" s="141">
        <v>-502992</v>
      </c>
      <c r="BN319" s="141">
        <v>0</v>
      </c>
      <c r="BO319" s="141">
        <v>-502992</v>
      </c>
      <c r="BP319" s="141">
        <v>-502992</v>
      </c>
      <c r="BQ319" s="141">
        <v>0</v>
      </c>
      <c r="BR319" s="141">
        <v>0</v>
      </c>
      <c r="BS319" s="141">
        <v>0</v>
      </c>
      <c r="BT319" s="141">
        <v>-502992</v>
      </c>
      <c r="BU319" s="141">
        <v>0</v>
      </c>
      <c r="BV319" s="141">
        <v>-502992</v>
      </c>
      <c r="BW319" s="141">
        <v>-192944</v>
      </c>
      <c r="BX319" s="141">
        <v>0</v>
      </c>
      <c r="BY319" s="141">
        <v>-192944</v>
      </c>
      <c r="BZ319" s="141">
        <v>-4316</v>
      </c>
      <c r="CA319" s="141">
        <v>0</v>
      </c>
      <c r="CB319" s="141">
        <v>-4316</v>
      </c>
      <c r="CC319" s="141">
        <v>-605</v>
      </c>
      <c r="CD319" s="141">
        <v>0</v>
      </c>
      <c r="CE319" s="141">
        <v>-605</v>
      </c>
      <c r="CF319" s="141">
        <v>0</v>
      </c>
      <c r="CG319" s="141">
        <v>0</v>
      </c>
      <c r="CH319" s="141">
        <v>0</v>
      </c>
      <c r="CI319" s="141">
        <v>0</v>
      </c>
      <c r="CJ319" s="141">
        <v>0</v>
      </c>
      <c r="CK319" s="141">
        <v>0</v>
      </c>
      <c r="CL319" s="141">
        <v>0</v>
      </c>
      <c r="CM319" s="141">
        <v>0</v>
      </c>
      <c r="CN319" s="141">
        <v>0</v>
      </c>
      <c r="CO319" s="141">
        <v>0</v>
      </c>
      <c r="CP319" s="141">
        <v>0</v>
      </c>
      <c r="CQ319" s="141">
        <v>-197865</v>
      </c>
      <c r="CR319" s="141">
        <v>0</v>
      </c>
      <c r="CS319" s="141">
        <v>0</v>
      </c>
      <c r="CT319" s="141">
        <v>0</v>
      </c>
      <c r="CU319" s="141">
        <v>-197865</v>
      </c>
      <c r="CV319" s="141">
        <v>0</v>
      </c>
      <c r="CW319" s="141">
        <v>-197865</v>
      </c>
      <c r="CX319" s="141">
        <v>0</v>
      </c>
      <c r="CY319" s="141">
        <v>0</v>
      </c>
      <c r="CZ319" s="141">
        <v>0</v>
      </c>
      <c r="DA319" s="141">
        <v>-1500</v>
      </c>
      <c r="DB319" s="141">
        <v>0</v>
      </c>
      <c r="DC319" s="141">
        <v>-1500</v>
      </c>
      <c r="DD319" s="141">
        <v>-41740</v>
      </c>
      <c r="DE319" s="141">
        <v>0</v>
      </c>
      <c r="DF319" s="141">
        <v>-41740</v>
      </c>
      <c r="DG319" s="141">
        <v>0</v>
      </c>
      <c r="DH319" s="141">
        <v>0</v>
      </c>
      <c r="DI319" s="141">
        <v>0</v>
      </c>
      <c r="DJ319" s="141">
        <v>0</v>
      </c>
      <c r="DK319" s="141">
        <v>0</v>
      </c>
      <c r="DL319" s="141">
        <v>0</v>
      </c>
      <c r="DM319" s="141">
        <v>-24180</v>
      </c>
      <c r="DN319" s="141">
        <v>0</v>
      </c>
      <c r="DO319" s="141">
        <v>-24180</v>
      </c>
      <c r="DP319" s="141">
        <v>-67420</v>
      </c>
      <c r="DQ319" s="141">
        <v>0</v>
      </c>
      <c r="DR319" s="141">
        <v>0</v>
      </c>
      <c r="DS319" s="141">
        <v>0</v>
      </c>
      <c r="DT319" s="141">
        <v>-67420</v>
      </c>
      <c r="DU319" s="141">
        <v>0</v>
      </c>
      <c r="DV319" s="141">
        <v>-67420</v>
      </c>
      <c r="DW319" s="856">
        <v>33035665</v>
      </c>
      <c r="DX319" s="856">
        <v>0</v>
      </c>
      <c r="DY319" s="857">
        <v>33035665</v>
      </c>
      <c r="DZ319" t="s">
        <v>1885</v>
      </c>
    </row>
    <row r="320" spans="1:130" ht="12.75" x14ac:dyDescent="0.2">
      <c r="A320" s="764">
        <v>313</v>
      </c>
      <c r="B320" s="765" t="s">
        <v>515</v>
      </c>
      <c r="C320" s="766" t="s">
        <v>1217</v>
      </c>
      <c r="D320" s="767" t="s">
        <v>1227</v>
      </c>
      <c r="E320" s="768" t="s">
        <v>514</v>
      </c>
      <c r="F320" s="867">
        <v>43453</v>
      </c>
      <c r="G320" s="141">
        <v>108114501</v>
      </c>
      <c r="H320" s="141">
        <v>0</v>
      </c>
      <c r="I320" s="141">
        <v>108114501</v>
      </c>
      <c r="J320" s="141">
        <v>49.1</v>
      </c>
      <c r="K320" s="141">
        <v>53084220</v>
      </c>
      <c r="L320" s="141">
        <v>0</v>
      </c>
      <c r="M320" s="141">
        <v>0</v>
      </c>
      <c r="N320" s="141">
        <v>0</v>
      </c>
      <c r="O320" s="141">
        <v>53084220</v>
      </c>
      <c r="P320" s="141">
        <v>0</v>
      </c>
      <c r="Q320" s="141">
        <v>53084220</v>
      </c>
      <c r="R320" s="141">
        <v>-690708</v>
      </c>
      <c r="S320" s="141">
        <v>0</v>
      </c>
      <c r="T320" s="141">
        <v>-690708</v>
      </c>
      <c r="U320" s="141">
        <v>428068</v>
      </c>
      <c r="V320" s="141">
        <v>0</v>
      </c>
      <c r="W320" s="141">
        <v>428068</v>
      </c>
      <c r="X320" s="141">
        <v>-262640</v>
      </c>
      <c r="Y320" s="141">
        <v>0</v>
      </c>
      <c r="Z320" s="141">
        <v>0</v>
      </c>
      <c r="AA320" s="141">
        <v>0</v>
      </c>
      <c r="AB320" s="141">
        <v>-262640</v>
      </c>
      <c r="AC320" s="141">
        <v>0</v>
      </c>
      <c r="AD320" s="141">
        <v>-262640</v>
      </c>
      <c r="AE320" s="141">
        <v>262640</v>
      </c>
      <c r="AF320" s="141">
        <v>0</v>
      </c>
      <c r="AG320" s="141">
        <v>262640</v>
      </c>
      <c r="AH320" s="141">
        <v>-5419248</v>
      </c>
      <c r="AI320" s="141">
        <v>0</v>
      </c>
      <c r="AJ320" s="141">
        <v>-5419248</v>
      </c>
      <c r="AK320" s="141">
        <v>0</v>
      </c>
      <c r="AL320" s="141">
        <v>0</v>
      </c>
      <c r="AM320" s="141">
        <v>0</v>
      </c>
      <c r="AN320" s="141">
        <v>936348</v>
      </c>
      <c r="AO320" s="141">
        <v>0</v>
      </c>
      <c r="AP320" s="141">
        <v>936348</v>
      </c>
      <c r="AQ320" s="141">
        <v>-4482900</v>
      </c>
      <c r="AR320" s="141">
        <v>0</v>
      </c>
      <c r="AS320" s="141">
        <v>-4482900</v>
      </c>
      <c r="AT320" s="141">
        <v>-2284628</v>
      </c>
      <c r="AU320" s="141">
        <v>0</v>
      </c>
      <c r="AV320" s="141">
        <v>-2284628</v>
      </c>
      <c r="AW320" s="141">
        <v>-59799</v>
      </c>
      <c r="AX320" s="141">
        <v>0</v>
      </c>
      <c r="AY320" s="141">
        <v>-59799</v>
      </c>
      <c r="AZ320" s="141">
        <v>-39110</v>
      </c>
      <c r="BA320" s="141">
        <v>0</v>
      </c>
      <c r="BB320" s="141">
        <v>-39110</v>
      </c>
      <c r="BC320" s="141">
        <v>-6866437</v>
      </c>
      <c r="BD320" s="141">
        <v>0</v>
      </c>
      <c r="BE320" s="141">
        <v>0</v>
      </c>
      <c r="BF320" s="141">
        <v>0</v>
      </c>
      <c r="BG320" s="141">
        <v>-6866437</v>
      </c>
      <c r="BH320" s="141">
        <v>0</v>
      </c>
      <c r="BI320" s="141">
        <v>-6866437</v>
      </c>
      <c r="BJ320" s="141">
        <v>0</v>
      </c>
      <c r="BK320" s="141">
        <v>0</v>
      </c>
      <c r="BL320" s="141">
        <v>0</v>
      </c>
      <c r="BM320" s="141">
        <v>-931389</v>
      </c>
      <c r="BN320" s="141">
        <v>0</v>
      </c>
      <c r="BO320" s="141">
        <v>-931389</v>
      </c>
      <c r="BP320" s="141">
        <v>-931389</v>
      </c>
      <c r="BQ320" s="141">
        <v>0</v>
      </c>
      <c r="BR320" s="141">
        <v>-553174</v>
      </c>
      <c r="BS320" s="141">
        <v>0</v>
      </c>
      <c r="BT320" s="141">
        <v>-1484563</v>
      </c>
      <c r="BU320" s="141">
        <v>0</v>
      </c>
      <c r="BV320" s="141">
        <v>-1484563</v>
      </c>
      <c r="BW320" s="141">
        <v>-218859</v>
      </c>
      <c r="BX320" s="141">
        <v>0</v>
      </c>
      <c r="BY320" s="141">
        <v>-218859</v>
      </c>
      <c r="BZ320" s="141">
        <v>-41645</v>
      </c>
      <c r="CA320" s="141">
        <v>0</v>
      </c>
      <c r="CB320" s="141">
        <v>-41645</v>
      </c>
      <c r="CC320" s="141">
        <v>-11757</v>
      </c>
      <c r="CD320" s="141">
        <v>0</v>
      </c>
      <c r="CE320" s="141">
        <v>-11757</v>
      </c>
      <c r="CF320" s="141">
        <v>0</v>
      </c>
      <c r="CG320" s="141">
        <v>0</v>
      </c>
      <c r="CH320" s="141">
        <v>0</v>
      </c>
      <c r="CI320" s="141">
        <v>-3355</v>
      </c>
      <c r="CJ320" s="141">
        <v>0</v>
      </c>
      <c r="CK320" s="141">
        <v>-3355</v>
      </c>
      <c r="CL320" s="141">
        <v>0</v>
      </c>
      <c r="CM320" s="141">
        <v>0</v>
      </c>
      <c r="CN320" s="141">
        <v>0</v>
      </c>
      <c r="CO320" s="141">
        <v>0</v>
      </c>
      <c r="CP320" s="141">
        <v>0</v>
      </c>
      <c r="CQ320" s="141">
        <v>-275616</v>
      </c>
      <c r="CR320" s="141">
        <v>0</v>
      </c>
      <c r="CS320" s="141">
        <v>0</v>
      </c>
      <c r="CT320" s="141">
        <v>0</v>
      </c>
      <c r="CU320" s="141">
        <v>-275616</v>
      </c>
      <c r="CV320" s="141">
        <v>0</v>
      </c>
      <c r="CW320" s="141">
        <v>-275616</v>
      </c>
      <c r="CX320" s="141">
        <v>-50649</v>
      </c>
      <c r="CY320" s="141">
        <v>0</v>
      </c>
      <c r="CZ320" s="141">
        <v>-50649</v>
      </c>
      <c r="DA320" s="141">
        <v>0</v>
      </c>
      <c r="DB320" s="141">
        <v>0</v>
      </c>
      <c r="DC320" s="141">
        <v>0</v>
      </c>
      <c r="DD320" s="141">
        <v>-35886</v>
      </c>
      <c r="DE320" s="141">
        <v>0</v>
      </c>
      <c r="DF320" s="141">
        <v>-35886</v>
      </c>
      <c r="DG320" s="141">
        <v>-58936</v>
      </c>
      <c r="DH320" s="141">
        <v>0</v>
      </c>
      <c r="DI320" s="141">
        <v>-58936</v>
      </c>
      <c r="DJ320" s="141">
        <v>0</v>
      </c>
      <c r="DK320" s="141">
        <v>0</v>
      </c>
      <c r="DL320" s="141">
        <v>0</v>
      </c>
      <c r="DM320" s="141">
        <v>-1602652</v>
      </c>
      <c r="DN320" s="141">
        <v>0</v>
      </c>
      <c r="DO320" s="141">
        <v>-1602652</v>
      </c>
      <c r="DP320" s="141">
        <v>-1748123</v>
      </c>
      <c r="DQ320" s="141">
        <v>0</v>
      </c>
      <c r="DR320" s="141">
        <v>0</v>
      </c>
      <c r="DS320" s="141">
        <v>0</v>
      </c>
      <c r="DT320" s="141">
        <v>-1748123</v>
      </c>
      <c r="DU320" s="141">
        <v>0</v>
      </c>
      <c r="DV320" s="141">
        <v>-1748123</v>
      </c>
      <c r="DW320" s="856">
        <v>42446841</v>
      </c>
      <c r="DX320" s="856">
        <v>0</v>
      </c>
      <c r="DY320" s="857">
        <v>42446841</v>
      </c>
      <c r="DZ320" t="s">
        <v>1886</v>
      </c>
    </row>
    <row r="321" spans="1:130" ht="12.75" x14ac:dyDescent="0.2">
      <c r="A321" s="764">
        <v>314</v>
      </c>
      <c r="B321" s="765" t="s">
        <v>517</v>
      </c>
      <c r="C321" s="766" t="s">
        <v>1217</v>
      </c>
      <c r="D321" s="767" t="s">
        <v>1218</v>
      </c>
      <c r="E321" s="768" t="s">
        <v>516</v>
      </c>
      <c r="F321" s="867">
        <v>43486</v>
      </c>
      <c r="G321" s="141">
        <v>175744110</v>
      </c>
      <c r="H321" s="141">
        <v>0</v>
      </c>
      <c r="I321" s="141">
        <v>175744110</v>
      </c>
      <c r="J321" s="141">
        <v>49.1</v>
      </c>
      <c r="K321" s="141">
        <v>86290358</v>
      </c>
      <c r="L321" s="141">
        <v>0</v>
      </c>
      <c r="M321" s="141">
        <v>0</v>
      </c>
      <c r="N321" s="141">
        <v>0</v>
      </c>
      <c r="O321" s="141">
        <v>86290358</v>
      </c>
      <c r="P321" s="141">
        <v>0</v>
      </c>
      <c r="Q321" s="141">
        <v>86290358</v>
      </c>
      <c r="R321" s="141">
        <v>-525763</v>
      </c>
      <c r="S321" s="141">
        <v>0</v>
      </c>
      <c r="T321" s="141">
        <v>-525763</v>
      </c>
      <c r="U321" s="141">
        <v>1029822</v>
      </c>
      <c r="V321" s="141">
        <v>0</v>
      </c>
      <c r="W321" s="141">
        <v>1029822</v>
      </c>
      <c r="X321" s="141">
        <v>504059</v>
      </c>
      <c r="Y321" s="141">
        <v>0</v>
      </c>
      <c r="Z321" s="141">
        <v>0</v>
      </c>
      <c r="AA321" s="141">
        <v>0</v>
      </c>
      <c r="AB321" s="141">
        <v>504059</v>
      </c>
      <c r="AC321" s="141">
        <v>0</v>
      </c>
      <c r="AD321" s="141">
        <v>504059</v>
      </c>
      <c r="AE321" s="141">
        <v>-504059</v>
      </c>
      <c r="AF321" s="141">
        <v>0</v>
      </c>
      <c r="AG321" s="141">
        <v>-504059</v>
      </c>
      <c r="AH321" s="141">
        <v>-4348598</v>
      </c>
      <c r="AI321" s="141">
        <v>0</v>
      </c>
      <c r="AJ321" s="141">
        <v>-4348598</v>
      </c>
      <c r="AK321" s="141">
        <v>-11857</v>
      </c>
      <c r="AL321" s="141">
        <v>0</v>
      </c>
      <c r="AM321" s="141">
        <v>-11857</v>
      </c>
      <c r="AN321" s="141">
        <v>1644598</v>
      </c>
      <c r="AO321" s="141">
        <v>0</v>
      </c>
      <c r="AP321" s="141">
        <v>1644598</v>
      </c>
      <c r="AQ321" s="141">
        <v>-2704000</v>
      </c>
      <c r="AR321" s="141">
        <v>0</v>
      </c>
      <c r="AS321" s="141">
        <v>-2704000</v>
      </c>
      <c r="AT321" s="141">
        <v>-5327439</v>
      </c>
      <c r="AU321" s="141">
        <v>0</v>
      </c>
      <c r="AV321" s="141">
        <v>-5327439</v>
      </c>
      <c r="AW321" s="141">
        <v>-63187</v>
      </c>
      <c r="AX321" s="141">
        <v>0</v>
      </c>
      <c r="AY321" s="141">
        <v>-63187</v>
      </c>
      <c r="AZ321" s="141">
        <v>-9167</v>
      </c>
      <c r="BA321" s="141">
        <v>0</v>
      </c>
      <c r="BB321" s="141">
        <v>-9167</v>
      </c>
      <c r="BC321" s="141">
        <v>-8103793</v>
      </c>
      <c r="BD321" s="141">
        <v>0</v>
      </c>
      <c r="BE321" s="141">
        <v>0</v>
      </c>
      <c r="BF321" s="141">
        <v>0</v>
      </c>
      <c r="BG321" s="141">
        <v>-8103793</v>
      </c>
      <c r="BH321" s="141">
        <v>0</v>
      </c>
      <c r="BI321" s="141">
        <v>-8103793</v>
      </c>
      <c r="BJ321" s="141">
        <v>0</v>
      </c>
      <c r="BK321" s="141">
        <v>0</v>
      </c>
      <c r="BL321" s="141">
        <v>0</v>
      </c>
      <c r="BM321" s="141">
        <v>-2286914</v>
      </c>
      <c r="BN321" s="141">
        <v>0</v>
      </c>
      <c r="BO321" s="141">
        <v>-2286914</v>
      </c>
      <c r="BP321" s="141">
        <v>-2286914</v>
      </c>
      <c r="BQ321" s="141">
        <v>0</v>
      </c>
      <c r="BR321" s="141">
        <v>0</v>
      </c>
      <c r="BS321" s="141">
        <v>0</v>
      </c>
      <c r="BT321" s="141">
        <v>-2286914</v>
      </c>
      <c r="BU321" s="141">
        <v>0</v>
      </c>
      <c r="BV321" s="141">
        <v>-2286914</v>
      </c>
      <c r="BW321" s="141">
        <v>-175045</v>
      </c>
      <c r="BX321" s="141">
        <v>0</v>
      </c>
      <c r="BY321" s="141">
        <v>-175045</v>
      </c>
      <c r="BZ321" s="141">
        <v>-57911</v>
      </c>
      <c r="CA321" s="141">
        <v>0</v>
      </c>
      <c r="CB321" s="141">
        <v>-57911</v>
      </c>
      <c r="CC321" s="141">
        <v>-2653</v>
      </c>
      <c r="CD321" s="141">
        <v>0</v>
      </c>
      <c r="CE321" s="141">
        <v>-2653</v>
      </c>
      <c r="CF321" s="141">
        <v>0</v>
      </c>
      <c r="CG321" s="141">
        <v>0</v>
      </c>
      <c r="CH321" s="141">
        <v>0</v>
      </c>
      <c r="CI321" s="141">
        <v>0</v>
      </c>
      <c r="CJ321" s="141">
        <v>0</v>
      </c>
      <c r="CK321" s="141">
        <v>0</v>
      </c>
      <c r="CL321" s="141">
        <v>-3071</v>
      </c>
      <c r="CM321" s="141">
        <v>0</v>
      </c>
      <c r="CN321" s="141">
        <v>-3071</v>
      </c>
      <c r="CO321" s="141">
        <v>0</v>
      </c>
      <c r="CP321" s="141">
        <v>0</v>
      </c>
      <c r="CQ321" s="141">
        <v>-238680</v>
      </c>
      <c r="CR321" s="141">
        <v>0</v>
      </c>
      <c r="CS321" s="141">
        <v>0</v>
      </c>
      <c r="CT321" s="141">
        <v>0</v>
      </c>
      <c r="CU321" s="141">
        <v>-238680</v>
      </c>
      <c r="CV321" s="141">
        <v>0</v>
      </c>
      <c r="CW321" s="141">
        <v>-238680</v>
      </c>
      <c r="CX321" s="141">
        <v>-9167</v>
      </c>
      <c r="CY321" s="141">
        <v>0</v>
      </c>
      <c r="CZ321" s="141">
        <v>-9167</v>
      </c>
      <c r="DA321" s="141">
        <v>-1500</v>
      </c>
      <c r="DB321" s="141">
        <v>0</v>
      </c>
      <c r="DC321" s="141">
        <v>-1500</v>
      </c>
      <c r="DD321" s="141">
        <v>-32645</v>
      </c>
      <c r="DE321" s="141">
        <v>0</v>
      </c>
      <c r="DF321" s="141">
        <v>-32645</v>
      </c>
      <c r="DG321" s="141">
        <v>-74507</v>
      </c>
      <c r="DH321" s="141">
        <v>0</v>
      </c>
      <c r="DI321" s="141">
        <v>-74507</v>
      </c>
      <c r="DJ321" s="141">
        <v>0</v>
      </c>
      <c r="DK321" s="141">
        <v>0</v>
      </c>
      <c r="DL321" s="141">
        <v>0</v>
      </c>
      <c r="DM321" s="141">
        <v>-1841265</v>
      </c>
      <c r="DN321" s="141">
        <v>0</v>
      </c>
      <c r="DO321" s="141">
        <v>-1841265</v>
      </c>
      <c r="DP321" s="141">
        <v>-1959084</v>
      </c>
      <c r="DQ321" s="141">
        <v>0</v>
      </c>
      <c r="DR321" s="141">
        <v>0</v>
      </c>
      <c r="DS321" s="141">
        <v>0</v>
      </c>
      <c r="DT321" s="141">
        <v>-1959084</v>
      </c>
      <c r="DU321" s="141">
        <v>0</v>
      </c>
      <c r="DV321" s="141">
        <v>-1959084</v>
      </c>
      <c r="DW321" s="856">
        <v>74205946</v>
      </c>
      <c r="DX321" s="856">
        <v>0</v>
      </c>
      <c r="DY321" s="857">
        <v>74205946</v>
      </c>
      <c r="DZ321" t="s">
        <v>1887</v>
      </c>
    </row>
    <row r="322" spans="1:130" ht="12.75" x14ac:dyDescent="0.2">
      <c r="A322" s="764">
        <v>315</v>
      </c>
      <c r="B322" s="765" t="s">
        <v>519</v>
      </c>
      <c r="C322" s="766" t="s">
        <v>1217</v>
      </c>
      <c r="D322" s="767" t="s">
        <v>1219</v>
      </c>
      <c r="E322" s="768" t="s">
        <v>518</v>
      </c>
      <c r="F322" s="867">
        <v>43472</v>
      </c>
      <c r="G322" s="141">
        <v>64066073</v>
      </c>
      <c r="H322" s="141">
        <v>6330470</v>
      </c>
      <c r="I322" s="141">
        <v>70396543</v>
      </c>
      <c r="J322" s="141">
        <v>49.1</v>
      </c>
      <c r="K322" s="141">
        <v>31456442</v>
      </c>
      <c r="L322" s="141">
        <v>3108261</v>
      </c>
      <c r="M322" s="141">
        <v>0</v>
      </c>
      <c r="N322" s="141">
        <v>0</v>
      </c>
      <c r="O322" s="141">
        <v>31456442</v>
      </c>
      <c r="P322" s="141">
        <v>3108261</v>
      </c>
      <c r="Q322" s="141">
        <v>34564703</v>
      </c>
      <c r="R322" s="141">
        <v>-333887</v>
      </c>
      <c r="S322" s="141">
        <v>-312</v>
      </c>
      <c r="T322" s="141">
        <v>-334199</v>
      </c>
      <c r="U322" s="141">
        <v>1203781</v>
      </c>
      <c r="V322" s="141">
        <v>20066</v>
      </c>
      <c r="W322" s="141">
        <v>1223847</v>
      </c>
      <c r="X322" s="141">
        <v>869894</v>
      </c>
      <c r="Y322" s="141">
        <v>19754</v>
      </c>
      <c r="Z322" s="141">
        <v>0</v>
      </c>
      <c r="AA322" s="141">
        <v>0</v>
      </c>
      <c r="AB322" s="141">
        <v>869894</v>
      </c>
      <c r="AC322" s="141">
        <v>19754</v>
      </c>
      <c r="AD322" s="141">
        <v>889648</v>
      </c>
      <c r="AE322" s="141">
        <v>-869894</v>
      </c>
      <c r="AF322" s="141">
        <v>-19754</v>
      </c>
      <c r="AG322" s="141">
        <v>-889648</v>
      </c>
      <c r="AH322" s="141">
        <v>-5006544</v>
      </c>
      <c r="AI322" s="141">
        <v>-47321</v>
      </c>
      <c r="AJ322" s="141">
        <v>-5053865</v>
      </c>
      <c r="AK322" s="141">
        <v>-11121</v>
      </c>
      <c r="AL322" s="141">
        <v>0</v>
      </c>
      <c r="AM322" s="141">
        <v>-11121</v>
      </c>
      <c r="AN322" s="141">
        <v>456537</v>
      </c>
      <c r="AO322" s="141">
        <v>78410</v>
      </c>
      <c r="AP322" s="141">
        <v>534947</v>
      </c>
      <c r="AQ322" s="141">
        <v>-4550007</v>
      </c>
      <c r="AR322" s="141">
        <v>31089</v>
      </c>
      <c r="AS322" s="141">
        <v>-4518918</v>
      </c>
      <c r="AT322" s="141">
        <v>-2040626</v>
      </c>
      <c r="AU322" s="141">
        <v>-18144</v>
      </c>
      <c r="AV322" s="141">
        <v>-2058770</v>
      </c>
      <c r="AW322" s="141">
        <v>-29742</v>
      </c>
      <c r="AX322" s="141">
        <v>0</v>
      </c>
      <c r="AY322" s="141">
        <v>-29742</v>
      </c>
      <c r="AZ322" s="141">
        <v>-184</v>
      </c>
      <c r="BA322" s="141">
        <v>0</v>
      </c>
      <c r="BB322" s="141">
        <v>-184</v>
      </c>
      <c r="BC322" s="141">
        <v>-6620559</v>
      </c>
      <c r="BD322" s="141">
        <v>12945</v>
      </c>
      <c r="BE322" s="141">
        <v>0</v>
      </c>
      <c r="BF322" s="141">
        <v>0</v>
      </c>
      <c r="BG322" s="141">
        <v>-6620559</v>
      </c>
      <c r="BH322" s="141">
        <v>12945</v>
      </c>
      <c r="BI322" s="141">
        <v>-6607614</v>
      </c>
      <c r="BJ322" s="141">
        <v>0</v>
      </c>
      <c r="BK322" s="141">
        <v>0</v>
      </c>
      <c r="BL322" s="141">
        <v>0</v>
      </c>
      <c r="BM322" s="141">
        <v>-511940</v>
      </c>
      <c r="BN322" s="141">
        <v>-29550</v>
      </c>
      <c r="BO322" s="141">
        <v>-541490</v>
      </c>
      <c r="BP322" s="141">
        <v>-511940</v>
      </c>
      <c r="BQ322" s="141">
        <v>-29550</v>
      </c>
      <c r="BR322" s="141">
        <v>0</v>
      </c>
      <c r="BS322" s="141">
        <v>0</v>
      </c>
      <c r="BT322" s="141">
        <v>-511940</v>
      </c>
      <c r="BU322" s="141">
        <v>-29550</v>
      </c>
      <c r="BV322" s="141">
        <v>-541490</v>
      </c>
      <c r="BW322" s="141">
        <v>-2821</v>
      </c>
      <c r="BX322" s="141">
        <v>0</v>
      </c>
      <c r="BY322" s="141">
        <v>-2821</v>
      </c>
      <c r="BZ322" s="141">
        <v>-63893</v>
      </c>
      <c r="CA322" s="141">
        <v>0</v>
      </c>
      <c r="CB322" s="141">
        <v>-63893</v>
      </c>
      <c r="CC322" s="141">
        <v>0</v>
      </c>
      <c r="CD322" s="141">
        <v>0</v>
      </c>
      <c r="CE322" s="141">
        <v>0</v>
      </c>
      <c r="CF322" s="141">
        <v>0</v>
      </c>
      <c r="CG322" s="141">
        <v>0</v>
      </c>
      <c r="CH322" s="141">
        <v>0</v>
      </c>
      <c r="CI322" s="141">
        <v>0</v>
      </c>
      <c r="CJ322" s="141">
        <v>0</v>
      </c>
      <c r="CK322" s="141">
        <v>0</v>
      </c>
      <c r="CL322" s="141">
        <v>0</v>
      </c>
      <c r="CM322" s="141">
        <v>0</v>
      </c>
      <c r="CN322" s="141">
        <v>0</v>
      </c>
      <c r="CO322" s="141">
        <v>0</v>
      </c>
      <c r="CP322" s="141">
        <v>0</v>
      </c>
      <c r="CQ322" s="141">
        <v>-66714</v>
      </c>
      <c r="CR322" s="141">
        <v>0</v>
      </c>
      <c r="CS322" s="141">
        <v>0</v>
      </c>
      <c r="CT322" s="141">
        <v>0</v>
      </c>
      <c r="CU322" s="141">
        <v>-66714</v>
      </c>
      <c r="CV322" s="141">
        <v>0</v>
      </c>
      <c r="CW322" s="141">
        <v>-66714</v>
      </c>
      <c r="CX322" s="141">
        <v>0</v>
      </c>
      <c r="CY322" s="141">
        <v>0</v>
      </c>
      <c r="CZ322" s="141">
        <v>0</v>
      </c>
      <c r="DA322" s="141">
        <v>0</v>
      </c>
      <c r="DB322" s="141">
        <v>0</v>
      </c>
      <c r="DC322" s="141">
        <v>0</v>
      </c>
      <c r="DD322" s="141">
        <v>-12010</v>
      </c>
      <c r="DE322" s="141">
        <v>0</v>
      </c>
      <c r="DF322" s="141">
        <v>-12010</v>
      </c>
      <c r="DG322" s="141">
        <v>-15500</v>
      </c>
      <c r="DH322" s="141">
        <v>0</v>
      </c>
      <c r="DI322" s="141">
        <v>-15500</v>
      </c>
      <c r="DJ322" s="141">
        <v>0</v>
      </c>
      <c r="DK322" s="141">
        <v>0</v>
      </c>
      <c r="DL322" s="141">
        <v>0</v>
      </c>
      <c r="DM322" s="141">
        <v>-736200</v>
      </c>
      <c r="DN322" s="141">
        <v>0</v>
      </c>
      <c r="DO322" s="141">
        <v>-736200</v>
      </c>
      <c r="DP322" s="141">
        <v>-763710</v>
      </c>
      <c r="DQ322" s="141">
        <v>0</v>
      </c>
      <c r="DR322" s="141">
        <v>0</v>
      </c>
      <c r="DS322" s="141">
        <v>0</v>
      </c>
      <c r="DT322" s="141">
        <v>-763710</v>
      </c>
      <c r="DU322" s="141">
        <v>0</v>
      </c>
      <c r="DV322" s="141">
        <v>-763710</v>
      </c>
      <c r="DW322" s="856">
        <v>24363413</v>
      </c>
      <c r="DX322" s="856">
        <v>3111410</v>
      </c>
      <c r="DY322" s="857">
        <v>27474823</v>
      </c>
      <c r="DZ322" t="s">
        <v>1888</v>
      </c>
    </row>
    <row r="323" spans="1:130" ht="12.75" x14ac:dyDescent="0.2">
      <c r="A323" s="764">
        <v>316</v>
      </c>
      <c r="B323" s="765" t="s">
        <v>521</v>
      </c>
      <c r="C323" s="766" t="s">
        <v>1217</v>
      </c>
      <c r="D323" s="767" t="s">
        <v>1227</v>
      </c>
      <c r="E323" s="768" t="s">
        <v>520</v>
      </c>
      <c r="F323" s="867">
        <v>43453</v>
      </c>
      <c r="G323" s="141">
        <v>75058130</v>
      </c>
      <c r="H323" s="141">
        <v>0</v>
      </c>
      <c r="I323" s="141">
        <v>75058130</v>
      </c>
      <c r="J323" s="141">
        <v>49.1</v>
      </c>
      <c r="K323" s="141">
        <v>36853542</v>
      </c>
      <c r="L323" s="141">
        <v>0</v>
      </c>
      <c r="M323" s="141">
        <v>0</v>
      </c>
      <c r="N323" s="141">
        <v>0</v>
      </c>
      <c r="O323" s="141">
        <v>36853542</v>
      </c>
      <c r="P323" s="141">
        <v>0</v>
      </c>
      <c r="Q323" s="141">
        <v>36853542</v>
      </c>
      <c r="R323" s="141">
        <v>-311029</v>
      </c>
      <c r="S323" s="141">
        <v>0</v>
      </c>
      <c r="T323" s="141">
        <v>-311029</v>
      </c>
      <c r="U323" s="141">
        <v>254993</v>
      </c>
      <c r="V323" s="141">
        <v>0</v>
      </c>
      <c r="W323" s="141">
        <v>254993</v>
      </c>
      <c r="X323" s="141">
        <v>-56036</v>
      </c>
      <c r="Y323" s="141">
        <v>0</v>
      </c>
      <c r="Z323" s="141">
        <v>0</v>
      </c>
      <c r="AA323" s="141">
        <v>0</v>
      </c>
      <c r="AB323" s="141">
        <v>-56036</v>
      </c>
      <c r="AC323" s="141">
        <v>0</v>
      </c>
      <c r="AD323" s="141">
        <v>-56036</v>
      </c>
      <c r="AE323" s="141">
        <v>56036</v>
      </c>
      <c r="AF323" s="141">
        <v>0</v>
      </c>
      <c r="AG323" s="141">
        <v>56036</v>
      </c>
      <c r="AH323" s="141">
        <v>-3687870</v>
      </c>
      <c r="AI323" s="141">
        <v>0</v>
      </c>
      <c r="AJ323" s="141">
        <v>-3687870</v>
      </c>
      <c r="AK323" s="141">
        <v>0</v>
      </c>
      <c r="AL323" s="141">
        <v>0</v>
      </c>
      <c r="AM323" s="141">
        <v>0</v>
      </c>
      <c r="AN323" s="141">
        <v>654633</v>
      </c>
      <c r="AO323" s="141">
        <v>0</v>
      </c>
      <c r="AP323" s="141">
        <v>654633</v>
      </c>
      <c r="AQ323" s="141">
        <v>-3033237</v>
      </c>
      <c r="AR323" s="141">
        <v>0</v>
      </c>
      <c r="AS323" s="141">
        <v>-3033237</v>
      </c>
      <c r="AT323" s="141">
        <v>-2174954</v>
      </c>
      <c r="AU323" s="141">
        <v>0</v>
      </c>
      <c r="AV323" s="141">
        <v>-2174954</v>
      </c>
      <c r="AW323" s="141">
        <v>-50625</v>
      </c>
      <c r="AX323" s="141">
        <v>0</v>
      </c>
      <c r="AY323" s="141">
        <v>-50625</v>
      </c>
      <c r="AZ323" s="141">
        <v>-10685</v>
      </c>
      <c r="BA323" s="141">
        <v>0</v>
      </c>
      <c r="BB323" s="141">
        <v>-10685</v>
      </c>
      <c r="BC323" s="141">
        <v>-5269501</v>
      </c>
      <c r="BD323" s="141">
        <v>0</v>
      </c>
      <c r="BE323" s="141">
        <v>-100000</v>
      </c>
      <c r="BF323" s="141">
        <v>0</v>
      </c>
      <c r="BG323" s="141">
        <v>-5369501</v>
      </c>
      <c r="BH323" s="141">
        <v>0</v>
      </c>
      <c r="BI323" s="141">
        <v>-5369501</v>
      </c>
      <c r="BJ323" s="141">
        <v>0</v>
      </c>
      <c r="BK323" s="141">
        <v>0</v>
      </c>
      <c r="BL323" s="141">
        <v>0</v>
      </c>
      <c r="BM323" s="141">
        <v>-926554</v>
      </c>
      <c r="BN323" s="141">
        <v>0</v>
      </c>
      <c r="BO323" s="141">
        <v>-926554</v>
      </c>
      <c r="BP323" s="141">
        <v>-926554</v>
      </c>
      <c r="BQ323" s="141">
        <v>0</v>
      </c>
      <c r="BR323" s="141">
        <v>-473446</v>
      </c>
      <c r="BS323" s="141">
        <v>0</v>
      </c>
      <c r="BT323" s="141">
        <v>-1400000</v>
      </c>
      <c r="BU323" s="141">
        <v>0</v>
      </c>
      <c r="BV323" s="141">
        <v>-1400000</v>
      </c>
      <c r="BW323" s="141">
        <v>-76737</v>
      </c>
      <c r="BX323" s="141">
        <v>0</v>
      </c>
      <c r="BY323" s="141">
        <v>-76737</v>
      </c>
      <c r="BZ323" s="141">
        <v>-126894</v>
      </c>
      <c r="CA323" s="141">
        <v>0</v>
      </c>
      <c r="CB323" s="141">
        <v>-126894</v>
      </c>
      <c r="CC323" s="141">
        <v>0</v>
      </c>
      <c r="CD323" s="141">
        <v>0</v>
      </c>
      <c r="CE323" s="141">
        <v>0</v>
      </c>
      <c r="CF323" s="141">
        <v>0</v>
      </c>
      <c r="CG323" s="141">
        <v>0</v>
      </c>
      <c r="CH323" s="141">
        <v>0</v>
      </c>
      <c r="CI323" s="141">
        <v>0</v>
      </c>
      <c r="CJ323" s="141">
        <v>0</v>
      </c>
      <c r="CK323" s="141">
        <v>0</v>
      </c>
      <c r="CL323" s="141">
        <v>0</v>
      </c>
      <c r="CM323" s="141">
        <v>0</v>
      </c>
      <c r="CN323" s="141">
        <v>0</v>
      </c>
      <c r="CO323" s="141">
        <v>0</v>
      </c>
      <c r="CP323" s="141">
        <v>0</v>
      </c>
      <c r="CQ323" s="141">
        <v>-203631</v>
      </c>
      <c r="CR323" s="141">
        <v>0</v>
      </c>
      <c r="CS323" s="141">
        <v>-75000</v>
      </c>
      <c r="CT323" s="141">
        <v>0</v>
      </c>
      <c r="CU323" s="141">
        <v>-278631</v>
      </c>
      <c r="CV323" s="141">
        <v>0</v>
      </c>
      <c r="CW323" s="141">
        <v>-278631</v>
      </c>
      <c r="CX323" s="141">
        <v>-10685</v>
      </c>
      <c r="CY323" s="141">
        <v>0</v>
      </c>
      <c r="CZ323" s="141">
        <v>-10685</v>
      </c>
      <c r="DA323" s="141">
        <v>0</v>
      </c>
      <c r="DB323" s="141">
        <v>0</v>
      </c>
      <c r="DC323" s="141">
        <v>0</v>
      </c>
      <c r="DD323" s="141">
        <v>-16031</v>
      </c>
      <c r="DE323" s="141">
        <v>0</v>
      </c>
      <c r="DF323" s="141">
        <v>-16031</v>
      </c>
      <c r="DG323" s="141">
        <v>-23000</v>
      </c>
      <c r="DH323" s="141">
        <v>0</v>
      </c>
      <c r="DI323" s="141">
        <v>-23000</v>
      </c>
      <c r="DJ323" s="141">
        <v>0</v>
      </c>
      <c r="DK323" s="141">
        <v>0</v>
      </c>
      <c r="DL323" s="141">
        <v>0</v>
      </c>
      <c r="DM323" s="141">
        <v>-1022682</v>
      </c>
      <c r="DN323" s="141">
        <v>0</v>
      </c>
      <c r="DO323" s="141">
        <v>-1022682</v>
      </c>
      <c r="DP323" s="141">
        <v>-1072398</v>
      </c>
      <c r="DQ323" s="141">
        <v>0</v>
      </c>
      <c r="DR323" s="141">
        <v>0</v>
      </c>
      <c r="DS323" s="141">
        <v>0</v>
      </c>
      <c r="DT323" s="141">
        <v>-1072398</v>
      </c>
      <c r="DU323" s="141">
        <v>0</v>
      </c>
      <c r="DV323" s="141">
        <v>-1072398</v>
      </c>
      <c r="DW323" s="856">
        <v>28676976</v>
      </c>
      <c r="DX323" s="856">
        <v>0</v>
      </c>
      <c r="DY323" s="857">
        <v>28676976</v>
      </c>
      <c r="DZ323" t="s">
        <v>1889</v>
      </c>
    </row>
    <row r="324" spans="1:130" ht="13.5" thickBot="1" x14ac:dyDescent="0.25">
      <c r="A324" s="764">
        <v>317</v>
      </c>
      <c r="B324" s="765" t="s">
        <v>523</v>
      </c>
      <c r="C324" s="766" t="s">
        <v>529</v>
      </c>
      <c r="D324" s="767" t="s">
        <v>1225</v>
      </c>
      <c r="E324" s="768" t="s">
        <v>602</v>
      </c>
      <c r="F324" s="867">
        <v>43460</v>
      </c>
      <c r="G324" s="141">
        <v>251373191</v>
      </c>
      <c r="H324" s="141">
        <v>3563900</v>
      </c>
      <c r="I324" s="141">
        <v>254937091</v>
      </c>
      <c r="J324" s="141">
        <v>49.1</v>
      </c>
      <c r="K324" s="141">
        <v>123424237</v>
      </c>
      <c r="L324" s="141">
        <v>1749875</v>
      </c>
      <c r="M324" s="141">
        <v>0</v>
      </c>
      <c r="N324" s="141">
        <v>0</v>
      </c>
      <c r="O324" s="141">
        <v>123424237</v>
      </c>
      <c r="P324" s="141">
        <v>1749875</v>
      </c>
      <c r="Q324" s="141">
        <v>125174112</v>
      </c>
      <c r="R324" s="141">
        <v>-2580158</v>
      </c>
      <c r="S324" s="141">
        <v>-336733</v>
      </c>
      <c r="T324" s="141">
        <v>-2916891</v>
      </c>
      <c r="U324" s="141">
        <v>3033493</v>
      </c>
      <c r="V324" s="141">
        <v>22480</v>
      </c>
      <c r="W324" s="141">
        <v>3055973</v>
      </c>
      <c r="X324" s="141">
        <v>453335</v>
      </c>
      <c r="Y324" s="141">
        <v>-314253</v>
      </c>
      <c r="Z324" s="141">
        <v>0</v>
      </c>
      <c r="AA324" s="141">
        <v>0</v>
      </c>
      <c r="AB324" s="141">
        <v>453335</v>
      </c>
      <c r="AC324" s="141">
        <v>-314253</v>
      </c>
      <c r="AD324" s="141">
        <v>139082</v>
      </c>
      <c r="AE324" s="141">
        <v>-453335</v>
      </c>
      <c r="AF324" s="141">
        <v>314253</v>
      </c>
      <c r="AG324" s="141">
        <v>-139082</v>
      </c>
      <c r="AH324" s="141">
        <v>-5796075</v>
      </c>
      <c r="AI324" s="141">
        <v>-5627</v>
      </c>
      <c r="AJ324" s="141">
        <v>-5801702</v>
      </c>
      <c r="AK324" s="141">
        <v>-50000</v>
      </c>
      <c r="AL324" s="141">
        <v>0</v>
      </c>
      <c r="AM324" s="141">
        <v>-50000</v>
      </c>
      <c r="AN324" s="141">
        <v>2371268</v>
      </c>
      <c r="AO324" s="141">
        <v>40846</v>
      </c>
      <c r="AP324" s="141">
        <v>2412114</v>
      </c>
      <c r="AQ324" s="141">
        <v>-3424807</v>
      </c>
      <c r="AR324" s="141">
        <v>35219</v>
      </c>
      <c r="AS324" s="141">
        <v>-3389588</v>
      </c>
      <c r="AT324" s="141">
        <v>-10554550</v>
      </c>
      <c r="AU324" s="141">
        <v>-564772</v>
      </c>
      <c r="AV324" s="141">
        <v>-11119322</v>
      </c>
      <c r="AW324" s="141">
        <v>-45625</v>
      </c>
      <c r="AX324" s="141">
        <v>0</v>
      </c>
      <c r="AY324" s="141">
        <v>-45625</v>
      </c>
      <c r="AZ324" s="141">
        <v>-4113</v>
      </c>
      <c r="BA324" s="141">
        <v>0</v>
      </c>
      <c r="BB324" s="141">
        <v>-4113</v>
      </c>
      <c r="BC324" s="141">
        <v>-14029095</v>
      </c>
      <c r="BD324" s="141">
        <v>-529553</v>
      </c>
      <c r="BE324" s="141">
        <v>0</v>
      </c>
      <c r="BF324" s="141">
        <v>0</v>
      </c>
      <c r="BG324" s="141">
        <v>-14029095</v>
      </c>
      <c r="BH324" s="141">
        <v>-529553</v>
      </c>
      <c r="BI324" s="141">
        <v>-14558648</v>
      </c>
      <c r="BJ324" s="141">
        <v>-20000</v>
      </c>
      <c r="BK324" s="141">
        <v>0</v>
      </c>
      <c r="BL324" s="141">
        <v>-20000</v>
      </c>
      <c r="BM324" s="141">
        <v>-2500790</v>
      </c>
      <c r="BN324" s="141">
        <v>-2669</v>
      </c>
      <c r="BO324" s="141">
        <v>-2503459</v>
      </c>
      <c r="BP324" s="141">
        <v>-2520790</v>
      </c>
      <c r="BQ324" s="141">
        <v>-2669</v>
      </c>
      <c r="BR324" s="141">
        <v>0</v>
      </c>
      <c r="BS324" s="141">
        <v>0</v>
      </c>
      <c r="BT324" s="141">
        <v>-2520790</v>
      </c>
      <c r="BU324" s="141">
        <v>-2669</v>
      </c>
      <c r="BV324" s="141">
        <v>-2523459</v>
      </c>
      <c r="BW324" s="141">
        <v>-52624</v>
      </c>
      <c r="BX324" s="141">
        <v>-5104</v>
      </c>
      <c r="BY324" s="141">
        <v>-57728</v>
      </c>
      <c r="BZ324" s="141">
        <v>-11862</v>
      </c>
      <c r="CA324" s="141">
        <v>0</v>
      </c>
      <c r="CB324" s="141">
        <v>-11862</v>
      </c>
      <c r="CC324" s="141">
        <v>-7699</v>
      </c>
      <c r="CD324" s="141">
        <v>0</v>
      </c>
      <c r="CE324" s="141">
        <v>-7699</v>
      </c>
      <c r="CF324" s="141">
        <v>0</v>
      </c>
      <c r="CG324" s="141">
        <v>0</v>
      </c>
      <c r="CH324" s="141">
        <v>0</v>
      </c>
      <c r="CI324" s="141">
        <v>-39899</v>
      </c>
      <c r="CJ324" s="141">
        <v>0</v>
      </c>
      <c r="CK324" s="141">
        <v>-39899</v>
      </c>
      <c r="CL324" s="141">
        <v>-6000</v>
      </c>
      <c r="CM324" s="141">
        <v>0</v>
      </c>
      <c r="CN324" s="141">
        <v>-6000</v>
      </c>
      <c r="CO324" s="141">
        <v>0</v>
      </c>
      <c r="CP324" s="141">
        <v>0</v>
      </c>
      <c r="CQ324" s="141">
        <v>-118084</v>
      </c>
      <c r="CR324" s="141">
        <v>-5104</v>
      </c>
      <c r="CS324" s="141">
        <v>0</v>
      </c>
      <c r="CT324" s="141">
        <v>0</v>
      </c>
      <c r="CU324" s="141">
        <v>-118084</v>
      </c>
      <c r="CV324" s="141">
        <v>-5104</v>
      </c>
      <c r="CW324" s="141">
        <v>-123188</v>
      </c>
      <c r="CX324" s="141">
        <v>-4113</v>
      </c>
      <c r="CY324" s="141">
        <v>0</v>
      </c>
      <c r="CZ324" s="141">
        <v>-4113</v>
      </c>
      <c r="DA324" s="141">
        <v>-1500</v>
      </c>
      <c r="DB324" s="141">
        <v>0</v>
      </c>
      <c r="DC324" s="141">
        <v>-1500</v>
      </c>
      <c r="DD324" s="141">
        <v>-40000</v>
      </c>
      <c r="DE324" s="141">
        <v>0</v>
      </c>
      <c r="DF324" s="141">
        <v>-40000</v>
      </c>
      <c r="DG324" s="141">
        <v>-157576</v>
      </c>
      <c r="DH324" s="141">
        <v>0</v>
      </c>
      <c r="DI324" s="141">
        <v>-157576</v>
      </c>
      <c r="DJ324" s="141">
        <v>0</v>
      </c>
      <c r="DK324" s="141">
        <v>0</v>
      </c>
      <c r="DL324" s="141">
        <v>0</v>
      </c>
      <c r="DM324" s="141">
        <v>-2908637</v>
      </c>
      <c r="DN324" s="141">
        <v>-21041</v>
      </c>
      <c r="DO324" s="141">
        <v>-2929678</v>
      </c>
      <c r="DP324" s="141">
        <v>-3111826</v>
      </c>
      <c r="DQ324" s="141">
        <v>-21041</v>
      </c>
      <c r="DR324" s="141">
        <v>0</v>
      </c>
      <c r="DS324" s="141">
        <v>0</v>
      </c>
      <c r="DT324" s="141">
        <v>-3111826</v>
      </c>
      <c r="DU324" s="141">
        <v>-21041</v>
      </c>
      <c r="DV324" s="141">
        <v>-3132867</v>
      </c>
      <c r="DW324" s="856">
        <v>104097777</v>
      </c>
      <c r="DX324" s="856">
        <v>877255</v>
      </c>
      <c r="DY324" s="857">
        <v>104975032</v>
      </c>
      <c r="DZ324" t="s">
        <v>1890</v>
      </c>
    </row>
    <row r="325" spans="1:130" ht="13.5" thickBot="1" x14ac:dyDescent="0.25">
      <c r="A325" s="773">
        <v>327</v>
      </c>
      <c r="B325" s="864" t="s">
        <v>524</v>
      </c>
      <c r="C325" s="774"/>
      <c r="D325" s="775" t="s">
        <v>1221</v>
      </c>
      <c r="E325" s="775" t="s">
        <v>1230</v>
      </c>
      <c r="F325" s="839" t="s">
        <v>1892</v>
      </c>
      <c r="G325" s="858">
        <v>63103353621</v>
      </c>
      <c r="H325" s="858">
        <v>613567588</v>
      </c>
      <c r="I325" s="858">
        <v>63716921209</v>
      </c>
      <c r="J325" s="858">
        <v>49.1</v>
      </c>
      <c r="K325" s="858">
        <v>30983746625</v>
      </c>
      <c r="L325" s="858">
        <v>301261689</v>
      </c>
      <c r="M325" s="858">
        <v>128347389</v>
      </c>
      <c r="N325" s="858">
        <v>18367824</v>
      </c>
      <c r="O325" s="858">
        <v>31112094014</v>
      </c>
      <c r="P325" s="858">
        <v>319629513</v>
      </c>
      <c r="Q325" s="858">
        <v>31431723527</v>
      </c>
      <c r="R325" s="858">
        <v>-344770105.75999999</v>
      </c>
      <c r="S325" s="858">
        <v>-1922809</v>
      </c>
      <c r="T325" s="858">
        <v>-346692914.75999999</v>
      </c>
      <c r="U325" s="858">
        <v>368764664.95999998</v>
      </c>
      <c r="V325" s="858">
        <v>5258977.53</v>
      </c>
      <c r="W325" s="858">
        <v>374023642.48999995</v>
      </c>
      <c r="X325" s="858">
        <v>23994559.199999999</v>
      </c>
      <c r="Y325" s="858">
        <v>3336168.53</v>
      </c>
      <c r="Z325" s="858">
        <v>880212.13500000001</v>
      </c>
      <c r="AA325" s="858">
        <v>220956</v>
      </c>
      <c r="AB325" s="858">
        <v>24874771.334999997</v>
      </c>
      <c r="AC325" s="858">
        <v>3557124.53</v>
      </c>
      <c r="AD325" s="858">
        <v>28431895.864999995</v>
      </c>
      <c r="AE325" s="858">
        <v>-24874771.334999997</v>
      </c>
      <c r="AF325" s="858">
        <v>-3557124.53</v>
      </c>
      <c r="AG325" s="858">
        <v>-28431895.864999995</v>
      </c>
      <c r="AH325" s="858">
        <v>-1868520343.5009999</v>
      </c>
      <c r="AI325" s="858">
        <v>-6373063</v>
      </c>
      <c r="AJ325" s="858">
        <v>-1874893406.5009999</v>
      </c>
      <c r="AK325" s="858">
        <v>-2980753.7749999999</v>
      </c>
      <c r="AL325" s="858">
        <v>-17849</v>
      </c>
      <c r="AM325" s="858">
        <v>-2998602.7749999999</v>
      </c>
      <c r="AN325" s="858">
        <v>627219524.2190001</v>
      </c>
      <c r="AO325" s="858">
        <v>6681162</v>
      </c>
      <c r="AP325" s="858">
        <v>633900686.2190001</v>
      </c>
      <c r="AQ325" s="858">
        <v>-1241300819.2819998</v>
      </c>
      <c r="AR325" s="858">
        <v>308099</v>
      </c>
      <c r="AS325" s="858">
        <v>-1240992720.2819998</v>
      </c>
      <c r="AT325" s="858">
        <v>-1953988292.6699998</v>
      </c>
      <c r="AU325" s="858">
        <v>-13059322</v>
      </c>
      <c r="AV325" s="858">
        <v>-1967047614.6699998</v>
      </c>
      <c r="AW325" s="858">
        <v>-19807507.279999997</v>
      </c>
      <c r="AX325" s="858">
        <v>-18144</v>
      </c>
      <c r="AY325" s="858">
        <v>-19825651.279999997</v>
      </c>
      <c r="AZ325" s="858">
        <v>-4338095.9399999995</v>
      </c>
      <c r="BA325" s="858">
        <v>0</v>
      </c>
      <c r="BB325" s="858">
        <v>-4338095.9399999995</v>
      </c>
      <c r="BC325" s="858">
        <v>-3219434715.1719999</v>
      </c>
      <c r="BD325" s="858">
        <v>-12769367</v>
      </c>
      <c r="BE325" s="858">
        <v>-23432495</v>
      </c>
      <c r="BF325" s="858">
        <v>-460217</v>
      </c>
      <c r="BG325" s="858">
        <v>-3242867210.1719999</v>
      </c>
      <c r="BH325" s="858">
        <v>-13229584</v>
      </c>
      <c r="BI325" s="858">
        <v>-3256096794.1719999</v>
      </c>
      <c r="BJ325" s="858">
        <v>-26264632.109999999</v>
      </c>
      <c r="BK325" s="858">
        <v>-146700</v>
      </c>
      <c r="BL325" s="858">
        <v>-26411332.109999999</v>
      </c>
      <c r="BM325" s="858">
        <v>-861505179.95500004</v>
      </c>
      <c r="BN325" s="858">
        <v>-18984823</v>
      </c>
      <c r="BO325" s="858">
        <v>-880490002.95500004</v>
      </c>
      <c r="BP325" s="858">
        <v>-887769812.06500006</v>
      </c>
      <c r="BQ325" s="858">
        <v>-19131523</v>
      </c>
      <c r="BR325" s="858">
        <v>-63367743</v>
      </c>
      <c r="BS325" s="858">
        <v>-1432210</v>
      </c>
      <c r="BT325" s="858">
        <v>-951137555.06500006</v>
      </c>
      <c r="BU325" s="858">
        <v>-20563733</v>
      </c>
      <c r="BV325" s="858">
        <v>-971701288.06500006</v>
      </c>
      <c r="BW325" s="858">
        <v>-48544470.160000004</v>
      </c>
      <c r="BX325" s="858">
        <v>-121105</v>
      </c>
      <c r="BY325" s="858">
        <v>-48665575.160000004</v>
      </c>
      <c r="BZ325" s="858">
        <v>-36084314.460000001</v>
      </c>
      <c r="CA325" s="858">
        <v>-804171</v>
      </c>
      <c r="CB325" s="858">
        <v>-36888485.460000001</v>
      </c>
      <c r="CC325" s="858">
        <v>-1308739.92</v>
      </c>
      <c r="CD325" s="858">
        <v>0</v>
      </c>
      <c r="CE325" s="858">
        <v>-1308739.92</v>
      </c>
      <c r="CF325" s="858">
        <v>-412811.58999999997</v>
      </c>
      <c r="CG325" s="858">
        <v>0</v>
      </c>
      <c r="CH325" s="858">
        <v>-412811.58999999997</v>
      </c>
      <c r="CI325" s="858">
        <v>-914686</v>
      </c>
      <c r="CJ325" s="858">
        <v>0</v>
      </c>
      <c r="CK325" s="858">
        <v>-914686</v>
      </c>
      <c r="CL325" s="858">
        <v>-7823121</v>
      </c>
      <c r="CM325" s="858">
        <v>-14879588</v>
      </c>
      <c r="CN325" s="858">
        <v>-22702709</v>
      </c>
      <c r="CO325" s="858">
        <v>-14743272</v>
      </c>
      <c r="CP325" s="858">
        <v>-2192769</v>
      </c>
      <c r="CQ325" s="858">
        <v>-95088143.13000001</v>
      </c>
      <c r="CR325" s="858">
        <v>-15804864</v>
      </c>
      <c r="CS325" s="858">
        <v>-971182</v>
      </c>
      <c r="CT325" s="858">
        <v>-791686</v>
      </c>
      <c r="CU325" s="858">
        <v>-96059325.13000001</v>
      </c>
      <c r="CV325" s="858">
        <v>-16596550</v>
      </c>
      <c r="CW325" s="858">
        <v>-112655875.13000001</v>
      </c>
      <c r="CX325" s="858">
        <v>-4436108</v>
      </c>
      <c r="CY325" s="858">
        <v>0</v>
      </c>
      <c r="CZ325" s="858">
        <v>-4436108</v>
      </c>
      <c r="DA325" s="858">
        <v>-212906</v>
      </c>
      <c r="DB325" s="858">
        <v>0</v>
      </c>
      <c r="DC325" s="858">
        <v>-212906</v>
      </c>
      <c r="DD325" s="858">
        <v>-17452765.939999998</v>
      </c>
      <c r="DE325" s="858">
        <v>-27714</v>
      </c>
      <c r="DF325" s="858">
        <v>-17480479.939999998</v>
      </c>
      <c r="DG325" s="858">
        <v>-33010933</v>
      </c>
      <c r="DH325" s="858">
        <v>-204039</v>
      </c>
      <c r="DI325" s="858">
        <v>-33214972</v>
      </c>
      <c r="DJ325" s="858">
        <v>-522669.74</v>
      </c>
      <c r="DK325" s="858">
        <v>-7000</v>
      </c>
      <c r="DL325" s="858">
        <v>-529669.74</v>
      </c>
      <c r="DM325" s="858">
        <v>-499703172.08000004</v>
      </c>
      <c r="DN325" s="858">
        <v>-2249125</v>
      </c>
      <c r="DO325" s="858">
        <v>-501952297.08000004</v>
      </c>
      <c r="DP325" s="858">
        <v>-555338554.75999999</v>
      </c>
      <c r="DQ325" s="858">
        <v>-2487878</v>
      </c>
      <c r="DR325" s="858">
        <v>-101841</v>
      </c>
      <c r="DS325" s="858">
        <v>0</v>
      </c>
      <c r="DT325" s="858">
        <v>-555440395.75999999</v>
      </c>
      <c r="DU325" s="858">
        <v>-2487878</v>
      </c>
      <c r="DV325" s="858">
        <v>-557928273.75999999</v>
      </c>
      <c r="DW325" s="858">
        <v>26291464299.208</v>
      </c>
      <c r="DX325" s="858">
        <v>270308892.52999997</v>
      </c>
      <c r="DY325" s="859">
        <v>26561773191.737995</v>
      </c>
    </row>
    <row r="326" spans="1:130" x14ac:dyDescent="0.2">
      <c r="D326" s="780"/>
      <c r="E326" s="781"/>
    </row>
    <row r="327" spans="1:130" x14ac:dyDescent="0.2">
      <c r="D327" s="780"/>
      <c r="E327" s="781"/>
    </row>
    <row r="328" spans="1:130" x14ac:dyDescent="0.2">
      <c r="A328" s="784"/>
      <c r="D328" s="780"/>
      <c r="E328" s="781"/>
    </row>
    <row r="329" spans="1:130" x14ac:dyDescent="0.2">
      <c r="D329" s="780"/>
      <c r="E329" s="781"/>
    </row>
    <row r="330" spans="1:130" x14ac:dyDescent="0.2">
      <c r="D330" s="780"/>
      <c r="E330" s="781"/>
    </row>
  </sheetData>
  <mergeCells count="87">
    <mergeCell ref="DP2:DQ2"/>
    <mergeCell ref="DR2:DS2"/>
    <mergeCell ref="DT2:DV2"/>
    <mergeCell ref="DW2:DY2"/>
    <mergeCell ref="DM2:DO2"/>
    <mergeCell ref="DJ2:DL2"/>
    <mergeCell ref="CC2:CE2"/>
    <mergeCell ref="CF2:CH2"/>
    <mergeCell ref="CI2:CK2"/>
    <mergeCell ref="CL2:CN2"/>
    <mergeCell ref="CQ2:CR2"/>
    <mergeCell ref="CS2:CT2"/>
    <mergeCell ref="CU2:CW2"/>
    <mergeCell ref="CX2:CZ2"/>
    <mergeCell ref="DA2:DC2"/>
    <mergeCell ref="DD2:DF2"/>
    <mergeCell ref="DG2:DI2"/>
    <mergeCell ref="BZ2:CB2"/>
    <mergeCell ref="AW2:AY2"/>
    <mergeCell ref="AZ2:BB2"/>
    <mergeCell ref="BC2:BD2"/>
    <mergeCell ref="BE2:BF2"/>
    <mergeCell ref="BG2:BI2"/>
    <mergeCell ref="BJ2:BL2"/>
    <mergeCell ref="BM2:BO2"/>
    <mergeCell ref="BP2:BQ2"/>
    <mergeCell ref="BR2:BS2"/>
    <mergeCell ref="BT2:BV2"/>
    <mergeCell ref="BW2:BY2"/>
    <mergeCell ref="AE2:AG2"/>
    <mergeCell ref="AH2:AJ2"/>
    <mergeCell ref="AK2:AM2"/>
    <mergeCell ref="AN2:AP2"/>
    <mergeCell ref="AQ2:AS2"/>
    <mergeCell ref="AT2:AV2"/>
    <mergeCell ref="DW1:DY1"/>
    <mergeCell ref="G2:I2"/>
    <mergeCell ref="K2:L2"/>
    <mergeCell ref="M2:N2"/>
    <mergeCell ref="O2:Q2"/>
    <mergeCell ref="R2:T2"/>
    <mergeCell ref="U2:W2"/>
    <mergeCell ref="X2:Y2"/>
    <mergeCell ref="Z2:AA2"/>
    <mergeCell ref="AB2:AD2"/>
    <mergeCell ref="DD1:DF1"/>
    <mergeCell ref="DG1:DI1"/>
    <mergeCell ref="DJ1:DL1"/>
    <mergeCell ref="DP1:DQ1"/>
    <mergeCell ref="DR1:DS1"/>
    <mergeCell ref="DT1:DV1"/>
    <mergeCell ref="CL1:CN1"/>
    <mergeCell ref="CQ1:CR1"/>
    <mergeCell ref="CS1:CT1"/>
    <mergeCell ref="CU1:CW1"/>
    <mergeCell ref="CX1:CZ1"/>
    <mergeCell ref="DA1:DC1"/>
    <mergeCell ref="CI1:CK1"/>
    <mergeCell ref="BE1:BF1"/>
    <mergeCell ref="BG1:BI1"/>
    <mergeCell ref="BJ1:BL1"/>
    <mergeCell ref="BM1:BO1"/>
    <mergeCell ref="BP1:BQ1"/>
    <mergeCell ref="BR1:BS1"/>
    <mergeCell ref="BT1:BV1"/>
    <mergeCell ref="BW1:BY1"/>
    <mergeCell ref="BZ1:CB1"/>
    <mergeCell ref="CC1:CE1"/>
    <mergeCell ref="CF1:CH1"/>
    <mergeCell ref="BC1:BD1"/>
    <mergeCell ref="X1:Y1"/>
    <mergeCell ref="Z1:AA1"/>
    <mergeCell ref="AB1:AD1"/>
    <mergeCell ref="AE1:AG1"/>
    <mergeCell ref="AH1:AJ1"/>
    <mergeCell ref="AK1:AM1"/>
    <mergeCell ref="AN1:AP1"/>
    <mergeCell ref="AQ1:AS1"/>
    <mergeCell ref="AT1:AV1"/>
    <mergeCell ref="AW1:AY1"/>
    <mergeCell ref="AZ1:BB1"/>
    <mergeCell ref="U1:W1"/>
    <mergeCell ref="G1:I1"/>
    <mergeCell ref="K1:L1"/>
    <mergeCell ref="M1:N1"/>
    <mergeCell ref="O1:Q1"/>
    <mergeCell ref="R1:T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30"/>
  <sheetViews>
    <sheetView workbookViewId="0"/>
  </sheetViews>
  <sheetFormatPr defaultRowHeight="15" x14ac:dyDescent="0.2"/>
  <cols>
    <col min="1" max="1" width="7.85546875" style="779" customWidth="1"/>
    <col min="2" max="2" width="8.42578125" style="9" customWidth="1"/>
    <col min="3" max="3" width="6.7109375" style="9" customWidth="1"/>
    <col min="4" max="4" width="8.140625" style="9" customWidth="1"/>
    <col min="5" max="5" width="32.28515625" style="9" customWidth="1"/>
    <col min="6" max="6" width="13.85546875" bestFit="1" customWidth="1"/>
    <col min="7" max="7" width="11.140625" bestFit="1" customWidth="1"/>
    <col min="8" max="8" width="13.85546875" bestFit="1" customWidth="1"/>
    <col min="9" max="9" width="11.7109375" bestFit="1" customWidth="1"/>
    <col min="10" max="10" width="9.7109375" bestFit="1" customWidth="1"/>
    <col min="11" max="11" width="11.7109375" bestFit="1" customWidth="1"/>
    <col min="12" max="12" width="13.42578125" bestFit="1" customWidth="1"/>
    <col min="13" max="13" width="10.7109375" bestFit="1" customWidth="1"/>
    <col min="14" max="14" width="13.42578125" bestFit="1" customWidth="1"/>
    <col min="15" max="15" width="10.28515625" customWidth="1"/>
    <col min="16" max="16" width="11.140625" bestFit="1" customWidth="1"/>
    <col min="17" max="17" width="13.85546875" bestFit="1" customWidth="1"/>
    <col min="18" max="18" width="10.140625" bestFit="1" customWidth="1"/>
    <col min="19" max="19" width="9.28515625" bestFit="1" customWidth="1"/>
    <col min="20" max="20" width="10.5703125" customWidth="1"/>
    <col min="21" max="21" width="7.140625" customWidth="1"/>
    <col min="22" max="22" width="7.28515625" customWidth="1"/>
    <col min="23" max="23" width="6.7109375" customWidth="1"/>
    <col min="24" max="24" width="21.140625" customWidth="1"/>
    <col min="25" max="25" width="21" customWidth="1"/>
    <col min="26" max="26" width="10.140625" bestFit="1" customWidth="1"/>
    <col min="27" max="27" width="10.5703125" customWidth="1"/>
    <col min="28" max="32" width="9.28515625" bestFit="1" customWidth="1"/>
    <col min="33" max="33" width="10.140625" bestFit="1" customWidth="1"/>
    <col min="34" max="37" width="11.140625" bestFit="1" customWidth="1"/>
    <col min="38" max="43" width="9.28515625" bestFit="1" customWidth="1"/>
    <col min="44" max="44" width="10.140625" bestFit="1" customWidth="1"/>
    <col min="45" max="45" width="10.140625" customWidth="1"/>
  </cols>
  <sheetData>
    <row r="1" spans="1:45" ht="13.5" thickBot="1" x14ac:dyDescent="0.25">
      <c r="A1" s="719"/>
      <c r="B1" s="720"/>
      <c r="C1" s="721"/>
      <c r="D1" s="722"/>
      <c r="E1" s="723"/>
      <c r="F1" s="1102"/>
      <c r="G1" s="1102"/>
      <c r="H1" s="1102"/>
      <c r="I1" s="1102"/>
      <c r="J1" s="1102"/>
      <c r="K1" s="1102"/>
      <c r="L1" s="1102"/>
      <c r="M1" s="1102"/>
      <c r="N1" s="1102"/>
      <c r="O1" s="1102"/>
      <c r="P1" s="1102"/>
      <c r="Q1" s="1102"/>
      <c r="R1" s="1102"/>
      <c r="S1" s="1102"/>
      <c r="T1" s="1102"/>
      <c r="U1" s="795"/>
      <c r="V1" s="795"/>
      <c r="W1" s="795"/>
      <c r="X1" s="795"/>
      <c r="Y1" s="795"/>
      <c r="Z1" s="1102"/>
      <c r="AA1" s="1102"/>
      <c r="AB1" s="1102"/>
      <c r="AC1" s="1102"/>
      <c r="AD1" s="1102"/>
      <c r="AE1" s="1102"/>
      <c r="AF1" s="1102"/>
      <c r="AG1" s="1102"/>
      <c r="AH1" s="1102"/>
      <c r="AI1" s="1102"/>
      <c r="AJ1" s="1102"/>
      <c r="AK1" s="1102"/>
      <c r="AL1" s="1102"/>
      <c r="AM1" s="1102"/>
      <c r="AN1" s="1102"/>
      <c r="AO1" s="1102"/>
      <c r="AP1" s="1102"/>
      <c r="AQ1" s="1102"/>
      <c r="AR1" s="1102"/>
    </row>
    <row r="2" spans="1:45" ht="39" thickBot="1" x14ac:dyDescent="0.25">
      <c r="A2" s="724"/>
      <c r="B2" s="725"/>
      <c r="C2" s="726"/>
      <c r="D2" s="727"/>
      <c r="E2" s="726"/>
      <c r="F2" s="1104" t="s">
        <v>1295</v>
      </c>
      <c r="G2" s="1097"/>
      <c r="H2" s="1097"/>
      <c r="I2" s="1099" t="s">
        <v>1296</v>
      </c>
      <c r="J2" s="1097"/>
      <c r="K2" s="1097"/>
      <c r="L2" s="1099" t="s">
        <v>1297</v>
      </c>
      <c r="M2" s="1097"/>
      <c r="N2" s="1097"/>
      <c r="O2" s="1099" t="s">
        <v>1298</v>
      </c>
      <c r="P2" s="1097"/>
      <c r="Q2" s="1097"/>
      <c r="R2" s="1097" t="s">
        <v>1299</v>
      </c>
      <c r="S2" s="1097"/>
      <c r="T2" s="1097"/>
      <c r="U2" s="1099" t="s">
        <v>1310</v>
      </c>
      <c r="V2" s="1097"/>
      <c r="W2" s="1097"/>
      <c r="X2" s="729" t="s">
        <v>1300</v>
      </c>
      <c r="Y2" s="729" t="s">
        <v>1301</v>
      </c>
      <c r="Z2" s="1097" t="s">
        <v>1302</v>
      </c>
      <c r="AA2" s="1097"/>
      <c r="AB2" s="1099" t="s">
        <v>1303</v>
      </c>
      <c r="AC2" s="1097"/>
      <c r="AD2" s="1097"/>
      <c r="AE2" s="1099" t="s">
        <v>1304</v>
      </c>
      <c r="AF2" s="1097"/>
      <c r="AG2" s="1097"/>
      <c r="AH2" s="1097" t="s">
        <v>1305</v>
      </c>
      <c r="AI2" s="1097"/>
      <c r="AJ2" s="1097" t="s">
        <v>1306</v>
      </c>
      <c r="AK2" s="1097"/>
      <c r="AL2" s="1097" t="s">
        <v>1307</v>
      </c>
      <c r="AM2" s="1097"/>
      <c r="AN2" s="1097" t="s">
        <v>1308</v>
      </c>
      <c r="AO2" s="1097"/>
      <c r="AP2" s="1097" t="s">
        <v>1309</v>
      </c>
      <c r="AQ2" s="1097"/>
      <c r="AR2" s="1100"/>
      <c r="AS2" t="s">
        <v>1559</v>
      </c>
    </row>
    <row r="3" spans="1:45" ht="12.75" x14ac:dyDescent="0.2">
      <c r="A3" s="731">
        <v>1</v>
      </c>
      <c r="B3" s="732">
        <v>2</v>
      </c>
      <c r="C3" s="732">
        <v>3</v>
      </c>
      <c r="D3" s="733">
        <v>4</v>
      </c>
      <c r="E3" s="732">
        <v>5</v>
      </c>
      <c r="F3" s="734">
        <v>6</v>
      </c>
      <c r="G3" s="732">
        <v>7</v>
      </c>
      <c r="H3" s="732">
        <v>8</v>
      </c>
      <c r="I3" s="732">
        <v>9</v>
      </c>
      <c r="J3" s="732">
        <v>10</v>
      </c>
      <c r="K3" s="732">
        <v>11</v>
      </c>
      <c r="L3" s="732">
        <v>12</v>
      </c>
      <c r="M3" s="732">
        <v>13</v>
      </c>
      <c r="N3" s="732">
        <v>14</v>
      </c>
      <c r="O3" s="732">
        <v>15</v>
      </c>
      <c r="P3" s="732">
        <v>16</v>
      </c>
      <c r="Q3" s="732">
        <v>17</v>
      </c>
      <c r="R3" s="732">
        <v>18</v>
      </c>
      <c r="S3" s="732">
        <v>19</v>
      </c>
      <c r="T3" s="732">
        <v>20</v>
      </c>
      <c r="U3" s="732"/>
      <c r="V3" s="732"/>
      <c r="W3" s="732"/>
      <c r="X3" s="732">
        <v>21</v>
      </c>
      <c r="Y3" s="732">
        <v>22</v>
      </c>
      <c r="Z3" s="732">
        <v>23</v>
      </c>
      <c r="AA3" s="732">
        <v>24</v>
      </c>
      <c r="AB3" s="732">
        <v>25</v>
      </c>
      <c r="AC3" s="732">
        <v>26</v>
      </c>
      <c r="AD3" s="732">
        <v>27</v>
      </c>
      <c r="AE3" s="732">
        <v>28</v>
      </c>
      <c r="AF3" s="732">
        <v>29</v>
      </c>
      <c r="AG3" s="732">
        <v>30</v>
      </c>
      <c r="AH3" s="732">
        <v>31</v>
      </c>
      <c r="AI3" s="732">
        <v>32</v>
      </c>
      <c r="AJ3" s="732">
        <v>33</v>
      </c>
      <c r="AK3" s="732">
        <v>34</v>
      </c>
      <c r="AL3" s="732">
        <v>35</v>
      </c>
      <c r="AM3" s="732">
        <v>36</v>
      </c>
      <c r="AN3" s="732">
        <v>37</v>
      </c>
      <c r="AO3" s="732">
        <v>38</v>
      </c>
      <c r="AP3" s="732">
        <v>39</v>
      </c>
      <c r="AQ3" s="732">
        <v>40</v>
      </c>
      <c r="AR3" s="792">
        <v>41</v>
      </c>
    </row>
    <row r="4" spans="1:45" ht="12.75" x14ac:dyDescent="0.2">
      <c r="A4" s="731"/>
      <c r="B4" s="736"/>
      <c r="C4" s="737"/>
      <c r="D4" s="738"/>
      <c r="E4" s="723"/>
      <c r="F4" s="739"/>
      <c r="G4" s="740"/>
      <c r="H4" s="740"/>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40"/>
      <c r="AQ4" s="740"/>
      <c r="AR4" s="741"/>
    </row>
    <row r="5" spans="1:45" ht="13.5" thickBot="1" x14ac:dyDescent="0.25">
      <c r="A5" s="731"/>
      <c r="B5" s="742" t="s">
        <v>678</v>
      </c>
      <c r="C5" s="742" t="s">
        <v>1215</v>
      </c>
      <c r="D5" s="743" t="s">
        <v>1216</v>
      </c>
      <c r="E5" s="742" t="s">
        <v>677</v>
      </c>
      <c r="F5" s="739"/>
      <c r="G5" s="740"/>
      <c r="H5" s="740"/>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40"/>
      <c r="AQ5" s="740"/>
      <c r="AR5" s="741"/>
    </row>
    <row r="6" spans="1:45" ht="13.5" thickBot="1" x14ac:dyDescent="0.25">
      <c r="A6" s="745"/>
      <c r="B6" s="746"/>
      <c r="C6" s="747"/>
      <c r="D6" s="748"/>
      <c r="E6" s="747"/>
      <c r="F6" s="814"/>
      <c r="G6" s="749"/>
      <c r="H6" s="749"/>
      <c r="I6" s="796"/>
      <c r="J6" s="796"/>
      <c r="K6" s="796"/>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c r="AO6" s="796"/>
      <c r="AP6" s="740"/>
      <c r="AQ6" s="740"/>
      <c r="AR6" s="741"/>
    </row>
    <row r="7" spans="1:45" ht="13.5" thickBot="1" x14ac:dyDescent="0.25">
      <c r="A7" s="750"/>
      <c r="B7" s="751"/>
      <c r="C7" s="752"/>
      <c r="D7" s="753"/>
      <c r="E7" s="754"/>
      <c r="F7" s="755">
        <v>3</v>
      </c>
      <c r="G7" s="755">
        <v>4</v>
      </c>
      <c r="H7" s="755">
        <v>5</v>
      </c>
      <c r="I7" s="755">
        <v>6</v>
      </c>
      <c r="J7" s="755">
        <v>7</v>
      </c>
      <c r="K7" s="755">
        <v>8</v>
      </c>
      <c r="L7" s="755">
        <v>9</v>
      </c>
      <c r="M7" s="755">
        <v>10</v>
      </c>
      <c r="N7" s="755">
        <v>11</v>
      </c>
      <c r="O7" s="755">
        <v>12</v>
      </c>
      <c r="P7" s="755">
        <v>13</v>
      </c>
      <c r="Q7" s="755">
        <v>14</v>
      </c>
      <c r="R7" s="755">
        <v>15</v>
      </c>
      <c r="S7" s="755">
        <v>16</v>
      </c>
      <c r="T7" s="755">
        <v>17</v>
      </c>
      <c r="U7" s="755">
        <v>18</v>
      </c>
      <c r="V7" s="755">
        <v>19</v>
      </c>
      <c r="W7" s="755">
        <v>20</v>
      </c>
      <c r="X7" s="755">
        <v>21</v>
      </c>
      <c r="Y7" s="755">
        <v>22</v>
      </c>
      <c r="Z7" s="755">
        <v>23</v>
      </c>
      <c r="AA7" s="755">
        <v>24</v>
      </c>
      <c r="AB7" s="755">
        <v>25</v>
      </c>
      <c r="AC7" s="755">
        <v>26</v>
      </c>
      <c r="AD7" s="755">
        <v>27</v>
      </c>
      <c r="AE7" s="755">
        <v>28</v>
      </c>
      <c r="AF7" s="755">
        <v>29</v>
      </c>
      <c r="AG7" s="755">
        <v>30</v>
      </c>
      <c r="AH7" s="755">
        <v>31</v>
      </c>
      <c r="AI7" s="755">
        <v>32</v>
      </c>
      <c r="AJ7" s="755">
        <v>33</v>
      </c>
      <c r="AK7" s="755">
        <v>34</v>
      </c>
      <c r="AL7" s="755">
        <v>35</v>
      </c>
      <c r="AM7" s="755">
        <v>36</v>
      </c>
      <c r="AN7" s="755">
        <v>37</v>
      </c>
      <c r="AO7" s="755">
        <v>38</v>
      </c>
      <c r="AP7" s="755">
        <v>39</v>
      </c>
      <c r="AQ7" s="755">
        <v>40</v>
      </c>
      <c r="AR7" s="801">
        <v>41</v>
      </c>
    </row>
    <row r="8" spans="1:45" ht="12.75" x14ac:dyDescent="0.2">
      <c r="A8" s="756">
        <v>1</v>
      </c>
      <c r="B8" s="757" t="s">
        <v>680</v>
      </c>
      <c r="C8" s="758" t="s">
        <v>1217</v>
      </c>
      <c r="D8" s="759" t="s">
        <v>1218</v>
      </c>
      <c r="E8" s="760" t="s">
        <v>679</v>
      </c>
      <c r="F8" s="141">
        <v>19726590</v>
      </c>
      <c r="G8" s="141">
        <v>0</v>
      </c>
      <c r="H8" s="141">
        <v>19726590</v>
      </c>
      <c r="I8" s="141">
        <v>-100000</v>
      </c>
      <c r="J8" s="141">
        <v>0</v>
      </c>
      <c r="K8" s="141">
        <v>-100000</v>
      </c>
      <c r="L8" s="141">
        <v>-350000</v>
      </c>
      <c r="M8" s="141">
        <v>0</v>
      </c>
      <c r="N8" s="141">
        <v>-350000</v>
      </c>
      <c r="O8" s="141">
        <v>19276590</v>
      </c>
      <c r="P8" s="141">
        <v>0</v>
      </c>
      <c r="Q8" s="141">
        <v>19276590</v>
      </c>
      <c r="R8" s="141">
        <v>0</v>
      </c>
      <c r="S8" s="141">
        <v>0</v>
      </c>
      <c r="T8" s="141">
        <v>0</v>
      </c>
      <c r="U8" s="141">
        <v>0</v>
      </c>
      <c r="V8" s="141">
        <v>0</v>
      </c>
      <c r="W8" s="141">
        <v>0</v>
      </c>
      <c r="X8" s="141">
        <v>0</v>
      </c>
      <c r="Y8" s="141">
        <v>0</v>
      </c>
      <c r="Z8" s="141">
        <v>0</v>
      </c>
      <c r="AA8" s="141">
        <v>0</v>
      </c>
      <c r="AB8" s="141">
        <v>0</v>
      </c>
      <c r="AC8" s="141">
        <v>0</v>
      </c>
      <c r="AD8" s="141">
        <v>0</v>
      </c>
      <c r="AE8" s="141">
        <v>0</v>
      </c>
      <c r="AF8" s="141">
        <v>0</v>
      </c>
      <c r="AG8" s="141">
        <v>0</v>
      </c>
      <c r="AH8" s="141">
        <v>0</v>
      </c>
      <c r="AI8" s="141">
        <v>0</v>
      </c>
      <c r="AJ8" s="141">
        <v>0</v>
      </c>
      <c r="AK8" s="141">
        <v>0</v>
      </c>
      <c r="AL8" s="141">
        <v>0</v>
      </c>
      <c r="AM8" s="141">
        <v>0</v>
      </c>
      <c r="AN8" s="141">
        <v>0</v>
      </c>
      <c r="AO8" s="141">
        <v>0</v>
      </c>
      <c r="AP8" s="856">
        <v>0</v>
      </c>
      <c r="AQ8" s="856">
        <v>0</v>
      </c>
      <c r="AR8" s="857">
        <v>0</v>
      </c>
      <c r="AS8" t="s">
        <v>1574</v>
      </c>
    </row>
    <row r="9" spans="1:45" ht="12.75" x14ac:dyDescent="0.2">
      <c r="A9" s="764">
        <v>2</v>
      </c>
      <c r="B9" s="765" t="s">
        <v>682</v>
      </c>
      <c r="C9" s="766" t="s">
        <v>1217</v>
      </c>
      <c r="D9" s="767" t="s">
        <v>1219</v>
      </c>
      <c r="E9" s="768" t="s">
        <v>681</v>
      </c>
      <c r="F9" s="141">
        <v>28359546</v>
      </c>
      <c r="G9" s="141">
        <v>0</v>
      </c>
      <c r="H9" s="141">
        <v>28359546</v>
      </c>
      <c r="I9" s="141">
        <v>-193292</v>
      </c>
      <c r="J9" s="141">
        <v>0</v>
      </c>
      <c r="K9" s="141">
        <v>-193292</v>
      </c>
      <c r="L9" s="141">
        <v>-885338</v>
      </c>
      <c r="M9" s="141">
        <v>0</v>
      </c>
      <c r="N9" s="141">
        <v>-885338</v>
      </c>
      <c r="O9" s="141">
        <v>27280916</v>
      </c>
      <c r="P9" s="141">
        <v>0</v>
      </c>
      <c r="Q9" s="141">
        <v>27280916</v>
      </c>
      <c r="R9" s="141">
        <v>518804</v>
      </c>
      <c r="S9" s="141">
        <v>0</v>
      </c>
      <c r="T9" s="141">
        <v>518804</v>
      </c>
      <c r="U9" s="141">
        <v>0</v>
      </c>
      <c r="V9" s="141">
        <v>0</v>
      </c>
      <c r="W9" s="141">
        <v>0</v>
      </c>
      <c r="X9" s="141">
        <v>0</v>
      </c>
      <c r="Y9" s="141">
        <v>0</v>
      </c>
      <c r="Z9" s="141">
        <v>0</v>
      </c>
      <c r="AA9" s="141">
        <v>0</v>
      </c>
      <c r="AB9" s="141">
        <v>0</v>
      </c>
      <c r="AC9" s="141">
        <v>0</v>
      </c>
      <c r="AD9" s="141">
        <v>0</v>
      </c>
      <c r="AE9" s="141">
        <v>0</v>
      </c>
      <c r="AF9" s="141">
        <v>0</v>
      </c>
      <c r="AG9" s="141">
        <v>0</v>
      </c>
      <c r="AH9" s="141">
        <v>0</v>
      </c>
      <c r="AI9" s="141">
        <v>0</v>
      </c>
      <c r="AJ9" s="141">
        <v>0</v>
      </c>
      <c r="AK9" s="141">
        <v>0</v>
      </c>
      <c r="AL9" s="141">
        <v>0</v>
      </c>
      <c r="AM9" s="141">
        <v>0</v>
      </c>
      <c r="AN9" s="141">
        <v>0</v>
      </c>
      <c r="AO9" s="141">
        <v>0</v>
      </c>
      <c r="AP9" s="856">
        <v>0</v>
      </c>
      <c r="AQ9" s="856">
        <v>0</v>
      </c>
      <c r="AR9" s="857">
        <v>0</v>
      </c>
      <c r="AS9" t="s">
        <v>1575</v>
      </c>
    </row>
    <row r="10" spans="1:45" ht="12.75" x14ac:dyDescent="0.2">
      <c r="A10" s="764">
        <v>3</v>
      </c>
      <c r="B10" s="765" t="s">
        <v>684</v>
      </c>
      <c r="C10" s="766" t="s">
        <v>1217</v>
      </c>
      <c r="D10" s="767" t="s">
        <v>1220</v>
      </c>
      <c r="E10" s="768" t="s">
        <v>683</v>
      </c>
      <c r="F10" s="141">
        <v>32149687</v>
      </c>
      <c r="G10" s="141">
        <v>0</v>
      </c>
      <c r="H10" s="141">
        <v>32149687</v>
      </c>
      <c r="I10" s="141">
        <v>-377200</v>
      </c>
      <c r="J10" s="141">
        <v>0</v>
      </c>
      <c r="K10" s="141">
        <v>-377200</v>
      </c>
      <c r="L10" s="141">
        <v>-2144300</v>
      </c>
      <c r="M10" s="141">
        <v>0</v>
      </c>
      <c r="N10" s="141">
        <v>-2144300</v>
      </c>
      <c r="O10" s="141">
        <v>29628187</v>
      </c>
      <c r="P10" s="141">
        <v>0</v>
      </c>
      <c r="Q10" s="141">
        <v>29628187</v>
      </c>
      <c r="R10" s="141">
        <v>10819</v>
      </c>
      <c r="S10" s="141">
        <v>0</v>
      </c>
      <c r="T10" s="141">
        <v>10819</v>
      </c>
      <c r="U10" s="141">
        <v>0</v>
      </c>
      <c r="V10" s="141">
        <v>0</v>
      </c>
      <c r="W10" s="141">
        <v>0</v>
      </c>
      <c r="X10" s="141">
        <v>0</v>
      </c>
      <c r="Y10" s="141">
        <v>0</v>
      </c>
      <c r="Z10" s="141">
        <v>0</v>
      </c>
      <c r="AA10" s="141">
        <v>0</v>
      </c>
      <c r="AB10" s="141">
        <v>0</v>
      </c>
      <c r="AC10" s="141">
        <v>0</v>
      </c>
      <c r="AD10" s="141">
        <v>0</v>
      </c>
      <c r="AE10" s="141">
        <v>0</v>
      </c>
      <c r="AF10" s="141">
        <v>0</v>
      </c>
      <c r="AG10" s="141">
        <v>0</v>
      </c>
      <c r="AH10" s="141">
        <v>0</v>
      </c>
      <c r="AI10" s="141">
        <v>0</v>
      </c>
      <c r="AJ10" s="141">
        <v>0</v>
      </c>
      <c r="AK10" s="141">
        <v>0</v>
      </c>
      <c r="AL10" s="141">
        <v>0</v>
      </c>
      <c r="AM10" s="141">
        <v>0</v>
      </c>
      <c r="AN10" s="141">
        <v>0</v>
      </c>
      <c r="AO10" s="141">
        <v>0</v>
      </c>
      <c r="AP10" s="856">
        <v>0</v>
      </c>
      <c r="AQ10" s="856">
        <v>0</v>
      </c>
      <c r="AR10" s="857">
        <v>0</v>
      </c>
      <c r="AS10" t="s">
        <v>1576</v>
      </c>
    </row>
    <row r="11" spans="1:45" ht="12.75" x14ac:dyDescent="0.2">
      <c r="A11" s="764">
        <v>4</v>
      </c>
      <c r="B11" s="765" t="s">
        <v>686</v>
      </c>
      <c r="C11" s="766" t="s">
        <v>1217</v>
      </c>
      <c r="D11" s="767" t="s">
        <v>1218</v>
      </c>
      <c r="E11" s="768" t="s">
        <v>685</v>
      </c>
      <c r="F11" s="141">
        <v>38324392</v>
      </c>
      <c r="G11" s="141">
        <v>0</v>
      </c>
      <c r="H11" s="141">
        <v>38324392</v>
      </c>
      <c r="I11" s="141">
        <v>-383244</v>
      </c>
      <c r="J11" s="141">
        <v>0</v>
      </c>
      <c r="K11" s="141">
        <v>-383244</v>
      </c>
      <c r="L11" s="141">
        <v>-1796000</v>
      </c>
      <c r="M11" s="141">
        <v>0</v>
      </c>
      <c r="N11" s="141">
        <v>-1796000</v>
      </c>
      <c r="O11" s="141">
        <v>36145148</v>
      </c>
      <c r="P11" s="141">
        <v>0</v>
      </c>
      <c r="Q11" s="141">
        <v>36145148</v>
      </c>
      <c r="R11" s="141">
        <v>0</v>
      </c>
      <c r="S11" s="141">
        <v>0</v>
      </c>
      <c r="T11" s="141">
        <v>0</v>
      </c>
      <c r="U11" s="141">
        <v>0</v>
      </c>
      <c r="V11" s="141">
        <v>0</v>
      </c>
      <c r="W11" s="141">
        <v>0</v>
      </c>
      <c r="X11" s="141">
        <v>0</v>
      </c>
      <c r="Y11" s="141">
        <v>0</v>
      </c>
      <c r="Z11" s="141">
        <v>0</v>
      </c>
      <c r="AA11" s="141">
        <v>0</v>
      </c>
      <c r="AB11" s="141">
        <v>0</v>
      </c>
      <c r="AC11" s="141">
        <v>0</v>
      </c>
      <c r="AD11" s="141">
        <v>0</v>
      </c>
      <c r="AE11" s="141">
        <v>0</v>
      </c>
      <c r="AF11" s="141">
        <v>0</v>
      </c>
      <c r="AG11" s="141">
        <v>0</v>
      </c>
      <c r="AH11" s="141">
        <v>0</v>
      </c>
      <c r="AI11" s="141">
        <v>0</v>
      </c>
      <c r="AJ11" s="141">
        <v>0</v>
      </c>
      <c r="AK11" s="141">
        <v>0</v>
      </c>
      <c r="AL11" s="141">
        <v>0</v>
      </c>
      <c r="AM11" s="141">
        <v>0</v>
      </c>
      <c r="AN11" s="141">
        <v>0</v>
      </c>
      <c r="AO11" s="141">
        <v>0</v>
      </c>
      <c r="AP11" s="856">
        <v>0</v>
      </c>
      <c r="AQ11" s="856">
        <v>0</v>
      </c>
      <c r="AR11" s="857">
        <v>0</v>
      </c>
      <c r="AS11" t="s">
        <v>1577</v>
      </c>
    </row>
    <row r="12" spans="1:45" ht="12.75" x14ac:dyDescent="0.2">
      <c r="A12" s="764">
        <v>5</v>
      </c>
      <c r="B12" s="765" t="s">
        <v>688</v>
      </c>
      <c r="C12" s="766" t="s">
        <v>1217</v>
      </c>
      <c r="D12" s="767" t="s">
        <v>1220</v>
      </c>
      <c r="E12" s="768" t="s">
        <v>687</v>
      </c>
      <c r="F12" s="141">
        <v>38411606</v>
      </c>
      <c r="G12" s="141">
        <v>0</v>
      </c>
      <c r="H12" s="141">
        <v>38411606</v>
      </c>
      <c r="I12" s="141">
        <v>-269500</v>
      </c>
      <c r="J12" s="141">
        <v>0</v>
      </c>
      <c r="K12" s="141">
        <v>-269500</v>
      </c>
      <c r="L12" s="141">
        <v>-260300</v>
      </c>
      <c r="M12" s="141">
        <v>0</v>
      </c>
      <c r="N12" s="141">
        <v>-260300</v>
      </c>
      <c r="O12" s="141">
        <v>37881806</v>
      </c>
      <c r="P12" s="141">
        <v>0</v>
      </c>
      <c r="Q12" s="141">
        <v>37881806</v>
      </c>
      <c r="R12" s="141">
        <v>0</v>
      </c>
      <c r="S12" s="141">
        <v>0</v>
      </c>
      <c r="T12" s="141">
        <v>0</v>
      </c>
      <c r="U12" s="141">
        <v>0</v>
      </c>
      <c r="V12" s="141">
        <v>0</v>
      </c>
      <c r="W12" s="141">
        <v>0</v>
      </c>
      <c r="X12" s="141">
        <v>0</v>
      </c>
      <c r="Y12" s="141">
        <v>0</v>
      </c>
      <c r="Z12" s="141">
        <v>0</v>
      </c>
      <c r="AA12" s="141">
        <v>0</v>
      </c>
      <c r="AB12" s="141">
        <v>0</v>
      </c>
      <c r="AC12" s="141">
        <v>0</v>
      </c>
      <c r="AD12" s="141">
        <v>0</v>
      </c>
      <c r="AE12" s="141">
        <v>0</v>
      </c>
      <c r="AF12" s="141">
        <v>0</v>
      </c>
      <c r="AG12" s="141">
        <v>0</v>
      </c>
      <c r="AH12" s="141">
        <v>0</v>
      </c>
      <c r="AI12" s="141">
        <v>0</v>
      </c>
      <c r="AJ12" s="141">
        <v>0</v>
      </c>
      <c r="AK12" s="141">
        <v>0</v>
      </c>
      <c r="AL12" s="141">
        <v>0</v>
      </c>
      <c r="AM12" s="141">
        <v>0</v>
      </c>
      <c r="AN12" s="141">
        <v>0</v>
      </c>
      <c r="AO12" s="141">
        <v>0</v>
      </c>
      <c r="AP12" s="856">
        <v>0</v>
      </c>
      <c r="AQ12" s="856">
        <v>0</v>
      </c>
      <c r="AR12" s="857">
        <v>0</v>
      </c>
      <c r="AS12" t="s">
        <v>1578</v>
      </c>
    </row>
    <row r="13" spans="1:45" ht="12.75" x14ac:dyDescent="0.2">
      <c r="A13" s="764">
        <v>6</v>
      </c>
      <c r="B13" s="765" t="s">
        <v>690</v>
      </c>
      <c r="C13" s="766" t="s">
        <v>1217</v>
      </c>
      <c r="D13" s="767" t="s">
        <v>1218</v>
      </c>
      <c r="E13" s="768" t="s">
        <v>689</v>
      </c>
      <c r="F13" s="141">
        <v>51314402</v>
      </c>
      <c r="G13" s="141">
        <v>0</v>
      </c>
      <c r="H13" s="141">
        <v>51314402</v>
      </c>
      <c r="I13" s="141">
        <v>-213000</v>
      </c>
      <c r="J13" s="141">
        <v>0</v>
      </c>
      <c r="K13" s="141">
        <v>-213000</v>
      </c>
      <c r="L13" s="141">
        <v>-1385488</v>
      </c>
      <c r="M13" s="141">
        <v>0</v>
      </c>
      <c r="N13" s="141">
        <v>-1385488</v>
      </c>
      <c r="O13" s="141">
        <v>49715914</v>
      </c>
      <c r="P13" s="141">
        <v>0</v>
      </c>
      <c r="Q13" s="141">
        <v>49715914</v>
      </c>
      <c r="R13" s="141">
        <v>123000</v>
      </c>
      <c r="S13" s="141">
        <v>0</v>
      </c>
      <c r="T13" s="141">
        <v>123000</v>
      </c>
      <c r="U13" s="141">
        <v>0</v>
      </c>
      <c r="V13" s="141">
        <v>0</v>
      </c>
      <c r="W13" s="141">
        <v>0</v>
      </c>
      <c r="X13" s="141">
        <v>0</v>
      </c>
      <c r="Y13" s="141">
        <v>0</v>
      </c>
      <c r="Z13" s="141">
        <v>0</v>
      </c>
      <c r="AA13" s="141">
        <v>0</v>
      </c>
      <c r="AB13" s="141">
        <v>0</v>
      </c>
      <c r="AC13" s="141">
        <v>0</v>
      </c>
      <c r="AD13" s="141">
        <v>0</v>
      </c>
      <c r="AE13" s="141">
        <v>0</v>
      </c>
      <c r="AF13" s="141">
        <v>0</v>
      </c>
      <c r="AG13" s="141">
        <v>0</v>
      </c>
      <c r="AH13" s="141">
        <v>0</v>
      </c>
      <c r="AI13" s="141">
        <v>0</v>
      </c>
      <c r="AJ13" s="141">
        <v>0</v>
      </c>
      <c r="AK13" s="141">
        <v>0</v>
      </c>
      <c r="AL13" s="141">
        <v>0</v>
      </c>
      <c r="AM13" s="141">
        <v>0</v>
      </c>
      <c r="AN13" s="141">
        <v>0</v>
      </c>
      <c r="AO13" s="141">
        <v>0</v>
      </c>
      <c r="AP13" s="856">
        <v>0</v>
      </c>
      <c r="AQ13" s="856">
        <v>0</v>
      </c>
      <c r="AR13" s="857">
        <v>0</v>
      </c>
      <c r="AS13" t="s">
        <v>1579</v>
      </c>
    </row>
    <row r="14" spans="1:45" ht="12.75" x14ac:dyDescent="0.2">
      <c r="A14" s="764">
        <v>7</v>
      </c>
      <c r="B14" s="765" t="s">
        <v>692</v>
      </c>
      <c r="C14" s="766" t="s">
        <v>1217</v>
      </c>
      <c r="D14" s="767" t="s">
        <v>1218</v>
      </c>
      <c r="E14" s="768" t="s">
        <v>691</v>
      </c>
      <c r="F14" s="141">
        <v>55615847</v>
      </c>
      <c r="G14" s="141">
        <v>595764</v>
      </c>
      <c r="H14" s="141">
        <v>56211611</v>
      </c>
      <c r="I14" s="141">
        <v>-270000</v>
      </c>
      <c r="J14" s="141">
        <v>0</v>
      </c>
      <c r="K14" s="141">
        <v>-270000</v>
      </c>
      <c r="L14" s="141">
        <v>-240000</v>
      </c>
      <c r="M14" s="141">
        <v>0</v>
      </c>
      <c r="N14" s="141">
        <v>-240000</v>
      </c>
      <c r="O14" s="141">
        <v>55105847</v>
      </c>
      <c r="P14" s="141">
        <v>595764</v>
      </c>
      <c r="Q14" s="141">
        <v>55701611</v>
      </c>
      <c r="R14" s="141">
        <v>231840</v>
      </c>
      <c r="S14" s="141">
        <v>0</v>
      </c>
      <c r="T14" s="141">
        <v>231840</v>
      </c>
      <c r="U14" s="141">
        <v>0</v>
      </c>
      <c r="V14" s="141">
        <v>0</v>
      </c>
      <c r="W14" s="141">
        <v>0</v>
      </c>
      <c r="X14" s="141">
        <v>0</v>
      </c>
      <c r="Y14" s="141">
        <v>26252</v>
      </c>
      <c r="Z14" s="141">
        <v>569512</v>
      </c>
      <c r="AA14" s="141">
        <v>569512</v>
      </c>
      <c r="AB14" s="141">
        <v>0</v>
      </c>
      <c r="AC14" s="141">
        <v>0</v>
      </c>
      <c r="AD14" s="141">
        <v>0</v>
      </c>
      <c r="AE14" s="141">
        <v>0</v>
      </c>
      <c r="AF14" s="141">
        <v>162463</v>
      </c>
      <c r="AG14" s="141">
        <v>162463</v>
      </c>
      <c r="AH14" s="141">
        <v>0</v>
      </c>
      <c r="AI14" s="141">
        <v>0</v>
      </c>
      <c r="AJ14" s="141">
        <v>0</v>
      </c>
      <c r="AK14" s="141">
        <v>0</v>
      </c>
      <c r="AL14" s="141">
        <v>0</v>
      </c>
      <c r="AM14" s="141">
        <v>0</v>
      </c>
      <c r="AN14" s="141">
        <v>0</v>
      </c>
      <c r="AO14" s="141">
        <v>0</v>
      </c>
      <c r="AP14" s="856">
        <v>0</v>
      </c>
      <c r="AQ14" s="856">
        <v>162463</v>
      </c>
      <c r="AR14" s="857">
        <v>162463</v>
      </c>
      <c r="AS14" t="s">
        <v>1580</v>
      </c>
    </row>
    <row r="15" spans="1:45" ht="12.75" x14ac:dyDescent="0.2">
      <c r="A15" s="764">
        <v>8</v>
      </c>
      <c r="B15" s="765" t="s">
        <v>694</v>
      </c>
      <c r="C15" s="766" t="s">
        <v>1217</v>
      </c>
      <c r="D15" s="767" t="s">
        <v>1221</v>
      </c>
      <c r="E15" s="768" t="s">
        <v>693</v>
      </c>
      <c r="F15" s="141">
        <v>23599523</v>
      </c>
      <c r="G15" s="141">
        <v>147850</v>
      </c>
      <c r="H15" s="141">
        <v>23747373</v>
      </c>
      <c r="I15" s="141">
        <v>-82000</v>
      </c>
      <c r="J15" s="141">
        <v>0</v>
      </c>
      <c r="K15" s="141">
        <v>-82000</v>
      </c>
      <c r="L15" s="141">
        <v>-1189719</v>
      </c>
      <c r="M15" s="141">
        <v>0</v>
      </c>
      <c r="N15" s="141">
        <v>-1189719</v>
      </c>
      <c r="O15" s="141">
        <v>22327804</v>
      </c>
      <c r="P15" s="141">
        <v>147850</v>
      </c>
      <c r="Q15" s="141">
        <v>22475654</v>
      </c>
      <c r="R15" s="141">
        <v>11901</v>
      </c>
      <c r="S15" s="141">
        <v>0</v>
      </c>
      <c r="T15" s="141">
        <v>11901</v>
      </c>
      <c r="U15" s="141">
        <v>0</v>
      </c>
      <c r="V15" s="141">
        <v>0</v>
      </c>
      <c r="W15" s="141">
        <v>0</v>
      </c>
      <c r="X15" s="141">
        <v>0</v>
      </c>
      <c r="Y15" s="141">
        <v>0</v>
      </c>
      <c r="Z15" s="141">
        <v>147850</v>
      </c>
      <c r="AA15" s="141">
        <v>147850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856">
        <v>0</v>
      </c>
      <c r="AQ15" s="856">
        <v>0</v>
      </c>
      <c r="AR15" s="857">
        <v>0</v>
      </c>
      <c r="AS15" t="s">
        <v>1581</v>
      </c>
    </row>
    <row r="16" spans="1:45" ht="12.75" x14ac:dyDescent="0.2">
      <c r="A16" s="764">
        <v>9</v>
      </c>
      <c r="B16" s="765" t="s">
        <v>696</v>
      </c>
      <c r="C16" s="766" t="s">
        <v>1222</v>
      </c>
      <c r="D16" s="767" t="s">
        <v>1223</v>
      </c>
      <c r="E16" s="768" t="s">
        <v>695</v>
      </c>
      <c r="F16" s="141">
        <v>63075540</v>
      </c>
      <c r="G16" s="141">
        <v>0</v>
      </c>
      <c r="H16" s="141">
        <v>63075540</v>
      </c>
      <c r="I16" s="141">
        <v>-500000</v>
      </c>
      <c r="J16" s="141">
        <v>0</v>
      </c>
      <c r="K16" s="141">
        <v>-500000</v>
      </c>
      <c r="L16" s="141">
        <v>-1500000</v>
      </c>
      <c r="M16" s="141">
        <v>0</v>
      </c>
      <c r="N16" s="141">
        <v>-1500000</v>
      </c>
      <c r="O16" s="141">
        <v>61075540</v>
      </c>
      <c r="P16" s="141">
        <v>0</v>
      </c>
      <c r="Q16" s="141">
        <v>61075540</v>
      </c>
      <c r="R16" s="141">
        <v>0</v>
      </c>
      <c r="S16" s="141">
        <v>0</v>
      </c>
      <c r="T16" s="141">
        <v>0</v>
      </c>
      <c r="U16" s="141">
        <v>0</v>
      </c>
      <c r="V16" s="141">
        <v>0</v>
      </c>
      <c r="W16" s="141">
        <v>0</v>
      </c>
      <c r="X16" s="141">
        <v>0</v>
      </c>
      <c r="Y16" s="141">
        <v>0</v>
      </c>
      <c r="Z16" s="141">
        <v>0</v>
      </c>
      <c r="AA16" s="141">
        <v>0</v>
      </c>
      <c r="AB16" s="141">
        <v>0</v>
      </c>
      <c r="AC16" s="141">
        <v>0</v>
      </c>
      <c r="AD16" s="141">
        <v>0</v>
      </c>
      <c r="AE16" s="141">
        <v>0</v>
      </c>
      <c r="AF16" s="141">
        <v>0</v>
      </c>
      <c r="AG16" s="141">
        <v>0</v>
      </c>
      <c r="AH16" s="141">
        <v>0</v>
      </c>
      <c r="AI16" s="141">
        <v>0</v>
      </c>
      <c r="AJ16" s="141">
        <v>0</v>
      </c>
      <c r="AK16" s="141">
        <v>0</v>
      </c>
      <c r="AL16" s="141">
        <v>0</v>
      </c>
      <c r="AM16" s="141">
        <v>0</v>
      </c>
      <c r="AN16" s="141">
        <v>0</v>
      </c>
      <c r="AO16" s="141">
        <v>0</v>
      </c>
      <c r="AP16" s="856">
        <v>0</v>
      </c>
      <c r="AQ16" s="856">
        <v>0</v>
      </c>
      <c r="AR16" s="857">
        <v>0</v>
      </c>
      <c r="AS16" t="s">
        <v>1582</v>
      </c>
    </row>
    <row r="17" spans="1:45" ht="12.75" x14ac:dyDescent="0.2">
      <c r="A17" s="764">
        <v>10</v>
      </c>
      <c r="B17" s="765" t="s">
        <v>698</v>
      </c>
      <c r="C17" s="766" t="s">
        <v>1222</v>
      </c>
      <c r="D17" s="767" t="s">
        <v>1223</v>
      </c>
      <c r="E17" s="768" t="s">
        <v>697</v>
      </c>
      <c r="F17" s="141">
        <v>95895821</v>
      </c>
      <c r="G17" s="141">
        <v>19483435</v>
      </c>
      <c r="H17" s="141">
        <v>115379256</v>
      </c>
      <c r="I17" s="141">
        <v>-1438437</v>
      </c>
      <c r="J17" s="141">
        <v>-292252</v>
      </c>
      <c r="K17" s="141">
        <v>-1730689</v>
      </c>
      <c r="L17" s="141">
        <v>-4507104</v>
      </c>
      <c r="M17" s="141">
        <v>-915721</v>
      </c>
      <c r="N17" s="141">
        <v>-5422825</v>
      </c>
      <c r="O17" s="141">
        <v>89950280</v>
      </c>
      <c r="P17" s="141">
        <v>18275462</v>
      </c>
      <c r="Q17" s="141">
        <v>108225742</v>
      </c>
      <c r="R17" s="141">
        <v>0</v>
      </c>
      <c r="S17" s="141">
        <v>0</v>
      </c>
      <c r="T17" s="141">
        <v>0</v>
      </c>
      <c r="U17" s="141">
        <v>0</v>
      </c>
      <c r="V17" s="141">
        <v>0</v>
      </c>
      <c r="W17" s="141">
        <v>0</v>
      </c>
      <c r="X17" s="141">
        <v>-2258592</v>
      </c>
      <c r="Y17" s="141">
        <v>20716405</v>
      </c>
      <c r="Z17" s="141">
        <v>0</v>
      </c>
      <c r="AA17" s="141">
        <v>0</v>
      </c>
      <c r="AB17" s="141">
        <v>0</v>
      </c>
      <c r="AC17" s="141">
        <v>0</v>
      </c>
      <c r="AD17" s="141">
        <v>0</v>
      </c>
      <c r="AE17" s="141">
        <v>0</v>
      </c>
      <c r="AF17" s="141">
        <v>0</v>
      </c>
      <c r="AG17" s="141">
        <v>0</v>
      </c>
      <c r="AH17" s="141">
        <v>0</v>
      </c>
      <c r="AI17" s="141">
        <v>0</v>
      </c>
      <c r="AJ17" s="141">
        <v>0</v>
      </c>
      <c r="AK17" s="141">
        <v>0</v>
      </c>
      <c r="AL17" s="141">
        <v>0</v>
      </c>
      <c r="AM17" s="141">
        <v>0</v>
      </c>
      <c r="AN17" s="141">
        <v>0</v>
      </c>
      <c r="AO17" s="141">
        <v>0</v>
      </c>
      <c r="AP17" s="856">
        <v>0</v>
      </c>
      <c r="AQ17" s="856">
        <v>0</v>
      </c>
      <c r="AR17" s="857">
        <v>0</v>
      </c>
      <c r="AS17" t="s">
        <v>1583</v>
      </c>
    </row>
    <row r="18" spans="1:45" ht="12.75" x14ac:dyDescent="0.2">
      <c r="A18" s="764">
        <v>11</v>
      </c>
      <c r="B18" s="765" t="s">
        <v>700</v>
      </c>
      <c r="C18" s="766" t="s">
        <v>1224</v>
      </c>
      <c r="D18" s="767" t="s">
        <v>1225</v>
      </c>
      <c r="E18" s="768" t="s">
        <v>699</v>
      </c>
      <c r="F18" s="141">
        <v>52425015</v>
      </c>
      <c r="G18" s="141">
        <v>721940</v>
      </c>
      <c r="H18" s="141">
        <v>53146955</v>
      </c>
      <c r="I18" s="141">
        <v>-1849802</v>
      </c>
      <c r="J18" s="141">
        <v>0</v>
      </c>
      <c r="K18" s="141">
        <v>-1849802</v>
      </c>
      <c r="L18" s="141">
        <v>-2642575</v>
      </c>
      <c r="M18" s="141">
        <v>0</v>
      </c>
      <c r="N18" s="141">
        <v>-2642575</v>
      </c>
      <c r="O18" s="141">
        <v>47932638</v>
      </c>
      <c r="P18" s="141">
        <v>721940</v>
      </c>
      <c r="Q18" s="141">
        <v>48654578</v>
      </c>
      <c r="R18" s="141">
        <v>49392</v>
      </c>
      <c r="S18" s="141">
        <v>0</v>
      </c>
      <c r="T18" s="141">
        <v>49392</v>
      </c>
      <c r="U18" s="141">
        <v>0</v>
      </c>
      <c r="V18" s="141">
        <v>0</v>
      </c>
      <c r="W18" s="141">
        <v>0</v>
      </c>
      <c r="X18" s="141">
        <v>0</v>
      </c>
      <c r="Y18" s="141">
        <v>92985</v>
      </c>
      <c r="Z18" s="141">
        <v>628955</v>
      </c>
      <c r="AA18" s="141">
        <v>628955</v>
      </c>
      <c r="AB18" s="141">
        <v>0</v>
      </c>
      <c r="AC18" s="141">
        <v>0</v>
      </c>
      <c r="AD18" s="141">
        <v>0</v>
      </c>
      <c r="AE18" s="141">
        <v>0</v>
      </c>
      <c r="AF18" s="141">
        <v>211874</v>
      </c>
      <c r="AG18" s="141">
        <v>211874</v>
      </c>
      <c r="AH18" s="141">
        <v>0</v>
      </c>
      <c r="AI18" s="141">
        <v>0</v>
      </c>
      <c r="AJ18" s="141">
        <v>0</v>
      </c>
      <c r="AK18" s="141">
        <v>0</v>
      </c>
      <c r="AL18" s="141">
        <v>0</v>
      </c>
      <c r="AM18" s="141">
        <v>0</v>
      </c>
      <c r="AN18" s="141">
        <v>0</v>
      </c>
      <c r="AO18" s="141">
        <v>0</v>
      </c>
      <c r="AP18" s="856">
        <v>0</v>
      </c>
      <c r="AQ18" s="856">
        <v>211874</v>
      </c>
      <c r="AR18" s="857">
        <v>211874</v>
      </c>
      <c r="AS18" t="s">
        <v>1584</v>
      </c>
    </row>
    <row r="19" spans="1:45" ht="12.75" x14ac:dyDescent="0.2">
      <c r="A19" s="764">
        <v>12</v>
      </c>
      <c r="B19" s="765" t="s">
        <v>702</v>
      </c>
      <c r="C19" s="766" t="s">
        <v>1217</v>
      </c>
      <c r="D19" s="767" t="s">
        <v>1219</v>
      </c>
      <c r="E19" s="768" t="s">
        <v>701</v>
      </c>
      <c r="F19" s="141">
        <v>23134982</v>
      </c>
      <c r="G19" s="141">
        <v>0</v>
      </c>
      <c r="H19" s="141">
        <v>23134982</v>
      </c>
      <c r="I19" s="141">
        <v>-181932</v>
      </c>
      <c r="J19" s="141">
        <v>0</v>
      </c>
      <c r="K19" s="141">
        <v>-181932</v>
      </c>
      <c r="L19" s="141">
        <v>-270279</v>
      </c>
      <c r="M19" s="141">
        <v>0</v>
      </c>
      <c r="N19" s="141">
        <v>-270279</v>
      </c>
      <c r="O19" s="141">
        <v>22682771</v>
      </c>
      <c r="P19" s="141">
        <v>0</v>
      </c>
      <c r="Q19" s="141">
        <v>22682771</v>
      </c>
      <c r="R19" s="141">
        <v>159147</v>
      </c>
      <c r="S19" s="141">
        <v>0</v>
      </c>
      <c r="T19" s="141">
        <v>159147</v>
      </c>
      <c r="U19" s="141">
        <v>0</v>
      </c>
      <c r="V19" s="141">
        <v>0</v>
      </c>
      <c r="W19" s="141">
        <v>0</v>
      </c>
      <c r="X19" s="141">
        <v>0</v>
      </c>
      <c r="Y19" s="141">
        <v>0</v>
      </c>
      <c r="Z19" s="141">
        <v>0</v>
      </c>
      <c r="AA19" s="141">
        <v>0</v>
      </c>
      <c r="AB19" s="141">
        <v>0</v>
      </c>
      <c r="AC19" s="141">
        <v>0</v>
      </c>
      <c r="AD19" s="141">
        <v>0</v>
      </c>
      <c r="AE19" s="141">
        <v>0</v>
      </c>
      <c r="AF19" s="141">
        <v>0</v>
      </c>
      <c r="AG19" s="141">
        <v>0</v>
      </c>
      <c r="AH19" s="141">
        <v>0</v>
      </c>
      <c r="AI19" s="141">
        <v>0</v>
      </c>
      <c r="AJ19" s="141">
        <v>0</v>
      </c>
      <c r="AK19" s="141">
        <v>0</v>
      </c>
      <c r="AL19" s="141">
        <v>0</v>
      </c>
      <c r="AM19" s="141">
        <v>0</v>
      </c>
      <c r="AN19" s="141">
        <v>0</v>
      </c>
      <c r="AO19" s="141">
        <v>0</v>
      </c>
      <c r="AP19" s="856">
        <v>0</v>
      </c>
      <c r="AQ19" s="856">
        <v>0</v>
      </c>
      <c r="AR19" s="857">
        <v>0</v>
      </c>
      <c r="AS19" t="s">
        <v>1585</v>
      </c>
    </row>
    <row r="20" spans="1:45" ht="12.75" x14ac:dyDescent="0.2">
      <c r="A20" s="764">
        <v>13</v>
      </c>
      <c r="B20" s="765" t="s">
        <v>704</v>
      </c>
      <c r="C20" s="766" t="s">
        <v>1217</v>
      </c>
      <c r="D20" s="767" t="s">
        <v>1221</v>
      </c>
      <c r="E20" s="768" t="s">
        <v>703</v>
      </c>
      <c r="F20" s="141">
        <v>84464561</v>
      </c>
      <c r="G20" s="141">
        <v>0</v>
      </c>
      <c r="H20" s="141">
        <v>84464561</v>
      </c>
      <c r="I20" s="141">
        <v>-506800</v>
      </c>
      <c r="J20" s="141">
        <v>0</v>
      </c>
      <c r="K20" s="141">
        <v>-506800</v>
      </c>
      <c r="L20" s="141">
        <v>-4025000</v>
      </c>
      <c r="M20" s="141">
        <v>0</v>
      </c>
      <c r="N20" s="141">
        <v>-4025000</v>
      </c>
      <c r="O20" s="141">
        <v>79932761</v>
      </c>
      <c r="P20" s="141">
        <v>0</v>
      </c>
      <c r="Q20" s="141">
        <v>79932761</v>
      </c>
      <c r="R20" s="141">
        <v>11331</v>
      </c>
      <c r="S20" s="141">
        <v>0</v>
      </c>
      <c r="T20" s="141">
        <v>11331</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141">
        <v>0</v>
      </c>
      <c r="AN20" s="141">
        <v>0</v>
      </c>
      <c r="AO20" s="141">
        <v>0</v>
      </c>
      <c r="AP20" s="856">
        <v>0</v>
      </c>
      <c r="AQ20" s="856">
        <v>0</v>
      </c>
      <c r="AR20" s="857">
        <v>0</v>
      </c>
      <c r="AS20" t="s">
        <v>1586</v>
      </c>
    </row>
    <row r="21" spans="1:45" ht="12.75" x14ac:dyDescent="0.2">
      <c r="A21" s="764">
        <v>14</v>
      </c>
      <c r="B21" s="765" t="s">
        <v>706</v>
      </c>
      <c r="C21" s="766" t="s">
        <v>1217</v>
      </c>
      <c r="D21" s="767" t="s">
        <v>1218</v>
      </c>
      <c r="E21" s="768" t="s">
        <v>903</v>
      </c>
      <c r="F21" s="141">
        <v>76033881</v>
      </c>
      <c r="G21" s="141">
        <v>1417888</v>
      </c>
      <c r="H21" s="141">
        <v>77451769</v>
      </c>
      <c r="I21" s="141">
        <v>-750000</v>
      </c>
      <c r="J21" s="141">
        <v>-50000</v>
      </c>
      <c r="K21" s="141">
        <v>-800000</v>
      </c>
      <c r="L21" s="141">
        <v>-3150000</v>
      </c>
      <c r="M21" s="141">
        <v>-50000</v>
      </c>
      <c r="N21" s="141">
        <v>-3200000</v>
      </c>
      <c r="O21" s="141">
        <v>72133881</v>
      </c>
      <c r="P21" s="141">
        <v>1317888</v>
      </c>
      <c r="Q21" s="141">
        <v>73451769</v>
      </c>
      <c r="R21" s="141">
        <v>307368</v>
      </c>
      <c r="S21" s="141">
        <v>0</v>
      </c>
      <c r="T21" s="141">
        <v>307368</v>
      </c>
      <c r="U21" s="141">
        <v>0</v>
      </c>
      <c r="V21" s="141">
        <v>0</v>
      </c>
      <c r="W21" s="141">
        <v>0</v>
      </c>
      <c r="X21" s="141">
        <v>18656</v>
      </c>
      <c r="Y21" s="141">
        <v>2245952</v>
      </c>
      <c r="Z21" s="141">
        <v>0</v>
      </c>
      <c r="AA21" s="141">
        <v>0</v>
      </c>
      <c r="AB21" s="141">
        <v>0</v>
      </c>
      <c r="AC21" s="141">
        <v>0</v>
      </c>
      <c r="AD21" s="141">
        <v>0</v>
      </c>
      <c r="AE21" s="141">
        <v>0</v>
      </c>
      <c r="AF21" s="141">
        <v>500000</v>
      </c>
      <c r="AG21" s="141">
        <v>500000</v>
      </c>
      <c r="AH21" s="141">
        <v>0</v>
      </c>
      <c r="AI21" s="141">
        <v>0</v>
      </c>
      <c r="AJ21" s="141">
        <v>0</v>
      </c>
      <c r="AK21" s="141">
        <v>0</v>
      </c>
      <c r="AL21" s="141">
        <v>0</v>
      </c>
      <c r="AM21" s="141">
        <v>0</v>
      </c>
      <c r="AN21" s="141">
        <v>0</v>
      </c>
      <c r="AO21" s="141">
        <v>0</v>
      </c>
      <c r="AP21" s="856">
        <v>0</v>
      </c>
      <c r="AQ21" s="856">
        <v>500000</v>
      </c>
      <c r="AR21" s="857">
        <v>500000</v>
      </c>
      <c r="AS21" t="s">
        <v>1587</v>
      </c>
    </row>
    <row r="22" spans="1:45" ht="12.75" x14ac:dyDescent="0.2">
      <c r="A22" s="764">
        <v>15</v>
      </c>
      <c r="B22" s="765" t="s">
        <v>708</v>
      </c>
      <c r="C22" s="766" t="s">
        <v>1217</v>
      </c>
      <c r="D22" s="767" t="s">
        <v>1220</v>
      </c>
      <c r="E22" s="768" t="s">
        <v>707</v>
      </c>
      <c r="F22" s="141">
        <v>52093892</v>
      </c>
      <c r="G22" s="141">
        <v>0</v>
      </c>
      <c r="H22" s="141">
        <v>52093892</v>
      </c>
      <c r="I22" s="141">
        <v>-534828</v>
      </c>
      <c r="J22" s="141">
        <v>0</v>
      </c>
      <c r="K22" s="141">
        <v>-534828</v>
      </c>
      <c r="L22" s="141">
        <v>-1249203</v>
      </c>
      <c r="M22" s="141">
        <v>0</v>
      </c>
      <c r="N22" s="141">
        <v>-1249203</v>
      </c>
      <c r="O22" s="141">
        <v>50309861</v>
      </c>
      <c r="P22" s="141">
        <v>0</v>
      </c>
      <c r="Q22" s="141">
        <v>50309861</v>
      </c>
      <c r="R22" s="141">
        <v>620879</v>
      </c>
      <c r="S22" s="141">
        <v>0</v>
      </c>
      <c r="T22" s="141">
        <v>620879</v>
      </c>
      <c r="U22" s="141">
        <v>0</v>
      </c>
      <c r="V22" s="141">
        <v>0</v>
      </c>
      <c r="W22" s="141">
        <v>0</v>
      </c>
      <c r="X22" s="141">
        <v>0</v>
      </c>
      <c r="Y22" s="141">
        <v>0</v>
      </c>
      <c r="Z22" s="141">
        <v>0</v>
      </c>
      <c r="AA22" s="141">
        <v>0</v>
      </c>
      <c r="AB22" s="141">
        <v>0</v>
      </c>
      <c r="AC22" s="141">
        <v>0</v>
      </c>
      <c r="AD22" s="141">
        <v>0</v>
      </c>
      <c r="AE22" s="141">
        <v>0</v>
      </c>
      <c r="AF22" s="141">
        <v>0</v>
      </c>
      <c r="AG22" s="141">
        <v>0</v>
      </c>
      <c r="AH22" s="141">
        <v>0</v>
      </c>
      <c r="AI22" s="141">
        <v>0</v>
      </c>
      <c r="AJ22" s="141">
        <v>0</v>
      </c>
      <c r="AK22" s="141">
        <v>0</v>
      </c>
      <c r="AL22" s="141">
        <v>0</v>
      </c>
      <c r="AM22" s="141">
        <v>0</v>
      </c>
      <c r="AN22" s="141">
        <v>0</v>
      </c>
      <c r="AO22" s="141">
        <v>0</v>
      </c>
      <c r="AP22" s="856">
        <v>0</v>
      </c>
      <c r="AQ22" s="856">
        <v>0</v>
      </c>
      <c r="AR22" s="857">
        <v>0</v>
      </c>
      <c r="AS22" t="s">
        <v>1588</v>
      </c>
    </row>
    <row r="23" spans="1:45" ht="12.75" x14ac:dyDescent="0.2">
      <c r="A23" s="764">
        <v>16</v>
      </c>
      <c r="B23" s="765" t="s">
        <v>710</v>
      </c>
      <c r="C23" s="766" t="s">
        <v>529</v>
      </c>
      <c r="D23" s="767" t="s">
        <v>1226</v>
      </c>
      <c r="E23" s="768" t="s">
        <v>904</v>
      </c>
      <c r="F23" s="141">
        <v>64074374</v>
      </c>
      <c r="G23" s="141">
        <v>6070477</v>
      </c>
      <c r="H23" s="141">
        <v>70144851</v>
      </c>
      <c r="I23" s="141">
        <v>-653092</v>
      </c>
      <c r="J23" s="141">
        <v>-60207</v>
      </c>
      <c r="K23" s="141">
        <v>-713299</v>
      </c>
      <c r="L23" s="141">
        <v>-2853958</v>
      </c>
      <c r="M23" s="141">
        <v>-270462</v>
      </c>
      <c r="N23" s="141">
        <v>-3124420</v>
      </c>
      <c r="O23" s="141">
        <v>60567324</v>
      </c>
      <c r="P23" s="141">
        <v>5739808</v>
      </c>
      <c r="Q23" s="141">
        <v>66307132</v>
      </c>
      <c r="R23" s="141">
        <v>37493</v>
      </c>
      <c r="S23" s="141">
        <v>0</v>
      </c>
      <c r="T23" s="141">
        <v>37493</v>
      </c>
      <c r="U23" s="141">
        <v>0</v>
      </c>
      <c r="V23" s="141">
        <v>0</v>
      </c>
      <c r="W23" s="141">
        <v>0</v>
      </c>
      <c r="X23" s="141">
        <v>26295</v>
      </c>
      <c r="Y23" s="141">
        <v>5482902</v>
      </c>
      <c r="Z23" s="141">
        <v>299460</v>
      </c>
      <c r="AA23" s="141">
        <v>299460</v>
      </c>
      <c r="AB23" s="141">
        <v>0</v>
      </c>
      <c r="AC23" s="141">
        <v>146702</v>
      </c>
      <c r="AD23" s="141">
        <v>146702</v>
      </c>
      <c r="AE23" s="141">
        <v>0</v>
      </c>
      <c r="AF23" s="141">
        <v>0</v>
      </c>
      <c r="AG23" s="141">
        <v>0</v>
      </c>
      <c r="AH23" s="141">
        <v>0</v>
      </c>
      <c r="AI23" s="141">
        <v>0</v>
      </c>
      <c r="AJ23" s="141">
        <v>0</v>
      </c>
      <c r="AK23" s="141">
        <v>0</v>
      </c>
      <c r="AL23" s="141">
        <v>0</v>
      </c>
      <c r="AM23" s="141">
        <v>0</v>
      </c>
      <c r="AN23" s="141">
        <v>0</v>
      </c>
      <c r="AO23" s="141">
        <v>0</v>
      </c>
      <c r="AP23" s="856">
        <v>0</v>
      </c>
      <c r="AQ23" s="856">
        <v>0</v>
      </c>
      <c r="AR23" s="857">
        <v>0</v>
      </c>
      <c r="AS23" t="s">
        <v>1589</v>
      </c>
    </row>
    <row r="24" spans="1:45" ht="12.75" x14ac:dyDescent="0.2">
      <c r="A24" s="764">
        <v>17</v>
      </c>
      <c r="B24" s="765" t="s">
        <v>712</v>
      </c>
      <c r="C24" s="766" t="s">
        <v>529</v>
      </c>
      <c r="D24" s="767" t="s">
        <v>1221</v>
      </c>
      <c r="E24" s="768" t="s">
        <v>711</v>
      </c>
      <c r="F24" s="141">
        <v>70474189</v>
      </c>
      <c r="G24" s="141">
        <v>0</v>
      </c>
      <c r="H24" s="141">
        <v>70474189</v>
      </c>
      <c r="I24" s="141">
        <v>-563794</v>
      </c>
      <c r="J24" s="141">
        <v>0</v>
      </c>
      <c r="K24" s="141">
        <v>-563794</v>
      </c>
      <c r="L24" s="141">
        <v>-3203064</v>
      </c>
      <c r="M24" s="141">
        <v>0</v>
      </c>
      <c r="N24" s="141">
        <v>-3203064</v>
      </c>
      <c r="O24" s="141">
        <v>66707331</v>
      </c>
      <c r="P24" s="141">
        <v>0</v>
      </c>
      <c r="Q24" s="141">
        <v>66707331</v>
      </c>
      <c r="R24" s="141">
        <v>625723</v>
      </c>
      <c r="S24" s="141">
        <v>0</v>
      </c>
      <c r="T24" s="141">
        <v>625723</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141">
        <v>0</v>
      </c>
      <c r="AN24" s="141">
        <v>0</v>
      </c>
      <c r="AO24" s="141">
        <v>0</v>
      </c>
      <c r="AP24" s="856">
        <v>0</v>
      </c>
      <c r="AQ24" s="856">
        <v>0</v>
      </c>
      <c r="AR24" s="857">
        <v>0</v>
      </c>
      <c r="AS24" t="s">
        <v>1590</v>
      </c>
    </row>
    <row r="25" spans="1:45" ht="12.75" x14ac:dyDescent="0.2">
      <c r="A25" s="764">
        <v>18</v>
      </c>
      <c r="B25" s="765" t="s">
        <v>714</v>
      </c>
      <c r="C25" s="766" t="s">
        <v>1222</v>
      </c>
      <c r="D25" s="767" t="s">
        <v>1223</v>
      </c>
      <c r="E25" s="768" t="s">
        <v>713</v>
      </c>
      <c r="F25" s="141">
        <v>76772461</v>
      </c>
      <c r="G25" s="141">
        <v>0</v>
      </c>
      <c r="H25" s="141">
        <v>76772461</v>
      </c>
      <c r="I25" s="141">
        <v>-1535449</v>
      </c>
      <c r="J25" s="141">
        <v>0</v>
      </c>
      <c r="K25" s="141">
        <v>-1535449</v>
      </c>
      <c r="L25" s="141">
        <v>-3838623</v>
      </c>
      <c r="M25" s="141">
        <v>0</v>
      </c>
      <c r="N25" s="141">
        <v>-3838623</v>
      </c>
      <c r="O25" s="141">
        <v>71398389</v>
      </c>
      <c r="P25" s="141">
        <v>0</v>
      </c>
      <c r="Q25" s="141">
        <v>71398389</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c r="AM25" s="141">
        <v>0</v>
      </c>
      <c r="AN25" s="141">
        <v>0</v>
      </c>
      <c r="AO25" s="141">
        <v>0</v>
      </c>
      <c r="AP25" s="856">
        <v>0</v>
      </c>
      <c r="AQ25" s="856">
        <v>0</v>
      </c>
      <c r="AR25" s="857">
        <v>0</v>
      </c>
      <c r="AS25" t="s">
        <v>1591</v>
      </c>
    </row>
    <row r="26" spans="1:45" ht="12.75" x14ac:dyDescent="0.2">
      <c r="A26" s="764">
        <v>19</v>
      </c>
      <c r="B26" s="765" t="s">
        <v>716</v>
      </c>
      <c r="C26" s="766" t="s">
        <v>1224</v>
      </c>
      <c r="D26" s="767" t="s">
        <v>1227</v>
      </c>
      <c r="E26" s="768" t="s">
        <v>715</v>
      </c>
      <c r="F26" s="141">
        <v>461289202</v>
      </c>
      <c r="G26" s="141">
        <v>16162755</v>
      </c>
      <c r="H26" s="141">
        <v>477451957</v>
      </c>
      <c r="I26" s="141">
        <v>-9409995</v>
      </c>
      <c r="J26" s="141">
        <v>-96314</v>
      </c>
      <c r="K26" s="141">
        <v>-9506309</v>
      </c>
      <c r="L26" s="141">
        <v>-17761925</v>
      </c>
      <c r="M26" s="141">
        <v>-786186</v>
      </c>
      <c r="N26" s="141">
        <v>-18548111</v>
      </c>
      <c r="O26" s="141">
        <v>434117282</v>
      </c>
      <c r="P26" s="141">
        <v>15280255</v>
      </c>
      <c r="Q26" s="141">
        <v>449397537</v>
      </c>
      <c r="R26" s="141">
        <v>0</v>
      </c>
      <c r="S26" s="141">
        <v>0</v>
      </c>
      <c r="T26" s="141">
        <v>0</v>
      </c>
      <c r="U26" s="141">
        <v>0</v>
      </c>
      <c r="V26" s="141">
        <v>0</v>
      </c>
      <c r="W26" s="141">
        <v>0</v>
      </c>
      <c r="X26" s="141">
        <v>0</v>
      </c>
      <c r="Y26" s="141">
        <v>11347032</v>
      </c>
      <c r="Z26" s="141">
        <v>3933223</v>
      </c>
      <c r="AA26" s="141">
        <v>3933223</v>
      </c>
      <c r="AB26" s="141">
        <v>0</v>
      </c>
      <c r="AC26" s="141">
        <v>858385</v>
      </c>
      <c r="AD26" s="141">
        <v>858385</v>
      </c>
      <c r="AE26" s="141">
        <v>0</v>
      </c>
      <c r="AF26" s="141">
        <v>0</v>
      </c>
      <c r="AG26" s="141">
        <v>0</v>
      </c>
      <c r="AH26" s="141">
        <v>0</v>
      </c>
      <c r="AI26" s="141">
        <v>0</v>
      </c>
      <c r="AJ26" s="141">
        <v>0</v>
      </c>
      <c r="AK26" s="141">
        <v>0</v>
      </c>
      <c r="AL26" s="141">
        <v>0</v>
      </c>
      <c r="AM26" s="141">
        <v>0</v>
      </c>
      <c r="AN26" s="141">
        <v>0</v>
      </c>
      <c r="AO26" s="141">
        <v>0</v>
      </c>
      <c r="AP26" s="856">
        <v>0</v>
      </c>
      <c r="AQ26" s="856">
        <v>0</v>
      </c>
      <c r="AR26" s="857">
        <v>0</v>
      </c>
      <c r="AS26" t="s">
        <v>1592</v>
      </c>
    </row>
    <row r="27" spans="1:45" ht="12.75" x14ac:dyDescent="0.2">
      <c r="A27" s="764">
        <v>20</v>
      </c>
      <c r="B27" s="765" t="s">
        <v>718</v>
      </c>
      <c r="C27" s="766" t="s">
        <v>1217</v>
      </c>
      <c r="D27" s="767" t="s">
        <v>1220</v>
      </c>
      <c r="E27" s="768" t="s">
        <v>717</v>
      </c>
      <c r="F27" s="141">
        <v>49397854</v>
      </c>
      <c r="G27" s="141">
        <v>0</v>
      </c>
      <c r="H27" s="141">
        <v>49397854</v>
      </c>
      <c r="I27" s="141">
        <v>-25000</v>
      </c>
      <c r="J27" s="141">
        <v>0</v>
      </c>
      <c r="K27" s="141">
        <v>-25000</v>
      </c>
      <c r="L27" s="141">
        <v>-1490000</v>
      </c>
      <c r="M27" s="141">
        <v>0</v>
      </c>
      <c r="N27" s="141">
        <v>-1490000</v>
      </c>
      <c r="O27" s="141">
        <v>47882854</v>
      </c>
      <c r="P27" s="141">
        <v>0</v>
      </c>
      <c r="Q27" s="141">
        <v>47882854</v>
      </c>
      <c r="R27" s="141">
        <v>0</v>
      </c>
      <c r="S27" s="141">
        <v>0</v>
      </c>
      <c r="T27" s="141">
        <v>0</v>
      </c>
      <c r="U27" s="141">
        <v>0</v>
      </c>
      <c r="V27" s="141">
        <v>0</v>
      </c>
      <c r="W27" s="141">
        <v>0</v>
      </c>
      <c r="X27" s="141">
        <v>0</v>
      </c>
      <c r="Y27" s="141">
        <v>0</v>
      </c>
      <c r="Z27" s="141">
        <v>0</v>
      </c>
      <c r="AA27" s="141">
        <v>0</v>
      </c>
      <c r="AB27" s="141">
        <v>0</v>
      </c>
      <c r="AC27" s="141">
        <v>0</v>
      </c>
      <c r="AD27" s="141">
        <v>0</v>
      </c>
      <c r="AE27" s="141">
        <v>0</v>
      </c>
      <c r="AF27" s="141">
        <v>0</v>
      </c>
      <c r="AG27" s="141">
        <v>0</v>
      </c>
      <c r="AH27" s="141">
        <v>0</v>
      </c>
      <c r="AI27" s="141">
        <v>0</v>
      </c>
      <c r="AJ27" s="141">
        <v>0</v>
      </c>
      <c r="AK27" s="141">
        <v>0</v>
      </c>
      <c r="AL27" s="141">
        <v>0</v>
      </c>
      <c r="AM27" s="141">
        <v>0</v>
      </c>
      <c r="AN27" s="141">
        <v>0</v>
      </c>
      <c r="AO27" s="141">
        <v>0</v>
      </c>
      <c r="AP27" s="856">
        <v>0</v>
      </c>
      <c r="AQ27" s="856">
        <v>0</v>
      </c>
      <c r="AR27" s="857">
        <v>0</v>
      </c>
      <c r="AS27" t="s">
        <v>1593</v>
      </c>
    </row>
    <row r="28" spans="1:45" ht="12.75" x14ac:dyDescent="0.2">
      <c r="A28" s="764">
        <v>21</v>
      </c>
      <c r="B28" s="765" t="s">
        <v>720</v>
      </c>
      <c r="C28" s="766" t="s">
        <v>529</v>
      </c>
      <c r="D28" s="767" t="s">
        <v>1219</v>
      </c>
      <c r="E28" s="768" t="s">
        <v>592</v>
      </c>
      <c r="F28" s="141">
        <v>46411612</v>
      </c>
      <c r="G28" s="141">
        <v>0</v>
      </c>
      <c r="H28" s="141">
        <v>46411612</v>
      </c>
      <c r="I28" s="141">
        <v>-700000</v>
      </c>
      <c r="J28" s="141">
        <v>0</v>
      </c>
      <c r="K28" s="141">
        <v>-700000</v>
      </c>
      <c r="L28" s="141">
        <v>-1500000</v>
      </c>
      <c r="M28" s="141">
        <v>0</v>
      </c>
      <c r="N28" s="141">
        <v>-1500000</v>
      </c>
      <c r="O28" s="141">
        <v>44211612</v>
      </c>
      <c r="P28" s="141">
        <v>0</v>
      </c>
      <c r="Q28" s="141">
        <v>44211612</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c r="AM28" s="141">
        <v>0</v>
      </c>
      <c r="AN28" s="141">
        <v>0</v>
      </c>
      <c r="AO28" s="141">
        <v>0</v>
      </c>
      <c r="AP28" s="856">
        <v>0</v>
      </c>
      <c r="AQ28" s="856">
        <v>0</v>
      </c>
      <c r="AR28" s="857">
        <v>0</v>
      </c>
      <c r="AS28" t="s">
        <v>1594</v>
      </c>
    </row>
    <row r="29" spans="1:45" ht="12.75" x14ac:dyDescent="0.2">
      <c r="A29" s="764">
        <v>22</v>
      </c>
      <c r="B29" s="765" t="s">
        <v>722</v>
      </c>
      <c r="C29" s="766" t="s">
        <v>529</v>
      </c>
      <c r="D29" s="767" t="s">
        <v>1219</v>
      </c>
      <c r="E29" s="768" t="s">
        <v>594</v>
      </c>
      <c r="F29" s="141">
        <v>42608665</v>
      </c>
      <c r="G29" s="141">
        <v>2031585</v>
      </c>
      <c r="H29" s="141">
        <v>44640250</v>
      </c>
      <c r="I29" s="141">
        <v>-1528000</v>
      </c>
      <c r="J29" s="141">
        <v>-72000</v>
      </c>
      <c r="K29" s="141">
        <v>-1600000</v>
      </c>
      <c r="L29" s="141">
        <v>-2863000</v>
      </c>
      <c r="M29" s="141">
        <v>-137000</v>
      </c>
      <c r="N29" s="141">
        <v>-3000000</v>
      </c>
      <c r="O29" s="141">
        <v>38217665</v>
      </c>
      <c r="P29" s="141">
        <v>1822585</v>
      </c>
      <c r="Q29" s="141">
        <v>40040250</v>
      </c>
      <c r="R29" s="141">
        <v>0</v>
      </c>
      <c r="S29" s="141">
        <v>0</v>
      </c>
      <c r="T29" s="141">
        <v>0</v>
      </c>
      <c r="U29" s="141">
        <v>0</v>
      </c>
      <c r="V29" s="141">
        <v>0</v>
      </c>
      <c r="W29" s="141">
        <v>0</v>
      </c>
      <c r="X29" s="141">
        <v>5601</v>
      </c>
      <c r="Y29" s="141">
        <v>1583634</v>
      </c>
      <c r="Z29" s="141">
        <v>244552</v>
      </c>
      <c r="AA29" s="141">
        <v>244552</v>
      </c>
      <c r="AB29" s="141">
        <v>0</v>
      </c>
      <c r="AC29" s="141">
        <v>0</v>
      </c>
      <c r="AD29" s="141">
        <v>0</v>
      </c>
      <c r="AE29" s="141">
        <v>0</v>
      </c>
      <c r="AF29" s="141">
        <v>251514</v>
      </c>
      <c r="AG29" s="141">
        <v>251514</v>
      </c>
      <c r="AH29" s="141">
        <v>0</v>
      </c>
      <c r="AI29" s="141">
        <v>0</v>
      </c>
      <c r="AJ29" s="141">
        <v>0</v>
      </c>
      <c r="AK29" s="141">
        <v>0</v>
      </c>
      <c r="AL29" s="141">
        <v>0</v>
      </c>
      <c r="AM29" s="141">
        <v>0</v>
      </c>
      <c r="AN29" s="141">
        <v>0</v>
      </c>
      <c r="AO29" s="141">
        <v>0</v>
      </c>
      <c r="AP29" s="856">
        <v>0</v>
      </c>
      <c r="AQ29" s="856">
        <v>251514</v>
      </c>
      <c r="AR29" s="857">
        <v>251514</v>
      </c>
      <c r="AS29" t="s">
        <v>1595</v>
      </c>
    </row>
    <row r="30" spans="1:45" ht="12.75" x14ac:dyDescent="0.2">
      <c r="A30" s="764">
        <v>23</v>
      </c>
      <c r="B30" s="765" t="s">
        <v>724</v>
      </c>
      <c r="C30" s="766" t="s">
        <v>1217</v>
      </c>
      <c r="D30" s="767" t="s">
        <v>1220</v>
      </c>
      <c r="E30" s="768" t="s">
        <v>723</v>
      </c>
      <c r="F30" s="141">
        <v>28171078</v>
      </c>
      <c r="G30" s="141">
        <v>0</v>
      </c>
      <c r="H30" s="141">
        <v>28171078</v>
      </c>
      <c r="I30" s="141">
        <v>-140855</v>
      </c>
      <c r="J30" s="141">
        <v>0</v>
      </c>
      <c r="K30" s="141">
        <v>-140855</v>
      </c>
      <c r="L30" s="141">
        <v>-1002458</v>
      </c>
      <c r="M30" s="141">
        <v>0</v>
      </c>
      <c r="N30" s="141">
        <v>-1002458</v>
      </c>
      <c r="O30" s="141">
        <v>27027765</v>
      </c>
      <c r="P30" s="141">
        <v>0</v>
      </c>
      <c r="Q30" s="141">
        <v>27027765</v>
      </c>
      <c r="R30" s="141">
        <v>62549</v>
      </c>
      <c r="S30" s="141">
        <v>0</v>
      </c>
      <c r="T30" s="141">
        <v>62549</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c r="AM30" s="141">
        <v>0</v>
      </c>
      <c r="AN30" s="141">
        <v>0</v>
      </c>
      <c r="AO30" s="141">
        <v>0</v>
      </c>
      <c r="AP30" s="856">
        <v>0</v>
      </c>
      <c r="AQ30" s="856">
        <v>0</v>
      </c>
      <c r="AR30" s="857">
        <v>0</v>
      </c>
      <c r="AS30" t="s">
        <v>1596</v>
      </c>
    </row>
    <row r="31" spans="1:45" ht="12.75" x14ac:dyDescent="0.2">
      <c r="A31" s="764">
        <v>24</v>
      </c>
      <c r="B31" s="765" t="s">
        <v>726</v>
      </c>
      <c r="C31" s="766" t="s">
        <v>1224</v>
      </c>
      <c r="D31" s="767" t="s">
        <v>1219</v>
      </c>
      <c r="E31" s="768" t="s">
        <v>725</v>
      </c>
      <c r="F31" s="141">
        <v>89961893</v>
      </c>
      <c r="G31" s="141">
        <v>0</v>
      </c>
      <c r="H31" s="141">
        <v>89961893</v>
      </c>
      <c r="I31" s="141">
        <v>-2277707</v>
      </c>
      <c r="J31" s="141">
        <v>0</v>
      </c>
      <c r="K31" s="141">
        <v>-2277707</v>
      </c>
      <c r="L31" s="141">
        <v>-5322509</v>
      </c>
      <c r="M31" s="141">
        <v>0</v>
      </c>
      <c r="N31" s="141">
        <v>-5322509</v>
      </c>
      <c r="O31" s="141">
        <v>82361677</v>
      </c>
      <c r="P31" s="141">
        <v>0</v>
      </c>
      <c r="Q31" s="141">
        <v>82361677</v>
      </c>
      <c r="R31" s="141">
        <v>0</v>
      </c>
      <c r="S31" s="141">
        <v>0</v>
      </c>
      <c r="T31" s="141">
        <v>0</v>
      </c>
      <c r="U31" s="141">
        <v>0</v>
      </c>
      <c r="V31" s="141">
        <v>0</v>
      </c>
      <c r="W31" s="141">
        <v>0</v>
      </c>
      <c r="X31" s="141">
        <v>0</v>
      </c>
      <c r="Y31" s="141">
        <v>0</v>
      </c>
      <c r="Z31" s="141">
        <v>0</v>
      </c>
      <c r="AA31" s="141">
        <v>0</v>
      </c>
      <c r="AB31" s="141">
        <v>0</v>
      </c>
      <c r="AC31" s="141">
        <v>0</v>
      </c>
      <c r="AD31" s="141">
        <v>0</v>
      </c>
      <c r="AE31" s="141">
        <v>0</v>
      </c>
      <c r="AF31" s="141">
        <v>0</v>
      </c>
      <c r="AG31" s="141">
        <v>0</v>
      </c>
      <c r="AH31" s="141">
        <v>0</v>
      </c>
      <c r="AI31" s="141">
        <v>0</v>
      </c>
      <c r="AJ31" s="141">
        <v>0</v>
      </c>
      <c r="AK31" s="141">
        <v>0</v>
      </c>
      <c r="AL31" s="141">
        <v>0</v>
      </c>
      <c r="AM31" s="141">
        <v>0</v>
      </c>
      <c r="AN31" s="141">
        <v>0</v>
      </c>
      <c r="AO31" s="141">
        <v>0</v>
      </c>
      <c r="AP31" s="856">
        <v>0</v>
      </c>
      <c r="AQ31" s="856">
        <v>0</v>
      </c>
      <c r="AR31" s="857">
        <v>0</v>
      </c>
      <c r="AS31" t="s">
        <v>1597</v>
      </c>
    </row>
    <row r="32" spans="1:45" ht="12.75" x14ac:dyDescent="0.2">
      <c r="A32" s="764">
        <v>25</v>
      </c>
      <c r="B32" s="765" t="s">
        <v>728</v>
      </c>
      <c r="C32" s="766" t="s">
        <v>1217</v>
      </c>
      <c r="D32" s="767" t="s">
        <v>1220</v>
      </c>
      <c r="E32" s="768" t="s">
        <v>727</v>
      </c>
      <c r="F32" s="141">
        <v>20505615</v>
      </c>
      <c r="G32" s="141">
        <v>0</v>
      </c>
      <c r="H32" s="141">
        <v>20505615</v>
      </c>
      <c r="I32" s="141">
        <v>-200000</v>
      </c>
      <c r="J32" s="141">
        <v>0</v>
      </c>
      <c r="K32" s="141">
        <v>-200000</v>
      </c>
      <c r="L32" s="141">
        <v>-500000</v>
      </c>
      <c r="M32" s="141">
        <v>0</v>
      </c>
      <c r="N32" s="141">
        <v>-500000</v>
      </c>
      <c r="O32" s="141">
        <v>19805615</v>
      </c>
      <c r="P32" s="141">
        <v>0</v>
      </c>
      <c r="Q32" s="141">
        <v>19805615</v>
      </c>
      <c r="R32" s="141">
        <v>157969</v>
      </c>
      <c r="S32" s="141">
        <v>0</v>
      </c>
      <c r="T32" s="141">
        <v>157969</v>
      </c>
      <c r="U32" s="141">
        <v>0</v>
      </c>
      <c r="V32" s="141">
        <v>0</v>
      </c>
      <c r="W32" s="141">
        <v>0</v>
      </c>
      <c r="X32" s="141">
        <v>0</v>
      </c>
      <c r="Y32" s="141">
        <v>0</v>
      </c>
      <c r="Z32" s="141">
        <v>0</v>
      </c>
      <c r="AA32" s="141">
        <v>0</v>
      </c>
      <c r="AB32" s="141">
        <v>0</v>
      </c>
      <c r="AC32" s="141">
        <v>0</v>
      </c>
      <c r="AD32" s="141">
        <v>0</v>
      </c>
      <c r="AE32" s="141">
        <v>0</v>
      </c>
      <c r="AF32" s="141">
        <v>0</v>
      </c>
      <c r="AG32" s="141">
        <v>0</v>
      </c>
      <c r="AH32" s="141">
        <v>0</v>
      </c>
      <c r="AI32" s="141">
        <v>0</v>
      </c>
      <c r="AJ32" s="141">
        <v>0</v>
      </c>
      <c r="AK32" s="141">
        <v>0</v>
      </c>
      <c r="AL32" s="141">
        <v>0</v>
      </c>
      <c r="AM32" s="141">
        <v>0</v>
      </c>
      <c r="AN32" s="141">
        <v>0</v>
      </c>
      <c r="AO32" s="141">
        <v>0</v>
      </c>
      <c r="AP32" s="856">
        <v>0</v>
      </c>
      <c r="AQ32" s="856">
        <v>0</v>
      </c>
      <c r="AR32" s="857">
        <v>0</v>
      </c>
      <c r="AS32" t="s">
        <v>1598</v>
      </c>
    </row>
    <row r="33" spans="1:45" ht="12.75" x14ac:dyDescent="0.2">
      <c r="A33" s="764">
        <v>26</v>
      </c>
      <c r="B33" s="765" t="s">
        <v>1144</v>
      </c>
      <c r="C33" s="766" t="s">
        <v>529</v>
      </c>
      <c r="D33" s="767" t="s">
        <v>1226</v>
      </c>
      <c r="E33" s="768" t="s">
        <v>1167</v>
      </c>
      <c r="F33" s="141">
        <v>147199347</v>
      </c>
      <c r="G33" s="141">
        <v>0</v>
      </c>
      <c r="H33" s="141">
        <v>147199347</v>
      </c>
      <c r="I33" s="141">
        <v>-1500000</v>
      </c>
      <c r="J33" s="141">
        <v>0</v>
      </c>
      <c r="K33" s="141">
        <v>-1500000</v>
      </c>
      <c r="L33" s="141">
        <v>-10335000</v>
      </c>
      <c r="M33" s="141">
        <v>0</v>
      </c>
      <c r="N33" s="141">
        <v>-10335000</v>
      </c>
      <c r="O33" s="141">
        <v>135364347</v>
      </c>
      <c r="P33" s="141">
        <v>0</v>
      </c>
      <c r="Q33" s="141">
        <v>135364347</v>
      </c>
      <c r="R33" s="141">
        <v>318855</v>
      </c>
      <c r="S33" s="141">
        <v>0</v>
      </c>
      <c r="T33" s="141">
        <v>318855</v>
      </c>
      <c r="U33" s="141">
        <v>0</v>
      </c>
      <c r="V33" s="141">
        <v>0</v>
      </c>
      <c r="W33" s="141">
        <v>0</v>
      </c>
      <c r="X33" s="141">
        <v>0</v>
      </c>
      <c r="Y33" s="141">
        <v>0</v>
      </c>
      <c r="Z33" s="141">
        <v>0</v>
      </c>
      <c r="AA33" s="141">
        <v>0</v>
      </c>
      <c r="AB33" s="141">
        <v>0</v>
      </c>
      <c r="AC33" s="141">
        <v>0</v>
      </c>
      <c r="AD33" s="141">
        <v>0</v>
      </c>
      <c r="AE33" s="141">
        <v>0</v>
      </c>
      <c r="AF33" s="141">
        <v>0</v>
      </c>
      <c r="AG33" s="141">
        <v>0</v>
      </c>
      <c r="AH33" s="141">
        <v>0</v>
      </c>
      <c r="AI33" s="141">
        <v>0</v>
      </c>
      <c r="AJ33" s="141">
        <v>0</v>
      </c>
      <c r="AK33" s="141">
        <v>0</v>
      </c>
      <c r="AL33" s="141">
        <v>0</v>
      </c>
      <c r="AM33" s="141">
        <v>0</v>
      </c>
      <c r="AN33" s="141">
        <v>0</v>
      </c>
      <c r="AO33" s="141">
        <v>0</v>
      </c>
      <c r="AP33" s="856">
        <v>0</v>
      </c>
      <c r="AQ33" s="856">
        <v>0</v>
      </c>
      <c r="AR33" s="857">
        <v>0</v>
      </c>
      <c r="AS33" t="s">
        <v>1599</v>
      </c>
    </row>
    <row r="34" spans="1:45" ht="12.75" x14ac:dyDescent="0.2">
      <c r="A34" s="764">
        <v>27</v>
      </c>
      <c r="B34" s="765" t="s">
        <v>730</v>
      </c>
      <c r="C34" s="766" t="s">
        <v>529</v>
      </c>
      <c r="D34" s="767" t="s">
        <v>1218</v>
      </c>
      <c r="E34" s="768" t="s">
        <v>536</v>
      </c>
      <c r="F34" s="141">
        <v>78104233</v>
      </c>
      <c r="G34" s="141">
        <v>0</v>
      </c>
      <c r="H34" s="141">
        <v>78104233</v>
      </c>
      <c r="I34" s="141">
        <v>-175143</v>
      </c>
      <c r="J34" s="141">
        <v>0</v>
      </c>
      <c r="K34" s="141">
        <v>-175143</v>
      </c>
      <c r="L34" s="141">
        <v>-4373632</v>
      </c>
      <c r="M34" s="141">
        <v>0</v>
      </c>
      <c r="N34" s="141">
        <v>-4373632</v>
      </c>
      <c r="O34" s="141">
        <v>73555458</v>
      </c>
      <c r="P34" s="141">
        <v>0</v>
      </c>
      <c r="Q34" s="141">
        <v>73555458</v>
      </c>
      <c r="R34" s="141">
        <v>527</v>
      </c>
      <c r="S34" s="141">
        <v>0</v>
      </c>
      <c r="T34" s="141">
        <v>527</v>
      </c>
      <c r="U34" s="141">
        <v>0</v>
      </c>
      <c r="V34" s="141">
        <v>0</v>
      </c>
      <c r="W34" s="141">
        <v>0</v>
      </c>
      <c r="X34" s="141">
        <v>0</v>
      </c>
      <c r="Y34" s="141">
        <v>0</v>
      </c>
      <c r="Z34" s="141">
        <v>0</v>
      </c>
      <c r="AA34" s="141">
        <v>0</v>
      </c>
      <c r="AB34" s="141">
        <v>0</v>
      </c>
      <c r="AC34" s="141">
        <v>0</v>
      </c>
      <c r="AD34" s="141">
        <v>0</v>
      </c>
      <c r="AE34" s="141">
        <v>0</v>
      </c>
      <c r="AF34" s="141">
        <v>0</v>
      </c>
      <c r="AG34" s="141">
        <v>0</v>
      </c>
      <c r="AH34" s="141">
        <v>0</v>
      </c>
      <c r="AI34" s="141">
        <v>0</v>
      </c>
      <c r="AJ34" s="141">
        <v>0</v>
      </c>
      <c r="AK34" s="141">
        <v>0</v>
      </c>
      <c r="AL34" s="141">
        <v>0</v>
      </c>
      <c r="AM34" s="141">
        <v>0</v>
      </c>
      <c r="AN34" s="141">
        <v>0</v>
      </c>
      <c r="AO34" s="141">
        <v>0</v>
      </c>
      <c r="AP34" s="856">
        <v>0</v>
      </c>
      <c r="AQ34" s="856">
        <v>0</v>
      </c>
      <c r="AR34" s="857">
        <v>0</v>
      </c>
      <c r="AS34" t="s">
        <v>1600</v>
      </c>
    </row>
    <row r="35" spans="1:45" ht="12.75" x14ac:dyDescent="0.2">
      <c r="A35" s="764">
        <v>28</v>
      </c>
      <c r="B35" s="765" t="s">
        <v>732</v>
      </c>
      <c r="C35" s="766" t="s">
        <v>1224</v>
      </c>
      <c r="D35" s="767" t="s">
        <v>1225</v>
      </c>
      <c r="E35" s="768" t="s">
        <v>731</v>
      </c>
      <c r="F35" s="141">
        <v>140103591</v>
      </c>
      <c r="G35" s="141">
        <v>0</v>
      </c>
      <c r="H35" s="141">
        <v>140103591</v>
      </c>
      <c r="I35" s="141">
        <v>-2456158</v>
      </c>
      <c r="J35" s="141">
        <v>0</v>
      </c>
      <c r="K35" s="141">
        <v>-2456158</v>
      </c>
      <c r="L35" s="141">
        <v>-6596539</v>
      </c>
      <c r="M35" s="141">
        <v>0</v>
      </c>
      <c r="N35" s="141">
        <v>-6596539</v>
      </c>
      <c r="O35" s="141">
        <v>131050894</v>
      </c>
      <c r="P35" s="141">
        <v>0</v>
      </c>
      <c r="Q35" s="141">
        <v>131050894</v>
      </c>
      <c r="R35" s="141">
        <v>0</v>
      </c>
      <c r="S35" s="141">
        <v>0</v>
      </c>
      <c r="T35" s="141">
        <v>0</v>
      </c>
      <c r="U35" s="141">
        <v>0</v>
      </c>
      <c r="V35" s="141">
        <v>0</v>
      </c>
      <c r="W35" s="141">
        <v>0</v>
      </c>
      <c r="X35" s="141">
        <v>0</v>
      </c>
      <c r="Y35" s="141">
        <v>0</v>
      </c>
      <c r="Z35" s="141">
        <v>0</v>
      </c>
      <c r="AA35" s="141">
        <v>0</v>
      </c>
      <c r="AB35" s="141">
        <v>0</v>
      </c>
      <c r="AC35" s="141">
        <v>0</v>
      </c>
      <c r="AD35" s="141">
        <v>0</v>
      </c>
      <c r="AE35" s="141">
        <v>0</v>
      </c>
      <c r="AF35" s="141">
        <v>0</v>
      </c>
      <c r="AG35" s="141">
        <v>0</v>
      </c>
      <c r="AH35" s="141">
        <v>0</v>
      </c>
      <c r="AI35" s="141">
        <v>0</v>
      </c>
      <c r="AJ35" s="141">
        <v>0</v>
      </c>
      <c r="AK35" s="141">
        <v>0</v>
      </c>
      <c r="AL35" s="141">
        <v>0</v>
      </c>
      <c r="AM35" s="141">
        <v>0</v>
      </c>
      <c r="AN35" s="141">
        <v>0</v>
      </c>
      <c r="AO35" s="141">
        <v>0</v>
      </c>
      <c r="AP35" s="856">
        <v>0</v>
      </c>
      <c r="AQ35" s="856">
        <v>0</v>
      </c>
      <c r="AR35" s="857">
        <v>0</v>
      </c>
      <c r="AS35" t="s">
        <v>1601</v>
      </c>
    </row>
    <row r="36" spans="1:45" ht="12.75" x14ac:dyDescent="0.2">
      <c r="A36" s="764">
        <v>29</v>
      </c>
      <c r="B36" s="765" t="s">
        <v>734</v>
      </c>
      <c r="C36" s="766" t="s">
        <v>1217</v>
      </c>
      <c r="D36" s="767" t="s">
        <v>1221</v>
      </c>
      <c r="E36" s="768" t="s">
        <v>733</v>
      </c>
      <c r="F36" s="141">
        <v>43149277</v>
      </c>
      <c r="G36" s="141">
        <v>0</v>
      </c>
      <c r="H36" s="141">
        <v>43149277</v>
      </c>
      <c r="I36" s="141">
        <v>-243000</v>
      </c>
      <c r="J36" s="141">
        <v>0</v>
      </c>
      <c r="K36" s="141">
        <v>-243000</v>
      </c>
      <c r="L36" s="141">
        <v>-1080000</v>
      </c>
      <c r="M36" s="141">
        <v>0</v>
      </c>
      <c r="N36" s="141">
        <v>-1080000</v>
      </c>
      <c r="O36" s="141">
        <v>41826277</v>
      </c>
      <c r="P36" s="141">
        <v>0</v>
      </c>
      <c r="Q36" s="141">
        <v>41826277</v>
      </c>
      <c r="R36" s="141">
        <v>206000</v>
      </c>
      <c r="S36" s="141">
        <v>0</v>
      </c>
      <c r="T36" s="141">
        <v>206000</v>
      </c>
      <c r="U36" s="141">
        <v>0</v>
      </c>
      <c r="V36" s="141">
        <v>0</v>
      </c>
      <c r="W36" s="141">
        <v>0</v>
      </c>
      <c r="X36" s="141">
        <v>0</v>
      </c>
      <c r="Y36" s="141">
        <v>0</v>
      </c>
      <c r="Z36" s="141">
        <v>0</v>
      </c>
      <c r="AA36" s="141">
        <v>0</v>
      </c>
      <c r="AB36" s="141">
        <v>0</v>
      </c>
      <c r="AC36" s="141">
        <v>0</v>
      </c>
      <c r="AD36" s="141">
        <v>0</v>
      </c>
      <c r="AE36" s="141">
        <v>0</v>
      </c>
      <c r="AF36" s="141">
        <v>0</v>
      </c>
      <c r="AG36" s="141">
        <v>0</v>
      </c>
      <c r="AH36" s="141">
        <v>0</v>
      </c>
      <c r="AI36" s="141">
        <v>0</v>
      </c>
      <c r="AJ36" s="141">
        <v>0</v>
      </c>
      <c r="AK36" s="141">
        <v>0</v>
      </c>
      <c r="AL36" s="141">
        <v>0</v>
      </c>
      <c r="AM36" s="141">
        <v>0</v>
      </c>
      <c r="AN36" s="141">
        <v>0</v>
      </c>
      <c r="AO36" s="141">
        <v>0</v>
      </c>
      <c r="AP36" s="856">
        <v>0</v>
      </c>
      <c r="AQ36" s="856">
        <v>0</v>
      </c>
      <c r="AR36" s="857">
        <v>0</v>
      </c>
      <c r="AS36" t="s">
        <v>1602</v>
      </c>
    </row>
    <row r="37" spans="1:45" ht="12.75" x14ac:dyDescent="0.2">
      <c r="A37" s="764">
        <v>30</v>
      </c>
      <c r="B37" s="765" t="s">
        <v>736</v>
      </c>
      <c r="C37" s="766" t="s">
        <v>1217</v>
      </c>
      <c r="D37" s="767" t="s">
        <v>1221</v>
      </c>
      <c r="E37" s="768" t="s">
        <v>735</v>
      </c>
      <c r="F37" s="141">
        <v>34691361</v>
      </c>
      <c r="G37" s="141">
        <v>0</v>
      </c>
      <c r="H37" s="141">
        <v>34691361</v>
      </c>
      <c r="I37" s="141">
        <v>-177736</v>
      </c>
      <c r="J37" s="141">
        <v>0</v>
      </c>
      <c r="K37" s="141">
        <v>-177736</v>
      </c>
      <c r="L37" s="141">
        <v>-1635822</v>
      </c>
      <c r="M37" s="141">
        <v>0</v>
      </c>
      <c r="N37" s="141">
        <v>-1635822</v>
      </c>
      <c r="O37" s="141">
        <v>32877803</v>
      </c>
      <c r="P37" s="141">
        <v>0</v>
      </c>
      <c r="Q37" s="141">
        <v>32877803</v>
      </c>
      <c r="R37" s="141">
        <v>2462330</v>
      </c>
      <c r="S37" s="141">
        <v>0</v>
      </c>
      <c r="T37" s="141">
        <v>2462330</v>
      </c>
      <c r="U37" s="141">
        <v>0</v>
      </c>
      <c r="V37" s="141">
        <v>0</v>
      </c>
      <c r="W37" s="141">
        <v>0</v>
      </c>
      <c r="X37" s="141">
        <v>0</v>
      </c>
      <c r="Y37" s="141">
        <v>0</v>
      </c>
      <c r="Z37" s="141">
        <v>0</v>
      </c>
      <c r="AA37" s="141">
        <v>0</v>
      </c>
      <c r="AB37" s="141">
        <v>0</v>
      </c>
      <c r="AC37" s="141">
        <v>0</v>
      </c>
      <c r="AD37" s="141">
        <v>0</v>
      </c>
      <c r="AE37" s="141">
        <v>0</v>
      </c>
      <c r="AF37" s="141">
        <v>0</v>
      </c>
      <c r="AG37" s="141">
        <v>0</v>
      </c>
      <c r="AH37" s="141">
        <v>0</v>
      </c>
      <c r="AI37" s="141">
        <v>0</v>
      </c>
      <c r="AJ37" s="141">
        <v>0</v>
      </c>
      <c r="AK37" s="141">
        <v>0</v>
      </c>
      <c r="AL37" s="141">
        <v>0</v>
      </c>
      <c r="AM37" s="141">
        <v>0</v>
      </c>
      <c r="AN37" s="141">
        <v>0</v>
      </c>
      <c r="AO37" s="141">
        <v>0</v>
      </c>
      <c r="AP37" s="856">
        <v>0</v>
      </c>
      <c r="AQ37" s="856">
        <v>0</v>
      </c>
      <c r="AR37" s="857">
        <v>0</v>
      </c>
      <c r="AS37" t="s">
        <v>1603</v>
      </c>
    </row>
    <row r="38" spans="1:45" ht="12.75" x14ac:dyDescent="0.2">
      <c r="A38" s="764">
        <v>31</v>
      </c>
      <c r="B38" s="765" t="s">
        <v>738</v>
      </c>
      <c r="C38" s="766" t="s">
        <v>1222</v>
      </c>
      <c r="D38" s="767" t="s">
        <v>1223</v>
      </c>
      <c r="E38" s="768" t="s">
        <v>737</v>
      </c>
      <c r="F38" s="141">
        <v>132336191</v>
      </c>
      <c r="G38" s="141">
        <v>0</v>
      </c>
      <c r="H38" s="141">
        <v>132336191</v>
      </c>
      <c r="I38" s="141">
        <v>-1000000</v>
      </c>
      <c r="J38" s="141">
        <v>0</v>
      </c>
      <c r="K38" s="141">
        <v>-1000000</v>
      </c>
      <c r="L38" s="141">
        <v>-2000000</v>
      </c>
      <c r="M38" s="141">
        <v>0</v>
      </c>
      <c r="N38" s="141">
        <v>-2000000</v>
      </c>
      <c r="O38" s="141">
        <v>129336191</v>
      </c>
      <c r="P38" s="141">
        <v>0</v>
      </c>
      <c r="Q38" s="141">
        <v>129336191</v>
      </c>
      <c r="R38" s="141">
        <v>0</v>
      </c>
      <c r="S38" s="141">
        <v>0</v>
      </c>
      <c r="T38" s="141">
        <v>0</v>
      </c>
      <c r="U38" s="141">
        <v>0</v>
      </c>
      <c r="V38" s="141">
        <v>0</v>
      </c>
      <c r="W38" s="141">
        <v>0</v>
      </c>
      <c r="X38" s="141">
        <v>0</v>
      </c>
      <c r="Y38" s="141">
        <v>0</v>
      </c>
      <c r="Z38" s="141">
        <v>0</v>
      </c>
      <c r="AA38" s="141">
        <v>0</v>
      </c>
      <c r="AB38" s="141">
        <v>0</v>
      </c>
      <c r="AC38" s="141">
        <v>0</v>
      </c>
      <c r="AD38" s="141">
        <v>0</v>
      </c>
      <c r="AE38" s="141">
        <v>0</v>
      </c>
      <c r="AF38" s="141">
        <v>0</v>
      </c>
      <c r="AG38" s="141">
        <v>0</v>
      </c>
      <c r="AH38" s="141">
        <v>0</v>
      </c>
      <c r="AI38" s="141">
        <v>0</v>
      </c>
      <c r="AJ38" s="141">
        <v>0</v>
      </c>
      <c r="AK38" s="141">
        <v>0</v>
      </c>
      <c r="AL38" s="141">
        <v>0</v>
      </c>
      <c r="AM38" s="141">
        <v>0</v>
      </c>
      <c r="AN38" s="141">
        <v>0</v>
      </c>
      <c r="AO38" s="141">
        <v>0</v>
      </c>
      <c r="AP38" s="856">
        <v>0</v>
      </c>
      <c r="AQ38" s="856">
        <v>0</v>
      </c>
      <c r="AR38" s="857">
        <v>0</v>
      </c>
      <c r="AS38" t="s">
        <v>1604</v>
      </c>
    </row>
    <row r="39" spans="1:45" ht="12.75" x14ac:dyDescent="0.2">
      <c r="A39" s="764">
        <v>32</v>
      </c>
      <c r="B39" s="765" t="s">
        <v>740</v>
      </c>
      <c r="C39" s="766" t="s">
        <v>1217</v>
      </c>
      <c r="D39" s="767" t="s">
        <v>1221</v>
      </c>
      <c r="E39" s="768" t="s">
        <v>739</v>
      </c>
      <c r="F39" s="141">
        <v>27853974</v>
      </c>
      <c r="G39" s="141">
        <v>0</v>
      </c>
      <c r="H39" s="141">
        <v>27853974</v>
      </c>
      <c r="I39" s="141">
        <v>-500000</v>
      </c>
      <c r="J39" s="141">
        <v>0</v>
      </c>
      <c r="K39" s="141">
        <v>-500000</v>
      </c>
      <c r="L39" s="141">
        <v>-850000</v>
      </c>
      <c r="M39" s="141">
        <v>0</v>
      </c>
      <c r="N39" s="141">
        <v>-850000</v>
      </c>
      <c r="O39" s="141">
        <v>26503974</v>
      </c>
      <c r="P39" s="141">
        <v>0</v>
      </c>
      <c r="Q39" s="141">
        <v>26503974</v>
      </c>
      <c r="R39" s="141">
        <v>0</v>
      </c>
      <c r="S39" s="141">
        <v>0</v>
      </c>
      <c r="T39" s="141">
        <v>0</v>
      </c>
      <c r="U39" s="141">
        <v>0</v>
      </c>
      <c r="V39" s="141">
        <v>0</v>
      </c>
      <c r="W39" s="141">
        <v>0</v>
      </c>
      <c r="X39" s="141">
        <v>0</v>
      </c>
      <c r="Y39" s="141">
        <v>0</v>
      </c>
      <c r="Z39" s="141">
        <v>0</v>
      </c>
      <c r="AA39" s="141">
        <v>0</v>
      </c>
      <c r="AB39" s="141">
        <v>0</v>
      </c>
      <c r="AC39" s="141">
        <v>0</v>
      </c>
      <c r="AD39" s="141">
        <v>0</v>
      </c>
      <c r="AE39" s="141">
        <v>0</v>
      </c>
      <c r="AF39" s="141">
        <v>0</v>
      </c>
      <c r="AG39" s="141">
        <v>0</v>
      </c>
      <c r="AH39" s="141">
        <v>0</v>
      </c>
      <c r="AI39" s="141">
        <v>0</v>
      </c>
      <c r="AJ39" s="141">
        <v>0</v>
      </c>
      <c r="AK39" s="141">
        <v>0</v>
      </c>
      <c r="AL39" s="141">
        <v>0</v>
      </c>
      <c r="AM39" s="141">
        <v>0</v>
      </c>
      <c r="AN39" s="141">
        <v>0</v>
      </c>
      <c r="AO39" s="141">
        <v>0</v>
      </c>
      <c r="AP39" s="856">
        <v>0</v>
      </c>
      <c r="AQ39" s="856">
        <v>0</v>
      </c>
      <c r="AR39" s="857">
        <v>0</v>
      </c>
      <c r="AS39" t="s">
        <v>1605</v>
      </c>
    </row>
    <row r="40" spans="1:45" ht="12.75" x14ac:dyDescent="0.2">
      <c r="A40" s="764">
        <v>33</v>
      </c>
      <c r="B40" s="765" t="s">
        <v>742</v>
      </c>
      <c r="C40" s="766" t="s">
        <v>529</v>
      </c>
      <c r="D40" s="767" t="s">
        <v>1218</v>
      </c>
      <c r="E40" s="768" t="s">
        <v>902</v>
      </c>
      <c r="F40" s="141">
        <v>122615031</v>
      </c>
      <c r="G40" s="141">
        <v>0</v>
      </c>
      <c r="H40" s="141">
        <v>122615031</v>
      </c>
      <c r="I40" s="141">
        <v>-1226150</v>
      </c>
      <c r="J40" s="141">
        <v>0</v>
      </c>
      <c r="K40" s="141">
        <v>-1226150</v>
      </c>
      <c r="L40" s="141">
        <v>-6599858</v>
      </c>
      <c r="M40" s="141">
        <v>0</v>
      </c>
      <c r="N40" s="141">
        <v>-6599858</v>
      </c>
      <c r="O40" s="141">
        <v>114789023</v>
      </c>
      <c r="P40" s="141">
        <v>0</v>
      </c>
      <c r="Q40" s="141">
        <v>114789023</v>
      </c>
      <c r="R40" s="141">
        <v>0</v>
      </c>
      <c r="S40" s="141">
        <v>0</v>
      </c>
      <c r="T40" s="141">
        <v>0</v>
      </c>
      <c r="U40" s="141">
        <v>0</v>
      </c>
      <c r="V40" s="141">
        <v>0</v>
      </c>
      <c r="W40" s="141">
        <v>0</v>
      </c>
      <c r="X40" s="141">
        <v>0</v>
      </c>
      <c r="Y40" s="141">
        <v>0</v>
      </c>
      <c r="Z40" s="141">
        <v>0</v>
      </c>
      <c r="AA40" s="141">
        <v>0</v>
      </c>
      <c r="AB40" s="141">
        <v>0</v>
      </c>
      <c r="AC40" s="141">
        <v>0</v>
      </c>
      <c r="AD40" s="141">
        <v>0</v>
      </c>
      <c r="AE40" s="141">
        <v>0</v>
      </c>
      <c r="AF40" s="141">
        <v>0</v>
      </c>
      <c r="AG40" s="141">
        <v>0</v>
      </c>
      <c r="AH40" s="141">
        <v>0</v>
      </c>
      <c r="AI40" s="141">
        <v>0</v>
      </c>
      <c r="AJ40" s="141">
        <v>0</v>
      </c>
      <c r="AK40" s="141">
        <v>0</v>
      </c>
      <c r="AL40" s="141">
        <v>0</v>
      </c>
      <c r="AM40" s="141">
        <v>0</v>
      </c>
      <c r="AN40" s="141">
        <v>0</v>
      </c>
      <c r="AO40" s="141">
        <v>0</v>
      </c>
      <c r="AP40" s="856">
        <v>0</v>
      </c>
      <c r="AQ40" s="856">
        <v>0</v>
      </c>
      <c r="AR40" s="857">
        <v>0</v>
      </c>
      <c r="AS40" t="s">
        <v>1606</v>
      </c>
    </row>
    <row r="41" spans="1:45" ht="12.75" x14ac:dyDescent="0.2">
      <c r="A41" s="764">
        <v>34</v>
      </c>
      <c r="B41" s="765" t="s">
        <v>744</v>
      </c>
      <c r="C41" s="766" t="s">
        <v>529</v>
      </c>
      <c r="D41" s="767" t="s">
        <v>1226</v>
      </c>
      <c r="E41" s="768" t="s">
        <v>531</v>
      </c>
      <c r="F41" s="141">
        <v>200282534</v>
      </c>
      <c r="G41" s="141">
        <v>33922528</v>
      </c>
      <c r="H41" s="141">
        <v>234205062</v>
      </c>
      <c r="I41" s="141">
        <v>-3504944</v>
      </c>
      <c r="J41" s="141">
        <v>-593644</v>
      </c>
      <c r="K41" s="141">
        <v>-4098588</v>
      </c>
      <c r="L41" s="141">
        <v>-9413279</v>
      </c>
      <c r="M41" s="141">
        <v>-1594359</v>
      </c>
      <c r="N41" s="141">
        <v>-11007638</v>
      </c>
      <c r="O41" s="141">
        <v>187364311</v>
      </c>
      <c r="P41" s="141">
        <v>31734525</v>
      </c>
      <c r="Q41" s="141">
        <v>219098836</v>
      </c>
      <c r="R41" s="141">
        <v>15291</v>
      </c>
      <c r="S41" s="141">
        <v>150696</v>
      </c>
      <c r="T41" s="141">
        <v>165987</v>
      </c>
      <c r="U41" s="141">
        <v>0</v>
      </c>
      <c r="V41" s="141">
        <v>0</v>
      </c>
      <c r="W41" s="141">
        <v>0</v>
      </c>
      <c r="X41" s="141">
        <v>-104788</v>
      </c>
      <c r="Y41" s="141">
        <v>26167070</v>
      </c>
      <c r="Z41" s="141">
        <v>5541756</v>
      </c>
      <c r="AA41" s="141">
        <v>5541756</v>
      </c>
      <c r="AB41" s="141">
        <v>0</v>
      </c>
      <c r="AC41" s="141">
        <v>1479559</v>
      </c>
      <c r="AD41" s="141">
        <v>1479559</v>
      </c>
      <c r="AE41" s="141">
        <v>0</v>
      </c>
      <c r="AF41" s="141">
        <v>0</v>
      </c>
      <c r="AG41" s="141">
        <v>0</v>
      </c>
      <c r="AH41" s="141">
        <v>0</v>
      </c>
      <c r="AI41" s="141">
        <v>0</v>
      </c>
      <c r="AJ41" s="141">
        <v>0</v>
      </c>
      <c r="AK41" s="141">
        <v>0</v>
      </c>
      <c r="AL41" s="141">
        <v>0</v>
      </c>
      <c r="AM41" s="141">
        <v>0</v>
      </c>
      <c r="AN41" s="141">
        <v>0</v>
      </c>
      <c r="AO41" s="141">
        <v>0</v>
      </c>
      <c r="AP41" s="856">
        <v>0</v>
      </c>
      <c r="AQ41" s="856">
        <v>0</v>
      </c>
      <c r="AR41" s="857">
        <v>0</v>
      </c>
      <c r="AS41" t="s">
        <v>1607</v>
      </c>
    </row>
    <row r="42" spans="1:45" ht="12.75" x14ac:dyDescent="0.2">
      <c r="A42" s="764">
        <v>35</v>
      </c>
      <c r="B42" s="765" t="s">
        <v>746</v>
      </c>
      <c r="C42" s="766" t="s">
        <v>1217</v>
      </c>
      <c r="D42" s="767" t="s">
        <v>1221</v>
      </c>
      <c r="E42" s="768" t="s">
        <v>745</v>
      </c>
      <c r="F42" s="141">
        <v>31327340</v>
      </c>
      <c r="G42" s="141">
        <v>0</v>
      </c>
      <c r="H42" s="141">
        <v>31327340</v>
      </c>
      <c r="I42" s="141">
        <v>-125000</v>
      </c>
      <c r="J42" s="141">
        <v>0</v>
      </c>
      <c r="K42" s="141">
        <v>-125000</v>
      </c>
      <c r="L42" s="141">
        <v>-1389719</v>
      </c>
      <c r="M42" s="141">
        <v>0</v>
      </c>
      <c r="N42" s="141">
        <v>-1389719</v>
      </c>
      <c r="O42" s="141">
        <v>29812621</v>
      </c>
      <c r="P42" s="141">
        <v>0</v>
      </c>
      <c r="Q42" s="141">
        <v>29812621</v>
      </c>
      <c r="R42" s="141">
        <v>153987</v>
      </c>
      <c r="S42" s="141">
        <v>0</v>
      </c>
      <c r="T42" s="141">
        <v>153987</v>
      </c>
      <c r="U42" s="141">
        <v>0</v>
      </c>
      <c r="V42" s="141">
        <v>0</v>
      </c>
      <c r="W42" s="141">
        <v>0</v>
      </c>
      <c r="X42" s="141">
        <v>0</v>
      </c>
      <c r="Y42" s="141">
        <v>0</v>
      </c>
      <c r="Z42" s="141">
        <v>0</v>
      </c>
      <c r="AA42" s="141">
        <v>0</v>
      </c>
      <c r="AB42" s="141">
        <v>0</v>
      </c>
      <c r="AC42" s="141">
        <v>0</v>
      </c>
      <c r="AD42" s="141">
        <v>0</v>
      </c>
      <c r="AE42" s="141">
        <v>0</v>
      </c>
      <c r="AF42" s="141">
        <v>0</v>
      </c>
      <c r="AG42" s="141">
        <v>0</v>
      </c>
      <c r="AH42" s="141">
        <v>0</v>
      </c>
      <c r="AI42" s="141">
        <v>0</v>
      </c>
      <c r="AJ42" s="141">
        <v>0</v>
      </c>
      <c r="AK42" s="141">
        <v>0</v>
      </c>
      <c r="AL42" s="141">
        <v>0</v>
      </c>
      <c r="AM42" s="141">
        <v>0</v>
      </c>
      <c r="AN42" s="141">
        <v>0</v>
      </c>
      <c r="AO42" s="141">
        <v>0</v>
      </c>
      <c r="AP42" s="856">
        <v>0</v>
      </c>
      <c r="AQ42" s="856">
        <v>0</v>
      </c>
      <c r="AR42" s="857">
        <v>0</v>
      </c>
      <c r="AS42" t="s">
        <v>1608</v>
      </c>
    </row>
    <row r="43" spans="1:45" ht="12.75" x14ac:dyDescent="0.2">
      <c r="A43" s="764">
        <v>36</v>
      </c>
      <c r="B43" s="765" t="s">
        <v>748</v>
      </c>
      <c r="C43" s="766" t="s">
        <v>1222</v>
      </c>
      <c r="D43" s="767" t="s">
        <v>1223</v>
      </c>
      <c r="E43" s="768" t="s">
        <v>747</v>
      </c>
      <c r="F43" s="141">
        <v>94691398</v>
      </c>
      <c r="G43" s="141">
        <v>0</v>
      </c>
      <c r="H43" s="141">
        <v>94691398</v>
      </c>
      <c r="I43" s="141">
        <v>-645000</v>
      </c>
      <c r="J43" s="141">
        <v>0</v>
      </c>
      <c r="K43" s="141">
        <v>-645000</v>
      </c>
      <c r="L43" s="141">
        <v>-3166509</v>
      </c>
      <c r="M43" s="141">
        <v>0</v>
      </c>
      <c r="N43" s="141">
        <v>-3166509</v>
      </c>
      <c r="O43" s="141">
        <v>90879889</v>
      </c>
      <c r="P43" s="141">
        <v>0</v>
      </c>
      <c r="Q43" s="141">
        <v>90879889</v>
      </c>
      <c r="R43" s="141">
        <v>0</v>
      </c>
      <c r="S43" s="141">
        <v>0</v>
      </c>
      <c r="T43" s="141">
        <v>0</v>
      </c>
      <c r="U43" s="141">
        <v>0</v>
      </c>
      <c r="V43" s="141">
        <v>0</v>
      </c>
      <c r="W43" s="141">
        <v>0</v>
      </c>
      <c r="X43" s="141">
        <v>0</v>
      </c>
      <c r="Y43" s="141">
        <v>0</v>
      </c>
      <c r="Z43" s="141">
        <v>0</v>
      </c>
      <c r="AA43" s="141">
        <v>0</v>
      </c>
      <c r="AB43" s="141">
        <v>0</v>
      </c>
      <c r="AC43" s="141">
        <v>0</v>
      </c>
      <c r="AD43" s="141">
        <v>0</v>
      </c>
      <c r="AE43" s="141">
        <v>0</v>
      </c>
      <c r="AF43" s="141">
        <v>0</v>
      </c>
      <c r="AG43" s="141">
        <v>0</v>
      </c>
      <c r="AH43" s="141">
        <v>0</v>
      </c>
      <c r="AI43" s="141">
        <v>0</v>
      </c>
      <c r="AJ43" s="141">
        <v>0</v>
      </c>
      <c r="AK43" s="141">
        <v>0</v>
      </c>
      <c r="AL43" s="141">
        <v>0</v>
      </c>
      <c r="AM43" s="141">
        <v>0</v>
      </c>
      <c r="AN43" s="141">
        <v>0</v>
      </c>
      <c r="AO43" s="141">
        <v>0</v>
      </c>
      <c r="AP43" s="856">
        <v>0</v>
      </c>
      <c r="AQ43" s="856">
        <v>0</v>
      </c>
      <c r="AR43" s="857">
        <v>0</v>
      </c>
      <c r="AS43" t="s">
        <v>1609</v>
      </c>
    </row>
    <row r="44" spans="1:45" ht="12.75" x14ac:dyDescent="0.2">
      <c r="A44" s="764">
        <v>37</v>
      </c>
      <c r="B44" s="765" t="s">
        <v>750</v>
      </c>
      <c r="C44" s="766" t="s">
        <v>1217</v>
      </c>
      <c r="D44" s="767" t="s">
        <v>1227</v>
      </c>
      <c r="E44" s="768" t="s">
        <v>749</v>
      </c>
      <c r="F44" s="141">
        <v>25714185</v>
      </c>
      <c r="G44" s="141">
        <v>0</v>
      </c>
      <c r="H44" s="141">
        <v>25714185</v>
      </c>
      <c r="I44" s="141">
        <v>-257142</v>
      </c>
      <c r="J44" s="141">
        <v>0</v>
      </c>
      <c r="K44" s="141">
        <v>-257142</v>
      </c>
      <c r="L44" s="141">
        <v>-1208567</v>
      </c>
      <c r="M44" s="141">
        <v>0</v>
      </c>
      <c r="N44" s="141">
        <v>-1208567</v>
      </c>
      <c r="O44" s="141">
        <v>24248476</v>
      </c>
      <c r="P44" s="141">
        <v>0</v>
      </c>
      <c r="Q44" s="141">
        <v>24248476</v>
      </c>
      <c r="R44" s="141">
        <v>0</v>
      </c>
      <c r="S44" s="141">
        <v>0</v>
      </c>
      <c r="T44" s="141">
        <v>0</v>
      </c>
      <c r="U44" s="141">
        <v>0</v>
      </c>
      <c r="V44" s="141">
        <v>0</v>
      </c>
      <c r="W44" s="141">
        <v>0</v>
      </c>
      <c r="X44" s="141">
        <v>0</v>
      </c>
      <c r="Y44" s="141">
        <v>0</v>
      </c>
      <c r="Z44" s="141">
        <v>0</v>
      </c>
      <c r="AA44" s="141">
        <v>0</v>
      </c>
      <c r="AB44" s="141">
        <v>0</v>
      </c>
      <c r="AC44" s="141">
        <v>0</v>
      </c>
      <c r="AD44" s="141">
        <v>0</v>
      </c>
      <c r="AE44" s="141">
        <v>0</v>
      </c>
      <c r="AF44" s="141">
        <v>0</v>
      </c>
      <c r="AG44" s="141">
        <v>0</v>
      </c>
      <c r="AH44" s="141">
        <v>0</v>
      </c>
      <c r="AI44" s="141">
        <v>0</v>
      </c>
      <c r="AJ44" s="141">
        <v>0</v>
      </c>
      <c r="AK44" s="141">
        <v>0</v>
      </c>
      <c r="AL44" s="141">
        <v>0</v>
      </c>
      <c r="AM44" s="141">
        <v>0</v>
      </c>
      <c r="AN44" s="141">
        <v>0</v>
      </c>
      <c r="AO44" s="141">
        <v>0</v>
      </c>
      <c r="AP44" s="856">
        <v>0</v>
      </c>
      <c r="AQ44" s="856">
        <v>0</v>
      </c>
      <c r="AR44" s="857">
        <v>0</v>
      </c>
      <c r="AS44" t="s">
        <v>1610</v>
      </c>
    </row>
    <row r="45" spans="1:45" ht="12.75" x14ac:dyDescent="0.2">
      <c r="A45" s="764">
        <v>38</v>
      </c>
      <c r="B45" s="765" t="s">
        <v>752</v>
      </c>
      <c r="C45" s="766" t="s">
        <v>1217</v>
      </c>
      <c r="D45" s="767" t="s">
        <v>1221</v>
      </c>
      <c r="E45" s="768" t="s">
        <v>751</v>
      </c>
      <c r="F45" s="141">
        <v>41642445</v>
      </c>
      <c r="G45" s="141">
        <v>0</v>
      </c>
      <c r="H45" s="141">
        <v>41642445</v>
      </c>
      <c r="I45" s="141">
        <v>0</v>
      </c>
      <c r="J45" s="141">
        <v>0</v>
      </c>
      <c r="K45" s="141">
        <v>0</v>
      </c>
      <c r="L45" s="141">
        <v>-205000</v>
      </c>
      <c r="M45" s="141">
        <v>0</v>
      </c>
      <c r="N45" s="141">
        <v>-205000</v>
      </c>
      <c r="O45" s="141">
        <v>41437445</v>
      </c>
      <c r="P45" s="141">
        <v>0</v>
      </c>
      <c r="Q45" s="141">
        <v>41437445</v>
      </c>
      <c r="R45" s="141">
        <v>0</v>
      </c>
      <c r="S45" s="141">
        <v>0</v>
      </c>
      <c r="T45" s="141">
        <v>0</v>
      </c>
      <c r="U45" s="141">
        <v>0</v>
      </c>
      <c r="V45" s="141">
        <v>0</v>
      </c>
      <c r="W45" s="141">
        <v>0</v>
      </c>
      <c r="X45" s="141">
        <v>0</v>
      </c>
      <c r="Y45" s="141">
        <v>0</v>
      </c>
      <c r="Z45" s="141">
        <v>0</v>
      </c>
      <c r="AA45" s="141">
        <v>0</v>
      </c>
      <c r="AB45" s="141">
        <v>0</v>
      </c>
      <c r="AC45" s="141">
        <v>0</v>
      </c>
      <c r="AD45" s="141">
        <v>0</v>
      </c>
      <c r="AE45" s="141">
        <v>0</v>
      </c>
      <c r="AF45" s="141">
        <v>0</v>
      </c>
      <c r="AG45" s="141">
        <v>0</v>
      </c>
      <c r="AH45" s="141">
        <v>0</v>
      </c>
      <c r="AI45" s="141">
        <v>0</v>
      </c>
      <c r="AJ45" s="141">
        <v>0</v>
      </c>
      <c r="AK45" s="141">
        <v>0</v>
      </c>
      <c r="AL45" s="141">
        <v>0</v>
      </c>
      <c r="AM45" s="141">
        <v>0</v>
      </c>
      <c r="AN45" s="141">
        <v>0</v>
      </c>
      <c r="AO45" s="141">
        <v>0</v>
      </c>
      <c r="AP45" s="856">
        <v>0</v>
      </c>
      <c r="AQ45" s="856">
        <v>0</v>
      </c>
      <c r="AR45" s="857">
        <v>0</v>
      </c>
      <c r="AS45" t="s">
        <v>1611</v>
      </c>
    </row>
    <row r="46" spans="1:45" ht="12.75" x14ac:dyDescent="0.2">
      <c r="A46" s="764">
        <v>39</v>
      </c>
      <c r="B46" s="765" t="s">
        <v>754</v>
      </c>
      <c r="C46" s="766" t="s">
        <v>1217</v>
      </c>
      <c r="D46" s="767" t="s">
        <v>1220</v>
      </c>
      <c r="E46" s="768" t="s">
        <v>753</v>
      </c>
      <c r="F46" s="141">
        <v>27018212</v>
      </c>
      <c r="G46" s="141">
        <v>286923</v>
      </c>
      <c r="H46" s="141">
        <v>27305135</v>
      </c>
      <c r="I46" s="141">
        <v>-150000</v>
      </c>
      <c r="J46" s="141">
        <v>0</v>
      </c>
      <c r="K46" s="141">
        <v>-150000</v>
      </c>
      <c r="L46" s="141">
        <v>-74000</v>
      </c>
      <c r="M46" s="141">
        <v>0</v>
      </c>
      <c r="N46" s="141">
        <v>-74000</v>
      </c>
      <c r="O46" s="141">
        <v>26794212</v>
      </c>
      <c r="P46" s="141">
        <v>286923</v>
      </c>
      <c r="Q46" s="141">
        <v>27081135</v>
      </c>
      <c r="R46" s="141">
        <v>0</v>
      </c>
      <c r="S46" s="141">
        <v>0</v>
      </c>
      <c r="T46" s="141">
        <v>0</v>
      </c>
      <c r="U46" s="141">
        <v>0</v>
      </c>
      <c r="V46" s="141">
        <v>0</v>
      </c>
      <c r="W46" s="141">
        <v>0</v>
      </c>
      <c r="X46" s="141">
        <v>1908</v>
      </c>
      <c r="Y46" s="141">
        <v>1246454</v>
      </c>
      <c r="Z46" s="141">
        <v>0</v>
      </c>
      <c r="AA46" s="141">
        <v>0</v>
      </c>
      <c r="AB46" s="141">
        <v>0</v>
      </c>
      <c r="AC46" s="141">
        <v>0</v>
      </c>
      <c r="AD46" s="141">
        <v>0</v>
      </c>
      <c r="AE46" s="141">
        <v>0</v>
      </c>
      <c r="AF46" s="141">
        <v>110000</v>
      </c>
      <c r="AG46" s="141">
        <v>110000</v>
      </c>
      <c r="AH46" s="141">
        <v>0</v>
      </c>
      <c r="AI46" s="141">
        <v>0</v>
      </c>
      <c r="AJ46" s="141">
        <v>0</v>
      </c>
      <c r="AK46" s="141">
        <v>0</v>
      </c>
      <c r="AL46" s="141">
        <v>0</v>
      </c>
      <c r="AM46" s="141">
        <v>0</v>
      </c>
      <c r="AN46" s="141">
        <v>0</v>
      </c>
      <c r="AO46" s="141">
        <v>0</v>
      </c>
      <c r="AP46" s="856">
        <v>0</v>
      </c>
      <c r="AQ46" s="856">
        <v>110000</v>
      </c>
      <c r="AR46" s="857">
        <v>110000</v>
      </c>
      <c r="AS46" t="s">
        <v>1612</v>
      </c>
    </row>
    <row r="47" spans="1:45" ht="12.75" x14ac:dyDescent="0.2">
      <c r="A47" s="764">
        <v>40</v>
      </c>
      <c r="B47" s="765" t="s">
        <v>756</v>
      </c>
      <c r="C47" s="766" t="s">
        <v>1217</v>
      </c>
      <c r="D47" s="767" t="s">
        <v>1219</v>
      </c>
      <c r="E47" s="768" t="s">
        <v>755</v>
      </c>
      <c r="F47" s="141">
        <v>29741575</v>
      </c>
      <c r="G47" s="141">
        <v>0</v>
      </c>
      <c r="H47" s="141">
        <v>29741575</v>
      </c>
      <c r="I47" s="141">
        <v>-297416</v>
      </c>
      <c r="J47" s="141">
        <v>0</v>
      </c>
      <c r="K47" s="141">
        <v>-297416</v>
      </c>
      <c r="L47" s="141">
        <v>-591825</v>
      </c>
      <c r="M47" s="141">
        <v>0</v>
      </c>
      <c r="N47" s="141">
        <v>-591825</v>
      </c>
      <c r="O47" s="141">
        <v>28852334</v>
      </c>
      <c r="P47" s="141">
        <v>0</v>
      </c>
      <c r="Q47" s="141">
        <v>28852334</v>
      </c>
      <c r="R47" s="141">
        <v>239000</v>
      </c>
      <c r="S47" s="141">
        <v>0</v>
      </c>
      <c r="T47" s="141">
        <v>239000</v>
      </c>
      <c r="U47" s="141">
        <v>0</v>
      </c>
      <c r="V47" s="141">
        <v>0</v>
      </c>
      <c r="W47" s="141">
        <v>0</v>
      </c>
      <c r="X47" s="141">
        <v>0</v>
      </c>
      <c r="Y47" s="141">
        <v>0</v>
      </c>
      <c r="Z47" s="141">
        <v>0</v>
      </c>
      <c r="AA47" s="141">
        <v>0</v>
      </c>
      <c r="AB47" s="141">
        <v>0</v>
      </c>
      <c r="AC47" s="141">
        <v>0</v>
      </c>
      <c r="AD47" s="141">
        <v>0</v>
      </c>
      <c r="AE47" s="141">
        <v>0</v>
      </c>
      <c r="AF47" s="141">
        <v>0</v>
      </c>
      <c r="AG47" s="141">
        <v>0</v>
      </c>
      <c r="AH47" s="141">
        <v>0</v>
      </c>
      <c r="AI47" s="141">
        <v>0</v>
      </c>
      <c r="AJ47" s="141">
        <v>0</v>
      </c>
      <c r="AK47" s="141">
        <v>0</v>
      </c>
      <c r="AL47" s="141">
        <v>0</v>
      </c>
      <c r="AM47" s="141">
        <v>0</v>
      </c>
      <c r="AN47" s="141">
        <v>0</v>
      </c>
      <c r="AO47" s="141">
        <v>0</v>
      </c>
      <c r="AP47" s="856">
        <v>0</v>
      </c>
      <c r="AQ47" s="856">
        <v>0</v>
      </c>
      <c r="AR47" s="857">
        <v>0</v>
      </c>
      <c r="AS47" t="s">
        <v>1613</v>
      </c>
    </row>
    <row r="48" spans="1:45" ht="12.75" x14ac:dyDescent="0.2">
      <c r="A48" s="764">
        <v>41</v>
      </c>
      <c r="B48" s="765" t="s">
        <v>758</v>
      </c>
      <c r="C48" s="766" t="s">
        <v>1224</v>
      </c>
      <c r="D48" s="767" t="s">
        <v>1219</v>
      </c>
      <c r="E48" s="768" t="s">
        <v>757</v>
      </c>
      <c r="F48" s="141">
        <v>51850602</v>
      </c>
      <c r="G48" s="141">
        <v>0</v>
      </c>
      <c r="H48" s="141">
        <v>51850602</v>
      </c>
      <c r="I48" s="141">
        <v>-1555518</v>
      </c>
      <c r="J48" s="141">
        <v>0</v>
      </c>
      <c r="K48" s="141">
        <v>-1555518</v>
      </c>
      <c r="L48" s="141">
        <v>-2592530</v>
      </c>
      <c r="M48" s="141">
        <v>0</v>
      </c>
      <c r="N48" s="141">
        <v>-2592530</v>
      </c>
      <c r="O48" s="141">
        <v>47702554</v>
      </c>
      <c r="P48" s="141">
        <v>0</v>
      </c>
      <c r="Q48" s="141">
        <v>47702554</v>
      </c>
      <c r="R48" s="141">
        <v>0</v>
      </c>
      <c r="S48" s="141">
        <v>0</v>
      </c>
      <c r="T48" s="141">
        <v>0</v>
      </c>
      <c r="U48" s="141">
        <v>0</v>
      </c>
      <c r="V48" s="141">
        <v>0</v>
      </c>
      <c r="W48" s="141">
        <v>0</v>
      </c>
      <c r="X48" s="141">
        <v>0</v>
      </c>
      <c r="Y48" s="141">
        <v>0</v>
      </c>
      <c r="Z48" s="141">
        <v>0</v>
      </c>
      <c r="AA48" s="141">
        <v>0</v>
      </c>
      <c r="AB48" s="141">
        <v>0</v>
      </c>
      <c r="AC48" s="141">
        <v>0</v>
      </c>
      <c r="AD48" s="141">
        <v>0</v>
      </c>
      <c r="AE48" s="141">
        <v>0</v>
      </c>
      <c r="AF48" s="141">
        <v>0</v>
      </c>
      <c r="AG48" s="141">
        <v>0</v>
      </c>
      <c r="AH48" s="141">
        <v>0</v>
      </c>
      <c r="AI48" s="141">
        <v>0</v>
      </c>
      <c r="AJ48" s="141">
        <v>0</v>
      </c>
      <c r="AK48" s="141">
        <v>0</v>
      </c>
      <c r="AL48" s="141">
        <v>0</v>
      </c>
      <c r="AM48" s="141">
        <v>0</v>
      </c>
      <c r="AN48" s="141">
        <v>0</v>
      </c>
      <c r="AO48" s="141">
        <v>0</v>
      </c>
      <c r="AP48" s="856">
        <v>0</v>
      </c>
      <c r="AQ48" s="856">
        <v>0</v>
      </c>
      <c r="AR48" s="857">
        <v>0</v>
      </c>
      <c r="AS48" t="s">
        <v>1614</v>
      </c>
    </row>
    <row r="49" spans="1:45" ht="12.75" x14ac:dyDescent="0.2">
      <c r="A49" s="764">
        <v>42</v>
      </c>
      <c r="B49" s="765" t="s">
        <v>760</v>
      </c>
      <c r="C49" s="766" t="s">
        <v>1224</v>
      </c>
      <c r="D49" s="767" t="s">
        <v>1225</v>
      </c>
      <c r="E49" s="768" t="s">
        <v>759</v>
      </c>
      <c r="F49" s="141">
        <v>58335697</v>
      </c>
      <c r="G49" s="141">
        <v>0</v>
      </c>
      <c r="H49" s="141">
        <v>58335697</v>
      </c>
      <c r="I49" s="141">
        <v>-875035</v>
      </c>
      <c r="J49" s="141">
        <v>0</v>
      </c>
      <c r="K49" s="141">
        <v>-875035</v>
      </c>
      <c r="L49" s="141">
        <v>-3579831</v>
      </c>
      <c r="M49" s="141">
        <v>0</v>
      </c>
      <c r="N49" s="141">
        <v>-3579831</v>
      </c>
      <c r="O49" s="141">
        <v>53880831</v>
      </c>
      <c r="P49" s="141">
        <v>0</v>
      </c>
      <c r="Q49" s="141">
        <v>53880831</v>
      </c>
      <c r="R49" s="141">
        <v>447947</v>
      </c>
      <c r="S49" s="141">
        <v>0</v>
      </c>
      <c r="T49" s="141">
        <v>447947</v>
      </c>
      <c r="U49" s="141">
        <v>0</v>
      </c>
      <c r="V49" s="141">
        <v>0</v>
      </c>
      <c r="W49" s="141">
        <v>0</v>
      </c>
      <c r="X49" s="141">
        <v>0</v>
      </c>
      <c r="Y49" s="141">
        <v>0</v>
      </c>
      <c r="Z49" s="141">
        <v>0</v>
      </c>
      <c r="AA49" s="141">
        <v>0</v>
      </c>
      <c r="AB49" s="141">
        <v>0</v>
      </c>
      <c r="AC49" s="141">
        <v>0</v>
      </c>
      <c r="AD49" s="141">
        <v>0</v>
      </c>
      <c r="AE49" s="141">
        <v>0</v>
      </c>
      <c r="AF49" s="141">
        <v>0</v>
      </c>
      <c r="AG49" s="141">
        <v>0</v>
      </c>
      <c r="AH49" s="141">
        <v>0</v>
      </c>
      <c r="AI49" s="141">
        <v>0</v>
      </c>
      <c r="AJ49" s="141">
        <v>0</v>
      </c>
      <c r="AK49" s="141">
        <v>0</v>
      </c>
      <c r="AL49" s="141">
        <v>0</v>
      </c>
      <c r="AM49" s="141">
        <v>0</v>
      </c>
      <c r="AN49" s="141">
        <v>0</v>
      </c>
      <c r="AO49" s="141">
        <v>0</v>
      </c>
      <c r="AP49" s="856">
        <v>0</v>
      </c>
      <c r="AQ49" s="856">
        <v>0</v>
      </c>
      <c r="AR49" s="857">
        <v>0</v>
      </c>
      <c r="AS49" t="s">
        <v>1615</v>
      </c>
    </row>
    <row r="50" spans="1:45" ht="12.75" x14ac:dyDescent="0.2">
      <c r="A50" s="764">
        <v>43</v>
      </c>
      <c r="B50" s="765" t="s">
        <v>762</v>
      </c>
      <c r="C50" s="766" t="s">
        <v>1217</v>
      </c>
      <c r="D50" s="767" t="s">
        <v>1221</v>
      </c>
      <c r="E50" s="768" t="s">
        <v>761</v>
      </c>
      <c r="F50" s="141">
        <v>116759758</v>
      </c>
      <c r="G50" s="141">
        <v>0</v>
      </c>
      <c r="H50" s="141">
        <v>116759758</v>
      </c>
      <c r="I50" s="141">
        <v>-580000</v>
      </c>
      <c r="J50" s="141">
        <v>0</v>
      </c>
      <c r="K50" s="141">
        <v>-580000</v>
      </c>
      <c r="L50" s="141">
        <v>-5838000</v>
      </c>
      <c r="M50" s="141">
        <v>0</v>
      </c>
      <c r="N50" s="141">
        <v>-5838000</v>
      </c>
      <c r="O50" s="141">
        <v>110341758</v>
      </c>
      <c r="P50" s="141">
        <v>0</v>
      </c>
      <c r="Q50" s="141">
        <v>110341758</v>
      </c>
      <c r="R50" s="141">
        <v>0</v>
      </c>
      <c r="S50" s="141">
        <v>0</v>
      </c>
      <c r="T50" s="141">
        <v>0</v>
      </c>
      <c r="U50" s="141">
        <v>0</v>
      </c>
      <c r="V50" s="141">
        <v>0</v>
      </c>
      <c r="W50" s="141">
        <v>0</v>
      </c>
      <c r="X50" s="141">
        <v>0</v>
      </c>
      <c r="Y50" s="141">
        <v>0</v>
      </c>
      <c r="Z50" s="141">
        <v>0</v>
      </c>
      <c r="AA50" s="141">
        <v>0</v>
      </c>
      <c r="AB50" s="141">
        <v>0</v>
      </c>
      <c r="AC50" s="141">
        <v>0</v>
      </c>
      <c r="AD50" s="141">
        <v>0</v>
      </c>
      <c r="AE50" s="141">
        <v>0</v>
      </c>
      <c r="AF50" s="141">
        <v>0</v>
      </c>
      <c r="AG50" s="141">
        <v>0</v>
      </c>
      <c r="AH50" s="141">
        <v>0</v>
      </c>
      <c r="AI50" s="141">
        <v>0</v>
      </c>
      <c r="AJ50" s="141">
        <v>0</v>
      </c>
      <c r="AK50" s="141">
        <v>0</v>
      </c>
      <c r="AL50" s="141">
        <v>0</v>
      </c>
      <c r="AM50" s="141">
        <v>0</v>
      </c>
      <c r="AN50" s="141">
        <v>0</v>
      </c>
      <c r="AO50" s="141">
        <v>0</v>
      </c>
      <c r="AP50" s="856">
        <v>0</v>
      </c>
      <c r="AQ50" s="856">
        <v>0</v>
      </c>
      <c r="AR50" s="857">
        <v>0</v>
      </c>
      <c r="AS50" t="s">
        <v>1616</v>
      </c>
    </row>
    <row r="51" spans="1:45" ht="12.75" x14ac:dyDescent="0.2">
      <c r="A51" s="764">
        <v>44</v>
      </c>
      <c r="B51" s="765" t="s">
        <v>764</v>
      </c>
      <c r="C51" s="766" t="s">
        <v>1228</v>
      </c>
      <c r="D51" s="767" t="s">
        <v>1223</v>
      </c>
      <c r="E51" s="768" t="s">
        <v>763</v>
      </c>
      <c r="F51" s="141">
        <v>688515080.41999996</v>
      </c>
      <c r="G51" s="141">
        <v>0</v>
      </c>
      <c r="H51" s="141">
        <v>688515080.41999996</v>
      </c>
      <c r="I51" s="141">
        <v>-4142906</v>
      </c>
      <c r="J51" s="141">
        <v>0</v>
      </c>
      <c r="K51" s="141">
        <v>-4142906</v>
      </c>
      <c r="L51" s="141">
        <v>-33985288.302000001</v>
      </c>
      <c r="M51" s="141">
        <v>0</v>
      </c>
      <c r="N51" s="141">
        <v>-33985288.302000001</v>
      </c>
      <c r="O51" s="141">
        <v>650386886.11799991</v>
      </c>
      <c r="P51" s="141">
        <v>0</v>
      </c>
      <c r="Q51" s="141">
        <v>650386886.11799991</v>
      </c>
      <c r="R51" s="141">
        <v>0</v>
      </c>
      <c r="S51" s="141">
        <v>0</v>
      </c>
      <c r="T51" s="141">
        <v>0</v>
      </c>
      <c r="U51" s="141">
        <v>0</v>
      </c>
      <c r="V51" s="141">
        <v>0</v>
      </c>
      <c r="W51" s="141">
        <v>0</v>
      </c>
      <c r="X51" s="141">
        <v>0</v>
      </c>
      <c r="Y51" s="141">
        <v>0</v>
      </c>
      <c r="Z51" s="141">
        <v>0</v>
      </c>
      <c r="AA51" s="141">
        <v>0</v>
      </c>
      <c r="AB51" s="141">
        <v>0</v>
      </c>
      <c r="AC51" s="141">
        <v>0</v>
      </c>
      <c r="AD51" s="141">
        <v>0</v>
      </c>
      <c r="AE51" s="141">
        <v>0</v>
      </c>
      <c r="AF51" s="141">
        <v>0</v>
      </c>
      <c r="AG51" s="141">
        <v>0</v>
      </c>
      <c r="AH51" s="141">
        <v>0</v>
      </c>
      <c r="AI51" s="141">
        <v>0</v>
      </c>
      <c r="AJ51" s="141">
        <v>0</v>
      </c>
      <c r="AK51" s="141">
        <v>0</v>
      </c>
      <c r="AL51" s="141">
        <v>0</v>
      </c>
      <c r="AM51" s="141">
        <v>0</v>
      </c>
      <c r="AN51" s="141">
        <v>0</v>
      </c>
      <c r="AO51" s="141">
        <v>0</v>
      </c>
      <c r="AP51" s="856">
        <v>0</v>
      </c>
      <c r="AQ51" s="856">
        <v>0</v>
      </c>
      <c r="AR51" s="857">
        <v>0</v>
      </c>
      <c r="AS51" t="s">
        <v>1617</v>
      </c>
    </row>
    <row r="52" spans="1:45" ht="12.75" x14ac:dyDescent="0.2">
      <c r="A52" s="764">
        <v>45</v>
      </c>
      <c r="B52" s="765" t="s">
        <v>766</v>
      </c>
      <c r="C52" s="766" t="s">
        <v>1217</v>
      </c>
      <c r="D52" s="767" t="s">
        <v>1227</v>
      </c>
      <c r="E52" s="768" t="s">
        <v>765</v>
      </c>
      <c r="F52" s="141">
        <v>33822261</v>
      </c>
      <c r="G52" s="141">
        <v>0</v>
      </c>
      <c r="H52" s="141">
        <v>33822261</v>
      </c>
      <c r="I52" s="141">
        <v>-250000</v>
      </c>
      <c r="J52" s="141">
        <v>0</v>
      </c>
      <c r="K52" s="141">
        <v>-250000</v>
      </c>
      <c r="L52" s="141">
        <v>-851893</v>
      </c>
      <c r="M52" s="141">
        <v>0</v>
      </c>
      <c r="N52" s="141">
        <v>-851893</v>
      </c>
      <c r="O52" s="141">
        <v>32720368</v>
      </c>
      <c r="P52" s="141">
        <v>0</v>
      </c>
      <c r="Q52" s="141">
        <v>32720368</v>
      </c>
      <c r="R52" s="141">
        <v>0</v>
      </c>
      <c r="S52" s="141">
        <v>0</v>
      </c>
      <c r="T52" s="141">
        <v>0</v>
      </c>
      <c r="U52" s="141">
        <v>0</v>
      </c>
      <c r="V52" s="141">
        <v>0</v>
      </c>
      <c r="W52" s="141">
        <v>0</v>
      </c>
      <c r="X52" s="141">
        <v>0</v>
      </c>
      <c r="Y52" s="141">
        <v>0</v>
      </c>
      <c r="Z52" s="141">
        <v>0</v>
      </c>
      <c r="AA52" s="141">
        <v>0</v>
      </c>
      <c r="AB52" s="141">
        <v>0</v>
      </c>
      <c r="AC52" s="141">
        <v>0</v>
      </c>
      <c r="AD52" s="141">
        <v>0</v>
      </c>
      <c r="AE52" s="141">
        <v>0</v>
      </c>
      <c r="AF52" s="141">
        <v>0</v>
      </c>
      <c r="AG52" s="141">
        <v>0</v>
      </c>
      <c r="AH52" s="141">
        <v>0</v>
      </c>
      <c r="AI52" s="141">
        <v>0</v>
      </c>
      <c r="AJ52" s="141">
        <v>0</v>
      </c>
      <c r="AK52" s="141">
        <v>0</v>
      </c>
      <c r="AL52" s="141">
        <v>0</v>
      </c>
      <c r="AM52" s="141">
        <v>0</v>
      </c>
      <c r="AN52" s="141">
        <v>0</v>
      </c>
      <c r="AO52" s="141">
        <v>0</v>
      </c>
      <c r="AP52" s="856">
        <v>0</v>
      </c>
      <c r="AQ52" s="856">
        <v>0</v>
      </c>
      <c r="AR52" s="857">
        <v>0</v>
      </c>
      <c r="AS52" t="s">
        <v>1618</v>
      </c>
    </row>
    <row r="53" spans="1:45" ht="12.75" x14ac:dyDescent="0.2">
      <c r="A53" s="764">
        <v>46</v>
      </c>
      <c r="B53" s="765" t="s">
        <v>768</v>
      </c>
      <c r="C53" s="766" t="s">
        <v>1217</v>
      </c>
      <c r="D53" s="767" t="s">
        <v>1218</v>
      </c>
      <c r="E53" s="768" t="s">
        <v>767</v>
      </c>
      <c r="F53" s="141">
        <v>53955482.799999997</v>
      </c>
      <c r="G53" s="141">
        <v>0</v>
      </c>
      <c r="H53" s="141">
        <v>53955482.799999997</v>
      </c>
      <c r="I53" s="141">
        <v>-593510</v>
      </c>
      <c r="J53" s="141">
        <v>0</v>
      </c>
      <c r="K53" s="141">
        <v>-593510</v>
      </c>
      <c r="L53" s="141">
        <v>-2450000</v>
      </c>
      <c r="M53" s="141">
        <v>0</v>
      </c>
      <c r="N53" s="141">
        <v>-2450000</v>
      </c>
      <c r="O53" s="141">
        <v>50911972.799999997</v>
      </c>
      <c r="P53" s="141">
        <v>0</v>
      </c>
      <c r="Q53" s="141">
        <v>50911972.799999997</v>
      </c>
      <c r="R53" s="141">
        <v>316433</v>
      </c>
      <c r="S53" s="141">
        <v>0</v>
      </c>
      <c r="T53" s="141">
        <v>316433</v>
      </c>
      <c r="U53" s="141">
        <v>0</v>
      </c>
      <c r="V53" s="141">
        <v>0</v>
      </c>
      <c r="W53" s="141">
        <v>0</v>
      </c>
      <c r="X53" s="141">
        <v>0</v>
      </c>
      <c r="Y53" s="141">
        <v>0</v>
      </c>
      <c r="Z53" s="141">
        <v>0</v>
      </c>
      <c r="AA53" s="141">
        <v>0</v>
      </c>
      <c r="AB53" s="141">
        <v>0</v>
      </c>
      <c r="AC53" s="141">
        <v>0</v>
      </c>
      <c r="AD53" s="141">
        <v>0</v>
      </c>
      <c r="AE53" s="141">
        <v>0</v>
      </c>
      <c r="AF53" s="141">
        <v>0</v>
      </c>
      <c r="AG53" s="141">
        <v>0</v>
      </c>
      <c r="AH53" s="141">
        <v>0</v>
      </c>
      <c r="AI53" s="141">
        <v>0</v>
      </c>
      <c r="AJ53" s="141">
        <v>0</v>
      </c>
      <c r="AK53" s="141">
        <v>0</v>
      </c>
      <c r="AL53" s="141">
        <v>0</v>
      </c>
      <c r="AM53" s="141">
        <v>0</v>
      </c>
      <c r="AN53" s="141">
        <v>0</v>
      </c>
      <c r="AO53" s="141">
        <v>0</v>
      </c>
      <c r="AP53" s="856">
        <v>0</v>
      </c>
      <c r="AQ53" s="856">
        <v>0</v>
      </c>
      <c r="AR53" s="857">
        <v>0</v>
      </c>
      <c r="AS53" t="s">
        <v>1619</v>
      </c>
    </row>
    <row r="54" spans="1:45" ht="12.75" x14ac:dyDescent="0.2">
      <c r="A54" s="764">
        <v>47</v>
      </c>
      <c r="B54" s="765" t="s">
        <v>770</v>
      </c>
      <c r="C54" s="766" t="s">
        <v>1217</v>
      </c>
      <c r="D54" s="767" t="s">
        <v>1219</v>
      </c>
      <c r="E54" s="768" t="s">
        <v>769</v>
      </c>
      <c r="F54" s="141">
        <v>42468332</v>
      </c>
      <c r="G54" s="141">
        <v>1626839</v>
      </c>
      <c r="H54" s="141">
        <v>44095171</v>
      </c>
      <c r="I54" s="141">
        <v>-262087</v>
      </c>
      <c r="J54" s="141">
        <v>-938</v>
      </c>
      <c r="K54" s="141">
        <v>-263025</v>
      </c>
      <c r="L54" s="141">
        <v>-1128212</v>
      </c>
      <c r="M54" s="141">
        <v>-39955</v>
      </c>
      <c r="N54" s="141">
        <v>-1168167</v>
      </c>
      <c r="O54" s="141">
        <v>41078033</v>
      </c>
      <c r="P54" s="141">
        <v>1585946</v>
      </c>
      <c r="Q54" s="141">
        <v>42663979</v>
      </c>
      <c r="R54" s="141">
        <v>349776</v>
      </c>
      <c r="S54" s="141">
        <v>5601</v>
      </c>
      <c r="T54" s="141">
        <v>355377</v>
      </c>
      <c r="U54" s="141">
        <v>0</v>
      </c>
      <c r="V54" s="141">
        <v>0</v>
      </c>
      <c r="W54" s="141">
        <v>0</v>
      </c>
      <c r="X54" s="141">
        <v>-504</v>
      </c>
      <c r="Y54" s="141">
        <v>1715250</v>
      </c>
      <c r="Z54" s="141">
        <v>0</v>
      </c>
      <c r="AA54" s="141">
        <v>0</v>
      </c>
      <c r="AB54" s="141">
        <v>0</v>
      </c>
      <c r="AC54" s="141">
        <v>0</v>
      </c>
      <c r="AD54" s="141">
        <v>0</v>
      </c>
      <c r="AE54" s="141">
        <v>0</v>
      </c>
      <c r="AF54" s="141">
        <v>163714</v>
      </c>
      <c r="AG54" s="141">
        <v>163714</v>
      </c>
      <c r="AH54" s="141">
        <v>0</v>
      </c>
      <c r="AI54" s="141">
        <v>0</v>
      </c>
      <c r="AJ54" s="141">
        <v>0</v>
      </c>
      <c r="AK54" s="141">
        <v>0</v>
      </c>
      <c r="AL54" s="141">
        <v>0</v>
      </c>
      <c r="AM54" s="141">
        <v>0</v>
      </c>
      <c r="AN54" s="141">
        <v>0</v>
      </c>
      <c r="AO54" s="141">
        <v>0</v>
      </c>
      <c r="AP54" s="856">
        <v>0</v>
      </c>
      <c r="AQ54" s="856">
        <v>163714</v>
      </c>
      <c r="AR54" s="857">
        <v>163714</v>
      </c>
      <c r="AS54" t="s">
        <v>1620</v>
      </c>
    </row>
    <row r="55" spans="1:45" ht="12.75" x14ac:dyDescent="0.2">
      <c r="A55" s="764">
        <v>48</v>
      </c>
      <c r="B55" s="765" t="s">
        <v>772</v>
      </c>
      <c r="C55" s="766" t="s">
        <v>1217</v>
      </c>
      <c r="D55" s="767" t="s">
        <v>1221</v>
      </c>
      <c r="E55" s="768" t="s">
        <v>771</v>
      </c>
      <c r="F55" s="141">
        <v>14729731</v>
      </c>
      <c r="G55" s="141">
        <v>0</v>
      </c>
      <c r="H55" s="141">
        <v>14729731</v>
      </c>
      <c r="I55" s="141">
        <v>-147300</v>
      </c>
      <c r="J55" s="141">
        <v>0</v>
      </c>
      <c r="K55" s="141">
        <v>-147300</v>
      </c>
      <c r="L55" s="141">
        <v>-754000</v>
      </c>
      <c r="M55" s="141">
        <v>0</v>
      </c>
      <c r="N55" s="141">
        <v>-754000</v>
      </c>
      <c r="O55" s="141">
        <v>13828431</v>
      </c>
      <c r="P55" s="141">
        <v>0</v>
      </c>
      <c r="Q55" s="141">
        <v>13828431</v>
      </c>
      <c r="R55" s="141">
        <v>0</v>
      </c>
      <c r="S55" s="141">
        <v>0</v>
      </c>
      <c r="T55" s="141">
        <v>0</v>
      </c>
      <c r="U55" s="141">
        <v>0</v>
      </c>
      <c r="V55" s="141">
        <v>0</v>
      </c>
      <c r="W55" s="141">
        <v>0</v>
      </c>
      <c r="X55" s="141">
        <v>0</v>
      </c>
      <c r="Y55" s="141">
        <v>0</v>
      </c>
      <c r="Z55" s="141">
        <v>0</v>
      </c>
      <c r="AA55" s="141">
        <v>0</v>
      </c>
      <c r="AB55" s="141">
        <v>0</v>
      </c>
      <c r="AC55" s="141">
        <v>0</v>
      </c>
      <c r="AD55" s="141">
        <v>0</v>
      </c>
      <c r="AE55" s="141">
        <v>0</v>
      </c>
      <c r="AF55" s="141">
        <v>0</v>
      </c>
      <c r="AG55" s="141">
        <v>0</v>
      </c>
      <c r="AH55" s="141">
        <v>0</v>
      </c>
      <c r="AI55" s="141">
        <v>0</v>
      </c>
      <c r="AJ55" s="141">
        <v>0</v>
      </c>
      <c r="AK55" s="141">
        <v>0</v>
      </c>
      <c r="AL55" s="141">
        <v>0</v>
      </c>
      <c r="AM55" s="141">
        <v>0</v>
      </c>
      <c r="AN55" s="141">
        <v>0</v>
      </c>
      <c r="AO55" s="141">
        <v>0</v>
      </c>
      <c r="AP55" s="856">
        <v>0</v>
      </c>
      <c r="AQ55" s="856">
        <v>0</v>
      </c>
      <c r="AR55" s="857">
        <v>0</v>
      </c>
      <c r="AS55" t="s">
        <v>1621</v>
      </c>
    </row>
    <row r="56" spans="1:45" ht="12.75" x14ac:dyDescent="0.2">
      <c r="A56" s="764">
        <v>49</v>
      </c>
      <c r="B56" s="765" t="s">
        <v>774</v>
      </c>
      <c r="C56" s="766" t="s">
        <v>529</v>
      </c>
      <c r="D56" s="767" t="s">
        <v>1221</v>
      </c>
      <c r="E56" s="768" t="s">
        <v>773</v>
      </c>
      <c r="F56" s="141">
        <v>95139971</v>
      </c>
      <c r="G56" s="141">
        <v>0</v>
      </c>
      <c r="H56" s="141">
        <v>95139971</v>
      </c>
      <c r="I56" s="141">
        <v>-500000</v>
      </c>
      <c r="J56" s="141">
        <v>0</v>
      </c>
      <c r="K56" s="141">
        <v>-500000</v>
      </c>
      <c r="L56" s="141">
        <v>-48681</v>
      </c>
      <c r="M56" s="141">
        <v>0</v>
      </c>
      <c r="N56" s="141">
        <v>-48681</v>
      </c>
      <c r="O56" s="141">
        <v>94591290</v>
      </c>
      <c r="P56" s="141">
        <v>0</v>
      </c>
      <c r="Q56" s="141">
        <v>94591290</v>
      </c>
      <c r="R56" s="141">
        <v>408398</v>
      </c>
      <c r="S56" s="141">
        <v>0</v>
      </c>
      <c r="T56" s="141">
        <v>408398</v>
      </c>
      <c r="U56" s="141">
        <v>0</v>
      </c>
      <c r="V56" s="141">
        <v>0</v>
      </c>
      <c r="W56" s="141">
        <v>0</v>
      </c>
      <c r="X56" s="141">
        <v>0</v>
      </c>
      <c r="Y56" s="141">
        <v>0</v>
      </c>
      <c r="Z56" s="141">
        <v>0</v>
      </c>
      <c r="AA56" s="141">
        <v>0</v>
      </c>
      <c r="AB56" s="141">
        <v>0</v>
      </c>
      <c r="AC56" s="141">
        <v>0</v>
      </c>
      <c r="AD56" s="141">
        <v>0</v>
      </c>
      <c r="AE56" s="141">
        <v>0</v>
      </c>
      <c r="AF56" s="141">
        <v>0</v>
      </c>
      <c r="AG56" s="141">
        <v>0</v>
      </c>
      <c r="AH56" s="141">
        <v>0</v>
      </c>
      <c r="AI56" s="141">
        <v>0</v>
      </c>
      <c r="AJ56" s="141">
        <v>0</v>
      </c>
      <c r="AK56" s="141">
        <v>0</v>
      </c>
      <c r="AL56" s="141">
        <v>0</v>
      </c>
      <c r="AM56" s="141">
        <v>0</v>
      </c>
      <c r="AN56" s="141">
        <v>0</v>
      </c>
      <c r="AO56" s="141">
        <v>0</v>
      </c>
      <c r="AP56" s="856">
        <v>0</v>
      </c>
      <c r="AQ56" s="856">
        <v>0</v>
      </c>
      <c r="AR56" s="857">
        <v>0</v>
      </c>
      <c r="AS56" t="s">
        <v>1622</v>
      </c>
    </row>
    <row r="57" spans="1:45" ht="12.75" x14ac:dyDescent="0.2">
      <c r="A57" s="764">
        <v>50</v>
      </c>
      <c r="B57" s="765" t="s">
        <v>776</v>
      </c>
      <c r="C57" s="766" t="s">
        <v>1217</v>
      </c>
      <c r="D57" s="767" t="s">
        <v>1220</v>
      </c>
      <c r="E57" s="768" t="s">
        <v>775</v>
      </c>
      <c r="F57" s="141">
        <v>47810908</v>
      </c>
      <c r="G57" s="141">
        <v>775080</v>
      </c>
      <c r="H57" s="141">
        <v>48585988</v>
      </c>
      <c r="I57" s="141">
        <v>-239054</v>
      </c>
      <c r="J57" s="141">
        <v>-1625</v>
      </c>
      <c r="K57" s="141">
        <v>-240679</v>
      </c>
      <c r="L57" s="141">
        <v>-2721208</v>
      </c>
      <c r="M57" s="141">
        <v>-13545</v>
      </c>
      <c r="N57" s="141">
        <v>-2734753</v>
      </c>
      <c r="O57" s="141">
        <v>44850646</v>
      </c>
      <c r="P57" s="141">
        <v>759910</v>
      </c>
      <c r="Q57" s="141">
        <v>45610556</v>
      </c>
      <c r="R57" s="141">
        <v>199790</v>
      </c>
      <c r="S57" s="141">
        <v>0</v>
      </c>
      <c r="T57" s="141">
        <v>199790</v>
      </c>
      <c r="U57" s="141">
        <v>0</v>
      </c>
      <c r="V57" s="141">
        <v>0</v>
      </c>
      <c r="W57" s="141">
        <v>0</v>
      </c>
      <c r="X57" s="141">
        <v>0</v>
      </c>
      <c r="Y57" s="141">
        <v>125384</v>
      </c>
      <c r="Z57" s="141">
        <v>634526</v>
      </c>
      <c r="AA57" s="141">
        <v>634526</v>
      </c>
      <c r="AB57" s="141">
        <v>0</v>
      </c>
      <c r="AC57" s="141">
        <v>0</v>
      </c>
      <c r="AD57" s="141">
        <v>0</v>
      </c>
      <c r="AE57" s="141">
        <v>0</v>
      </c>
      <c r="AF57" s="141">
        <v>0</v>
      </c>
      <c r="AG57" s="141">
        <v>0</v>
      </c>
      <c r="AH57" s="141">
        <v>0</v>
      </c>
      <c r="AI57" s="141">
        <v>0</v>
      </c>
      <c r="AJ57" s="141">
        <v>0</v>
      </c>
      <c r="AK57" s="141">
        <v>0</v>
      </c>
      <c r="AL57" s="141">
        <v>0</v>
      </c>
      <c r="AM57" s="141">
        <v>0</v>
      </c>
      <c r="AN57" s="141">
        <v>0</v>
      </c>
      <c r="AO57" s="141">
        <v>0</v>
      </c>
      <c r="AP57" s="856">
        <v>0</v>
      </c>
      <c r="AQ57" s="856">
        <v>0</v>
      </c>
      <c r="AR57" s="857">
        <v>0</v>
      </c>
      <c r="AS57" t="s">
        <v>1623</v>
      </c>
    </row>
    <row r="58" spans="1:45" ht="12.75" x14ac:dyDescent="0.2">
      <c r="A58" s="764">
        <v>51</v>
      </c>
      <c r="B58" s="765" t="s">
        <v>778</v>
      </c>
      <c r="C58" s="766" t="s">
        <v>1217</v>
      </c>
      <c r="D58" s="767" t="s">
        <v>1221</v>
      </c>
      <c r="E58" s="768" t="s">
        <v>777</v>
      </c>
      <c r="F58" s="141">
        <v>83203534</v>
      </c>
      <c r="G58" s="141">
        <v>0</v>
      </c>
      <c r="H58" s="141">
        <v>83203534</v>
      </c>
      <c r="I58" s="141">
        <v>-1226298</v>
      </c>
      <c r="J58" s="141">
        <v>0</v>
      </c>
      <c r="K58" s="141">
        <v>-1226298</v>
      </c>
      <c r="L58" s="141">
        <v>-2353854</v>
      </c>
      <c r="M58" s="141">
        <v>0</v>
      </c>
      <c r="N58" s="141">
        <v>-2353854</v>
      </c>
      <c r="O58" s="141">
        <v>79623382</v>
      </c>
      <c r="P58" s="141">
        <v>0</v>
      </c>
      <c r="Q58" s="141">
        <v>79623382</v>
      </c>
      <c r="R58" s="141">
        <v>0</v>
      </c>
      <c r="S58" s="141">
        <v>0</v>
      </c>
      <c r="T58" s="141">
        <v>0</v>
      </c>
      <c r="U58" s="141">
        <v>0</v>
      </c>
      <c r="V58" s="141">
        <v>0</v>
      </c>
      <c r="W58" s="141">
        <v>0</v>
      </c>
      <c r="X58" s="141">
        <v>0</v>
      </c>
      <c r="Y58" s="141">
        <v>0</v>
      </c>
      <c r="Z58" s="141">
        <v>0</v>
      </c>
      <c r="AA58" s="141">
        <v>0</v>
      </c>
      <c r="AB58" s="141">
        <v>0</v>
      </c>
      <c r="AC58" s="141">
        <v>0</v>
      </c>
      <c r="AD58" s="141">
        <v>0</v>
      </c>
      <c r="AE58" s="141">
        <v>0</v>
      </c>
      <c r="AF58" s="141">
        <v>0</v>
      </c>
      <c r="AG58" s="141">
        <v>0</v>
      </c>
      <c r="AH58" s="141">
        <v>0</v>
      </c>
      <c r="AI58" s="141">
        <v>0</v>
      </c>
      <c r="AJ58" s="141">
        <v>0</v>
      </c>
      <c r="AK58" s="141">
        <v>0</v>
      </c>
      <c r="AL58" s="141">
        <v>0</v>
      </c>
      <c r="AM58" s="141">
        <v>0</v>
      </c>
      <c r="AN58" s="141">
        <v>0</v>
      </c>
      <c r="AO58" s="141">
        <v>0</v>
      </c>
      <c r="AP58" s="856">
        <v>0</v>
      </c>
      <c r="AQ58" s="856">
        <v>0</v>
      </c>
      <c r="AR58" s="857">
        <v>0</v>
      </c>
      <c r="AS58" t="s">
        <v>1624</v>
      </c>
    </row>
    <row r="59" spans="1:45" ht="12.75" x14ac:dyDescent="0.2">
      <c r="A59" s="764">
        <v>52</v>
      </c>
      <c r="B59" s="765" t="s">
        <v>780</v>
      </c>
      <c r="C59" s="766" t="s">
        <v>1217</v>
      </c>
      <c r="D59" s="767" t="s">
        <v>1226</v>
      </c>
      <c r="E59" s="768" t="s">
        <v>779</v>
      </c>
      <c r="F59" s="141">
        <v>57282116</v>
      </c>
      <c r="G59" s="141">
        <v>0</v>
      </c>
      <c r="H59" s="141">
        <v>57282116</v>
      </c>
      <c r="I59" s="141">
        <v>-350000</v>
      </c>
      <c r="J59" s="141">
        <v>0</v>
      </c>
      <c r="K59" s="141">
        <v>-350000</v>
      </c>
      <c r="L59" s="141">
        <v>-1250000</v>
      </c>
      <c r="M59" s="141">
        <v>0</v>
      </c>
      <c r="N59" s="141">
        <v>-1250000</v>
      </c>
      <c r="O59" s="141">
        <v>55682116</v>
      </c>
      <c r="P59" s="141">
        <v>0</v>
      </c>
      <c r="Q59" s="141">
        <v>55682116</v>
      </c>
      <c r="R59" s="141">
        <v>0</v>
      </c>
      <c r="S59" s="141">
        <v>0</v>
      </c>
      <c r="T59" s="141">
        <v>0</v>
      </c>
      <c r="U59" s="141">
        <v>0</v>
      </c>
      <c r="V59" s="141">
        <v>0</v>
      </c>
      <c r="W59" s="141">
        <v>0</v>
      </c>
      <c r="X59" s="141">
        <v>0</v>
      </c>
      <c r="Y59" s="141">
        <v>0</v>
      </c>
      <c r="Z59" s="141">
        <v>0</v>
      </c>
      <c r="AA59" s="141">
        <v>0</v>
      </c>
      <c r="AB59" s="141">
        <v>0</v>
      </c>
      <c r="AC59" s="141">
        <v>0</v>
      </c>
      <c r="AD59" s="141">
        <v>0</v>
      </c>
      <c r="AE59" s="141">
        <v>0</v>
      </c>
      <c r="AF59" s="141">
        <v>0</v>
      </c>
      <c r="AG59" s="141">
        <v>0</v>
      </c>
      <c r="AH59" s="141">
        <v>0</v>
      </c>
      <c r="AI59" s="141">
        <v>0</v>
      </c>
      <c r="AJ59" s="141">
        <v>0</v>
      </c>
      <c r="AK59" s="141">
        <v>0</v>
      </c>
      <c r="AL59" s="141">
        <v>0</v>
      </c>
      <c r="AM59" s="141">
        <v>0</v>
      </c>
      <c r="AN59" s="141">
        <v>0</v>
      </c>
      <c r="AO59" s="141">
        <v>0</v>
      </c>
      <c r="AP59" s="856">
        <v>0</v>
      </c>
      <c r="AQ59" s="856">
        <v>0</v>
      </c>
      <c r="AR59" s="857">
        <v>0</v>
      </c>
      <c r="AS59" t="s">
        <v>1625</v>
      </c>
    </row>
    <row r="60" spans="1:45" ht="12.75" x14ac:dyDescent="0.2">
      <c r="A60" s="764">
        <v>53</v>
      </c>
      <c r="B60" s="765" t="s">
        <v>782</v>
      </c>
      <c r="C60" s="766" t="s">
        <v>1217</v>
      </c>
      <c r="D60" s="767" t="s">
        <v>1218</v>
      </c>
      <c r="E60" s="768" t="s">
        <v>781</v>
      </c>
      <c r="F60" s="141">
        <v>99607799</v>
      </c>
      <c r="G60" s="141">
        <v>0</v>
      </c>
      <c r="H60" s="141">
        <v>99607799</v>
      </c>
      <c r="I60" s="141">
        <v>-498039</v>
      </c>
      <c r="J60" s="141">
        <v>0</v>
      </c>
      <c r="K60" s="141">
        <v>-498039</v>
      </c>
      <c r="L60" s="141">
        <v>-4681567</v>
      </c>
      <c r="M60" s="141">
        <v>0</v>
      </c>
      <c r="N60" s="141">
        <v>-4681567</v>
      </c>
      <c r="O60" s="141">
        <v>94428193</v>
      </c>
      <c r="P60" s="141">
        <v>0</v>
      </c>
      <c r="Q60" s="141">
        <v>94428193</v>
      </c>
      <c r="R60" s="141">
        <v>484796</v>
      </c>
      <c r="S60" s="141">
        <v>0</v>
      </c>
      <c r="T60" s="141">
        <v>484796</v>
      </c>
      <c r="U60" s="141">
        <v>0</v>
      </c>
      <c r="V60" s="141">
        <v>0</v>
      </c>
      <c r="W60" s="141">
        <v>0</v>
      </c>
      <c r="X60" s="141">
        <v>0</v>
      </c>
      <c r="Y60" s="141">
        <v>0</v>
      </c>
      <c r="Z60" s="141">
        <v>0</v>
      </c>
      <c r="AA60" s="141">
        <v>0</v>
      </c>
      <c r="AB60" s="141">
        <v>0</v>
      </c>
      <c r="AC60" s="141">
        <v>0</v>
      </c>
      <c r="AD60" s="141">
        <v>0</v>
      </c>
      <c r="AE60" s="141">
        <v>0</v>
      </c>
      <c r="AF60" s="141">
        <v>0</v>
      </c>
      <c r="AG60" s="141">
        <v>0</v>
      </c>
      <c r="AH60" s="141">
        <v>0</v>
      </c>
      <c r="AI60" s="141">
        <v>0</v>
      </c>
      <c r="AJ60" s="141">
        <v>0</v>
      </c>
      <c r="AK60" s="141">
        <v>0</v>
      </c>
      <c r="AL60" s="141">
        <v>0</v>
      </c>
      <c r="AM60" s="141">
        <v>0</v>
      </c>
      <c r="AN60" s="141">
        <v>0</v>
      </c>
      <c r="AO60" s="141">
        <v>0</v>
      </c>
      <c r="AP60" s="856">
        <v>0</v>
      </c>
      <c r="AQ60" s="856">
        <v>0</v>
      </c>
      <c r="AR60" s="857">
        <v>0</v>
      </c>
      <c r="AS60" t="s">
        <v>1626</v>
      </c>
    </row>
    <row r="61" spans="1:45" ht="12.75" x14ac:dyDescent="0.2">
      <c r="A61" s="764">
        <v>54</v>
      </c>
      <c r="B61" s="765" t="s">
        <v>784</v>
      </c>
      <c r="C61" s="766" t="s">
        <v>529</v>
      </c>
      <c r="D61" s="767" t="s">
        <v>1219</v>
      </c>
      <c r="E61" s="768" t="s">
        <v>783</v>
      </c>
      <c r="F61" s="141">
        <v>143364533</v>
      </c>
      <c r="G61" s="141">
        <v>2785730</v>
      </c>
      <c r="H61" s="141">
        <v>146150263</v>
      </c>
      <c r="I61" s="141">
        <v>-1468063</v>
      </c>
      <c r="J61" s="141">
        <v>-31937</v>
      </c>
      <c r="K61" s="141">
        <v>-1500000</v>
      </c>
      <c r="L61" s="141">
        <v>-3700000</v>
      </c>
      <c r="M61" s="141">
        <v>0</v>
      </c>
      <c r="N61" s="141">
        <v>-3700000</v>
      </c>
      <c r="O61" s="141">
        <v>138196470</v>
      </c>
      <c r="P61" s="141">
        <v>2753793</v>
      </c>
      <c r="Q61" s="141">
        <v>140950263</v>
      </c>
      <c r="R61" s="141">
        <v>87517</v>
      </c>
      <c r="S61" s="141">
        <v>0</v>
      </c>
      <c r="T61" s="141">
        <v>87517</v>
      </c>
      <c r="U61" s="141">
        <v>0</v>
      </c>
      <c r="V61" s="141">
        <v>0</v>
      </c>
      <c r="W61" s="141">
        <v>0</v>
      </c>
      <c r="X61" s="141">
        <v>60597</v>
      </c>
      <c r="Y61" s="141">
        <v>2374316</v>
      </c>
      <c r="Z61" s="141">
        <v>440074</v>
      </c>
      <c r="AA61" s="141">
        <v>440074</v>
      </c>
      <c r="AB61" s="141">
        <v>0</v>
      </c>
      <c r="AC61" s="141">
        <v>0</v>
      </c>
      <c r="AD61" s="141">
        <v>0</v>
      </c>
      <c r="AE61" s="141">
        <v>0</v>
      </c>
      <c r="AF61" s="141">
        <v>437400</v>
      </c>
      <c r="AG61" s="141">
        <v>437400</v>
      </c>
      <c r="AH61" s="141">
        <v>0</v>
      </c>
      <c r="AI61" s="141">
        <v>0</v>
      </c>
      <c r="AJ61" s="141">
        <v>0</v>
      </c>
      <c r="AK61" s="141">
        <v>0</v>
      </c>
      <c r="AL61" s="141">
        <v>0</v>
      </c>
      <c r="AM61" s="141">
        <v>0</v>
      </c>
      <c r="AN61" s="141">
        <v>0</v>
      </c>
      <c r="AO61" s="141">
        <v>0</v>
      </c>
      <c r="AP61" s="856">
        <v>0</v>
      </c>
      <c r="AQ61" s="856">
        <v>437400</v>
      </c>
      <c r="AR61" s="857">
        <v>437400</v>
      </c>
      <c r="AS61" t="s">
        <v>1627</v>
      </c>
    </row>
    <row r="62" spans="1:45" ht="12.75" x14ac:dyDescent="0.2">
      <c r="A62" s="764">
        <v>55</v>
      </c>
      <c r="B62" s="765" t="s">
        <v>785</v>
      </c>
      <c r="C62" s="766" t="s">
        <v>529</v>
      </c>
      <c r="D62" s="767" t="s">
        <v>1219</v>
      </c>
      <c r="E62" s="768" t="s">
        <v>551</v>
      </c>
      <c r="F62" s="141">
        <v>163933439</v>
      </c>
      <c r="G62" s="141">
        <v>232881</v>
      </c>
      <c r="H62" s="141">
        <v>164166320</v>
      </c>
      <c r="I62" s="141">
        <v>-2000000</v>
      </c>
      <c r="J62" s="141">
        <v>0</v>
      </c>
      <c r="K62" s="141">
        <v>-2000000</v>
      </c>
      <c r="L62" s="141">
        <v>-13400000</v>
      </c>
      <c r="M62" s="141">
        <v>0</v>
      </c>
      <c r="N62" s="141">
        <v>-13400000</v>
      </c>
      <c r="O62" s="141">
        <v>148533439</v>
      </c>
      <c r="P62" s="141">
        <v>232881</v>
      </c>
      <c r="Q62" s="141">
        <v>148766320</v>
      </c>
      <c r="R62" s="141">
        <v>484000</v>
      </c>
      <c r="S62" s="141">
        <v>0</v>
      </c>
      <c r="T62" s="141">
        <v>484000</v>
      </c>
      <c r="U62" s="141">
        <v>0</v>
      </c>
      <c r="V62" s="141">
        <v>0</v>
      </c>
      <c r="W62" s="141">
        <v>0</v>
      </c>
      <c r="X62" s="141">
        <v>0</v>
      </c>
      <c r="Y62" s="141">
        <v>176403</v>
      </c>
      <c r="Z62" s="141">
        <v>56478</v>
      </c>
      <c r="AA62" s="141">
        <v>56478</v>
      </c>
      <c r="AB62" s="141">
        <v>0</v>
      </c>
      <c r="AC62" s="141">
        <v>0</v>
      </c>
      <c r="AD62" s="141">
        <v>0</v>
      </c>
      <c r="AE62" s="141">
        <v>0</v>
      </c>
      <c r="AF62" s="141">
        <v>219826</v>
      </c>
      <c r="AG62" s="141">
        <v>219826</v>
      </c>
      <c r="AH62" s="141">
        <v>0</v>
      </c>
      <c r="AI62" s="141">
        <v>0</v>
      </c>
      <c r="AJ62" s="141">
        <v>0</v>
      </c>
      <c r="AK62" s="141">
        <v>0</v>
      </c>
      <c r="AL62" s="141">
        <v>0</v>
      </c>
      <c r="AM62" s="141">
        <v>0</v>
      </c>
      <c r="AN62" s="141">
        <v>0</v>
      </c>
      <c r="AO62" s="141">
        <v>0</v>
      </c>
      <c r="AP62" s="856">
        <v>0</v>
      </c>
      <c r="AQ62" s="856">
        <v>219826</v>
      </c>
      <c r="AR62" s="857">
        <v>219826</v>
      </c>
      <c r="AS62" t="s">
        <v>1628</v>
      </c>
    </row>
    <row r="63" spans="1:45" ht="12.75" x14ac:dyDescent="0.2">
      <c r="A63" s="764">
        <v>56</v>
      </c>
      <c r="B63" s="765" t="s">
        <v>787</v>
      </c>
      <c r="C63" s="766" t="s">
        <v>1217</v>
      </c>
      <c r="D63" s="767" t="s">
        <v>1220</v>
      </c>
      <c r="E63" s="768" t="s">
        <v>786</v>
      </c>
      <c r="F63" s="141">
        <v>39120635</v>
      </c>
      <c r="G63" s="141">
        <v>1890253</v>
      </c>
      <c r="H63" s="141">
        <v>41010888</v>
      </c>
      <c r="I63" s="141">
        <v>-391206</v>
      </c>
      <c r="J63" s="141">
        <v>0</v>
      </c>
      <c r="K63" s="141">
        <v>-391206</v>
      </c>
      <c r="L63" s="141">
        <v>-1914388</v>
      </c>
      <c r="M63" s="141">
        <v>0</v>
      </c>
      <c r="N63" s="141">
        <v>-1914388</v>
      </c>
      <c r="O63" s="141">
        <v>36815041</v>
      </c>
      <c r="P63" s="141">
        <v>1890253</v>
      </c>
      <c r="Q63" s="141">
        <v>38705294</v>
      </c>
      <c r="R63" s="141">
        <v>49532</v>
      </c>
      <c r="S63" s="141">
        <v>0</v>
      </c>
      <c r="T63" s="141">
        <v>49532</v>
      </c>
      <c r="U63" s="141">
        <v>0</v>
      </c>
      <c r="V63" s="141">
        <v>0</v>
      </c>
      <c r="W63" s="141">
        <v>0</v>
      </c>
      <c r="X63" s="141">
        <v>0</v>
      </c>
      <c r="Y63" s="141">
        <v>0</v>
      </c>
      <c r="Z63" s="141">
        <v>1890253</v>
      </c>
      <c r="AA63" s="141">
        <v>1890253</v>
      </c>
      <c r="AB63" s="141">
        <v>0</v>
      </c>
      <c r="AC63" s="141">
        <v>0</v>
      </c>
      <c r="AD63" s="141">
        <v>0</v>
      </c>
      <c r="AE63" s="141">
        <v>0</v>
      </c>
      <c r="AF63" s="141">
        <v>0</v>
      </c>
      <c r="AG63" s="141">
        <v>0</v>
      </c>
      <c r="AH63" s="141">
        <v>0</v>
      </c>
      <c r="AI63" s="141">
        <v>0</v>
      </c>
      <c r="AJ63" s="141">
        <v>0</v>
      </c>
      <c r="AK63" s="141">
        <v>0</v>
      </c>
      <c r="AL63" s="141">
        <v>0</v>
      </c>
      <c r="AM63" s="141">
        <v>0</v>
      </c>
      <c r="AN63" s="141">
        <v>0</v>
      </c>
      <c r="AO63" s="141">
        <v>0</v>
      </c>
      <c r="AP63" s="856">
        <v>0</v>
      </c>
      <c r="AQ63" s="856">
        <v>0</v>
      </c>
      <c r="AR63" s="857">
        <v>0</v>
      </c>
      <c r="AS63" t="s">
        <v>1629</v>
      </c>
    </row>
    <row r="64" spans="1:45" ht="12.75" x14ac:dyDescent="0.2">
      <c r="A64" s="764">
        <v>57</v>
      </c>
      <c r="B64" s="765" t="s">
        <v>789</v>
      </c>
      <c r="C64" s="766" t="s">
        <v>1217</v>
      </c>
      <c r="D64" s="767" t="s">
        <v>1218</v>
      </c>
      <c r="E64" s="768" t="s">
        <v>788</v>
      </c>
      <c r="F64" s="141">
        <v>49988108</v>
      </c>
      <c r="G64" s="141">
        <v>0</v>
      </c>
      <c r="H64" s="141">
        <v>49988108</v>
      </c>
      <c r="I64" s="141">
        <v>-550000</v>
      </c>
      <c r="J64" s="141">
        <v>0</v>
      </c>
      <c r="K64" s="141">
        <v>-550000</v>
      </c>
      <c r="L64" s="141">
        <v>-1960000</v>
      </c>
      <c r="M64" s="141">
        <v>0</v>
      </c>
      <c r="N64" s="141">
        <v>-1960000</v>
      </c>
      <c r="O64" s="141">
        <v>47478108</v>
      </c>
      <c r="P64" s="141">
        <v>0</v>
      </c>
      <c r="Q64" s="141">
        <v>47478108</v>
      </c>
      <c r="R64" s="141">
        <v>118534</v>
      </c>
      <c r="S64" s="141">
        <v>0</v>
      </c>
      <c r="T64" s="141">
        <v>118534</v>
      </c>
      <c r="U64" s="141">
        <v>0</v>
      </c>
      <c r="V64" s="141">
        <v>0</v>
      </c>
      <c r="W64" s="141">
        <v>0</v>
      </c>
      <c r="X64" s="141">
        <v>0</v>
      </c>
      <c r="Y64" s="141">
        <v>0</v>
      </c>
      <c r="Z64" s="141">
        <v>0</v>
      </c>
      <c r="AA64" s="141">
        <v>0</v>
      </c>
      <c r="AB64" s="141">
        <v>0</v>
      </c>
      <c r="AC64" s="141">
        <v>0</v>
      </c>
      <c r="AD64" s="141">
        <v>0</v>
      </c>
      <c r="AE64" s="141">
        <v>0</v>
      </c>
      <c r="AF64" s="141">
        <v>0</v>
      </c>
      <c r="AG64" s="141">
        <v>0</v>
      </c>
      <c r="AH64" s="141">
        <v>0</v>
      </c>
      <c r="AI64" s="141">
        <v>0</v>
      </c>
      <c r="AJ64" s="141">
        <v>0</v>
      </c>
      <c r="AK64" s="141">
        <v>0</v>
      </c>
      <c r="AL64" s="141">
        <v>0</v>
      </c>
      <c r="AM64" s="141">
        <v>0</v>
      </c>
      <c r="AN64" s="141">
        <v>0</v>
      </c>
      <c r="AO64" s="141">
        <v>0</v>
      </c>
      <c r="AP64" s="856">
        <v>0</v>
      </c>
      <c r="AQ64" s="856">
        <v>0</v>
      </c>
      <c r="AR64" s="857">
        <v>0</v>
      </c>
      <c r="AS64" t="s">
        <v>1630</v>
      </c>
    </row>
    <row r="65" spans="1:45" ht="12.75" x14ac:dyDescent="0.2">
      <c r="A65" s="764">
        <v>58</v>
      </c>
      <c r="B65" s="765" t="s">
        <v>791</v>
      </c>
      <c r="C65" s="766" t="s">
        <v>1217</v>
      </c>
      <c r="D65" s="767" t="s">
        <v>1218</v>
      </c>
      <c r="E65" s="768" t="s">
        <v>790</v>
      </c>
      <c r="F65" s="141">
        <v>21818402.830000002</v>
      </c>
      <c r="G65" s="141">
        <v>0</v>
      </c>
      <c r="H65" s="141">
        <v>21818402.830000002</v>
      </c>
      <c r="I65" s="141">
        <v>-211004</v>
      </c>
      <c r="J65" s="141">
        <v>0</v>
      </c>
      <c r="K65" s="141">
        <v>-211004</v>
      </c>
      <c r="L65" s="141">
        <v>-706953</v>
      </c>
      <c r="M65" s="141">
        <v>0</v>
      </c>
      <c r="N65" s="141">
        <v>-706953</v>
      </c>
      <c r="O65" s="141">
        <v>20900445.830000002</v>
      </c>
      <c r="P65" s="141">
        <v>0</v>
      </c>
      <c r="Q65" s="141">
        <v>20900445.830000002</v>
      </c>
      <c r="R65" s="141">
        <v>0</v>
      </c>
      <c r="S65" s="141">
        <v>0</v>
      </c>
      <c r="T65" s="141">
        <v>0</v>
      </c>
      <c r="U65" s="141">
        <v>0</v>
      </c>
      <c r="V65" s="141">
        <v>0</v>
      </c>
      <c r="W65" s="141">
        <v>0</v>
      </c>
      <c r="X65" s="141">
        <v>0</v>
      </c>
      <c r="Y65" s="141">
        <v>0</v>
      </c>
      <c r="Z65" s="141">
        <v>0</v>
      </c>
      <c r="AA65" s="141">
        <v>0</v>
      </c>
      <c r="AB65" s="141">
        <v>0</v>
      </c>
      <c r="AC65" s="141">
        <v>0</v>
      </c>
      <c r="AD65" s="141">
        <v>0</v>
      </c>
      <c r="AE65" s="141">
        <v>0</v>
      </c>
      <c r="AF65" s="141">
        <v>0</v>
      </c>
      <c r="AG65" s="141">
        <v>0</v>
      </c>
      <c r="AH65" s="141">
        <v>0</v>
      </c>
      <c r="AI65" s="141">
        <v>0</v>
      </c>
      <c r="AJ65" s="141">
        <v>0</v>
      </c>
      <c r="AK65" s="141">
        <v>0</v>
      </c>
      <c r="AL65" s="141">
        <v>0</v>
      </c>
      <c r="AM65" s="141">
        <v>0</v>
      </c>
      <c r="AN65" s="141">
        <v>0</v>
      </c>
      <c r="AO65" s="141">
        <v>0</v>
      </c>
      <c r="AP65" s="856">
        <v>0</v>
      </c>
      <c r="AQ65" s="856">
        <v>0</v>
      </c>
      <c r="AR65" s="857">
        <v>0</v>
      </c>
      <c r="AS65" t="s">
        <v>1631</v>
      </c>
    </row>
    <row r="66" spans="1:45" ht="12.75" x14ac:dyDescent="0.2">
      <c r="A66" s="764">
        <v>59</v>
      </c>
      <c r="B66" s="765" t="s">
        <v>793</v>
      </c>
      <c r="C66" s="766" t="s">
        <v>1217</v>
      </c>
      <c r="D66" s="767" t="s">
        <v>1219</v>
      </c>
      <c r="E66" s="768" t="s">
        <v>792</v>
      </c>
      <c r="F66" s="141">
        <v>26330874</v>
      </c>
      <c r="G66" s="141">
        <v>0</v>
      </c>
      <c r="H66" s="141">
        <v>26330874</v>
      </c>
      <c r="I66" s="141">
        <v>-263000</v>
      </c>
      <c r="J66" s="141">
        <v>0</v>
      </c>
      <c r="K66" s="141">
        <v>-263000</v>
      </c>
      <c r="L66" s="141">
        <v>-1238000</v>
      </c>
      <c r="M66" s="141">
        <v>0</v>
      </c>
      <c r="N66" s="141">
        <v>-1238000</v>
      </c>
      <c r="O66" s="141">
        <v>24829874</v>
      </c>
      <c r="P66" s="141">
        <v>0</v>
      </c>
      <c r="Q66" s="141">
        <v>24829874</v>
      </c>
      <c r="R66" s="141">
        <v>0</v>
      </c>
      <c r="S66" s="141">
        <v>0</v>
      </c>
      <c r="T66" s="141">
        <v>0</v>
      </c>
      <c r="U66" s="141">
        <v>0</v>
      </c>
      <c r="V66" s="141">
        <v>0</v>
      </c>
      <c r="W66" s="141">
        <v>0</v>
      </c>
      <c r="X66" s="141">
        <v>0</v>
      </c>
      <c r="Y66" s="141">
        <v>0</v>
      </c>
      <c r="Z66" s="141">
        <v>0</v>
      </c>
      <c r="AA66" s="141">
        <v>0</v>
      </c>
      <c r="AB66" s="141">
        <v>0</v>
      </c>
      <c r="AC66" s="141">
        <v>0</v>
      </c>
      <c r="AD66" s="141">
        <v>0</v>
      </c>
      <c r="AE66" s="141">
        <v>0</v>
      </c>
      <c r="AF66" s="141">
        <v>0</v>
      </c>
      <c r="AG66" s="141">
        <v>0</v>
      </c>
      <c r="AH66" s="141">
        <v>0</v>
      </c>
      <c r="AI66" s="141">
        <v>0</v>
      </c>
      <c r="AJ66" s="141">
        <v>0</v>
      </c>
      <c r="AK66" s="141">
        <v>0</v>
      </c>
      <c r="AL66" s="141">
        <v>0</v>
      </c>
      <c r="AM66" s="141">
        <v>0</v>
      </c>
      <c r="AN66" s="141">
        <v>0</v>
      </c>
      <c r="AO66" s="141">
        <v>0</v>
      </c>
      <c r="AP66" s="856">
        <v>0</v>
      </c>
      <c r="AQ66" s="856">
        <v>0</v>
      </c>
      <c r="AR66" s="857">
        <v>0</v>
      </c>
      <c r="AS66" t="s">
        <v>1632</v>
      </c>
    </row>
    <row r="67" spans="1:45" ht="12.75" x14ac:dyDescent="0.2">
      <c r="A67" s="764">
        <v>60</v>
      </c>
      <c r="B67" s="765" t="s">
        <v>0</v>
      </c>
      <c r="C67" s="766" t="s">
        <v>1228</v>
      </c>
      <c r="D67" s="767" t="s">
        <v>1223</v>
      </c>
      <c r="E67" s="768" t="s">
        <v>794</v>
      </c>
      <c r="F67" s="141">
        <v>1234560202</v>
      </c>
      <c r="G67" s="141">
        <v>0</v>
      </c>
      <c r="H67" s="141">
        <v>1234560202</v>
      </c>
      <c r="I67" s="141">
        <v>-16049283</v>
      </c>
      <c r="J67" s="141">
        <v>0</v>
      </c>
      <c r="K67" s="141">
        <v>-16049283</v>
      </c>
      <c r="L67" s="141">
        <v>-58828751</v>
      </c>
      <c r="M67" s="141">
        <v>0</v>
      </c>
      <c r="N67" s="141">
        <v>-58828751</v>
      </c>
      <c r="O67" s="141">
        <v>1159682168</v>
      </c>
      <c r="P67" s="141">
        <v>0</v>
      </c>
      <c r="Q67" s="141">
        <v>1159682168</v>
      </c>
      <c r="R67" s="141">
        <v>0</v>
      </c>
      <c r="S67" s="141">
        <v>0</v>
      </c>
      <c r="T67" s="141">
        <v>0</v>
      </c>
      <c r="U67" s="141">
        <v>0</v>
      </c>
      <c r="V67" s="141">
        <v>0</v>
      </c>
      <c r="W67" s="141">
        <v>0</v>
      </c>
      <c r="X67" s="141">
        <v>0</v>
      </c>
      <c r="Y67" s="141">
        <v>0</v>
      </c>
      <c r="Z67" s="141">
        <v>0</v>
      </c>
      <c r="AA67" s="141">
        <v>0</v>
      </c>
      <c r="AB67" s="141">
        <v>0</v>
      </c>
      <c r="AC67" s="141">
        <v>0</v>
      </c>
      <c r="AD67" s="141">
        <v>0</v>
      </c>
      <c r="AE67" s="141">
        <v>0</v>
      </c>
      <c r="AF67" s="141">
        <v>0</v>
      </c>
      <c r="AG67" s="141">
        <v>0</v>
      </c>
      <c r="AH67" s="141">
        <v>0</v>
      </c>
      <c r="AI67" s="141">
        <v>0</v>
      </c>
      <c r="AJ67" s="141">
        <v>0</v>
      </c>
      <c r="AK67" s="141">
        <v>0</v>
      </c>
      <c r="AL67" s="141">
        <v>0</v>
      </c>
      <c r="AM67" s="141">
        <v>0</v>
      </c>
      <c r="AN67" s="141">
        <v>0</v>
      </c>
      <c r="AO67" s="141">
        <v>0</v>
      </c>
      <c r="AP67" s="856">
        <v>0</v>
      </c>
      <c r="AQ67" s="856">
        <v>0</v>
      </c>
      <c r="AR67" s="857">
        <v>0</v>
      </c>
      <c r="AS67" t="s">
        <v>1633</v>
      </c>
    </row>
    <row r="68" spans="1:45" ht="12.75" x14ac:dyDescent="0.2">
      <c r="A68" s="764">
        <v>61</v>
      </c>
      <c r="B68" s="765" t="s">
        <v>2</v>
      </c>
      <c r="C68" s="766" t="s">
        <v>1217</v>
      </c>
      <c r="D68" s="767" t="s">
        <v>1221</v>
      </c>
      <c r="E68" s="768" t="s">
        <v>1</v>
      </c>
      <c r="F68" s="141">
        <v>65934054</v>
      </c>
      <c r="G68" s="141">
        <v>0</v>
      </c>
      <c r="H68" s="141">
        <v>65934054</v>
      </c>
      <c r="I68" s="141">
        <v>-1323228</v>
      </c>
      <c r="J68" s="141">
        <v>0</v>
      </c>
      <c r="K68" s="141">
        <v>-1323228</v>
      </c>
      <c r="L68" s="141">
        <v>-2010000</v>
      </c>
      <c r="M68" s="141">
        <v>0</v>
      </c>
      <c r="N68" s="141">
        <v>-2010000</v>
      </c>
      <c r="O68" s="141">
        <v>62600826</v>
      </c>
      <c r="P68" s="141">
        <v>0</v>
      </c>
      <c r="Q68" s="141">
        <v>62600826</v>
      </c>
      <c r="R68" s="141">
        <v>0</v>
      </c>
      <c r="S68" s="141">
        <v>0</v>
      </c>
      <c r="T68" s="141">
        <v>0</v>
      </c>
      <c r="U68" s="141">
        <v>0</v>
      </c>
      <c r="V68" s="141">
        <v>0</v>
      </c>
      <c r="W68" s="141">
        <v>0</v>
      </c>
      <c r="X68" s="141">
        <v>0</v>
      </c>
      <c r="Y68" s="141">
        <v>0</v>
      </c>
      <c r="Z68" s="141">
        <v>0</v>
      </c>
      <c r="AA68" s="141">
        <v>0</v>
      </c>
      <c r="AB68" s="141">
        <v>0</v>
      </c>
      <c r="AC68" s="141">
        <v>0</v>
      </c>
      <c r="AD68" s="141">
        <v>0</v>
      </c>
      <c r="AE68" s="141">
        <v>0</v>
      </c>
      <c r="AF68" s="141">
        <v>0</v>
      </c>
      <c r="AG68" s="141">
        <v>0</v>
      </c>
      <c r="AH68" s="141">
        <v>0</v>
      </c>
      <c r="AI68" s="141">
        <v>0</v>
      </c>
      <c r="AJ68" s="141">
        <v>0</v>
      </c>
      <c r="AK68" s="141">
        <v>0</v>
      </c>
      <c r="AL68" s="141">
        <v>0</v>
      </c>
      <c r="AM68" s="141">
        <v>0</v>
      </c>
      <c r="AN68" s="141">
        <v>0</v>
      </c>
      <c r="AO68" s="141">
        <v>0</v>
      </c>
      <c r="AP68" s="856">
        <v>0</v>
      </c>
      <c r="AQ68" s="856">
        <v>0</v>
      </c>
      <c r="AR68" s="857">
        <v>0</v>
      </c>
      <c r="AS68" t="s">
        <v>1634</v>
      </c>
    </row>
    <row r="69" spans="1:45" ht="12.75" x14ac:dyDescent="0.2">
      <c r="A69" s="764">
        <v>62</v>
      </c>
      <c r="B69" s="765" t="s">
        <v>4</v>
      </c>
      <c r="C69" s="766" t="s">
        <v>1217</v>
      </c>
      <c r="D69" s="767" t="s">
        <v>1219</v>
      </c>
      <c r="E69" s="768" t="s">
        <v>3</v>
      </c>
      <c r="F69" s="141">
        <v>41759746</v>
      </c>
      <c r="G69" s="141">
        <v>0</v>
      </c>
      <c r="H69" s="141">
        <v>41759746</v>
      </c>
      <c r="I69" s="141">
        <v>-175000</v>
      </c>
      <c r="J69" s="141">
        <v>0</v>
      </c>
      <c r="K69" s="141">
        <v>-175000</v>
      </c>
      <c r="L69" s="141">
        <v>-1687893</v>
      </c>
      <c r="M69" s="141">
        <v>0</v>
      </c>
      <c r="N69" s="141">
        <v>-1687893</v>
      </c>
      <c r="O69" s="141">
        <v>39896853</v>
      </c>
      <c r="P69" s="141">
        <v>0</v>
      </c>
      <c r="Q69" s="141">
        <v>39896853</v>
      </c>
      <c r="R69" s="141">
        <v>50962</v>
      </c>
      <c r="S69" s="141">
        <v>0</v>
      </c>
      <c r="T69" s="141">
        <v>50962</v>
      </c>
      <c r="U69" s="141">
        <v>0</v>
      </c>
      <c r="V69" s="141">
        <v>0</v>
      </c>
      <c r="W69" s="141">
        <v>0</v>
      </c>
      <c r="X69" s="141">
        <v>0</v>
      </c>
      <c r="Y69" s="141">
        <v>0</v>
      </c>
      <c r="Z69" s="141">
        <v>0</v>
      </c>
      <c r="AA69" s="141">
        <v>0</v>
      </c>
      <c r="AB69" s="141">
        <v>0</v>
      </c>
      <c r="AC69" s="141">
        <v>0</v>
      </c>
      <c r="AD69" s="141">
        <v>0</v>
      </c>
      <c r="AE69" s="141">
        <v>0</v>
      </c>
      <c r="AF69" s="141">
        <v>0</v>
      </c>
      <c r="AG69" s="141">
        <v>0</v>
      </c>
      <c r="AH69" s="141">
        <v>0</v>
      </c>
      <c r="AI69" s="141">
        <v>0</v>
      </c>
      <c r="AJ69" s="141">
        <v>0</v>
      </c>
      <c r="AK69" s="141">
        <v>0</v>
      </c>
      <c r="AL69" s="141">
        <v>0</v>
      </c>
      <c r="AM69" s="141">
        <v>0</v>
      </c>
      <c r="AN69" s="141">
        <v>0</v>
      </c>
      <c r="AO69" s="141">
        <v>0</v>
      </c>
      <c r="AP69" s="856">
        <v>0</v>
      </c>
      <c r="AQ69" s="856">
        <v>0</v>
      </c>
      <c r="AR69" s="857">
        <v>0</v>
      </c>
      <c r="AS69" t="s">
        <v>1635</v>
      </c>
    </row>
    <row r="70" spans="1:45" ht="12.75" x14ac:dyDescent="0.2">
      <c r="A70" s="764">
        <v>63</v>
      </c>
      <c r="B70" s="765" t="s">
        <v>6</v>
      </c>
      <c r="C70" s="766" t="s">
        <v>1217</v>
      </c>
      <c r="D70" s="767" t="s">
        <v>1220</v>
      </c>
      <c r="E70" s="768" t="s">
        <v>5</v>
      </c>
      <c r="F70" s="141">
        <v>37885491</v>
      </c>
      <c r="G70" s="141">
        <v>0</v>
      </c>
      <c r="H70" s="141">
        <v>37885491</v>
      </c>
      <c r="I70" s="141">
        <v>-300000</v>
      </c>
      <c r="J70" s="141">
        <v>0</v>
      </c>
      <c r="K70" s="141">
        <v>-300000</v>
      </c>
      <c r="L70" s="141">
        <v>-700000</v>
      </c>
      <c r="M70" s="141">
        <v>0</v>
      </c>
      <c r="N70" s="141">
        <v>-700000</v>
      </c>
      <c r="O70" s="141">
        <v>36885491</v>
      </c>
      <c r="P70" s="141">
        <v>0</v>
      </c>
      <c r="Q70" s="141">
        <v>36885491</v>
      </c>
      <c r="R70" s="141">
        <v>0</v>
      </c>
      <c r="S70" s="141">
        <v>0</v>
      </c>
      <c r="T70" s="141">
        <v>0</v>
      </c>
      <c r="U70" s="141">
        <v>0</v>
      </c>
      <c r="V70" s="141">
        <v>0</v>
      </c>
      <c r="W70" s="141">
        <v>0</v>
      </c>
      <c r="X70" s="141">
        <v>0</v>
      </c>
      <c r="Y70" s="141">
        <v>0</v>
      </c>
      <c r="Z70" s="141">
        <v>0</v>
      </c>
      <c r="AA70" s="141">
        <v>0</v>
      </c>
      <c r="AB70" s="141">
        <v>0</v>
      </c>
      <c r="AC70" s="141">
        <v>0</v>
      </c>
      <c r="AD70" s="141">
        <v>0</v>
      </c>
      <c r="AE70" s="141">
        <v>0</v>
      </c>
      <c r="AF70" s="141">
        <v>0</v>
      </c>
      <c r="AG70" s="141">
        <v>0</v>
      </c>
      <c r="AH70" s="141">
        <v>0</v>
      </c>
      <c r="AI70" s="141">
        <v>0</v>
      </c>
      <c r="AJ70" s="141">
        <v>0</v>
      </c>
      <c r="AK70" s="141">
        <v>0</v>
      </c>
      <c r="AL70" s="141">
        <v>0</v>
      </c>
      <c r="AM70" s="141">
        <v>0</v>
      </c>
      <c r="AN70" s="141">
        <v>0</v>
      </c>
      <c r="AO70" s="141">
        <v>0</v>
      </c>
      <c r="AP70" s="856">
        <v>0</v>
      </c>
      <c r="AQ70" s="856">
        <v>0</v>
      </c>
      <c r="AR70" s="857">
        <v>0</v>
      </c>
      <c r="AS70" t="s">
        <v>1636</v>
      </c>
    </row>
    <row r="71" spans="1:45" ht="12.75" x14ac:dyDescent="0.2">
      <c r="A71" s="764">
        <v>64</v>
      </c>
      <c r="B71" s="765" t="s">
        <v>8</v>
      </c>
      <c r="C71" s="766" t="s">
        <v>529</v>
      </c>
      <c r="D71" s="767" t="s">
        <v>1226</v>
      </c>
      <c r="E71" s="768" t="s">
        <v>7</v>
      </c>
      <c r="F71" s="141">
        <v>162667607</v>
      </c>
      <c r="G71" s="141">
        <v>795254</v>
      </c>
      <c r="H71" s="141">
        <v>163462861</v>
      </c>
      <c r="I71" s="141">
        <v>-1690000</v>
      </c>
      <c r="J71" s="141">
        <v>0</v>
      </c>
      <c r="K71" s="141">
        <v>-1690000</v>
      </c>
      <c r="L71" s="141">
        <v>-9900000</v>
      </c>
      <c r="M71" s="141">
        <v>0</v>
      </c>
      <c r="N71" s="141">
        <v>-9900000</v>
      </c>
      <c r="O71" s="141">
        <v>151077607</v>
      </c>
      <c r="P71" s="141">
        <v>795254</v>
      </c>
      <c r="Q71" s="141">
        <v>151872861</v>
      </c>
      <c r="R71" s="141">
        <v>1900000</v>
      </c>
      <c r="S71" s="141">
        <v>0</v>
      </c>
      <c r="T71" s="141">
        <v>1900000</v>
      </c>
      <c r="U71" s="141">
        <v>0</v>
      </c>
      <c r="V71" s="141">
        <v>0</v>
      </c>
      <c r="W71" s="141">
        <v>0</v>
      </c>
      <c r="X71" s="141">
        <v>0</v>
      </c>
      <c r="Y71" s="141">
        <v>696593</v>
      </c>
      <c r="Z71" s="141">
        <v>111455</v>
      </c>
      <c r="AA71" s="141">
        <v>111455</v>
      </c>
      <c r="AB71" s="141">
        <v>0</v>
      </c>
      <c r="AC71" s="141">
        <v>266978</v>
      </c>
      <c r="AD71" s="141">
        <v>266978</v>
      </c>
      <c r="AE71" s="141">
        <v>0</v>
      </c>
      <c r="AF71" s="141">
        <v>0</v>
      </c>
      <c r="AG71" s="141">
        <v>0</v>
      </c>
      <c r="AH71" s="141">
        <v>0</v>
      </c>
      <c r="AI71" s="141">
        <v>0</v>
      </c>
      <c r="AJ71" s="141">
        <v>0</v>
      </c>
      <c r="AK71" s="141">
        <v>0</v>
      </c>
      <c r="AL71" s="141">
        <v>0</v>
      </c>
      <c r="AM71" s="141">
        <v>0</v>
      </c>
      <c r="AN71" s="141">
        <v>0</v>
      </c>
      <c r="AO71" s="141">
        <v>0</v>
      </c>
      <c r="AP71" s="856">
        <v>0</v>
      </c>
      <c r="AQ71" s="856">
        <v>0</v>
      </c>
      <c r="AR71" s="857">
        <v>0</v>
      </c>
      <c r="AS71" t="s">
        <v>1637</v>
      </c>
    </row>
    <row r="72" spans="1:45" ht="12.75" x14ac:dyDescent="0.2">
      <c r="A72" s="764">
        <v>65</v>
      </c>
      <c r="B72" s="765" t="s">
        <v>10</v>
      </c>
      <c r="C72" s="766" t="s">
        <v>1217</v>
      </c>
      <c r="D72" s="767" t="s">
        <v>1226</v>
      </c>
      <c r="E72" s="768" t="s">
        <v>9</v>
      </c>
      <c r="F72" s="141">
        <v>34087146</v>
      </c>
      <c r="G72" s="141">
        <v>0</v>
      </c>
      <c r="H72" s="141">
        <v>34087146</v>
      </c>
      <c r="I72" s="141">
        <v>-100000</v>
      </c>
      <c r="J72" s="141">
        <v>0</v>
      </c>
      <c r="K72" s="141">
        <v>-100000</v>
      </c>
      <c r="L72" s="141">
        <v>-1557519</v>
      </c>
      <c r="M72" s="141">
        <v>0</v>
      </c>
      <c r="N72" s="141">
        <v>-1557519</v>
      </c>
      <c r="O72" s="141">
        <v>32429627</v>
      </c>
      <c r="P72" s="141">
        <v>0</v>
      </c>
      <c r="Q72" s="141">
        <v>32429627</v>
      </c>
      <c r="R72" s="141">
        <v>71325</v>
      </c>
      <c r="S72" s="141">
        <v>0</v>
      </c>
      <c r="T72" s="141">
        <v>71325</v>
      </c>
      <c r="U72" s="141">
        <v>0</v>
      </c>
      <c r="V72" s="141">
        <v>0</v>
      </c>
      <c r="W72" s="141">
        <v>0</v>
      </c>
      <c r="X72" s="141">
        <v>0</v>
      </c>
      <c r="Y72" s="141">
        <v>0</v>
      </c>
      <c r="Z72" s="141">
        <v>0</v>
      </c>
      <c r="AA72" s="141">
        <v>0</v>
      </c>
      <c r="AB72" s="141">
        <v>0</v>
      </c>
      <c r="AC72" s="141">
        <v>0</v>
      </c>
      <c r="AD72" s="141">
        <v>0</v>
      </c>
      <c r="AE72" s="141">
        <v>0</v>
      </c>
      <c r="AF72" s="141">
        <v>0</v>
      </c>
      <c r="AG72" s="141">
        <v>0</v>
      </c>
      <c r="AH72" s="141">
        <v>0</v>
      </c>
      <c r="AI72" s="141">
        <v>0</v>
      </c>
      <c r="AJ72" s="141">
        <v>0</v>
      </c>
      <c r="AK72" s="141">
        <v>0</v>
      </c>
      <c r="AL72" s="141">
        <v>0</v>
      </c>
      <c r="AM72" s="141">
        <v>0</v>
      </c>
      <c r="AN72" s="141">
        <v>0</v>
      </c>
      <c r="AO72" s="141">
        <v>0</v>
      </c>
      <c r="AP72" s="856">
        <v>0</v>
      </c>
      <c r="AQ72" s="856">
        <v>0</v>
      </c>
      <c r="AR72" s="857">
        <v>0</v>
      </c>
      <c r="AS72" t="s">
        <v>1638</v>
      </c>
    </row>
    <row r="73" spans="1:45" ht="12.75" x14ac:dyDescent="0.2">
      <c r="A73" s="764">
        <v>66</v>
      </c>
      <c r="B73" s="765" t="s">
        <v>12</v>
      </c>
      <c r="C73" s="766" t="s">
        <v>1224</v>
      </c>
      <c r="D73" s="767" t="s">
        <v>1227</v>
      </c>
      <c r="E73" s="768" t="s">
        <v>11</v>
      </c>
      <c r="F73" s="141">
        <v>126286111</v>
      </c>
      <c r="G73" s="141">
        <v>0</v>
      </c>
      <c r="H73" s="141">
        <v>126286111</v>
      </c>
      <c r="I73" s="141">
        <v>-1262861</v>
      </c>
      <c r="J73" s="141">
        <v>0</v>
      </c>
      <c r="K73" s="141">
        <v>-1262861</v>
      </c>
      <c r="L73" s="141">
        <v>-5780426</v>
      </c>
      <c r="M73" s="141">
        <v>0</v>
      </c>
      <c r="N73" s="141">
        <v>-5780426</v>
      </c>
      <c r="O73" s="141">
        <v>119242824</v>
      </c>
      <c r="P73" s="141">
        <v>0</v>
      </c>
      <c r="Q73" s="141">
        <v>119242824</v>
      </c>
      <c r="R73" s="141">
        <v>0</v>
      </c>
      <c r="S73" s="141">
        <v>0</v>
      </c>
      <c r="T73" s="141">
        <v>0</v>
      </c>
      <c r="U73" s="141">
        <v>0</v>
      </c>
      <c r="V73" s="141">
        <v>0</v>
      </c>
      <c r="W73" s="141">
        <v>0</v>
      </c>
      <c r="X73" s="141">
        <v>0</v>
      </c>
      <c r="Y73" s="141">
        <v>0</v>
      </c>
      <c r="Z73" s="141">
        <v>0</v>
      </c>
      <c r="AA73" s="141">
        <v>0</v>
      </c>
      <c r="AB73" s="141">
        <v>0</v>
      </c>
      <c r="AC73" s="141">
        <v>0</v>
      </c>
      <c r="AD73" s="141">
        <v>0</v>
      </c>
      <c r="AE73" s="141">
        <v>0</v>
      </c>
      <c r="AF73" s="141">
        <v>0</v>
      </c>
      <c r="AG73" s="141">
        <v>0</v>
      </c>
      <c r="AH73" s="141">
        <v>0</v>
      </c>
      <c r="AI73" s="141">
        <v>0</v>
      </c>
      <c r="AJ73" s="141">
        <v>0</v>
      </c>
      <c r="AK73" s="141">
        <v>0</v>
      </c>
      <c r="AL73" s="141">
        <v>0</v>
      </c>
      <c r="AM73" s="141">
        <v>0</v>
      </c>
      <c r="AN73" s="141">
        <v>0</v>
      </c>
      <c r="AO73" s="141">
        <v>0</v>
      </c>
      <c r="AP73" s="856">
        <v>0</v>
      </c>
      <c r="AQ73" s="856">
        <v>0</v>
      </c>
      <c r="AR73" s="857">
        <v>0</v>
      </c>
      <c r="AS73" t="s">
        <v>1639</v>
      </c>
    </row>
    <row r="74" spans="1:45" ht="12.75" x14ac:dyDescent="0.2">
      <c r="A74" s="764">
        <v>67</v>
      </c>
      <c r="B74" s="765" t="s">
        <v>14</v>
      </c>
      <c r="C74" s="766" t="s">
        <v>1217</v>
      </c>
      <c r="D74" s="767" t="s">
        <v>1225</v>
      </c>
      <c r="E74" s="768" t="s">
        <v>13</v>
      </c>
      <c r="F74" s="141">
        <v>18105816</v>
      </c>
      <c r="G74" s="141">
        <v>0</v>
      </c>
      <c r="H74" s="141">
        <v>18105816</v>
      </c>
      <c r="I74" s="141">
        <v>-100000</v>
      </c>
      <c r="J74" s="141">
        <v>0</v>
      </c>
      <c r="K74" s="141">
        <v>-100000</v>
      </c>
      <c r="L74" s="141">
        <v>-212000</v>
      </c>
      <c r="M74" s="141">
        <v>0</v>
      </c>
      <c r="N74" s="141">
        <v>-212000</v>
      </c>
      <c r="O74" s="141">
        <v>17793816</v>
      </c>
      <c r="P74" s="141">
        <v>0</v>
      </c>
      <c r="Q74" s="141">
        <v>17793816</v>
      </c>
      <c r="R74" s="141">
        <v>0</v>
      </c>
      <c r="S74" s="141">
        <v>0</v>
      </c>
      <c r="T74" s="141">
        <v>0</v>
      </c>
      <c r="U74" s="141">
        <v>0</v>
      </c>
      <c r="V74" s="141">
        <v>0</v>
      </c>
      <c r="W74" s="141">
        <v>0</v>
      </c>
      <c r="X74" s="141">
        <v>0</v>
      </c>
      <c r="Y74" s="141">
        <v>0</v>
      </c>
      <c r="Z74" s="141">
        <v>0</v>
      </c>
      <c r="AA74" s="141">
        <v>0</v>
      </c>
      <c r="AB74" s="141">
        <v>0</v>
      </c>
      <c r="AC74" s="141">
        <v>0</v>
      </c>
      <c r="AD74" s="141">
        <v>0</v>
      </c>
      <c r="AE74" s="141">
        <v>0</v>
      </c>
      <c r="AF74" s="141">
        <v>0</v>
      </c>
      <c r="AG74" s="141">
        <v>0</v>
      </c>
      <c r="AH74" s="141">
        <v>0</v>
      </c>
      <c r="AI74" s="141">
        <v>0</v>
      </c>
      <c r="AJ74" s="141">
        <v>0</v>
      </c>
      <c r="AK74" s="141">
        <v>0</v>
      </c>
      <c r="AL74" s="141">
        <v>0</v>
      </c>
      <c r="AM74" s="141">
        <v>0</v>
      </c>
      <c r="AN74" s="141">
        <v>0</v>
      </c>
      <c r="AO74" s="141">
        <v>0</v>
      </c>
      <c r="AP74" s="856">
        <v>0</v>
      </c>
      <c r="AQ74" s="856">
        <v>0</v>
      </c>
      <c r="AR74" s="857">
        <v>0</v>
      </c>
      <c r="AS74" t="s">
        <v>1640</v>
      </c>
    </row>
    <row r="75" spans="1:45" ht="12.75" x14ac:dyDescent="0.2">
      <c r="A75" s="764">
        <v>68</v>
      </c>
      <c r="B75" s="765" t="s">
        <v>16</v>
      </c>
      <c r="C75" s="766" t="s">
        <v>1217</v>
      </c>
      <c r="D75" s="767" t="s">
        <v>1218</v>
      </c>
      <c r="E75" s="768" t="s">
        <v>15</v>
      </c>
      <c r="F75" s="141">
        <v>130885519</v>
      </c>
      <c r="G75" s="141">
        <v>0</v>
      </c>
      <c r="H75" s="141">
        <v>130885519</v>
      </c>
      <c r="I75" s="141">
        <v>-1047084</v>
      </c>
      <c r="J75" s="141">
        <v>0</v>
      </c>
      <c r="K75" s="141">
        <v>-1047084</v>
      </c>
      <c r="L75" s="141">
        <v>-4757769</v>
      </c>
      <c r="M75" s="141">
        <v>0</v>
      </c>
      <c r="N75" s="141">
        <v>-4757769</v>
      </c>
      <c r="O75" s="141">
        <v>125080666</v>
      </c>
      <c r="P75" s="141">
        <v>0</v>
      </c>
      <c r="Q75" s="141">
        <v>125080666</v>
      </c>
      <c r="R75" s="141">
        <v>5040</v>
      </c>
      <c r="S75" s="141">
        <v>0</v>
      </c>
      <c r="T75" s="141">
        <v>5040</v>
      </c>
      <c r="U75" s="141">
        <v>0</v>
      </c>
      <c r="V75" s="141">
        <v>0</v>
      </c>
      <c r="W75" s="141">
        <v>0</v>
      </c>
      <c r="X75" s="141">
        <v>0</v>
      </c>
      <c r="Y75" s="141">
        <v>0</v>
      </c>
      <c r="Z75" s="141">
        <v>0</v>
      </c>
      <c r="AA75" s="141">
        <v>0</v>
      </c>
      <c r="AB75" s="141">
        <v>0</v>
      </c>
      <c r="AC75" s="141">
        <v>0</v>
      </c>
      <c r="AD75" s="141">
        <v>0</v>
      </c>
      <c r="AE75" s="141">
        <v>0</v>
      </c>
      <c r="AF75" s="141">
        <v>0</v>
      </c>
      <c r="AG75" s="141">
        <v>0</v>
      </c>
      <c r="AH75" s="141">
        <v>0</v>
      </c>
      <c r="AI75" s="141">
        <v>0</v>
      </c>
      <c r="AJ75" s="141">
        <v>0</v>
      </c>
      <c r="AK75" s="141">
        <v>0</v>
      </c>
      <c r="AL75" s="141">
        <v>0</v>
      </c>
      <c r="AM75" s="141">
        <v>0</v>
      </c>
      <c r="AN75" s="141">
        <v>0</v>
      </c>
      <c r="AO75" s="141">
        <v>0</v>
      </c>
      <c r="AP75" s="856">
        <v>0</v>
      </c>
      <c r="AQ75" s="856">
        <v>0</v>
      </c>
      <c r="AR75" s="857">
        <v>0</v>
      </c>
      <c r="AS75" t="s">
        <v>1641</v>
      </c>
    </row>
    <row r="76" spans="1:45" ht="12.75" x14ac:dyDescent="0.2">
      <c r="A76" s="764">
        <v>69</v>
      </c>
      <c r="B76" s="765" t="s">
        <v>18</v>
      </c>
      <c r="C76" s="766" t="s">
        <v>1222</v>
      </c>
      <c r="D76" s="767" t="s">
        <v>1223</v>
      </c>
      <c r="E76" s="768" t="s">
        <v>17</v>
      </c>
      <c r="F76" s="141">
        <v>103513479</v>
      </c>
      <c r="G76" s="141">
        <v>23456734</v>
      </c>
      <c r="H76" s="141">
        <v>126970213</v>
      </c>
      <c r="I76" s="141">
        <v>-2130000</v>
      </c>
      <c r="J76" s="141">
        <v>-300000</v>
      </c>
      <c r="K76" s="141">
        <v>-2430000</v>
      </c>
      <c r="L76" s="141">
        <v>-250000</v>
      </c>
      <c r="M76" s="141">
        <v>-1231409</v>
      </c>
      <c r="N76" s="141">
        <v>-1481409</v>
      </c>
      <c r="O76" s="141">
        <v>101133479</v>
      </c>
      <c r="P76" s="141">
        <v>21925325</v>
      </c>
      <c r="Q76" s="141">
        <v>123058804</v>
      </c>
      <c r="R76" s="141">
        <v>0</v>
      </c>
      <c r="S76" s="141">
        <v>0</v>
      </c>
      <c r="T76" s="141">
        <v>0</v>
      </c>
      <c r="U76" s="141">
        <v>0</v>
      </c>
      <c r="V76" s="141">
        <v>0</v>
      </c>
      <c r="W76" s="141">
        <v>0</v>
      </c>
      <c r="X76" s="141">
        <v>-345750</v>
      </c>
      <c r="Y76" s="141">
        <v>20409358</v>
      </c>
      <c r="Z76" s="141">
        <v>1170217</v>
      </c>
      <c r="AA76" s="141">
        <v>1170217</v>
      </c>
      <c r="AB76" s="141">
        <v>0</v>
      </c>
      <c r="AC76" s="141">
        <v>0</v>
      </c>
      <c r="AD76" s="141">
        <v>0</v>
      </c>
      <c r="AE76" s="141">
        <v>0</v>
      </c>
      <c r="AF76" s="141">
        <v>0</v>
      </c>
      <c r="AG76" s="141">
        <v>0</v>
      </c>
      <c r="AH76" s="141">
        <v>0</v>
      </c>
      <c r="AI76" s="141">
        <v>0</v>
      </c>
      <c r="AJ76" s="141">
        <v>0</v>
      </c>
      <c r="AK76" s="141">
        <v>0</v>
      </c>
      <c r="AL76" s="141">
        <v>0</v>
      </c>
      <c r="AM76" s="141">
        <v>0</v>
      </c>
      <c r="AN76" s="141">
        <v>0</v>
      </c>
      <c r="AO76" s="141">
        <v>0</v>
      </c>
      <c r="AP76" s="856">
        <v>0</v>
      </c>
      <c r="AQ76" s="856">
        <v>0</v>
      </c>
      <c r="AR76" s="857">
        <v>0</v>
      </c>
      <c r="AS76" t="s">
        <v>1642</v>
      </c>
    </row>
    <row r="77" spans="1:45" ht="12.75" x14ac:dyDescent="0.2">
      <c r="A77" s="764">
        <v>70</v>
      </c>
      <c r="B77" s="765" t="s">
        <v>20</v>
      </c>
      <c r="C77" s="766" t="s">
        <v>1217</v>
      </c>
      <c r="D77" s="767" t="s">
        <v>1221</v>
      </c>
      <c r="E77" s="768" t="s">
        <v>19</v>
      </c>
      <c r="F77" s="141">
        <v>68124685</v>
      </c>
      <c r="G77" s="141">
        <v>780900</v>
      </c>
      <c r="H77" s="141">
        <v>68905585</v>
      </c>
      <c r="I77" s="141">
        <v>-771160</v>
      </c>
      <c r="J77" s="141">
        <v>-7809</v>
      </c>
      <c r="K77" s="141">
        <v>-778969</v>
      </c>
      <c r="L77" s="141">
        <v>-2300000</v>
      </c>
      <c r="M77" s="141">
        <v>0</v>
      </c>
      <c r="N77" s="141">
        <v>-2300000</v>
      </c>
      <c r="O77" s="141">
        <v>65053525</v>
      </c>
      <c r="P77" s="141">
        <v>773091</v>
      </c>
      <c r="Q77" s="141">
        <v>65826616</v>
      </c>
      <c r="R77" s="141">
        <v>371307</v>
      </c>
      <c r="S77" s="141">
        <v>0</v>
      </c>
      <c r="T77" s="141">
        <v>371307</v>
      </c>
      <c r="U77" s="141">
        <v>0</v>
      </c>
      <c r="V77" s="141">
        <v>0</v>
      </c>
      <c r="W77" s="141">
        <v>0</v>
      </c>
      <c r="X77" s="141">
        <v>0</v>
      </c>
      <c r="Y77" s="141">
        <v>64571</v>
      </c>
      <c r="Z77" s="141">
        <v>742045</v>
      </c>
      <c r="AA77" s="141">
        <v>742045</v>
      </c>
      <c r="AB77" s="141">
        <v>0</v>
      </c>
      <c r="AC77" s="141">
        <v>0</v>
      </c>
      <c r="AD77" s="141">
        <v>0</v>
      </c>
      <c r="AE77" s="141">
        <v>0</v>
      </c>
      <c r="AF77" s="141">
        <v>0</v>
      </c>
      <c r="AG77" s="141">
        <v>0</v>
      </c>
      <c r="AH77" s="141">
        <v>0</v>
      </c>
      <c r="AI77" s="141">
        <v>0</v>
      </c>
      <c r="AJ77" s="141">
        <v>0</v>
      </c>
      <c r="AK77" s="141">
        <v>0</v>
      </c>
      <c r="AL77" s="141">
        <v>0</v>
      </c>
      <c r="AM77" s="141">
        <v>0</v>
      </c>
      <c r="AN77" s="141">
        <v>0</v>
      </c>
      <c r="AO77" s="141">
        <v>0</v>
      </c>
      <c r="AP77" s="856">
        <v>0</v>
      </c>
      <c r="AQ77" s="856">
        <v>0</v>
      </c>
      <c r="AR77" s="857">
        <v>0</v>
      </c>
      <c r="AS77" t="s">
        <v>1643</v>
      </c>
    </row>
    <row r="78" spans="1:45" ht="12.75" x14ac:dyDescent="0.2">
      <c r="A78" s="764">
        <v>71</v>
      </c>
      <c r="B78" s="765" t="s">
        <v>22</v>
      </c>
      <c r="C78" s="766" t="s">
        <v>529</v>
      </c>
      <c r="D78" s="767" t="s">
        <v>1229</v>
      </c>
      <c r="E78" s="768" t="s">
        <v>568</v>
      </c>
      <c r="F78" s="141">
        <v>34833305</v>
      </c>
      <c r="G78" s="141">
        <v>238132</v>
      </c>
      <c r="H78" s="141">
        <v>35071437</v>
      </c>
      <c r="I78" s="141">
        <v>-400000</v>
      </c>
      <c r="J78" s="141">
        <v>0</v>
      </c>
      <c r="K78" s="141">
        <v>-400000</v>
      </c>
      <c r="L78" s="141">
        <v>0</v>
      </c>
      <c r="M78" s="141">
        <v>0</v>
      </c>
      <c r="N78" s="141">
        <v>0</v>
      </c>
      <c r="O78" s="141">
        <v>34433305</v>
      </c>
      <c r="P78" s="141">
        <v>238132</v>
      </c>
      <c r="Q78" s="141">
        <v>34671437</v>
      </c>
      <c r="R78" s="141">
        <v>0</v>
      </c>
      <c r="S78" s="141">
        <v>0</v>
      </c>
      <c r="T78" s="141">
        <v>0</v>
      </c>
      <c r="U78" s="141">
        <v>0</v>
      </c>
      <c r="V78" s="141">
        <v>0</v>
      </c>
      <c r="W78" s="141">
        <v>0</v>
      </c>
      <c r="X78" s="141">
        <v>0</v>
      </c>
      <c r="Y78" s="141">
        <v>30110</v>
      </c>
      <c r="Z78" s="141">
        <v>208022</v>
      </c>
      <c r="AA78" s="141">
        <v>208022</v>
      </c>
      <c r="AB78" s="141">
        <v>0</v>
      </c>
      <c r="AC78" s="141">
        <v>0</v>
      </c>
      <c r="AD78" s="141">
        <v>0</v>
      </c>
      <c r="AE78" s="141">
        <v>0</v>
      </c>
      <c r="AF78" s="141">
        <v>24845</v>
      </c>
      <c r="AG78" s="141">
        <v>24845</v>
      </c>
      <c r="AH78" s="141">
        <v>33229325</v>
      </c>
      <c r="AI78" s="141">
        <v>33229325</v>
      </c>
      <c r="AJ78" s="141">
        <v>31936479.938020702</v>
      </c>
      <c r="AK78" s="141">
        <v>31936479.938020702</v>
      </c>
      <c r="AL78" s="141">
        <v>646423</v>
      </c>
      <c r="AM78" s="141">
        <v>646423</v>
      </c>
      <c r="AN78" s="141">
        <v>0</v>
      </c>
      <c r="AO78" s="141">
        <v>0</v>
      </c>
      <c r="AP78" s="856">
        <v>646423</v>
      </c>
      <c r="AQ78" s="856">
        <v>24845</v>
      </c>
      <c r="AR78" s="857">
        <v>671268</v>
      </c>
      <c r="AS78" t="s">
        <v>1644</v>
      </c>
    </row>
    <row r="79" spans="1:45" ht="12.75" x14ac:dyDescent="0.2">
      <c r="A79" s="764">
        <v>72</v>
      </c>
      <c r="B79" s="765" t="s">
        <v>24</v>
      </c>
      <c r="C79" s="766" t="s">
        <v>1217</v>
      </c>
      <c r="D79" s="767" t="s">
        <v>1218</v>
      </c>
      <c r="E79" s="768" t="s">
        <v>23</v>
      </c>
      <c r="F79" s="141">
        <v>94229162</v>
      </c>
      <c r="G79" s="141">
        <v>0</v>
      </c>
      <c r="H79" s="141">
        <v>94229162</v>
      </c>
      <c r="I79" s="141">
        <v>-400000</v>
      </c>
      <c r="J79" s="141">
        <v>0</v>
      </c>
      <c r="K79" s="141">
        <v>-400000</v>
      </c>
      <c r="L79" s="141">
        <v>-5797002</v>
      </c>
      <c r="M79" s="141">
        <v>0</v>
      </c>
      <c r="N79" s="141">
        <v>-5797002</v>
      </c>
      <c r="O79" s="141">
        <v>88032160</v>
      </c>
      <c r="P79" s="141">
        <v>0</v>
      </c>
      <c r="Q79" s="141">
        <v>88032160</v>
      </c>
      <c r="R79" s="141">
        <v>0</v>
      </c>
      <c r="S79" s="141">
        <v>0</v>
      </c>
      <c r="T79" s="141">
        <v>0</v>
      </c>
      <c r="U79" s="141">
        <v>0</v>
      </c>
      <c r="V79" s="141">
        <v>0</v>
      </c>
      <c r="W79" s="141">
        <v>0</v>
      </c>
      <c r="X79" s="141">
        <v>0</v>
      </c>
      <c r="Y79" s="141">
        <v>0</v>
      </c>
      <c r="Z79" s="141">
        <v>0</v>
      </c>
      <c r="AA79" s="141">
        <v>0</v>
      </c>
      <c r="AB79" s="141">
        <v>0</v>
      </c>
      <c r="AC79" s="141">
        <v>0</v>
      </c>
      <c r="AD79" s="141">
        <v>0</v>
      </c>
      <c r="AE79" s="141">
        <v>0</v>
      </c>
      <c r="AF79" s="141">
        <v>0</v>
      </c>
      <c r="AG79" s="141">
        <v>0</v>
      </c>
      <c r="AH79" s="141">
        <v>0</v>
      </c>
      <c r="AI79" s="141">
        <v>0</v>
      </c>
      <c r="AJ79" s="141">
        <v>0</v>
      </c>
      <c r="AK79" s="141">
        <v>0</v>
      </c>
      <c r="AL79" s="141">
        <v>0</v>
      </c>
      <c r="AM79" s="141">
        <v>0</v>
      </c>
      <c r="AN79" s="141">
        <v>0</v>
      </c>
      <c r="AO79" s="141">
        <v>0</v>
      </c>
      <c r="AP79" s="856">
        <v>0</v>
      </c>
      <c r="AQ79" s="856">
        <v>0</v>
      </c>
      <c r="AR79" s="857">
        <v>0</v>
      </c>
      <c r="AS79" t="s">
        <v>1645</v>
      </c>
    </row>
    <row r="80" spans="1:45" ht="12.75" x14ac:dyDescent="0.2">
      <c r="A80" s="764">
        <v>73</v>
      </c>
      <c r="B80" s="765" t="s">
        <v>26</v>
      </c>
      <c r="C80" s="766" t="s">
        <v>1217</v>
      </c>
      <c r="D80" s="767" t="s">
        <v>1220</v>
      </c>
      <c r="E80" s="768" t="s">
        <v>25</v>
      </c>
      <c r="F80" s="141">
        <v>49304704</v>
      </c>
      <c r="G80" s="141">
        <v>0</v>
      </c>
      <c r="H80" s="141">
        <v>49304704</v>
      </c>
      <c r="I80" s="141">
        <v>-240730</v>
      </c>
      <c r="J80" s="141">
        <v>0</v>
      </c>
      <c r="K80" s="141">
        <v>-240730</v>
      </c>
      <c r="L80" s="141">
        <v>-1158661</v>
      </c>
      <c r="M80" s="141">
        <v>0</v>
      </c>
      <c r="N80" s="141">
        <v>-1158661</v>
      </c>
      <c r="O80" s="141">
        <v>47905313</v>
      </c>
      <c r="P80" s="141">
        <v>0</v>
      </c>
      <c r="Q80" s="141">
        <v>47905313</v>
      </c>
      <c r="R80" s="141">
        <v>821861</v>
      </c>
      <c r="S80" s="141">
        <v>0</v>
      </c>
      <c r="T80" s="141">
        <v>821861</v>
      </c>
      <c r="U80" s="141">
        <v>0</v>
      </c>
      <c r="V80" s="141">
        <v>0</v>
      </c>
      <c r="W80" s="141">
        <v>0</v>
      </c>
      <c r="X80" s="141">
        <v>0</v>
      </c>
      <c r="Y80" s="141">
        <v>0</v>
      </c>
      <c r="Z80" s="141">
        <v>0</v>
      </c>
      <c r="AA80" s="141">
        <v>0</v>
      </c>
      <c r="AB80" s="141">
        <v>0</v>
      </c>
      <c r="AC80" s="141">
        <v>0</v>
      </c>
      <c r="AD80" s="141">
        <v>0</v>
      </c>
      <c r="AE80" s="141">
        <v>0</v>
      </c>
      <c r="AF80" s="141">
        <v>0</v>
      </c>
      <c r="AG80" s="141">
        <v>0</v>
      </c>
      <c r="AH80" s="141">
        <v>0</v>
      </c>
      <c r="AI80" s="141">
        <v>0</v>
      </c>
      <c r="AJ80" s="141">
        <v>0</v>
      </c>
      <c r="AK80" s="141">
        <v>0</v>
      </c>
      <c r="AL80" s="141">
        <v>0</v>
      </c>
      <c r="AM80" s="141">
        <v>0</v>
      </c>
      <c r="AN80" s="141">
        <v>0</v>
      </c>
      <c r="AO80" s="141">
        <v>0</v>
      </c>
      <c r="AP80" s="856">
        <v>0</v>
      </c>
      <c r="AQ80" s="856">
        <v>0</v>
      </c>
      <c r="AR80" s="857">
        <v>0</v>
      </c>
      <c r="AS80" t="s">
        <v>1646</v>
      </c>
    </row>
    <row r="81" spans="1:45" ht="12.75" x14ac:dyDescent="0.2">
      <c r="A81" s="764">
        <v>74</v>
      </c>
      <c r="B81" s="765" t="s">
        <v>28</v>
      </c>
      <c r="C81" s="766" t="s">
        <v>529</v>
      </c>
      <c r="D81" s="767" t="s">
        <v>1220</v>
      </c>
      <c r="E81" s="768" t="s">
        <v>558</v>
      </c>
      <c r="F81" s="141">
        <v>93542053</v>
      </c>
      <c r="G81" s="141">
        <v>124784</v>
      </c>
      <c r="H81" s="141">
        <v>93666837</v>
      </c>
      <c r="I81" s="141">
        <v>-935421</v>
      </c>
      <c r="J81" s="141">
        <v>0</v>
      </c>
      <c r="K81" s="141">
        <v>-935421</v>
      </c>
      <c r="L81" s="141">
        <v>-2216604</v>
      </c>
      <c r="M81" s="141">
        <v>0</v>
      </c>
      <c r="N81" s="141">
        <v>-2216604</v>
      </c>
      <c r="O81" s="141">
        <v>90390028</v>
      </c>
      <c r="P81" s="141">
        <v>124784</v>
      </c>
      <c r="Q81" s="141">
        <v>90514812</v>
      </c>
      <c r="R81" s="141">
        <v>728784</v>
      </c>
      <c r="S81" s="141">
        <v>0</v>
      </c>
      <c r="T81" s="141">
        <v>728784</v>
      </c>
      <c r="U81" s="141">
        <v>0</v>
      </c>
      <c r="V81" s="141">
        <v>0</v>
      </c>
      <c r="W81" s="141">
        <v>0</v>
      </c>
      <c r="X81" s="141">
        <v>0</v>
      </c>
      <c r="Y81" s="141">
        <v>0</v>
      </c>
      <c r="Z81" s="141">
        <v>124784</v>
      </c>
      <c r="AA81" s="141">
        <v>124784</v>
      </c>
      <c r="AB81" s="141">
        <v>0</v>
      </c>
      <c r="AC81" s="141">
        <v>0</v>
      </c>
      <c r="AD81" s="141">
        <v>0</v>
      </c>
      <c r="AE81" s="141">
        <v>0</v>
      </c>
      <c r="AF81" s="141">
        <v>36432</v>
      </c>
      <c r="AG81" s="141">
        <v>36432</v>
      </c>
      <c r="AH81" s="141">
        <v>0</v>
      </c>
      <c r="AI81" s="141">
        <v>0</v>
      </c>
      <c r="AJ81" s="141">
        <v>0</v>
      </c>
      <c r="AK81" s="141">
        <v>0</v>
      </c>
      <c r="AL81" s="141">
        <v>0</v>
      </c>
      <c r="AM81" s="141">
        <v>0</v>
      </c>
      <c r="AN81" s="141">
        <v>0</v>
      </c>
      <c r="AO81" s="141">
        <v>0</v>
      </c>
      <c r="AP81" s="856">
        <v>0</v>
      </c>
      <c r="AQ81" s="856">
        <v>36432</v>
      </c>
      <c r="AR81" s="857">
        <v>36432</v>
      </c>
      <c r="AS81" t="s">
        <v>1647</v>
      </c>
    </row>
    <row r="82" spans="1:45" ht="12.75" x14ac:dyDescent="0.2">
      <c r="A82" s="764">
        <v>75</v>
      </c>
      <c r="B82" s="765" t="s">
        <v>30</v>
      </c>
      <c r="C82" s="766" t="s">
        <v>1217</v>
      </c>
      <c r="D82" s="767" t="s">
        <v>1220</v>
      </c>
      <c r="E82" s="768" t="s">
        <v>29</v>
      </c>
      <c r="F82" s="141">
        <v>18514138</v>
      </c>
      <c r="G82" s="141">
        <v>0</v>
      </c>
      <c r="H82" s="141">
        <v>18514138</v>
      </c>
      <c r="I82" s="141">
        <v>-333254</v>
      </c>
      <c r="J82" s="141">
        <v>0</v>
      </c>
      <c r="K82" s="141">
        <v>-333254</v>
      </c>
      <c r="L82" s="141">
        <v>-601709</v>
      </c>
      <c r="M82" s="141">
        <v>0</v>
      </c>
      <c r="N82" s="141">
        <v>-601709</v>
      </c>
      <c r="O82" s="141">
        <v>17579175</v>
      </c>
      <c r="P82" s="141">
        <v>0</v>
      </c>
      <c r="Q82" s="141">
        <v>17579175</v>
      </c>
      <c r="R82" s="141">
        <v>163944</v>
      </c>
      <c r="S82" s="141">
        <v>0</v>
      </c>
      <c r="T82" s="141">
        <v>163944</v>
      </c>
      <c r="U82" s="141">
        <v>0</v>
      </c>
      <c r="V82" s="141">
        <v>0</v>
      </c>
      <c r="W82" s="141">
        <v>0</v>
      </c>
      <c r="X82" s="141">
        <v>0</v>
      </c>
      <c r="Y82" s="141">
        <v>0</v>
      </c>
      <c r="Z82" s="141">
        <v>0</v>
      </c>
      <c r="AA82" s="141">
        <v>0</v>
      </c>
      <c r="AB82" s="141">
        <v>0</v>
      </c>
      <c r="AC82" s="141">
        <v>0</v>
      </c>
      <c r="AD82" s="141">
        <v>0</v>
      </c>
      <c r="AE82" s="141">
        <v>0</v>
      </c>
      <c r="AF82" s="141">
        <v>0</v>
      </c>
      <c r="AG82" s="141">
        <v>0</v>
      </c>
      <c r="AH82" s="141">
        <v>0</v>
      </c>
      <c r="AI82" s="141">
        <v>0</v>
      </c>
      <c r="AJ82" s="141">
        <v>0</v>
      </c>
      <c r="AK82" s="141">
        <v>0</v>
      </c>
      <c r="AL82" s="141">
        <v>0</v>
      </c>
      <c r="AM82" s="141">
        <v>0</v>
      </c>
      <c r="AN82" s="141">
        <v>0</v>
      </c>
      <c r="AO82" s="141">
        <v>0</v>
      </c>
      <c r="AP82" s="856">
        <v>0</v>
      </c>
      <c r="AQ82" s="856">
        <v>0</v>
      </c>
      <c r="AR82" s="857">
        <v>0</v>
      </c>
      <c r="AS82" t="s">
        <v>1648</v>
      </c>
    </row>
    <row r="83" spans="1:45" ht="12.75" x14ac:dyDescent="0.2">
      <c r="A83" s="764">
        <v>76</v>
      </c>
      <c r="B83" s="765" t="s">
        <v>32</v>
      </c>
      <c r="C83" s="766" t="s">
        <v>1224</v>
      </c>
      <c r="D83" s="767" t="s">
        <v>1225</v>
      </c>
      <c r="E83" s="768" t="s">
        <v>31</v>
      </c>
      <c r="F83" s="141">
        <v>99774699</v>
      </c>
      <c r="G83" s="141">
        <v>0</v>
      </c>
      <c r="H83" s="141">
        <v>99774699</v>
      </c>
      <c r="I83" s="141">
        <v>-1503199</v>
      </c>
      <c r="J83" s="141">
        <v>0</v>
      </c>
      <c r="K83" s="141">
        <v>-1503199</v>
      </c>
      <c r="L83" s="141">
        <v>-4156937</v>
      </c>
      <c r="M83" s="141">
        <v>0</v>
      </c>
      <c r="N83" s="141">
        <v>-4156937</v>
      </c>
      <c r="O83" s="141">
        <v>94114563</v>
      </c>
      <c r="P83" s="141">
        <v>0</v>
      </c>
      <c r="Q83" s="141">
        <v>94114563</v>
      </c>
      <c r="R83" s="141">
        <v>192906</v>
      </c>
      <c r="S83" s="141">
        <v>0</v>
      </c>
      <c r="T83" s="141">
        <v>192906</v>
      </c>
      <c r="U83" s="141">
        <v>0</v>
      </c>
      <c r="V83" s="141">
        <v>0</v>
      </c>
      <c r="W83" s="141">
        <v>0</v>
      </c>
      <c r="X83" s="141">
        <v>0</v>
      </c>
      <c r="Y83" s="141">
        <v>0</v>
      </c>
      <c r="Z83" s="141">
        <v>0</v>
      </c>
      <c r="AA83" s="141">
        <v>0</v>
      </c>
      <c r="AB83" s="141">
        <v>0</v>
      </c>
      <c r="AC83" s="141">
        <v>0</v>
      </c>
      <c r="AD83" s="141">
        <v>0</v>
      </c>
      <c r="AE83" s="141">
        <v>0</v>
      </c>
      <c r="AF83" s="141">
        <v>0</v>
      </c>
      <c r="AG83" s="141">
        <v>0</v>
      </c>
      <c r="AH83" s="141">
        <v>0</v>
      </c>
      <c r="AI83" s="141">
        <v>0</v>
      </c>
      <c r="AJ83" s="141">
        <v>0</v>
      </c>
      <c r="AK83" s="141">
        <v>0</v>
      </c>
      <c r="AL83" s="141">
        <v>0</v>
      </c>
      <c r="AM83" s="141">
        <v>0</v>
      </c>
      <c r="AN83" s="141">
        <v>0</v>
      </c>
      <c r="AO83" s="141">
        <v>0</v>
      </c>
      <c r="AP83" s="856">
        <v>0</v>
      </c>
      <c r="AQ83" s="856">
        <v>0</v>
      </c>
      <c r="AR83" s="857">
        <v>0</v>
      </c>
      <c r="AS83" t="s">
        <v>1649</v>
      </c>
    </row>
    <row r="84" spans="1:45" ht="12.75" x14ac:dyDescent="0.2">
      <c r="A84" s="764">
        <v>77</v>
      </c>
      <c r="B84" s="765" t="s">
        <v>1146</v>
      </c>
      <c r="C84" s="766" t="s">
        <v>529</v>
      </c>
      <c r="D84" s="767" t="s">
        <v>1226</v>
      </c>
      <c r="E84" s="768" t="s">
        <v>1145</v>
      </c>
      <c r="F84" s="141">
        <v>102645920</v>
      </c>
      <c r="G84" s="141">
        <v>424216</v>
      </c>
      <c r="H84" s="141">
        <v>103070136</v>
      </c>
      <c r="I84" s="141">
        <v>-2576753</v>
      </c>
      <c r="J84" s="141">
        <v>0</v>
      </c>
      <c r="K84" s="141">
        <v>-2576753</v>
      </c>
      <c r="L84" s="141">
        <v>-5420217</v>
      </c>
      <c r="M84" s="141">
        <v>-42500</v>
      </c>
      <c r="N84" s="141">
        <v>-5462717</v>
      </c>
      <c r="O84" s="141">
        <v>94648950</v>
      </c>
      <c r="P84" s="141">
        <v>381716</v>
      </c>
      <c r="Q84" s="141">
        <v>95030666</v>
      </c>
      <c r="R84" s="141">
        <v>625923</v>
      </c>
      <c r="S84" s="141">
        <v>0</v>
      </c>
      <c r="T84" s="141">
        <v>625923</v>
      </c>
      <c r="U84" s="141">
        <v>0</v>
      </c>
      <c r="V84" s="141">
        <v>0</v>
      </c>
      <c r="W84" s="141">
        <v>0</v>
      </c>
      <c r="X84" s="141">
        <v>-3000</v>
      </c>
      <c r="Y84" s="141">
        <v>277526</v>
      </c>
      <c r="Z84" s="141">
        <v>101190</v>
      </c>
      <c r="AA84" s="141">
        <v>101190</v>
      </c>
      <c r="AB84" s="141">
        <v>0</v>
      </c>
      <c r="AC84" s="141">
        <v>0</v>
      </c>
      <c r="AD84" s="141">
        <v>0</v>
      </c>
      <c r="AE84" s="141">
        <v>0</v>
      </c>
      <c r="AF84" s="141">
        <v>43427</v>
      </c>
      <c r="AG84" s="141">
        <v>43427</v>
      </c>
      <c r="AH84" s="141">
        <v>0</v>
      </c>
      <c r="AI84" s="141">
        <v>0</v>
      </c>
      <c r="AJ84" s="141">
        <v>0</v>
      </c>
      <c r="AK84" s="141">
        <v>0</v>
      </c>
      <c r="AL84" s="141">
        <v>0</v>
      </c>
      <c r="AM84" s="141">
        <v>0</v>
      </c>
      <c r="AN84" s="141">
        <v>0</v>
      </c>
      <c r="AO84" s="141">
        <v>0</v>
      </c>
      <c r="AP84" s="856">
        <v>0</v>
      </c>
      <c r="AQ84" s="856">
        <v>43427</v>
      </c>
      <c r="AR84" s="857">
        <v>43427</v>
      </c>
      <c r="AS84" t="s">
        <v>1650</v>
      </c>
    </row>
    <row r="85" spans="1:45" ht="12.75" x14ac:dyDescent="0.2">
      <c r="A85" s="764">
        <v>78</v>
      </c>
      <c r="B85" s="765" t="s">
        <v>43</v>
      </c>
      <c r="C85" s="766" t="s">
        <v>1217</v>
      </c>
      <c r="D85" s="767" t="s">
        <v>1218</v>
      </c>
      <c r="E85" s="768" t="s">
        <v>42</v>
      </c>
      <c r="F85" s="141">
        <v>44360301</v>
      </c>
      <c r="G85" s="141">
        <v>0</v>
      </c>
      <c r="H85" s="141">
        <v>44360301</v>
      </c>
      <c r="I85" s="141">
        <v>-400000</v>
      </c>
      <c r="J85" s="141">
        <v>0</v>
      </c>
      <c r="K85" s="141">
        <v>-400000</v>
      </c>
      <c r="L85" s="141">
        <v>-1913000</v>
      </c>
      <c r="M85" s="141">
        <v>0</v>
      </c>
      <c r="N85" s="141">
        <v>-1913000</v>
      </c>
      <c r="O85" s="141">
        <v>42047301</v>
      </c>
      <c r="P85" s="141">
        <v>0</v>
      </c>
      <c r="Q85" s="141">
        <v>42047301</v>
      </c>
      <c r="R85" s="141">
        <v>507380</v>
      </c>
      <c r="S85" s="141">
        <v>0</v>
      </c>
      <c r="T85" s="141">
        <v>507380</v>
      </c>
      <c r="U85" s="141">
        <v>0</v>
      </c>
      <c r="V85" s="141">
        <v>0</v>
      </c>
      <c r="W85" s="141">
        <v>0</v>
      </c>
      <c r="X85" s="141">
        <v>0</v>
      </c>
      <c r="Y85" s="141">
        <v>0</v>
      </c>
      <c r="Z85" s="141">
        <v>0</v>
      </c>
      <c r="AA85" s="141">
        <v>0</v>
      </c>
      <c r="AB85" s="141">
        <v>0</v>
      </c>
      <c r="AC85" s="141">
        <v>0</v>
      </c>
      <c r="AD85" s="141">
        <v>0</v>
      </c>
      <c r="AE85" s="141">
        <v>987500</v>
      </c>
      <c r="AF85" s="141">
        <v>0</v>
      </c>
      <c r="AG85" s="141">
        <v>987500</v>
      </c>
      <c r="AH85" s="141">
        <v>0</v>
      </c>
      <c r="AI85" s="141">
        <v>0</v>
      </c>
      <c r="AJ85" s="141">
        <v>0</v>
      </c>
      <c r="AK85" s="141">
        <v>0</v>
      </c>
      <c r="AL85" s="141">
        <v>0</v>
      </c>
      <c r="AM85" s="141">
        <v>0</v>
      </c>
      <c r="AN85" s="141">
        <v>0</v>
      </c>
      <c r="AO85" s="141">
        <v>0</v>
      </c>
      <c r="AP85" s="856">
        <v>987500</v>
      </c>
      <c r="AQ85" s="856">
        <v>0</v>
      </c>
      <c r="AR85" s="857">
        <v>987500</v>
      </c>
      <c r="AS85" t="s">
        <v>1651</v>
      </c>
    </row>
    <row r="86" spans="1:45" ht="12.75" x14ac:dyDescent="0.2">
      <c r="A86" s="764">
        <v>79</v>
      </c>
      <c r="B86" s="765" t="s">
        <v>45</v>
      </c>
      <c r="C86" s="766" t="s">
        <v>1224</v>
      </c>
      <c r="D86" s="767" t="s">
        <v>1227</v>
      </c>
      <c r="E86" s="768" t="s">
        <v>44</v>
      </c>
      <c r="F86" s="141">
        <v>92066003</v>
      </c>
      <c r="G86" s="141">
        <v>186969</v>
      </c>
      <c r="H86" s="141">
        <v>92252972</v>
      </c>
      <c r="I86" s="141">
        <v>-1000000</v>
      </c>
      <c r="J86" s="141">
        <v>0</v>
      </c>
      <c r="K86" s="141">
        <v>-1000000</v>
      </c>
      <c r="L86" s="141">
        <v>-4300000</v>
      </c>
      <c r="M86" s="141">
        <v>0</v>
      </c>
      <c r="N86" s="141">
        <v>-4300000</v>
      </c>
      <c r="O86" s="141">
        <v>86766003</v>
      </c>
      <c r="P86" s="141">
        <v>186969</v>
      </c>
      <c r="Q86" s="141">
        <v>86952972</v>
      </c>
      <c r="R86" s="141">
        <v>0</v>
      </c>
      <c r="S86" s="141">
        <v>0</v>
      </c>
      <c r="T86" s="141">
        <v>0</v>
      </c>
      <c r="U86" s="141">
        <v>0</v>
      </c>
      <c r="V86" s="141">
        <v>0</v>
      </c>
      <c r="W86" s="141">
        <v>0</v>
      </c>
      <c r="X86" s="141">
        <v>905</v>
      </c>
      <c r="Y86" s="141">
        <v>151023</v>
      </c>
      <c r="Z86" s="141">
        <v>55681</v>
      </c>
      <c r="AA86" s="141">
        <v>55681</v>
      </c>
      <c r="AB86" s="141">
        <v>155000</v>
      </c>
      <c r="AC86" s="141">
        <v>219432</v>
      </c>
      <c r="AD86" s="141">
        <v>374432</v>
      </c>
      <c r="AE86" s="141">
        <v>0</v>
      </c>
      <c r="AF86" s="141">
        <v>0</v>
      </c>
      <c r="AG86" s="141">
        <v>0</v>
      </c>
      <c r="AH86" s="141">
        <v>0</v>
      </c>
      <c r="AI86" s="141">
        <v>0</v>
      </c>
      <c r="AJ86" s="141">
        <v>0</v>
      </c>
      <c r="AK86" s="141">
        <v>0</v>
      </c>
      <c r="AL86" s="141">
        <v>0</v>
      </c>
      <c r="AM86" s="141">
        <v>0</v>
      </c>
      <c r="AN86" s="141">
        <v>0</v>
      </c>
      <c r="AO86" s="141">
        <v>0</v>
      </c>
      <c r="AP86" s="856">
        <v>0</v>
      </c>
      <c r="AQ86" s="856">
        <v>0</v>
      </c>
      <c r="AR86" s="857">
        <v>0</v>
      </c>
      <c r="AS86" t="s">
        <v>1652</v>
      </c>
    </row>
    <row r="87" spans="1:45" ht="12.75" x14ac:dyDescent="0.2">
      <c r="A87" s="764">
        <v>80</v>
      </c>
      <c r="B87" s="765" t="s">
        <v>47</v>
      </c>
      <c r="C87" s="766" t="s">
        <v>529</v>
      </c>
      <c r="D87" s="767" t="s">
        <v>1229</v>
      </c>
      <c r="E87" s="768" t="s">
        <v>46</v>
      </c>
      <c r="F87" s="141">
        <v>119420946</v>
      </c>
      <c r="G87" s="141">
        <v>0</v>
      </c>
      <c r="H87" s="141">
        <v>119420946</v>
      </c>
      <c r="I87" s="141">
        <v>-1202484</v>
      </c>
      <c r="J87" s="141">
        <v>0</v>
      </c>
      <c r="K87" s="141">
        <v>-1202484</v>
      </c>
      <c r="L87" s="141">
        <v>-5926721</v>
      </c>
      <c r="M87" s="141">
        <v>0</v>
      </c>
      <c r="N87" s="141">
        <v>-5926721</v>
      </c>
      <c r="O87" s="141">
        <v>112291741</v>
      </c>
      <c r="P87" s="141">
        <v>0</v>
      </c>
      <c r="Q87" s="141">
        <v>112291741</v>
      </c>
      <c r="R87" s="141">
        <v>134009</v>
      </c>
      <c r="S87" s="141">
        <v>0</v>
      </c>
      <c r="T87" s="141">
        <v>134009</v>
      </c>
      <c r="U87" s="141">
        <v>0</v>
      </c>
      <c r="V87" s="141">
        <v>0</v>
      </c>
      <c r="W87" s="141">
        <v>0</v>
      </c>
      <c r="X87" s="141">
        <v>0</v>
      </c>
      <c r="Y87" s="141">
        <v>0</v>
      </c>
      <c r="Z87" s="141">
        <v>0</v>
      </c>
      <c r="AA87" s="141">
        <v>0</v>
      </c>
      <c r="AB87" s="141">
        <v>0</v>
      </c>
      <c r="AC87" s="141">
        <v>0</v>
      </c>
      <c r="AD87" s="141">
        <v>0</v>
      </c>
      <c r="AE87" s="141">
        <v>0</v>
      </c>
      <c r="AF87" s="141">
        <v>0</v>
      </c>
      <c r="AG87" s="141">
        <v>0</v>
      </c>
      <c r="AH87" s="141">
        <v>0</v>
      </c>
      <c r="AI87" s="141">
        <v>0</v>
      </c>
      <c r="AJ87" s="141">
        <v>0</v>
      </c>
      <c r="AK87" s="141">
        <v>0</v>
      </c>
      <c r="AL87" s="141">
        <v>0</v>
      </c>
      <c r="AM87" s="141">
        <v>0</v>
      </c>
      <c r="AN87" s="141">
        <v>0</v>
      </c>
      <c r="AO87" s="141">
        <v>0</v>
      </c>
      <c r="AP87" s="856">
        <v>0</v>
      </c>
      <c r="AQ87" s="856">
        <v>0</v>
      </c>
      <c r="AR87" s="857">
        <v>0</v>
      </c>
      <c r="AS87" t="s">
        <v>1653</v>
      </c>
    </row>
    <row r="88" spans="1:45" ht="12.75" x14ac:dyDescent="0.2">
      <c r="A88" s="764">
        <v>81</v>
      </c>
      <c r="B88" s="765" t="s">
        <v>49</v>
      </c>
      <c r="C88" s="766" t="s">
        <v>1222</v>
      </c>
      <c r="D88" s="767" t="s">
        <v>1223</v>
      </c>
      <c r="E88" s="768" t="s">
        <v>48</v>
      </c>
      <c r="F88" s="141">
        <v>160783354</v>
      </c>
      <c r="G88" s="141">
        <v>0</v>
      </c>
      <c r="H88" s="141">
        <v>160783354</v>
      </c>
      <c r="I88" s="141">
        <v>-5627417</v>
      </c>
      <c r="J88" s="141">
        <v>0</v>
      </c>
      <c r="K88" s="141">
        <v>-5627417</v>
      </c>
      <c r="L88" s="141">
        <v>-7074468</v>
      </c>
      <c r="M88" s="141">
        <v>0</v>
      </c>
      <c r="N88" s="141">
        <v>-7074468</v>
      </c>
      <c r="O88" s="141">
        <v>148081469</v>
      </c>
      <c r="P88" s="141">
        <v>0</v>
      </c>
      <c r="Q88" s="141">
        <v>148081469</v>
      </c>
      <c r="R88" s="141">
        <v>0</v>
      </c>
      <c r="S88" s="141">
        <v>0</v>
      </c>
      <c r="T88" s="141">
        <v>0</v>
      </c>
      <c r="U88" s="141">
        <v>0</v>
      </c>
      <c r="V88" s="141">
        <v>0</v>
      </c>
      <c r="W88" s="141">
        <v>0</v>
      </c>
      <c r="X88" s="141">
        <v>0</v>
      </c>
      <c r="Y88" s="141">
        <v>0</v>
      </c>
      <c r="Z88" s="141">
        <v>0</v>
      </c>
      <c r="AA88" s="141">
        <v>0</v>
      </c>
      <c r="AB88" s="141">
        <v>0</v>
      </c>
      <c r="AC88" s="141">
        <v>0</v>
      </c>
      <c r="AD88" s="141">
        <v>0</v>
      </c>
      <c r="AE88" s="141">
        <v>0</v>
      </c>
      <c r="AF88" s="141">
        <v>0</v>
      </c>
      <c r="AG88" s="141">
        <v>0</v>
      </c>
      <c r="AH88" s="141">
        <v>0</v>
      </c>
      <c r="AI88" s="141">
        <v>0</v>
      </c>
      <c r="AJ88" s="141">
        <v>0</v>
      </c>
      <c r="AK88" s="141">
        <v>0</v>
      </c>
      <c r="AL88" s="141">
        <v>0</v>
      </c>
      <c r="AM88" s="141">
        <v>0</v>
      </c>
      <c r="AN88" s="141">
        <v>0</v>
      </c>
      <c r="AO88" s="141">
        <v>0</v>
      </c>
      <c r="AP88" s="856">
        <v>0</v>
      </c>
      <c r="AQ88" s="856">
        <v>0</v>
      </c>
      <c r="AR88" s="857">
        <v>0</v>
      </c>
      <c r="AS88" t="s">
        <v>1654</v>
      </c>
    </row>
    <row r="89" spans="1:45" ht="12.75" x14ac:dyDescent="0.2">
      <c r="A89" s="764">
        <v>82</v>
      </c>
      <c r="B89" s="765" t="s">
        <v>51</v>
      </c>
      <c r="C89" s="766" t="s">
        <v>1217</v>
      </c>
      <c r="D89" s="767" t="s">
        <v>1221</v>
      </c>
      <c r="E89" s="768" t="s">
        <v>50</v>
      </c>
      <c r="F89" s="141">
        <v>21891543</v>
      </c>
      <c r="G89" s="141">
        <v>243564</v>
      </c>
      <c r="H89" s="141">
        <v>22135107</v>
      </c>
      <c r="I89" s="141">
        <v>-110176</v>
      </c>
      <c r="J89" s="141">
        <v>0</v>
      </c>
      <c r="K89" s="141">
        <v>-110176</v>
      </c>
      <c r="L89" s="141">
        <v>-1070576</v>
      </c>
      <c r="M89" s="141">
        <v>0</v>
      </c>
      <c r="N89" s="141">
        <v>-1070576</v>
      </c>
      <c r="O89" s="141">
        <v>20710791</v>
      </c>
      <c r="P89" s="141">
        <v>243564</v>
      </c>
      <c r="Q89" s="141">
        <v>20954355</v>
      </c>
      <c r="R89" s="141">
        <v>748591</v>
      </c>
      <c r="S89" s="141">
        <v>0</v>
      </c>
      <c r="T89" s="141">
        <v>748591</v>
      </c>
      <c r="U89" s="141">
        <v>0</v>
      </c>
      <c r="V89" s="141">
        <v>0</v>
      </c>
      <c r="W89" s="141">
        <v>0</v>
      </c>
      <c r="X89" s="141">
        <v>0</v>
      </c>
      <c r="Y89" s="141">
        <v>205916</v>
      </c>
      <c r="Z89" s="141">
        <v>37648</v>
      </c>
      <c r="AA89" s="141">
        <v>37648</v>
      </c>
      <c r="AB89" s="141">
        <v>0</v>
      </c>
      <c r="AC89" s="141">
        <v>0</v>
      </c>
      <c r="AD89" s="141">
        <v>0</v>
      </c>
      <c r="AE89" s="141">
        <v>0</v>
      </c>
      <c r="AF89" s="141">
        <v>32812</v>
      </c>
      <c r="AG89" s="141">
        <v>32812</v>
      </c>
      <c r="AH89" s="141">
        <v>0</v>
      </c>
      <c r="AI89" s="141">
        <v>0</v>
      </c>
      <c r="AJ89" s="141">
        <v>0</v>
      </c>
      <c r="AK89" s="141">
        <v>0</v>
      </c>
      <c r="AL89" s="141">
        <v>0</v>
      </c>
      <c r="AM89" s="141">
        <v>0</v>
      </c>
      <c r="AN89" s="141">
        <v>0</v>
      </c>
      <c r="AO89" s="141">
        <v>0</v>
      </c>
      <c r="AP89" s="856">
        <v>0</v>
      </c>
      <c r="AQ89" s="856">
        <v>32812</v>
      </c>
      <c r="AR89" s="857">
        <v>32812</v>
      </c>
      <c r="AS89" t="s">
        <v>1655</v>
      </c>
    </row>
    <row r="90" spans="1:45" ht="12.75" x14ac:dyDescent="0.2">
      <c r="A90" s="764">
        <v>83</v>
      </c>
      <c r="B90" s="765" t="s">
        <v>53</v>
      </c>
      <c r="C90" s="766" t="s">
        <v>1217</v>
      </c>
      <c r="D90" s="767" t="s">
        <v>1226</v>
      </c>
      <c r="E90" s="768" t="s">
        <v>52</v>
      </c>
      <c r="F90" s="141">
        <v>35780946</v>
      </c>
      <c r="G90" s="141">
        <v>1078020</v>
      </c>
      <c r="H90" s="141">
        <v>36858966</v>
      </c>
      <c r="I90" s="141">
        <v>-80000</v>
      </c>
      <c r="J90" s="141">
        <v>0</v>
      </c>
      <c r="K90" s="141">
        <v>-80000</v>
      </c>
      <c r="L90" s="141">
        <v>-1730380</v>
      </c>
      <c r="M90" s="141">
        <v>-53185</v>
      </c>
      <c r="N90" s="141">
        <v>-1783565</v>
      </c>
      <c r="O90" s="141">
        <v>33970566</v>
      </c>
      <c r="P90" s="141">
        <v>1024835</v>
      </c>
      <c r="Q90" s="141">
        <v>34995401</v>
      </c>
      <c r="R90" s="141">
        <v>343030</v>
      </c>
      <c r="S90" s="141">
        <v>0</v>
      </c>
      <c r="T90" s="141">
        <v>343030</v>
      </c>
      <c r="U90" s="141">
        <v>0</v>
      </c>
      <c r="V90" s="141">
        <v>0</v>
      </c>
      <c r="W90" s="141">
        <v>0</v>
      </c>
      <c r="X90" s="141">
        <v>2909</v>
      </c>
      <c r="Y90" s="141">
        <v>673220</v>
      </c>
      <c r="Z90" s="141">
        <v>354524</v>
      </c>
      <c r="AA90" s="141">
        <v>354524</v>
      </c>
      <c r="AB90" s="141">
        <v>0</v>
      </c>
      <c r="AC90" s="141">
        <v>0</v>
      </c>
      <c r="AD90" s="141">
        <v>0</v>
      </c>
      <c r="AE90" s="141">
        <v>0</v>
      </c>
      <c r="AF90" s="141">
        <v>309710</v>
      </c>
      <c r="AG90" s="141">
        <v>309710</v>
      </c>
      <c r="AH90" s="141">
        <v>0</v>
      </c>
      <c r="AI90" s="141">
        <v>0</v>
      </c>
      <c r="AJ90" s="141">
        <v>0</v>
      </c>
      <c r="AK90" s="141">
        <v>0</v>
      </c>
      <c r="AL90" s="141">
        <v>0</v>
      </c>
      <c r="AM90" s="141">
        <v>0</v>
      </c>
      <c r="AN90" s="141">
        <v>0</v>
      </c>
      <c r="AO90" s="141">
        <v>0</v>
      </c>
      <c r="AP90" s="856">
        <v>0</v>
      </c>
      <c r="AQ90" s="856">
        <v>309710</v>
      </c>
      <c r="AR90" s="857">
        <v>309710</v>
      </c>
      <c r="AS90" t="s">
        <v>1656</v>
      </c>
    </row>
    <row r="91" spans="1:45" ht="12.75" x14ac:dyDescent="0.2">
      <c r="A91" s="764">
        <v>84</v>
      </c>
      <c r="B91" s="765" t="s">
        <v>55</v>
      </c>
      <c r="C91" s="766" t="s">
        <v>1217</v>
      </c>
      <c r="D91" s="767" t="s">
        <v>1218</v>
      </c>
      <c r="E91" s="768" t="s">
        <v>54</v>
      </c>
      <c r="F91" s="141">
        <v>33271541</v>
      </c>
      <c r="G91" s="141">
        <v>31653</v>
      </c>
      <c r="H91" s="141">
        <v>33303194</v>
      </c>
      <c r="I91" s="141">
        <v>-204638</v>
      </c>
      <c r="J91" s="141">
        <v>0</v>
      </c>
      <c r="K91" s="141">
        <v>-204638</v>
      </c>
      <c r="L91" s="141">
        <v>-100000</v>
      </c>
      <c r="M91" s="141">
        <v>0</v>
      </c>
      <c r="N91" s="141">
        <v>-100000</v>
      </c>
      <c r="O91" s="141">
        <v>32966903</v>
      </c>
      <c r="P91" s="141">
        <v>31653</v>
      </c>
      <c r="Q91" s="141">
        <v>32998556</v>
      </c>
      <c r="R91" s="141">
        <v>0</v>
      </c>
      <c r="S91" s="141">
        <v>0</v>
      </c>
      <c r="T91" s="141">
        <v>0</v>
      </c>
      <c r="U91" s="141">
        <v>0</v>
      </c>
      <c r="V91" s="141">
        <v>0</v>
      </c>
      <c r="W91" s="141">
        <v>0</v>
      </c>
      <c r="X91" s="141">
        <v>0</v>
      </c>
      <c r="Y91" s="141">
        <v>0</v>
      </c>
      <c r="Z91" s="141">
        <v>31653</v>
      </c>
      <c r="AA91" s="141">
        <v>31653</v>
      </c>
      <c r="AB91" s="141">
        <v>0</v>
      </c>
      <c r="AC91" s="141">
        <v>0</v>
      </c>
      <c r="AD91" s="141">
        <v>0</v>
      </c>
      <c r="AE91" s="141">
        <v>0</v>
      </c>
      <c r="AF91" s="141">
        <v>15381</v>
      </c>
      <c r="AG91" s="141">
        <v>15381</v>
      </c>
      <c r="AH91" s="141">
        <v>0</v>
      </c>
      <c r="AI91" s="141">
        <v>0</v>
      </c>
      <c r="AJ91" s="141">
        <v>0</v>
      </c>
      <c r="AK91" s="141">
        <v>0</v>
      </c>
      <c r="AL91" s="141">
        <v>0</v>
      </c>
      <c r="AM91" s="141">
        <v>0</v>
      </c>
      <c r="AN91" s="141">
        <v>0</v>
      </c>
      <c r="AO91" s="141">
        <v>0</v>
      </c>
      <c r="AP91" s="856">
        <v>0</v>
      </c>
      <c r="AQ91" s="856">
        <v>15381</v>
      </c>
      <c r="AR91" s="857">
        <v>15381</v>
      </c>
      <c r="AS91" t="s">
        <v>1657</v>
      </c>
    </row>
    <row r="92" spans="1:45" ht="12.75" x14ac:dyDescent="0.2">
      <c r="A92" s="764">
        <v>85</v>
      </c>
      <c r="B92" s="765" t="s">
        <v>57</v>
      </c>
      <c r="C92" s="766" t="s">
        <v>1217</v>
      </c>
      <c r="D92" s="767" t="s">
        <v>1221</v>
      </c>
      <c r="E92" s="768" t="s">
        <v>56</v>
      </c>
      <c r="F92" s="141">
        <v>45182383</v>
      </c>
      <c r="G92" s="141">
        <v>0</v>
      </c>
      <c r="H92" s="141">
        <v>45182383</v>
      </c>
      <c r="I92" s="141">
        <v>-250000</v>
      </c>
      <c r="J92" s="141">
        <v>0</v>
      </c>
      <c r="K92" s="141">
        <v>-250000</v>
      </c>
      <c r="L92" s="141">
        <v>-2498921</v>
      </c>
      <c r="M92" s="141">
        <v>0</v>
      </c>
      <c r="N92" s="141">
        <v>-2498921</v>
      </c>
      <c r="O92" s="141">
        <v>42433462</v>
      </c>
      <c r="P92" s="141">
        <v>0</v>
      </c>
      <c r="Q92" s="141">
        <v>42433462</v>
      </c>
      <c r="R92" s="141">
        <v>0</v>
      </c>
      <c r="S92" s="141">
        <v>0</v>
      </c>
      <c r="T92" s="141">
        <v>0</v>
      </c>
      <c r="U92" s="141">
        <v>0</v>
      </c>
      <c r="V92" s="141">
        <v>0</v>
      </c>
      <c r="W92" s="141">
        <v>0</v>
      </c>
      <c r="X92" s="141">
        <v>0</v>
      </c>
      <c r="Y92" s="141">
        <v>0</v>
      </c>
      <c r="Z92" s="141">
        <v>0</v>
      </c>
      <c r="AA92" s="141">
        <v>0</v>
      </c>
      <c r="AB92" s="141">
        <v>0</v>
      </c>
      <c r="AC92" s="141">
        <v>0</v>
      </c>
      <c r="AD92" s="141">
        <v>0</v>
      </c>
      <c r="AE92" s="141">
        <v>0</v>
      </c>
      <c r="AF92" s="141">
        <v>0</v>
      </c>
      <c r="AG92" s="141">
        <v>0</v>
      </c>
      <c r="AH92" s="141">
        <v>0</v>
      </c>
      <c r="AI92" s="141">
        <v>0</v>
      </c>
      <c r="AJ92" s="141">
        <v>0</v>
      </c>
      <c r="AK92" s="141">
        <v>0</v>
      </c>
      <c r="AL92" s="141">
        <v>0</v>
      </c>
      <c r="AM92" s="141">
        <v>0</v>
      </c>
      <c r="AN92" s="141">
        <v>0</v>
      </c>
      <c r="AO92" s="141">
        <v>0</v>
      </c>
      <c r="AP92" s="856">
        <v>0</v>
      </c>
      <c r="AQ92" s="856">
        <v>0</v>
      </c>
      <c r="AR92" s="857">
        <v>0</v>
      </c>
      <c r="AS92" t="s">
        <v>1658</v>
      </c>
    </row>
    <row r="93" spans="1:45" ht="12.75" x14ac:dyDescent="0.2">
      <c r="A93" s="764">
        <v>86</v>
      </c>
      <c r="B93" s="765" t="s">
        <v>59</v>
      </c>
      <c r="C93" s="766" t="s">
        <v>1217</v>
      </c>
      <c r="D93" s="767" t="s">
        <v>1220</v>
      </c>
      <c r="E93" s="768" t="s">
        <v>58</v>
      </c>
      <c r="F93" s="141">
        <v>37088778</v>
      </c>
      <c r="G93" s="141">
        <v>0</v>
      </c>
      <c r="H93" s="141">
        <v>37088778</v>
      </c>
      <c r="I93" s="141">
        <v>-370888</v>
      </c>
      <c r="J93" s="141">
        <v>0</v>
      </c>
      <c r="K93" s="141">
        <v>-370888</v>
      </c>
      <c r="L93" s="141">
        <v>-1061746</v>
      </c>
      <c r="M93" s="141">
        <v>0</v>
      </c>
      <c r="N93" s="141">
        <v>-1061746</v>
      </c>
      <c r="O93" s="141">
        <v>35656144</v>
      </c>
      <c r="P93" s="141">
        <v>0</v>
      </c>
      <c r="Q93" s="141">
        <v>35656144</v>
      </c>
      <c r="R93" s="141">
        <v>759565</v>
      </c>
      <c r="S93" s="141">
        <v>0</v>
      </c>
      <c r="T93" s="141">
        <v>759565</v>
      </c>
      <c r="U93" s="141">
        <v>0</v>
      </c>
      <c r="V93" s="141">
        <v>0</v>
      </c>
      <c r="W93" s="141">
        <v>0</v>
      </c>
      <c r="X93" s="141">
        <v>0</v>
      </c>
      <c r="Y93" s="141">
        <v>0</v>
      </c>
      <c r="Z93" s="141">
        <v>0</v>
      </c>
      <c r="AA93" s="141">
        <v>0</v>
      </c>
      <c r="AB93" s="141">
        <v>0</v>
      </c>
      <c r="AC93" s="141">
        <v>0</v>
      </c>
      <c r="AD93" s="141">
        <v>0</v>
      </c>
      <c r="AE93" s="141">
        <v>0</v>
      </c>
      <c r="AF93" s="141">
        <v>0</v>
      </c>
      <c r="AG93" s="141">
        <v>0</v>
      </c>
      <c r="AH93" s="141">
        <v>0</v>
      </c>
      <c r="AI93" s="141">
        <v>0</v>
      </c>
      <c r="AJ93" s="141">
        <v>0</v>
      </c>
      <c r="AK93" s="141">
        <v>0</v>
      </c>
      <c r="AL93" s="141">
        <v>0</v>
      </c>
      <c r="AM93" s="141">
        <v>0</v>
      </c>
      <c r="AN93" s="141">
        <v>0</v>
      </c>
      <c r="AO93" s="141">
        <v>0</v>
      </c>
      <c r="AP93" s="856">
        <v>0</v>
      </c>
      <c r="AQ93" s="856">
        <v>0</v>
      </c>
      <c r="AR93" s="857">
        <v>0</v>
      </c>
      <c r="AS93" t="s">
        <v>1659</v>
      </c>
    </row>
    <row r="94" spans="1:45" ht="12.75" x14ac:dyDescent="0.2">
      <c r="A94" s="764">
        <v>87</v>
      </c>
      <c r="B94" s="765" t="s">
        <v>61</v>
      </c>
      <c r="C94" s="766" t="s">
        <v>1217</v>
      </c>
      <c r="D94" s="767" t="s">
        <v>1220</v>
      </c>
      <c r="E94" s="768" t="s">
        <v>60</v>
      </c>
      <c r="F94" s="141">
        <v>34775140</v>
      </c>
      <c r="G94" s="141">
        <v>0</v>
      </c>
      <c r="H94" s="141">
        <v>34775140</v>
      </c>
      <c r="I94" s="141">
        <v>-200000</v>
      </c>
      <c r="J94" s="141">
        <v>0</v>
      </c>
      <c r="K94" s="141">
        <v>-200000</v>
      </c>
      <c r="L94" s="141">
        <v>-750000</v>
      </c>
      <c r="M94" s="141">
        <v>0</v>
      </c>
      <c r="N94" s="141">
        <v>-750000</v>
      </c>
      <c r="O94" s="141">
        <v>33825140</v>
      </c>
      <c r="P94" s="141">
        <v>0</v>
      </c>
      <c r="Q94" s="141">
        <v>33825140</v>
      </c>
      <c r="R94" s="141">
        <v>429587</v>
      </c>
      <c r="S94" s="141">
        <v>0</v>
      </c>
      <c r="T94" s="141">
        <v>429587</v>
      </c>
      <c r="U94" s="141">
        <v>0</v>
      </c>
      <c r="V94" s="141">
        <v>0</v>
      </c>
      <c r="W94" s="141">
        <v>0</v>
      </c>
      <c r="X94" s="141">
        <v>0</v>
      </c>
      <c r="Y94" s="141">
        <v>0</v>
      </c>
      <c r="Z94" s="141">
        <v>0</v>
      </c>
      <c r="AA94" s="141">
        <v>0</v>
      </c>
      <c r="AB94" s="141">
        <v>0</v>
      </c>
      <c r="AC94" s="141">
        <v>0</v>
      </c>
      <c r="AD94" s="141">
        <v>0</v>
      </c>
      <c r="AE94" s="141">
        <v>0</v>
      </c>
      <c r="AF94" s="141">
        <v>0</v>
      </c>
      <c r="AG94" s="141">
        <v>0</v>
      </c>
      <c r="AH94" s="141">
        <v>0</v>
      </c>
      <c r="AI94" s="141">
        <v>0</v>
      </c>
      <c r="AJ94" s="141">
        <v>0</v>
      </c>
      <c r="AK94" s="141">
        <v>0</v>
      </c>
      <c r="AL94" s="141">
        <v>0</v>
      </c>
      <c r="AM94" s="141">
        <v>0</v>
      </c>
      <c r="AN94" s="141">
        <v>0</v>
      </c>
      <c r="AO94" s="141">
        <v>0</v>
      </c>
      <c r="AP94" s="856">
        <v>0</v>
      </c>
      <c r="AQ94" s="856">
        <v>0</v>
      </c>
      <c r="AR94" s="857">
        <v>0</v>
      </c>
      <c r="AS94" t="s">
        <v>1660</v>
      </c>
    </row>
    <row r="95" spans="1:45" ht="12.75" x14ac:dyDescent="0.2">
      <c r="A95" s="764">
        <v>88</v>
      </c>
      <c r="B95" s="765" t="s">
        <v>63</v>
      </c>
      <c r="C95" s="766" t="s">
        <v>529</v>
      </c>
      <c r="D95" s="767" t="s">
        <v>1225</v>
      </c>
      <c r="E95" s="768" t="s">
        <v>585</v>
      </c>
      <c r="F95" s="141">
        <v>112097895</v>
      </c>
      <c r="G95" s="141">
        <v>109368</v>
      </c>
      <c r="H95" s="141">
        <v>112207263</v>
      </c>
      <c r="I95" s="141">
        <v>-600000</v>
      </c>
      <c r="J95" s="141">
        <v>0</v>
      </c>
      <c r="K95" s="141">
        <v>-600000</v>
      </c>
      <c r="L95" s="141">
        <v>-3345000</v>
      </c>
      <c r="M95" s="141">
        <v>0</v>
      </c>
      <c r="N95" s="141">
        <v>-3345000</v>
      </c>
      <c r="O95" s="141">
        <v>108152895</v>
      </c>
      <c r="P95" s="141">
        <v>109368</v>
      </c>
      <c r="Q95" s="141">
        <v>108262263</v>
      </c>
      <c r="R95" s="141">
        <v>5064085</v>
      </c>
      <c r="S95" s="141">
        <v>0</v>
      </c>
      <c r="T95" s="141">
        <v>5064085</v>
      </c>
      <c r="U95" s="141">
        <v>0</v>
      </c>
      <c r="V95" s="141">
        <v>0</v>
      </c>
      <c r="W95" s="141">
        <v>0</v>
      </c>
      <c r="X95" s="141">
        <v>0</v>
      </c>
      <c r="Y95" s="141">
        <v>143665</v>
      </c>
      <c r="Z95" s="141">
        <v>0</v>
      </c>
      <c r="AA95" s="141">
        <v>0</v>
      </c>
      <c r="AB95" s="141">
        <v>0</v>
      </c>
      <c r="AC95" s="141">
        <v>0</v>
      </c>
      <c r="AD95" s="141">
        <v>0</v>
      </c>
      <c r="AE95" s="141">
        <v>8001</v>
      </c>
      <c r="AF95" s="141">
        <v>0</v>
      </c>
      <c r="AG95" s="141">
        <v>8001</v>
      </c>
      <c r="AH95" s="141">
        <v>0</v>
      </c>
      <c r="AI95" s="141">
        <v>0</v>
      </c>
      <c r="AJ95" s="141">
        <v>0</v>
      </c>
      <c r="AK95" s="141">
        <v>0</v>
      </c>
      <c r="AL95" s="141">
        <v>0</v>
      </c>
      <c r="AM95" s="141">
        <v>0</v>
      </c>
      <c r="AN95" s="141">
        <v>0</v>
      </c>
      <c r="AO95" s="141">
        <v>0</v>
      </c>
      <c r="AP95" s="856">
        <v>8001</v>
      </c>
      <c r="AQ95" s="856">
        <v>0</v>
      </c>
      <c r="AR95" s="857">
        <v>8001</v>
      </c>
      <c r="AS95" t="s">
        <v>1661</v>
      </c>
    </row>
    <row r="96" spans="1:45" ht="12.75" x14ac:dyDescent="0.2">
      <c r="A96" s="764">
        <v>89</v>
      </c>
      <c r="B96" s="765" t="s">
        <v>68</v>
      </c>
      <c r="C96" s="766" t="s">
        <v>1217</v>
      </c>
      <c r="D96" s="767" t="s">
        <v>1227</v>
      </c>
      <c r="E96" s="768" t="s">
        <v>67</v>
      </c>
      <c r="F96" s="141">
        <v>57333342</v>
      </c>
      <c r="G96" s="141">
        <v>0</v>
      </c>
      <c r="H96" s="141">
        <v>57333342</v>
      </c>
      <c r="I96" s="141">
        <v>-560000</v>
      </c>
      <c r="J96" s="141">
        <v>0</v>
      </c>
      <c r="K96" s="141">
        <v>-560000</v>
      </c>
      <c r="L96" s="141">
        <v>-3702749</v>
      </c>
      <c r="M96" s="141">
        <v>0</v>
      </c>
      <c r="N96" s="141">
        <v>-3702749</v>
      </c>
      <c r="O96" s="141">
        <v>53070593</v>
      </c>
      <c r="P96" s="141">
        <v>0</v>
      </c>
      <c r="Q96" s="141">
        <v>53070593</v>
      </c>
      <c r="R96" s="141">
        <v>0</v>
      </c>
      <c r="S96" s="141">
        <v>0</v>
      </c>
      <c r="T96" s="141">
        <v>0</v>
      </c>
      <c r="U96" s="141">
        <v>0</v>
      </c>
      <c r="V96" s="141">
        <v>0</v>
      </c>
      <c r="W96" s="141">
        <v>0</v>
      </c>
      <c r="X96" s="141">
        <v>0</v>
      </c>
      <c r="Y96" s="141">
        <v>0</v>
      </c>
      <c r="Z96" s="141">
        <v>0</v>
      </c>
      <c r="AA96" s="141">
        <v>0</v>
      </c>
      <c r="AB96" s="141">
        <v>0</v>
      </c>
      <c r="AC96" s="141">
        <v>0</v>
      </c>
      <c r="AD96" s="141">
        <v>0</v>
      </c>
      <c r="AE96" s="141">
        <v>0</v>
      </c>
      <c r="AF96" s="141">
        <v>0</v>
      </c>
      <c r="AG96" s="141">
        <v>0</v>
      </c>
      <c r="AH96" s="141">
        <v>0</v>
      </c>
      <c r="AI96" s="141">
        <v>0</v>
      </c>
      <c r="AJ96" s="141">
        <v>0</v>
      </c>
      <c r="AK96" s="141">
        <v>0</v>
      </c>
      <c r="AL96" s="141">
        <v>0</v>
      </c>
      <c r="AM96" s="141">
        <v>0</v>
      </c>
      <c r="AN96" s="141">
        <v>0</v>
      </c>
      <c r="AO96" s="141">
        <v>0</v>
      </c>
      <c r="AP96" s="856">
        <v>0</v>
      </c>
      <c r="AQ96" s="856">
        <v>0</v>
      </c>
      <c r="AR96" s="857">
        <v>0</v>
      </c>
      <c r="AS96" t="s">
        <v>1662</v>
      </c>
    </row>
    <row r="97" spans="1:45" ht="12.75" x14ac:dyDescent="0.2">
      <c r="A97" s="764">
        <v>90</v>
      </c>
      <c r="B97" s="765" t="s">
        <v>1148</v>
      </c>
      <c r="C97" s="766" t="s">
        <v>1217</v>
      </c>
      <c r="D97" s="767" t="s">
        <v>1221</v>
      </c>
      <c r="E97" s="768" t="s">
        <v>1147</v>
      </c>
      <c r="F97" s="141">
        <v>97727550</v>
      </c>
      <c r="G97" s="141">
        <v>255463</v>
      </c>
      <c r="H97" s="141">
        <v>97983013</v>
      </c>
      <c r="I97" s="141">
        <v>-781820</v>
      </c>
      <c r="J97" s="141">
        <v>0</v>
      </c>
      <c r="K97" s="141">
        <v>-781820</v>
      </c>
      <c r="L97" s="141">
        <v>-4394726</v>
      </c>
      <c r="M97" s="141">
        <v>-14256</v>
      </c>
      <c r="N97" s="141">
        <v>-4408982</v>
      </c>
      <c r="O97" s="141">
        <v>92551004</v>
      </c>
      <c r="P97" s="141">
        <v>241207</v>
      </c>
      <c r="Q97" s="141">
        <v>92792211</v>
      </c>
      <c r="R97" s="141">
        <v>544043</v>
      </c>
      <c r="S97" s="141">
        <v>0</v>
      </c>
      <c r="T97" s="141">
        <v>544043</v>
      </c>
      <c r="U97" s="141">
        <v>0</v>
      </c>
      <c r="V97" s="141">
        <v>0</v>
      </c>
      <c r="W97" s="141">
        <v>0</v>
      </c>
      <c r="X97" s="141">
        <v>1236</v>
      </c>
      <c r="Y97" s="141">
        <v>45140</v>
      </c>
      <c r="Z97" s="141">
        <v>242443</v>
      </c>
      <c r="AA97" s="141">
        <v>242443</v>
      </c>
      <c r="AB97" s="141">
        <v>0</v>
      </c>
      <c r="AC97" s="141">
        <v>0</v>
      </c>
      <c r="AD97" s="141">
        <v>0</v>
      </c>
      <c r="AE97" s="141">
        <v>0</v>
      </c>
      <c r="AF97" s="141">
        <v>200220</v>
      </c>
      <c r="AG97" s="141">
        <v>200220</v>
      </c>
      <c r="AH97" s="141">
        <v>0</v>
      </c>
      <c r="AI97" s="141">
        <v>0</v>
      </c>
      <c r="AJ97" s="141">
        <v>0</v>
      </c>
      <c r="AK97" s="141">
        <v>0</v>
      </c>
      <c r="AL97" s="141">
        <v>0</v>
      </c>
      <c r="AM97" s="141">
        <v>0</v>
      </c>
      <c r="AN97" s="141">
        <v>0</v>
      </c>
      <c r="AO97" s="141">
        <v>0</v>
      </c>
      <c r="AP97" s="856">
        <v>0</v>
      </c>
      <c r="AQ97" s="856">
        <v>200220</v>
      </c>
      <c r="AR97" s="857">
        <v>200220</v>
      </c>
      <c r="AS97" t="s">
        <v>1663</v>
      </c>
    </row>
    <row r="98" spans="1:45" ht="12.75" x14ac:dyDescent="0.2">
      <c r="A98" s="764">
        <v>91</v>
      </c>
      <c r="B98" s="765" t="s">
        <v>70</v>
      </c>
      <c r="C98" s="766" t="s">
        <v>1217</v>
      </c>
      <c r="D98" s="767" t="s">
        <v>1218</v>
      </c>
      <c r="E98" s="768" t="s">
        <v>69</v>
      </c>
      <c r="F98" s="141">
        <v>35505763</v>
      </c>
      <c r="G98" s="141">
        <v>0</v>
      </c>
      <c r="H98" s="141">
        <v>35505763</v>
      </c>
      <c r="I98" s="141">
        <v>-117360</v>
      </c>
      <c r="J98" s="141">
        <v>0</v>
      </c>
      <c r="K98" s="141">
        <v>-117360</v>
      </c>
      <c r="L98" s="141">
        <v>-580593</v>
      </c>
      <c r="M98" s="141">
        <v>0</v>
      </c>
      <c r="N98" s="141">
        <v>-580593</v>
      </c>
      <c r="O98" s="141">
        <v>34807810</v>
      </c>
      <c r="P98" s="141">
        <v>0</v>
      </c>
      <c r="Q98" s="141">
        <v>34807810</v>
      </c>
      <c r="R98" s="141">
        <v>0</v>
      </c>
      <c r="S98" s="141">
        <v>0</v>
      </c>
      <c r="T98" s="141">
        <v>0</v>
      </c>
      <c r="U98" s="141">
        <v>0</v>
      </c>
      <c r="V98" s="141">
        <v>0</v>
      </c>
      <c r="W98" s="141">
        <v>0</v>
      </c>
      <c r="X98" s="141">
        <v>0</v>
      </c>
      <c r="Y98" s="141">
        <v>0</v>
      </c>
      <c r="Z98" s="141">
        <v>0</v>
      </c>
      <c r="AA98" s="141">
        <v>0</v>
      </c>
      <c r="AB98" s="141">
        <v>0</v>
      </c>
      <c r="AC98" s="141">
        <v>0</v>
      </c>
      <c r="AD98" s="141">
        <v>0</v>
      </c>
      <c r="AE98" s="141">
        <v>0</v>
      </c>
      <c r="AF98" s="141">
        <v>0</v>
      </c>
      <c r="AG98" s="141">
        <v>0</v>
      </c>
      <c r="AH98" s="141">
        <v>0</v>
      </c>
      <c r="AI98" s="141">
        <v>0</v>
      </c>
      <c r="AJ98" s="141">
        <v>0</v>
      </c>
      <c r="AK98" s="141">
        <v>0</v>
      </c>
      <c r="AL98" s="141">
        <v>0</v>
      </c>
      <c r="AM98" s="141">
        <v>0</v>
      </c>
      <c r="AN98" s="141">
        <v>0</v>
      </c>
      <c r="AO98" s="141">
        <v>0</v>
      </c>
      <c r="AP98" s="856">
        <v>0</v>
      </c>
      <c r="AQ98" s="856">
        <v>0</v>
      </c>
      <c r="AR98" s="857">
        <v>0</v>
      </c>
      <c r="AS98" t="s">
        <v>1664</v>
      </c>
    </row>
    <row r="99" spans="1:45" ht="12.75" x14ac:dyDescent="0.2">
      <c r="A99" s="764">
        <v>92</v>
      </c>
      <c r="B99" s="765" t="s">
        <v>72</v>
      </c>
      <c r="C99" s="766" t="s">
        <v>1217</v>
      </c>
      <c r="D99" s="767" t="s">
        <v>1218</v>
      </c>
      <c r="E99" s="768" t="s">
        <v>71</v>
      </c>
      <c r="F99" s="141">
        <v>59987889</v>
      </c>
      <c r="G99" s="141">
        <v>0</v>
      </c>
      <c r="H99" s="141">
        <v>59987889</v>
      </c>
      <c r="I99" s="141">
        <v>-256000</v>
      </c>
      <c r="J99" s="141">
        <v>0</v>
      </c>
      <c r="K99" s="141">
        <v>-256000</v>
      </c>
      <c r="L99" s="141">
        <v>-1200000</v>
      </c>
      <c r="M99" s="141">
        <v>0</v>
      </c>
      <c r="N99" s="141">
        <v>-1200000</v>
      </c>
      <c r="O99" s="141">
        <v>58531889</v>
      </c>
      <c r="P99" s="141">
        <v>0</v>
      </c>
      <c r="Q99" s="141">
        <v>58531889</v>
      </c>
      <c r="R99" s="141">
        <v>0</v>
      </c>
      <c r="S99" s="141">
        <v>0</v>
      </c>
      <c r="T99" s="141">
        <v>0</v>
      </c>
      <c r="U99" s="141">
        <v>0</v>
      </c>
      <c r="V99" s="141">
        <v>0</v>
      </c>
      <c r="W99" s="141">
        <v>0</v>
      </c>
      <c r="X99" s="141">
        <v>0</v>
      </c>
      <c r="Y99" s="141">
        <v>0</v>
      </c>
      <c r="Z99" s="141">
        <v>0</v>
      </c>
      <c r="AA99" s="141">
        <v>0</v>
      </c>
      <c r="AB99" s="141">
        <v>0</v>
      </c>
      <c r="AC99" s="141">
        <v>0</v>
      </c>
      <c r="AD99" s="141">
        <v>0</v>
      </c>
      <c r="AE99" s="141">
        <v>0</v>
      </c>
      <c r="AF99" s="141">
        <v>0</v>
      </c>
      <c r="AG99" s="141">
        <v>0</v>
      </c>
      <c r="AH99" s="141">
        <v>0</v>
      </c>
      <c r="AI99" s="141">
        <v>0</v>
      </c>
      <c r="AJ99" s="141">
        <v>0</v>
      </c>
      <c r="AK99" s="141">
        <v>0</v>
      </c>
      <c r="AL99" s="141">
        <v>0</v>
      </c>
      <c r="AM99" s="141">
        <v>0</v>
      </c>
      <c r="AN99" s="141">
        <v>0</v>
      </c>
      <c r="AO99" s="141">
        <v>0</v>
      </c>
      <c r="AP99" s="856">
        <v>0</v>
      </c>
      <c r="AQ99" s="856">
        <v>0</v>
      </c>
      <c r="AR99" s="857">
        <v>0</v>
      </c>
      <c r="AS99" t="s">
        <v>1665</v>
      </c>
    </row>
    <row r="100" spans="1:45" ht="12.75" x14ac:dyDescent="0.2">
      <c r="A100" s="764">
        <v>93</v>
      </c>
      <c r="B100" s="765" t="s">
        <v>74</v>
      </c>
      <c r="C100" s="766" t="s">
        <v>1217</v>
      </c>
      <c r="D100" s="767" t="s">
        <v>1219</v>
      </c>
      <c r="E100" s="768" t="s">
        <v>73</v>
      </c>
      <c r="F100" s="141">
        <v>22258900</v>
      </c>
      <c r="G100" s="141">
        <v>0</v>
      </c>
      <c r="H100" s="141">
        <v>22258900</v>
      </c>
      <c r="I100" s="141">
        <v>-335000</v>
      </c>
      <c r="J100" s="141">
        <v>0</v>
      </c>
      <c r="K100" s="141">
        <v>-335000</v>
      </c>
      <c r="L100" s="141">
        <v>-445000</v>
      </c>
      <c r="M100" s="141">
        <v>0</v>
      </c>
      <c r="N100" s="141">
        <v>-445000</v>
      </c>
      <c r="O100" s="141">
        <v>21478900</v>
      </c>
      <c r="P100" s="141">
        <v>0</v>
      </c>
      <c r="Q100" s="141">
        <v>21478900</v>
      </c>
      <c r="R100" s="141">
        <v>0</v>
      </c>
      <c r="S100" s="141">
        <v>0</v>
      </c>
      <c r="T100" s="141">
        <v>0</v>
      </c>
      <c r="U100" s="141">
        <v>0</v>
      </c>
      <c r="V100" s="141">
        <v>0</v>
      </c>
      <c r="W100" s="141">
        <v>0</v>
      </c>
      <c r="X100" s="141">
        <v>0</v>
      </c>
      <c r="Y100" s="141">
        <v>0</v>
      </c>
      <c r="Z100" s="141">
        <v>0</v>
      </c>
      <c r="AA100" s="141">
        <v>0</v>
      </c>
      <c r="AB100" s="141">
        <v>0</v>
      </c>
      <c r="AC100" s="141">
        <v>0</v>
      </c>
      <c r="AD100" s="141">
        <v>0</v>
      </c>
      <c r="AE100" s="141">
        <v>0</v>
      </c>
      <c r="AF100" s="141">
        <v>0</v>
      </c>
      <c r="AG100" s="141">
        <v>0</v>
      </c>
      <c r="AH100" s="141">
        <v>0</v>
      </c>
      <c r="AI100" s="141">
        <v>0</v>
      </c>
      <c r="AJ100" s="141">
        <v>0</v>
      </c>
      <c r="AK100" s="141">
        <v>0</v>
      </c>
      <c r="AL100" s="141">
        <v>0</v>
      </c>
      <c r="AM100" s="141">
        <v>0</v>
      </c>
      <c r="AN100" s="141">
        <v>0</v>
      </c>
      <c r="AO100" s="141">
        <v>0</v>
      </c>
      <c r="AP100" s="856">
        <v>0</v>
      </c>
      <c r="AQ100" s="856">
        <v>0</v>
      </c>
      <c r="AR100" s="857">
        <v>0</v>
      </c>
      <c r="AS100" t="s">
        <v>1666</v>
      </c>
    </row>
    <row r="101" spans="1:45" ht="12.75" x14ac:dyDescent="0.2">
      <c r="A101" s="764">
        <v>94</v>
      </c>
      <c r="B101" s="765" t="s">
        <v>76</v>
      </c>
      <c r="C101" s="766" t="s">
        <v>1217</v>
      </c>
      <c r="D101" s="767" t="s">
        <v>1218</v>
      </c>
      <c r="E101" s="768" t="s">
        <v>75</v>
      </c>
      <c r="F101" s="141">
        <v>65999521</v>
      </c>
      <c r="G101" s="141">
        <v>0</v>
      </c>
      <c r="H101" s="141">
        <v>65999521</v>
      </c>
      <c r="I101" s="141">
        <v>-300000</v>
      </c>
      <c r="J101" s="141">
        <v>0</v>
      </c>
      <c r="K101" s="141">
        <v>-300000</v>
      </c>
      <c r="L101" s="141">
        <v>-3101977</v>
      </c>
      <c r="M101" s="141">
        <v>0</v>
      </c>
      <c r="N101" s="141">
        <v>-3101977</v>
      </c>
      <c r="O101" s="141">
        <v>62597544</v>
      </c>
      <c r="P101" s="141">
        <v>0</v>
      </c>
      <c r="Q101" s="141">
        <v>62597544</v>
      </c>
      <c r="R101" s="141">
        <v>16156</v>
      </c>
      <c r="S101" s="141">
        <v>0</v>
      </c>
      <c r="T101" s="141">
        <v>16156</v>
      </c>
      <c r="U101" s="141">
        <v>0</v>
      </c>
      <c r="V101" s="141">
        <v>0</v>
      </c>
      <c r="W101" s="141">
        <v>0</v>
      </c>
      <c r="X101" s="141">
        <v>0</v>
      </c>
      <c r="Y101" s="141">
        <v>0</v>
      </c>
      <c r="Z101" s="141">
        <v>0</v>
      </c>
      <c r="AA101" s="141">
        <v>0</v>
      </c>
      <c r="AB101" s="141">
        <v>0</v>
      </c>
      <c r="AC101" s="141">
        <v>0</v>
      </c>
      <c r="AD101" s="141">
        <v>0</v>
      </c>
      <c r="AE101" s="141">
        <v>0</v>
      </c>
      <c r="AF101" s="141">
        <v>0</v>
      </c>
      <c r="AG101" s="141">
        <v>0</v>
      </c>
      <c r="AH101" s="141">
        <v>0</v>
      </c>
      <c r="AI101" s="141">
        <v>0</v>
      </c>
      <c r="AJ101" s="141">
        <v>0</v>
      </c>
      <c r="AK101" s="141">
        <v>0</v>
      </c>
      <c r="AL101" s="141">
        <v>0</v>
      </c>
      <c r="AM101" s="141">
        <v>0</v>
      </c>
      <c r="AN101" s="141">
        <v>0</v>
      </c>
      <c r="AO101" s="141">
        <v>0</v>
      </c>
      <c r="AP101" s="856">
        <v>0</v>
      </c>
      <c r="AQ101" s="856">
        <v>0</v>
      </c>
      <c r="AR101" s="857">
        <v>0</v>
      </c>
      <c r="AS101" t="s">
        <v>1667</v>
      </c>
    </row>
    <row r="102" spans="1:45" ht="12.75" x14ac:dyDescent="0.2">
      <c r="A102" s="764">
        <v>95</v>
      </c>
      <c r="B102" s="765" t="s">
        <v>78</v>
      </c>
      <c r="C102" s="766" t="s">
        <v>1222</v>
      </c>
      <c r="D102" s="767" t="s">
        <v>1223</v>
      </c>
      <c r="E102" s="768" t="s">
        <v>77</v>
      </c>
      <c r="F102" s="141">
        <v>119381130</v>
      </c>
      <c r="G102" s="141">
        <v>0</v>
      </c>
      <c r="H102" s="141">
        <v>119381130</v>
      </c>
      <c r="I102" s="141">
        <v>-1193811</v>
      </c>
      <c r="J102" s="141">
        <v>0</v>
      </c>
      <c r="K102" s="141">
        <v>-1193811</v>
      </c>
      <c r="L102" s="141">
        <v>-4956000</v>
      </c>
      <c r="M102" s="141">
        <v>0</v>
      </c>
      <c r="N102" s="141">
        <v>-4956000</v>
      </c>
      <c r="O102" s="141">
        <v>113231319</v>
      </c>
      <c r="P102" s="141">
        <v>0</v>
      </c>
      <c r="Q102" s="141">
        <v>113231319</v>
      </c>
      <c r="R102" s="141">
        <v>0</v>
      </c>
      <c r="S102" s="141">
        <v>0</v>
      </c>
      <c r="T102" s="141">
        <v>0</v>
      </c>
      <c r="U102" s="141">
        <v>0</v>
      </c>
      <c r="V102" s="141">
        <v>0</v>
      </c>
      <c r="W102" s="141">
        <v>0</v>
      </c>
      <c r="X102" s="141">
        <v>0</v>
      </c>
      <c r="Y102" s="141">
        <v>0</v>
      </c>
      <c r="Z102" s="141">
        <v>0</v>
      </c>
      <c r="AA102" s="141">
        <v>0</v>
      </c>
      <c r="AB102" s="141">
        <v>0</v>
      </c>
      <c r="AC102" s="141">
        <v>0</v>
      </c>
      <c r="AD102" s="141">
        <v>0</v>
      </c>
      <c r="AE102" s="141">
        <v>0</v>
      </c>
      <c r="AF102" s="141">
        <v>0</v>
      </c>
      <c r="AG102" s="141">
        <v>0</v>
      </c>
      <c r="AH102" s="141">
        <v>0</v>
      </c>
      <c r="AI102" s="141">
        <v>0</v>
      </c>
      <c r="AJ102" s="141">
        <v>0</v>
      </c>
      <c r="AK102" s="141">
        <v>0</v>
      </c>
      <c r="AL102" s="141">
        <v>0</v>
      </c>
      <c r="AM102" s="141">
        <v>0</v>
      </c>
      <c r="AN102" s="141">
        <v>0</v>
      </c>
      <c r="AO102" s="141">
        <v>0</v>
      </c>
      <c r="AP102" s="856">
        <v>0</v>
      </c>
      <c r="AQ102" s="856">
        <v>0</v>
      </c>
      <c r="AR102" s="857">
        <v>0</v>
      </c>
      <c r="AS102" t="s">
        <v>1668</v>
      </c>
    </row>
    <row r="103" spans="1:45" ht="12.75" x14ac:dyDescent="0.2">
      <c r="A103" s="764">
        <v>96</v>
      </c>
      <c r="B103" s="765" t="s">
        <v>80</v>
      </c>
      <c r="C103" s="766" t="s">
        <v>1217</v>
      </c>
      <c r="D103" s="767" t="s">
        <v>1221</v>
      </c>
      <c r="E103" s="768" t="s">
        <v>79</v>
      </c>
      <c r="F103" s="141">
        <v>36680127</v>
      </c>
      <c r="G103" s="141">
        <v>0</v>
      </c>
      <c r="H103" s="141">
        <v>36680127</v>
      </c>
      <c r="I103" s="141">
        <v>-350000</v>
      </c>
      <c r="J103" s="141">
        <v>0</v>
      </c>
      <c r="K103" s="141">
        <v>-350000</v>
      </c>
      <c r="L103" s="141">
        <v>-2250000</v>
      </c>
      <c r="M103" s="141">
        <v>0</v>
      </c>
      <c r="N103" s="141">
        <v>-2250000</v>
      </c>
      <c r="O103" s="141">
        <v>34080127</v>
      </c>
      <c r="P103" s="141">
        <v>0</v>
      </c>
      <c r="Q103" s="141">
        <v>34080127</v>
      </c>
      <c r="R103" s="141">
        <v>0</v>
      </c>
      <c r="S103" s="141">
        <v>0</v>
      </c>
      <c r="T103" s="141">
        <v>0</v>
      </c>
      <c r="U103" s="141">
        <v>0</v>
      </c>
      <c r="V103" s="141">
        <v>0</v>
      </c>
      <c r="W103" s="141">
        <v>0</v>
      </c>
      <c r="X103" s="141">
        <v>0</v>
      </c>
      <c r="Y103" s="141">
        <v>0</v>
      </c>
      <c r="Z103" s="141">
        <v>0</v>
      </c>
      <c r="AA103" s="141">
        <v>0</v>
      </c>
      <c r="AB103" s="141">
        <v>0</v>
      </c>
      <c r="AC103" s="141">
        <v>0</v>
      </c>
      <c r="AD103" s="141">
        <v>0</v>
      </c>
      <c r="AE103" s="141">
        <v>0</v>
      </c>
      <c r="AF103" s="141">
        <v>0</v>
      </c>
      <c r="AG103" s="141">
        <v>0</v>
      </c>
      <c r="AH103" s="141">
        <v>0</v>
      </c>
      <c r="AI103" s="141">
        <v>0</v>
      </c>
      <c r="AJ103" s="141">
        <v>0</v>
      </c>
      <c r="AK103" s="141">
        <v>0</v>
      </c>
      <c r="AL103" s="141">
        <v>0</v>
      </c>
      <c r="AM103" s="141">
        <v>0</v>
      </c>
      <c r="AN103" s="141">
        <v>0</v>
      </c>
      <c r="AO103" s="141">
        <v>0</v>
      </c>
      <c r="AP103" s="856">
        <v>0</v>
      </c>
      <c r="AQ103" s="856">
        <v>0</v>
      </c>
      <c r="AR103" s="857">
        <v>0</v>
      </c>
      <c r="AS103" t="s">
        <v>1669</v>
      </c>
    </row>
    <row r="104" spans="1:45" ht="12.75" x14ac:dyDescent="0.2">
      <c r="A104" s="764">
        <v>97</v>
      </c>
      <c r="B104" s="765" t="s">
        <v>82</v>
      </c>
      <c r="C104" s="766" t="s">
        <v>1217</v>
      </c>
      <c r="D104" s="767" t="s">
        <v>1218</v>
      </c>
      <c r="E104" s="768" t="s">
        <v>900</v>
      </c>
      <c r="F104" s="141">
        <v>25437295</v>
      </c>
      <c r="G104" s="141">
        <v>0</v>
      </c>
      <c r="H104" s="141">
        <v>25437295</v>
      </c>
      <c r="I104" s="141">
        <v>-255344</v>
      </c>
      <c r="J104" s="141">
        <v>0</v>
      </c>
      <c r="K104" s="141">
        <v>-255344</v>
      </c>
      <c r="L104" s="141">
        <v>-276436</v>
      </c>
      <c r="M104" s="141">
        <v>0</v>
      </c>
      <c r="N104" s="141">
        <v>-276436</v>
      </c>
      <c r="O104" s="141">
        <v>24905515</v>
      </c>
      <c r="P104" s="141">
        <v>0</v>
      </c>
      <c r="Q104" s="141">
        <v>24905515</v>
      </c>
      <c r="R104" s="141">
        <v>0</v>
      </c>
      <c r="S104" s="141">
        <v>0</v>
      </c>
      <c r="T104" s="141">
        <v>0</v>
      </c>
      <c r="U104" s="141">
        <v>0</v>
      </c>
      <c r="V104" s="141">
        <v>0</v>
      </c>
      <c r="W104" s="141">
        <v>0</v>
      </c>
      <c r="X104" s="141">
        <v>0</v>
      </c>
      <c r="Y104" s="141">
        <v>0</v>
      </c>
      <c r="Z104" s="141">
        <v>0</v>
      </c>
      <c r="AA104" s="141">
        <v>0</v>
      </c>
      <c r="AB104" s="141">
        <v>0</v>
      </c>
      <c r="AC104" s="141">
        <v>0</v>
      </c>
      <c r="AD104" s="141">
        <v>0</v>
      </c>
      <c r="AE104" s="141">
        <v>0</v>
      </c>
      <c r="AF104" s="141">
        <v>0</v>
      </c>
      <c r="AG104" s="141">
        <v>0</v>
      </c>
      <c r="AH104" s="141">
        <v>0</v>
      </c>
      <c r="AI104" s="141">
        <v>0</v>
      </c>
      <c r="AJ104" s="141">
        <v>0</v>
      </c>
      <c r="AK104" s="141">
        <v>0</v>
      </c>
      <c r="AL104" s="141">
        <v>0</v>
      </c>
      <c r="AM104" s="141">
        <v>0</v>
      </c>
      <c r="AN104" s="141">
        <v>0</v>
      </c>
      <c r="AO104" s="141">
        <v>0</v>
      </c>
      <c r="AP104" s="856">
        <v>0</v>
      </c>
      <c r="AQ104" s="856">
        <v>0</v>
      </c>
      <c r="AR104" s="857">
        <v>0</v>
      </c>
      <c r="AS104" t="s">
        <v>1670</v>
      </c>
    </row>
    <row r="105" spans="1:45" ht="12.75" x14ac:dyDescent="0.2">
      <c r="A105" s="764">
        <v>98</v>
      </c>
      <c r="B105" s="765" t="s">
        <v>84</v>
      </c>
      <c r="C105" s="766" t="s">
        <v>1217</v>
      </c>
      <c r="D105" s="767" t="s">
        <v>1220</v>
      </c>
      <c r="E105" s="768" t="s">
        <v>83</v>
      </c>
      <c r="F105" s="141">
        <v>25874540.960000001</v>
      </c>
      <c r="G105" s="141">
        <v>0</v>
      </c>
      <c r="H105" s="141">
        <v>25874540.960000001</v>
      </c>
      <c r="I105" s="141">
        <v>-210000</v>
      </c>
      <c r="J105" s="141">
        <v>0</v>
      </c>
      <c r="K105" s="141">
        <v>-210000</v>
      </c>
      <c r="L105" s="141">
        <v>-1283000</v>
      </c>
      <c r="M105" s="141">
        <v>0</v>
      </c>
      <c r="N105" s="141">
        <v>-1283000</v>
      </c>
      <c r="O105" s="141">
        <v>24381540.960000001</v>
      </c>
      <c r="P105" s="141">
        <v>0</v>
      </c>
      <c r="Q105" s="141">
        <v>24381540.960000001</v>
      </c>
      <c r="R105" s="141">
        <v>0</v>
      </c>
      <c r="S105" s="141">
        <v>0</v>
      </c>
      <c r="T105" s="141">
        <v>0</v>
      </c>
      <c r="U105" s="141">
        <v>0</v>
      </c>
      <c r="V105" s="141">
        <v>0</v>
      </c>
      <c r="W105" s="141">
        <v>0</v>
      </c>
      <c r="X105" s="141">
        <v>0</v>
      </c>
      <c r="Y105" s="141">
        <v>0</v>
      </c>
      <c r="Z105" s="141">
        <v>0</v>
      </c>
      <c r="AA105" s="141">
        <v>0</v>
      </c>
      <c r="AB105" s="141">
        <v>0</v>
      </c>
      <c r="AC105" s="141">
        <v>0</v>
      </c>
      <c r="AD105" s="141">
        <v>0</v>
      </c>
      <c r="AE105" s="141">
        <v>0</v>
      </c>
      <c r="AF105" s="141">
        <v>0</v>
      </c>
      <c r="AG105" s="141">
        <v>0</v>
      </c>
      <c r="AH105" s="141">
        <v>0</v>
      </c>
      <c r="AI105" s="141">
        <v>0</v>
      </c>
      <c r="AJ105" s="141">
        <v>0</v>
      </c>
      <c r="AK105" s="141">
        <v>0</v>
      </c>
      <c r="AL105" s="141">
        <v>0</v>
      </c>
      <c r="AM105" s="141">
        <v>0</v>
      </c>
      <c r="AN105" s="141">
        <v>0</v>
      </c>
      <c r="AO105" s="141">
        <v>0</v>
      </c>
      <c r="AP105" s="856">
        <v>0</v>
      </c>
      <c r="AQ105" s="856">
        <v>0</v>
      </c>
      <c r="AR105" s="857">
        <v>0</v>
      </c>
      <c r="AS105" t="s">
        <v>1671</v>
      </c>
    </row>
    <row r="106" spans="1:45" ht="12.75" x14ac:dyDescent="0.2">
      <c r="A106" s="764">
        <v>99</v>
      </c>
      <c r="B106" s="765" t="s">
        <v>86</v>
      </c>
      <c r="C106" s="766" t="s">
        <v>1217</v>
      </c>
      <c r="D106" s="767" t="s">
        <v>1226</v>
      </c>
      <c r="E106" s="768" t="s">
        <v>85</v>
      </c>
      <c r="F106" s="141">
        <v>82457134</v>
      </c>
      <c r="G106" s="141">
        <v>0</v>
      </c>
      <c r="H106" s="141">
        <v>82457134</v>
      </c>
      <c r="I106" s="141">
        <v>-200000</v>
      </c>
      <c r="J106" s="141">
        <v>0</v>
      </c>
      <c r="K106" s="141">
        <v>-200000</v>
      </c>
      <c r="L106" s="141">
        <v>-3000000</v>
      </c>
      <c r="M106" s="141">
        <v>0</v>
      </c>
      <c r="N106" s="141">
        <v>-3000000</v>
      </c>
      <c r="O106" s="141">
        <v>79257134</v>
      </c>
      <c r="P106" s="141">
        <v>0</v>
      </c>
      <c r="Q106" s="141">
        <v>79257134</v>
      </c>
      <c r="R106" s="141">
        <v>0</v>
      </c>
      <c r="S106" s="141">
        <v>0</v>
      </c>
      <c r="T106" s="141">
        <v>0</v>
      </c>
      <c r="U106" s="141">
        <v>0</v>
      </c>
      <c r="V106" s="141">
        <v>0</v>
      </c>
      <c r="W106" s="141">
        <v>0</v>
      </c>
      <c r="X106" s="141">
        <v>0</v>
      </c>
      <c r="Y106" s="141">
        <v>0</v>
      </c>
      <c r="Z106" s="141">
        <v>0</v>
      </c>
      <c r="AA106" s="141">
        <v>0</v>
      </c>
      <c r="AB106" s="141">
        <v>0</v>
      </c>
      <c r="AC106" s="141">
        <v>0</v>
      </c>
      <c r="AD106" s="141">
        <v>0</v>
      </c>
      <c r="AE106" s="141">
        <v>0</v>
      </c>
      <c r="AF106" s="141">
        <v>0</v>
      </c>
      <c r="AG106" s="141">
        <v>0</v>
      </c>
      <c r="AH106" s="141">
        <v>0</v>
      </c>
      <c r="AI106" s="141">
        <v>0</v>
      </c>
      <c r="AJ106" s="141">
        <v>0</v>
      </c>
      <c r="AK106" s="141">
        <v>0</v>
      </c>
      <c r="AL106" s="141">
        <v>0</v>
      </c>
      <c r="AM106" s="141">
        <v>0</v>
      </c>
      <c r="AN106" s="141">
        <v>0</v>
      </c>
      <c r="AO106" s="141">
        <v>0</v>
      </c>
      <c r="AP106" s="856">
        <v>0</v>
      </c>
      <c r="AQ106" s="856">
        <v>0</v>
      </c>
      <c r="AR106" s="857">
        <v>0</v>
      </c>
      <c r="AS106" t="s">
        <v>1672</v>
      </c>
    </row>
    <row r="107" spans="1:45" ht="12.75" x14ac:dyDescent="0.2">
      <c r="A107" s="764">
        <v>100</v>
      </c>
      <c r="B107" s="765" t="s">
        <v>88</v>
      </c>
      <c r="C107" s="766" t="s">
        <v>1217</v>
      </c>
      <c r="D107" s="767" t="s">
        <v>1218</v>
      </c>
      <c r="E107" s="768" t="s">
        <v>87</v>
      </c>
      <c r="F107" s="141">
        <v>41898023</v>
      </c>
      <c r="G107" s="141">
        <v>409216</v>
      </c>
      <c r="H107" s="141">
        <v>42307239</v>
      </c>
      <c r="I107" s="141">
        <v>-100000</v>
      </c>
      <c r="J107" s="141">
        <v>0</v>
      </c>
      <c r="K107" s="141">
        <v>-100000</v>
      </c>
      <c r="L107" s="141">
        <v>-1957700</v>
      </c>
      <c r="M107" s="141">
        <v>-19233</v>
      </c>
      <c r="N107" s="141">
        <v>-1976933</v>
      </c>
      <c r="O107" s="141">
        <v>39840323</v>
      </c>
      <c r="P107" s="141">
        <v>389983</v>
      </c>
      <c r="Q107" s="141">
        <v>40230306</v>
      </c>
      <c r="R107" s="141">
        <v>79652</v>
      </c>
      <c r="S107" s="141">
        <v>0</v>
      </c>
      <c r="T107" s="141">
        <v>79652</v>
      </c>
      <c r="U107" s="141">
        <v>0</v>
      </c>
      <c r="V107" s="141">
        <v>0</v>
      </c>
      <c r="W107" s="141">
        <v>0</v>
      </c>
      <c r="X107" s="141">
        <v>0</v>
      </c>
      <c r="Y107" s="141">
        <v>114013</v>
      </c>
      <c r="Z107" s="141">
        <v>275970</v>
      </c>
      <c r="AA107" s="141">
        <v>275970</v>
      </c>
      <c r="AB107" s="141">
        <v>0</v>
      </c>
      <c r="AC107" s="141">
        <v>0</v>
      </c>
      <c r="AD107" s="141">
        <v>0</v>
      </c>
      <c r="AE107" s="141">
        <v>0</v>
      </c>
      <c r="AF107" s="141">
        <v>236230</v>
      </c>
      <c r="AG107" s="141">
        <v>236230</v>
      </c>
      <c r="AH107" s="141">
        <v>0</v>
      </c>
      <c r="AI107" s="141">
        <v>0</v>
      </c>
      <c r="AJ107" s="141">
        <v>0</v>
      </c>
      <c r="AK107" s="141">
        <v>0</v>
      </c>
      <c r="AL107" s="141">
        <v>0</v>
      </c>
      <c r="AM107" s="141">
        <v>0</v>
      </c>
      <c r="AN107" s="141">
        <v>0</v>
      </c>
      <c r="AO107" s="141">
        <v>0</v>
      </c>
      <c r="AP107" s="856">
        <v>0</v>
      </c>
      <c r="AQ107" s="856">
        <v>236230</v>
      </c>
      <c r="AR107" s="857">
        <v>236230</v>
      </c>
      <c r="AS107" t="s">
        <v>1673</v>
      </c>
    </row>
    <row r="108" spans="1:45" ht="12.75" x14ac:dyDescent="0.2">
      <c r="A108" s="764">
        <v>101</v>
      </c>
      <c r="B108" s="765" t="s">
        <v>90</v>
      </c>
      <c r="C108" s="766" t="s">
        <v>1217</v>
      </c>
      <c r="D108" s="767" t="s">
        <v>1221</v>
      </c>
      <c r="E108" s="768" t="s">
        <v>89</v>
      </c>
      <c r="F108" s="141">
        <v>25690301</v>
      </c>
      <c r="G108" s="141">
        <v>0</v>
      </c>
      <c r="H108" s="141">
        <v>25690301</v>
      </c>
      <c r="I108" s="141">
        <v>-200000</v>
      </c>
      <c r="J108" s="141">
        <v>0</v>
      </c>
      <c r="K108" s="141">
        <v>-200000</v>
      </c>
      <c r="L108" s="141">
        <v>-1100000</v>
      </c>
      <c r="M108" s="141">
        <v>0</v>
      </c>
      <c r="N108" s="141">
        <v>-1100000</v>
      </c>
      <c r="O108" s="141">
        <v>24390301</v>
      </c>
      <c r="P108" s="141">
        <v>0</v>
      </c>
      <c r="Q108" s="141">
        <v>24390301</v>
      </c>
      <c r="R108" s="141">
        <v>345240</v>
      </c>
      <c r="S108" s="141">
        <v>0</v>
      </c>
      <c r="T108" s="141">
        <v>345240</v>
      </c>
      <c r="U108" s="141">
        <v>0</v>
      </c>
      <c r="V108" s="141">
        <v>0</v>
      </c>
      <c r="W108" s="141">
        <v>0</v>
      </c>
      <c r="X108" s="141">
        <v>0</v>
      </c>
      <c r="Y108" s="141">
        <v>0</v>
      </c>
      <c r="Z108" s="141">
        <v>0</v>
      </c>
      <c r="AA108" s="141">
        <v>0</v>
      </c>
      <c r="AB108" s="141">
        <v>0</v>
      </c>
      <c r="AC108" s="141">
        <v>0</v>
      </c>
      <c r="AD108" s="141">
        <v>0</v>
      </c>
      <c r="AE108" s="141">
        <v>0</v>
      </c>
      <c r="AF108" s="141">
        <v>0</v>
      </c>
      <c r="AG108" s="141">
        <v>0</v>
      </c>
      <c r="AH108" s="141">
        <v>0</v>
      </c>
      <c r="AI108" s="141">
        <v>0</v>
      </c>
      <c r="AJ108" s="141">
        <v>0</v>
      </c>
      <c r="AK108" s="141">
        <v>0</v>
      </c>
      <c r="AL108" s="141">
        <v>0</v>
      </c>
      <c r="AM108" s="141">
        <v>0</v>
      </c>
      <c r="AN108" s="141">
        <v>0</v>
      </c>
      <c r="AO108" s="141">
        <v>0</v>
      </c>
      <c r="AP108" s="856">
        <v>0</v>
      </c>
      <c r="AQ108" s="856">
        <v>0</v>
      </c>
      <c r="AR108" s="857">
        <v>0</v>
      </c>
      <c r="AS108" t="s">
        <v>1674</v>
      </c>
    </row>
    <row r="109" spans="1:45" ht="12.75" x14ac:dyDescent="0.2">
      <c r="A109" s="764">
        <v>102</v>
      </c>
      <c r="B109" s="765" t="s">
        <v>345</v>
      </c>
      <c r="C109" s="766" t="s">
        <v>1217</v>
      </c>
      <c r="D109" s="767" t="s">
        <v>1221</v>
      </c>
      <c r="E109" s="768" t="s">
        <v>1142</v>
      </c>
      <c r="F109" s="141">
        <v>29506910</v>
      </c>
      <c r="G109" s="141">
        <v>0</v>
      </c>
      <c r="H109" s="141">
        <v>29506910</v>
      </c>
      <c r="I109" s="141">
        <v>-159014</v>
      </c>
      <c r="J109" s="141">
        <v>0</v>
      </c>
      <c r="K109" s="141">
        <v>-159014</v>
      </c>
      <c r="L109" s="141">
        <v>-1309229</v>
      </c>
      <c r="M109" s="141">
        <v>0</v>
      </c>
      <c r="N109" s="141">
        <v>-1309229</v>
      </c>
      <c r="O109" s="141">
        <v>28038667</v>
      </c>
      <c r="P109" s="141">
        <v>0</v>
      </c>
      <c r="Q109" s="141">
        <v>28038667</v>
      </c>
      <c r="R109" s="141">
        <v>0</v>
      </c>
      <c r="S109" s="141">
        <v>0</v>
      </c>
      <c r="T109" s="141">
        <v>0</v>
      </c>
      <c r="U109" s="141">
        <v>0</v>
      </c>
      <c r="V109" s="141">
        <v>0</v>
      </c>
      <c r="W109" s="141">
        <v>0</v>
      </c>
      <c r="X109" s="141">
        <v>0</v>
      </c>
      <c r="Y109" s="141">
        <v>0</v>
      </c>
      <c r="Z109" s="141">
        <v>0</v>
      </c>
      <c r="AA109" s="141">
        <v>0</v>
      </c>
      <c r="AB109" s="141">
        <v>0</v>
      </c>
      <c r="AC109" s="141">
        <v>0</v>
      </c>
      <c r="AD109" s="141">
        <v>0</v>
      </c>
      <c r="AE109" s="141">
        <v>0</v>
      </c>
      <c r="AF109" s="141">
        <v>0</v>
      </c>
      <c r="AG109" s="141">
        <v>0</v>
      </c>
      <c r="AH109" s="141">
        <v>0</v>
      </c>
      <c r="AI109" s="141">
        <v>0</v>
      </c>
      <c r="AJ109" s="141">
        <v>0</v>
      </c>
      <c r="AK109" s="141">
        <v>0</v>
      </c>
      <c r="AL109" s="141">
        <v>0</v>
      </c>
      <c r="AM109" s="141">
        <v>0</v>
      </c>
      <c r="AN109" s="141">
        <v>0</v>
      </c>
      <c r="AO109" s="141">
        <v>0</v>
      </c>
      <c r="AP109" s="856">
        <v>0</v>
      </c>
      <c r="AQ109" s="856">
        <v>0</v>
      </c>
      <c r="AR109" s="857">
        <v>0</v>
      </c>
      <c r="AS109" t="s">
        <v>1675</v>
      </c>
    </row>
    <row r="110" spans="1:45" ht="12.75" x14ac:dyDescent="0.2">
      <c r="A110" s="764">
        <v>103</v>
      </c>
      <c r="B110" s="765" t="s">
        <v>92</v>
      </c>
      <c r="C110" s="766" t="s">
        <v>1217</v>
      </c>
      <c r="D110" s="767" t="s">
        <v>1226</v>
      </c>
      <c r="E110" s="768" t="s">
        <v>91</v>
      </c>
      <c r="F110" s="141">
        <v>13408171</v>
      </c>
      <c r="G110" s="141">
        <v>0</v>
      </c>
      <c r="H110" s="141">
        <v>13408171</v>
      </c>
      <c r="I110" s="141">
        <v>-67166</v>
      </c>
      <c r="J110" s="141">
        <v>0</v>
      </c>
      <c r="K110" s="141">
        <v>-67166</v>
      </c>
      <c r="L110" s="141">
        <v>-134330</v>
      </c>
      <c r="M110" s="141">
        <v>0</v>
      </c>
      <c r="N110" s="141">
        <v>-134330</v>
      </c>
      <c r="O110" s="141">
        <v>13206675</v>
      </c>
      <c r="P110" s="141">
        <v>0</v>
      </c>
      <c r="Q110" s="141">
        <v>13206675</v>
      </c>
      <c r="R110" s="141">
        <v>177408</v>
      </c>
      <c r="S110" s="141">
        <v>0</v>
      </c>
      <c r="T110" s="141">
        <v>177408</v>
      </c>
      <c r="U110" s="141">
        <v>0</v>
      </c>
      <c r="V110" s="141">
        <v>0</v>
      </c>
      <c r="W110" s="141">
        <v>0</v>
      </c>
      <c r="X110" s="141">
        <v>0</v>
      </c>
      <c r="Y110" s="141">
        <v>0</v>
      </c>
      <c r="Z110" s="141">
        <v>0</v>
      </c>
      <c r="AA110" s="141">
        <v>0</v>
      </c>
      <c r="AB110" s="141">
        <v>0</v>
      </c>
      <c r="AC110" s="141">
        <v>0</v>
      </c>
      <c r="AD110" s="141">
        <v>0</v>
      </c>
      <c r="AE110" s="141">
        <v>0</v>
      </c>
      <c r="AF110" s="141">
        <v>0</v>
      </c>
      <c r="AG110" s="141">
        <v>0</v>
      </c>
      <c r="AH110" s="141">
        <v>0</v>
      </c>
      <c r="AI110" s="141">
        <v>0</v>
      </c>
      <c r="AJ110" s="141">
        <v>0</v>
      </c>
      <c r="AK110" s="141">
        <v>0</v>
      </c>
      <c r="AL110" s="141">
        <v>0</v>
      </c>
      <c r="AM110" s="141">
        <v>0</v>
      </c>
      <c r="AN110" s="141">
        <v>0</v>
      </c>
      <c r="AO110" s="141">
        <v>0</v>
      </c>
      <c r="AP110" s="856">
        <v>0</v>
      </c>
      <c r="AQ110" s="856">
        <v>0</v>
      </c>
      <c r="AR110" s="857">
        <v>0</v>
      </c>
      <c r="AS110" t="s">
        <v>1676</v>
      </c>
    </row>
    <row r="111" spans="1:45" ht="12.75" x14ac:dyDescent="0.2">
      <c r="A111" s="764">
        <v>104</v>
      </c>
      <c r="B111" s="765" t="s">
        <v>94</v>
      </c>
      <c r="C111" s="766" t="s">
        <v>1217</v>
      </c>
      <c r="D111" s="767" t="s">
        <v>1219</v>
      </c>
      <c r="E111" s="768" t="s">
        <v>93</v>
      </c>
      <c r="F111" s="141">
        <v>23849777</v>
      </c>
      <c r="G111" s="141">
        <v>2896519</v>
      </c>
      <c r="H111" s="141">
        <v>26746296</v>
      </c>
      <c r="I111" s="141">
        <v>-450000</v>
      </c>
      <c r="J111" s="141">
        <v>-50000</v>
      </c>
      <c r="K111" s="141">
        <v>-500000</v>
      </c>
      <c r="L111" s="141">
        <v>-928890</v>
      </c>
      <c r="M111" s="141">
        <v>-103210</v>
      </c>
      <c r="N111" s="141">
        <v>-1032100</v>
      </c>
      <c r="O111" s="141">
        <v>22470887</v>
      </c>
      <c r="P111" s="141">
        <v>2743309</v>
      </c>
      <c r="Q111" s="141">
        <v>25214196</v>
      </c>
      <c r="R111" s="141">
        <v>56486</v>
      </c>
      <c r="S111" s="141">
        <v>0</v>
      </c>
      <c r="T111" s="141">
        <v>56486</v>
      </c>
      <c r="U111" s="141">
        <v>25956</v>
      </c>
      <c r="V111" s="141">
        <v>0</v>
      </c>
      <c r="W111" s="141">
        <v>25956</v>
      </c>
      <c r="X111" s="141">
        <v>-29149</v>
      </c>
      <c r="Y111" s="141">
        <v>3017251</v>
      </c>
      <c r="Z111" s="141">
        <v>0</v>
      </c>
      <c r="AA111" s="141">
        <v>0</v>
      </c>
      <c r="AB111" s="141">
        <v>0</v>
      </c>
      <c r="AC111" s="141">
        <v>0</v>
      </c>
      <c r="AD111" s="141">
        <v>0</v>
      </c>
      <c r="AE111" s="141">
        <v>0</v>
      </c>
      <c r="AF111" s="141">
        <v>259239</v>
      </c>
      <c r="AG111" s="141">
        <v>259239</v>
      </c>
      <c r="AH111" s="141">
        <v>0</v>
      </c>
      <c r="AI111" s="141">
        <v>0</v>
      </c>
      <c r="AJ111" s="141">
        <v>0</v>
      </c>
      <c r="AK111" s="141">
        <v>0</v>
      </c>
      <c r="AL111" s="141">
        <v>0</v>
      </c>
      <c r="AM111" s="141">
        <v>0</v>
      </c>
      <c r="AN111" s="141">
        <v>0</v>
      </c>
      <c r="AO111" s="141">
        <v>0</v>
      </c>
      <c r="AP111" s="856">
        <v>0</v>
      </c>
      <c r="AQ111" s="856">
        <v>259239</v>
      </c>
      <c r="AR111" s="857">
        <v>259239</v>
      </c>
      <c r="AS111" t="s">
        <v>1677</v>
      </c>
    </row>
    <row r="112" spans="1:45" ht="12.75" x14ac:dyDescent="0.2">
      <c r="A112" s="764">
        <v>105</v>
      </c>
      <c r="B112" s="765" t="s">
        <v>96</v>
      </c>
      <c r="C112" s="766" t="s">
        <v>1224</v>
      </c>
      <c r="D112" s="767" t="s">
        <v>1229</v>
      </c>
      <c r="E112" s="768" t="s">
        <v>95</v>
      </c>
      <c r="F112" s="141">
        <v>90035546</v>
      </c>
      <c r="G112" s="141">
        <v>2310070</v>
      </c>
      <c r="H112" s="141">
        <v>92345616</v>
      </c>
      <c r="I112" s="141">
        <v>-1200000</v>
      </c>
      <c r="J112" s="141">
        <v>0</v>
      </c>
      <c r="K112" s="141">
        <v>-1200000</v>
      </c>
      <c r="L112" s="141">
        <v>-3948968</v>
      </c>
      <c r="M112" s="141">
        <v>-51032</v>
      </c>
      <c r="N112" s="141">
        <v>-4000000</v>
      </c>
      <c r="O112" s="141">
        <v>84886578</v>
      </c>
      <c r="P112" s="141">
        <v>2259038</v>
      </c>
      <c r="Q112" s="141">
        <v>87145616</v>
      </c>
      <c r="R112" s="141">
        <v>0</v>
      </c>
      <c r="S112" s="141">
        <v>0</v>
      </c>
      <c r="T112" s="141">
        <v>0</v>
      </c>
      <c r="U112" s="141">
        <v>0</v>
      </c>
      <c r="V112" s="141">
        <v>0</v>
      </c>
      <c r="W112" s="141">
        <v>0</v>
      </c>
      <c r="X112" s="141">
        <v>-16570</v>
      </c>
      <c r="Y112" s="141">
        <v>1411122</v>
      </c>
      <c r="Z112" s="141">
        <v>831346</v>
      </c>
      <c r="AA112" s="141">
        <v>831346</v>
      </c>
      <c r="AB112" s="141">
        <v>0</v>
      </c>
      <c r="AC112" s="141">
        <v>0</v>
      </c>
      <c r="AD112" s="141">
        <v>0</v>
      </c>
      <c r="AE112" s="141">
        <v>0</v>
      </c>
      <c r="AF112" s="141">
        <v>0</v>
      </c>
      <c r="AG112" s="141">
        <v>0</v>
      </c>
      <c r="AH112" s="141">
        <v>0</v>
      </c>
      <c r="AI112" s="141">
        <v>0</v>
      </c>
      <c r="AJ112" s="141">
        <v>0</v>
      </c>
      <c r="AK112" s="141">
        <v>0</v>
      </c>
      <c r="AL112" s="141">
        <v>0</v>
      </c>
      <c r="AM112" s="141">
        <v>0</v>
      </c>
      <c r="AN112" s="141">
        <v>0</v>
      </c>
      <c r="AO112" s="141">
        <v>0</v>
      </c>
      <c r="AP112" s="856">
        <v>0</v>
      </c>
      <c r="AQ112" s="856">
        <v>0</v>
      </c>
      <c r="AR112" s="857">
        <v>0</v>
      </c>
      <c r="AS112" t="s">
        <v>1678</v>
      </c>
    </row>
    <row r="113" spans="1:45" ht="12.75" x14ac:dyDescent="0.2">
      <c r="A113" s="764">
        <v>106</v>
      </c>
      <c r="B113" s="765" t="s">
        <v>98</v>
      </c>
      <c r="C113" s="766" t="s">
        <v>1217</v>
      </c>
      <c r="D113" s="767" t="s">
        <v>1220</v>
      </c>
      <c r="E113" s="768" t="s">
        <v>97</v>
      </c>
      <c r="F113" s="141">
        <v>23345834.41</v>
      </c>
      <c r="G113" s="141">
        <v>0</v>
      </c>
      <c r="H113" s="141">
        <v>23345834.41</v>
      </c>
      <c r="I113" s="141">
        <v>-71738</v>
      </c>
      <c r="J113" s="141">
        <v>0</v>
      </c>
      <c r="K113" s="141">
        <v>-71738</v>
      </c>
      <c r="L113" s="141">
        <v>-766315</v>
      </c>
      <c r="M113" s="141">
        <v>0</v>
      </c>
      <c r="N113" s="141">
        <v>-766315</v>
      </c>
      <c r="O113" s="141">
        <v>22507781.41</v>
      </c>
      <c r="P113" s="141">
        <v>0</v>
      </c>
      <c r="Q113" s="141">
        <v>22507781.41</v>
      </c>
      <c r="R113" s="141">
        <v>190923</v>
      </c>
      <c r="S113" s="141">
        <v>0</v>
      </c>
      <c r="T113" s="141">
        <v>190923</v>
      </c>
      <c r="U113" s="141">
        <v>0</v>
      </c>
      <c r="V113" s="141">
        <v>0</v>
      </c>
      <c r="W113" s="141">
        <v>0</v>
      </c>
      <c r="X113" s="141">
        <v>0</v>
      </c>
      <c r="Y113" s="141">
        <v>0</v>
      </c>
      <c r="Z113" s="141">
        <v>0</v>
      </c>
      <c r="AA113" s="141">
        <v>0</v>
      </c>
      <c r="AB113" s="141">
        <v>0</v>
      </c>
      <c r="AC113" s="141">
        <v>0</v>
      </c>
      <c r="AD113" s="141">
        <v>0</v>
      </c>
      <c r="AE113" s="141">
        <v>0</v>
      </c>
      <c r="AF113" s="141">
        <v>0</v>
      </c>
      <c r="AG113" s="141">
        <v>0</v>
      </c>
      <c r="AH113" s="141">
        <v>0</v>
      </c>
      <c r="AI113" s="141">
        <v>0</v>
      </c>
      <c r="AJ113" s="141">
        <v>0</v>
      </c>
      <c r="AK113" s="141">
        <v>0</v>
      </c>
      <c r="AL113" s="141">
        <v>0</v>
      </c>
      <c r="AM113" s="141">
        <v>0</v>
      </c>
      <c r="AN113" s="141">
        <v>0</v>
      </c>
      <c r="AO113" s="141">
        <v>0</v>
      </c>
      <c r="AP113" s="856">
        <v>0</v>
      </c>
      <c r="AQ113" s="856">
        <v>0</v>
      </c>
      <c r="AR113" s="857">
        <v>0</v>
      </c>
      <c r="AS113" t="s">
        <v>1679</v>
      </c>
    </row>
    <row r="114" spans="1:45" ht="12.75" x14ac:dyDescent="0.2">
      <c r="A114" s="764">
        <v>107</v>
      </c>
      <c r="B114" s="765" t="s">
        <v>100</v>
      </c>
      <c r="C114" s="766" t="s">
        <v>1217</v>
      </c>
      <c r="D114" s="767" t="s">
        <v>1226</v>
      </c>
      <c r="E114" s="768" t="s">
        <v>99</v>
      </c>
      <c r="F114" s="141">
        <v>55280950</v>
      </c>
      <c r="G114" s="141">
        <v>0</v>
      </c>
      <c r="H114" s="141">
        <v>55280950</v>
      </c>
      <c r="I114" s="141">
        <v>-552810</v>
      </c>
      <c r="J114" s="141">
        <v>0</v>
      </c>
      <c r="K114" s="141">
        <v>-552810</v>
      </c>
      <c r="L114" s="141">
        <v>-1384000</v>
      </c>
      <c r="M114" s="141">
        <v>0</v>
      </c>
      <c r="N114" s="141">
        <v>-1384000</v>
      </c>
      <c r="O114" s="141">
        <v>53344140</v>
      </c>
      <c r="P114" s="141">
        <v>0</v>
      </c>
      <c r="Q114" s="141">
        <v>53344140</v>
      </c>
      <c r="R114" s="141">
        <v>0</v>
      </c>
      <c r="S114" s="141">
        <v>0</v>
      </c>
      <c r="T114" s="141">
        <v>0</v>
      </c>
      <c r="U114" s="141">
        <v>0</v>
      </c>
      <c r="V114" s="141">
        <v>0</v>
      </c>
      <c r="W114" s="141">
        <v>0</v>
      </c>
      <c r="X114" s="141">
        <v>0</v>
      </c>
      <c r="Y114" s="141">
        <v>0</v>
      </c>
      <c r="Z114" s="141">
        <v>0</v>
      </c>
      <c r="AA114" s="141">
        <v>0</v>
      </c>
      <c r="AB114" s="141">
        <v>0</v>
      </c>
      <c r="AC114" s="141">
        <v>0</v>
      </c>
      <c r="AD114" s="141">
        <v>0</v>
      </c>
      <c r="AE114" s="141">
        <v>0</v>
      </c>
      <c r="AF114" s="141">
        <v>0</v>
      </c>
      <c r="AG114" s="141">
        <v>0</v>
      </c>
      <c r="AH114" s="141">
        <v>0</v>
      </c>
      <c r="AI114" s="141">
        <v>0</v>
      </c>
      <c r="AJ114" s="141">
        <v>0</v>
      </c>
      <c r="AK114" s="141">
        <v>0</v>
      </c>
      <c r="AL114" s="141">
        <v>0</v>
      </c>
      <c r="AM114" s="141">
        <v>0</v>
      </c>
      <c r="AN114" s="141">
        <v>0</v>
      </c>
      <c r="AO114" s="141">
        <v>0</v>
      </c>
      <c r="AP114" s="856">
        <v>0</v>
      </c>
      <c r="AQ114" s="856">
        <v>0</v>
      </c>
      <c r="AR114" s="857">
        <v>0</v>
      </c>
      <c r="AS114" t="s">
        <v>1680</v>
      </c>
    </row>
    <row r="115" spans="1:45" ht="12.75" x14ac:dyDescent="0.2">
      <c r="A115" s="764">
        <v>108</v>
      </c>
      <c r="B115" s="765" t="s">
        <v>102</v>
      </c>
      <c r="C115" s="766" t="s">
        <v>1217</v>
      </c>
      <c r="D115" s="767" t="s">
        <v>1218</v>
      </c>
      <c r="E115" s="768" t="s">
        <v>101</v>
      </c>
      <c r="F115" s="141">
        <v>16283621</v>
      </c>
      <c r="G115" s="141">
        <v>256768</v>
      </c>
      <c r="H115" s="141">
        <v>16540389</v>
      </c>
      <c r="I115" s="141">
        <v>-139700</v>
      </c>
      <c r="J115" s="141">
        <v>-25700</v>
      </c>
      <c r="K115" s="141">
        <v>-165400</v>
      </c>
      <c r="L115" s="141">
        <v>-762900</v>
      </c>
      <c r="M115" s="141">
        <v>-12100</v>
      </c>
      <c r="N115" s="141">
        <v>-775000</v>
      </c>
      <c r="O115" s="141">
        <v>15381021</v>
      </c>
      <c r="P115" s="141">
        <v>218968</v>
      </c>
      <c r="Q115" s="141">
        <v>15599989</v>
      </c>
      <c r="R115" s="141">
        <v>0</v>
      </c>
      <c r="S115" s="141">
        <v>0</v>
      </c>
      <c r="T115" s="141">
        <v>0</v>
      </c>
      <c r="U115" s="141">
        <v>0</v>
      </c>
      <c r="V115" s="141">
        <v>0</v>
      </c>
      <c r="W115" s="141">
        <v>0</v>
      </c>
      <c r="X115" s="141">
        <v>-24819</v>
      </c>
      <c r="Y115" s="141">
        <v>418232</v>
      </c>
      <c r="Z115" s="141">
        <v>0</v>
      </c>
      <c r="AA115" s="141">
        <v>0</v>
      </c>
      <c r="AB115" s="141">
        <v>0</v>
      </c>
      <c r="AC115" s="141">
        <v>0</v>
      </c>
      <c r="AD115" s="141">
        <v>0</v>
      </c>
      <c r="AE115" s="141">
        <v>0</v>
      </c>
      <c r="AF115" s="141">
        <v>401264</v>
      </c>
      <c r="AG115" s="141">
        <v>401264</v>
      </c>
      <c r="AH115" s="141">
        <v>0</v>
      </c>
      <c r="AI115" s="141">
        <v>0</v>
      </c>
      <c r="AJ115" s="141">
        <v>0</v>
      </c>
      <c r="AK115" s="141">
        <v>0</v>
      </c>
      <c r="AL115" s="141">
        <v>0</v>
      </c>
      <c r="AM115" s="141">
        <v>0</v>
      </c>
      <c r="AN115" s="141">
        <v>0</v>
      </c>
      <c r="AO115" s="141">
        <v>0</v>
      </c>
      <c r="AP115" s="856">
        <v>0</v>
      </c>
      <c r="AQ115" s="856">
        <v>401264</v>
      </c>
      <c r="AR115" s="857">
        <v>401264</v>
      </c>
      <c r="AS115" t="s">
        <v>1681</v>
      </c>
    </row>
    <row r="116" spans="1:45" ht="12.75" x14ac:dyDescent="0.2">
      <c r="A116" s="764">
        <v>109</v>
      </c>
      <c r="B116" s="765" t="s">
        <v>104</v>
      </c>
      <c r="C116" s="766" t="s">
        <v>1217</v>
      </c>
      <c r="D116" s="767" t="s">
        <v>1218</v>
      </c>
      <c r="E116" s="768" t="s">
        <v>103</v>
      </c>
      <c r="F116" s="141">
        <v>24910793</v>
      </c>
      <c r="G116" s="141">
        <v>0</v>
      </c>
      <c r="H116" s="141">
        <v>24910793</v>
      </c>
      <c r="I116" s="141">
        <v>-249106</v>
      </c>
      <c r="J116" s="141">
        <v>0</v>
      </c>
      <c r="K116" s="141">
        <v>-249106</v>
      </c>
      <c r="L116" s="141">
        <v>-500000</v>
      </c>
      <c r="M116" s="141">
        <v>0</v>
      </c>
      <c r="N116" s="141">
        <v>-500000</v>
      </c>
      <c r="O116" s="141">
        <v>24161687</v>
      </c>
      <c r="P116" s="141">
        <v>0</v>
      </c>
      <c r="Q116" s="141">
        <v>24161687</v>
      </c>
      <c r="R116" s="141">
        <v>0</v>
      </c>
      <c r="S116" s="141">
        <v>0</v>
      </c>
      <c r="T116" s="141">
        <v>0</v>
      </c>
      <c r="U116" s="141">
        <v>0</v>
      </c>
      <c r="V116" s="141">
        <v>0</v>
      </c>
      <c r="W116" s="141">
        <v>0</v>
      </c>
      <c r="X116" s="141">
        <v>0</v>
      </c>
      <c r="Y116" s="141">
        <v>0</v>
      </c>
      <c r="Z116" s="141">
        <v>0</v>
      </c>
      <c r="AA116" s="141">
        <v>0</v>
      </c>
      <c r="AB116" s="141">
        <v>0</v>
      </c>
      <c r="AC116" s="141">
        <v>0</v>
      </c>
      <c r="AD116" s="141">
        <v>0</v>
      </c>
      <c r="AE116" s="141">
        <v>0</v>
      </c>
      <c r="AF116" s="141">
        <v>0</v>
      </c>
      <c r="AG116" s="141">
        <v>0</v>
      </c>
      <c r="AH116" s="141">
        <v>0</v>
      </c>
      <c r="AI116" s="141">
        <v>0</v>
      </c>
      <c r="AJ116" s="141">
        <v>0</v>
      </c>
      <c r="AK116" s="141">
        <v>0</v>
      </c>
      <c r="AL116" s="141">
        <v>0</v>
      </c>
      <c r="AM116" s="141">
        <v>0</v>
      </c>
      <c r="AN116" s="141">
        <v>0</v>
      </c>
      <c r="AO116" s="141">
        <v>0</v>
      </c>
      <c r="AP116" s="856">
        <v>0</v>
      </c>
      <c r="AQ116" s="856">
        <v>0</v>
      </c>
      <c r="AR116" s="857">
        <v>0</v>
      </c>
      <c r="AS116" t="s">
        <v>1682</v>
      </c>
    </row>
    <row r="117" spans="1:45" ht="12.75" x14ac:dyDescent="0.2">
      <c r="A117" s="764">
        <v>110</v>
      </c>
      <c r="B117" s="765" t="s">
        <v>106</v>
      </c>
      <c r="C117" s="766" t="s">
        <v>1217</v>
      </c>
      <c r="D117" s="767" t="s">
        <v>1221</v>
      </c>
      <c r="E117" s="768" t="s">
        <v>105</v>
      </c>
      <c r="F117" s="141">
        <v>31156933</v>
      </c>
      <c r="G117" s="141">
        <v>833218</v>
      </c>
      <c r="H117" s="141">
        <v>31990151</v>
      </c>
      <c r="I117" s="141">
        <v>-311569</v>
      </c>
      <c r="J117" s="141">
        <v>0</v>
      </c>
      <c r="K117" s="141">
        <v>-311569</v>
      </c>
      <c r="L117" s="141">
        <v>-1503537</v>
      </c>
      <c r="M117" s="141">
        <v>0</v>
      </c>
      <c r="N117" s="141">
        <v>-1503537</v>
      </c>
      <c r="O117" s="141">
        <v>29341827</v>
      </c>
      <c r="P117" s="141">
        <v>833218</v>
      </c>
      <c r="Q117" s="141">
        <v>30175045</v>
      </c>
      <c r="R117" s="141">
        <v>61566</v>
      </c>
      <c r="S117" s="141">
        <v>0</v>
      </c>
      <c r="T117" s="141">
        <v>61566</v>
      </c>
      <c r="U117" s="141">
        <v>0</v>
      </c>
      <c r="V117" s="141">
        <v>0</v>
      </c>
      <c r="W117" s="141">
        <v>0</v>
      </c>
      <c r="X117" s="141">
        <v>1686</v>
      </c>
      <c r="Y117" s="141">
        <v>321432</v>
      </c>
      <c r="Z117" s="141">
        <v>525440</v>
      </c>
      <c r="AA117" s="141">
        <v>525440</v>
      </c>
      <c r="AB117" s="141">
        <v>0</v>
      </c>
      <c r="AC117" s="141">
        <v>0</v>
      </c>
      <c r="AD117" s="141">
        <v>0</v>
      </c>
      <c r="AE117" s="141">
        <v>0</v>
      </c>
      <c r="AF117" s="141">
        <v>619151</v>
      </c>
      <c r="AG117" s="141">
        <v>619151</v>
      </c>
      <c r="AH117" s="141">
        <v>0</v>
      </c>
      <c r="AI117" s="141">
        <v>0</v>
      </c>
      <c r="AJ117" s="141">
        <v>0</v>
      </c>
      <c r="AK117" s="141">
        <v>0</v>
      </c>
      <c r="AL117" s="141">
        <v>0</v>
      </c>
      <c r="AM117" s="141">
        <v>0</v>
      </c>
      <c r="AN117" s="141">
        <v>0</v>
      </c>
      <c r="AO117" s="141">
        <v>0</v>
      </c>
      <c r="AP117" s="856">
        <v>0</v>
      </c>
      <c r="AQ117" s="856">
        <v>619151</v>
      </c>
      <c r="AR117" s="857">
        <v>619151</v>
      </c>
      <c r="AS117" t="s">
        <v>1683</v>
      </c>
    </row>
    <row r="118" spans="1:45" ht="12.75" x14ac:dyDescent="0.2">
      <c r="A118" s="764">
        <v>111</v>
      </c>
      <c r="B118" s="765" t="s">
        <v>108</v>
      </c>
      <c r="C118" s="766" t="s">
        <v>1228</v>
      </c>
      <c r="D118" s="767" t="s">
        <v>1223</v>
      </c>
      <c r="E118" s="768" t="s">
        <v>107</v>
      </c>
      <c r="F118" s="141">
        <v>92738058</v>
      </c>
      <c r="G118" s="141">
        <v>0</v>
      </c>
      <c r="H118" s="141">
        <v>92738058</v>
      </c>
      <c r="I118" s="141">
        <v>-1800000</v>
      </c>
      <c r="J118" s="141">
        <v>0</v>
      </c>
      <c r="K118" s="141">
        <v>-1800000</v>
      </c>
      <c r="L118" s="141">
        <v>-4432787</v>
      </c>
      <c r="M118" s="141">
        <v>0</v>
      </c>
      <c r="N118" s="141">
        <v>-4432787</v>
      </c>
      <c r="O118" s="141">
        <v>86505271</v>
      </c>
      <c r="P118" s="141">
        <v>0</v>
      </c>
      <c r="Q118" s="141">
        <v>86505271</v>
      </c>
      <c r="R118" s="141">
        <v>0</v>
      </c>
      <c r="S118" s="141">
        <v>0</v>
      </c>
      <c r="T118" s="141">
        <v>0</v>
      </c>
      <c r="U118" s="141">
        <v>0</v>
      </c>
      <c r="V118" s="141">
        <v>0</v>
      </c>
      <c r="W118" s="141">
        <v>0</v>
      </c>
      <c r="X118" s="141">
        <v>0</v>
      </c>
      <c r="Y118" s="141">
        <v>0</v>
      </c>
      <c r="Z118" s="141">
        <v>0</v>
      </c>
      <c r="AA118" s="141">
        <v>0</v>
      </c>
      <c r="AB118" s="141">
        <v>0</v>
      </c>
      <c r="AC118" s="141">
        <v>0</v>
      </c>
      <c r="AD118" s="141">
        <v>0</v>
      </c>
      <c r="AE118" s="141">
        <v>0</v>
      </c>
      <c r="AF118" s="141">
        <v>0</v>
      </c>
      <c r="AG118" s="141">
        <v>0</v>
      </c>
      <c r="AH118" s="141">
        <v>0</v>
      </c>
      <c r="AI118" s="141">
        <v>0</v>
      </c>
      <c r="AJ118" s="141">
        <v>0</v>
      </c>
      <c r="AK118" s="141">
        <v>0</v>
      </c>
      <c r="AL118" s="141">
        <v>0</v>
      </c>
      <c r="AM118" s="141">
        <v>0</v>
      </c>
      <c r="AN118" s="141">
        <v>0</v>
      </c>
      <c r="AO118" s="141">
        <v>0</v>
      </c>
      <c r="AP118" s="856">
        <v>0</v>
      </c>
      <c r="AQ118" s="856">
        <v>0</v>
      </c>
      <c r="AR118" s="857">
        <v>0</v>
      </c>
      <c r="AS118" t="s">
        <v>1684</v>
      </c>
    </row>
    <row r="119" spans="1:45" ht="12.75" x14ac:dyDescent="0.2">
      <c r="A119" s="764">
        <v>112</v>
      </c>
      <c r="B119" s="765" t="s">
        <v>110</v>
      </c>
      <c r="C119" s="766" t="s">
        <v>1217</v>
      </c>
      <c r="D119" s="767" t="s">
        <v>1218</v>
      </c>
      <c r="E119" s="768" t="s">
        <v>109</v>
      </c>
      <c r="F119" s="141">
        <v>89911843</v>
      </c>
      <c r="G119" s="141">
        <v>0</v>
      </c>
      <c r="H119" s="141">
        <v>89911843</v>
      </c>
      <c r="I119" s="141">
        <v>-449559</v>
      </c>
      <c r="J119" s="141">
        <v>0</v>
      </c>
      <c r="K119" s="141">
        <v>-449559</v>
      </c>
      <c r="L119" s="141">
        <v>-2300000</v>
      </c>
      <c r="M119" s="141">
        <v>0</v>
      </c>
      <c r="N119" s="141">
        <v>-2300000</v>
      </c>
      <c r="O119" s="141">
        <v>87162284</v>
      </c>
      <c r="P119" s="141">
        <v>0</v>
      </c>
      <c r="Q119" s="141">
        <v>87162284</v>
      </c>
      <c r="R119" s="141">
        <v>0</v>
      </c>
      <c r="S119" s="141">
        <v>0</v>
      </c>
      <c r="T119" s="141">
        <v>0</v>
      </c>
      <c r="U119" s="141">
        <v>0</v>
      </c>
      <c r="V119" s="141">
        <v>0</v>
      </c>
      <c r="W119" s="141">
        <v>0</v>
      </c>
      <c r="X119" s="141">
        <v>0</v>
      </c>
      <c r="Y119" s="141">
        <v>0</v>
      </c>
      <c r="Z119" s="141">
        <v>0</v>
      </c>
      <c r="AA119" s="141">
        <v>0</v>
      </c>
      <c r="AB119" s="141">
        <v>0</v>
      </c>
      <c r="AC119" s="141">
        <v>0</v>
      </c>
      <c r="AD119" s="141">
        <v>0</v>
      </c>
      <c r="AE119" s="141">
        <v>0</v>
      </c>
      <c r="AF119" s="141">
        <v>0</v>
      </c>
      <c r="AG119" s="141">
        <v>0</v>
      </c>
      <c r="AH119" s="141">
        <v>0</v>
      </c>
      <c r="AI119" s="141">
        <v>0</v>
      </c>
      <c r="AJ119" s="141">
        <v>0</v>
      </c>
      <c r="AK119" s="141">
        <v>0</v>
      </c>
      <c r="AL119" s="141">
        <v>0</v>
      </c>
      <c r="AM119" s="141">
        <v>0</v>
      </c>
      <c r="AN119" s="141">
        <v>0</v>
      </c>
      <c r="AO119" s="141">
        <v>0</v>
      </c>
      <c r="AP119" s="856">
        <v>0</v>
      </c>
      <c r="AQ119" s="856">
        <v>0</v>
      </c>
      <c r="AR119" s="857">
        <v>0</v>
      </c>
      <c r="AS119" t="s">
        <v>1685</v>
      </c>
    </row>
    <row r="120" spans="1:45" ht="12.75" x14ac:dyDescent="0.2">
      <c r="A120" s="764">
        <v>113</v>
      </c>
      <c r="B120" s="765" t="s">
        <v>112</v>
      </c>
      <c r="C120" s="766" t="s">
        <v>1228</v>
      </c>
      <c r="D120" s="767" t="s">
        <v>1223</v>
      </c>
      <c r="E120" s="768" t="s">
        <v>111</v>
      </c>
      <c r="F120" s="141">
        <v>129304041</v>
      </c>
      <c r="G120" s="141">
        <v>0</v>
      </c>
      <c r="H120" s="141">
        <v>129304041</v>
      </c>
      <c r="I120" s="141">
        <v>-5000000</v>
      </c>
      <c r="J120" s="141">
        <v>0</v>
      </c>
      <c r="K120" s="141">
        <v>-5000000</v>
      </c>
      <c r="L120" s="141">
        <v>-1000000</v>
      </c>
      <c r="M120" s="141">
        <v>0</v>
      </c>
      <c r="N120" s="141">
        <v>-1000000</v>
      </c>
      <c r="O120" s="141">
        <v>123304041</v>
      </c>
      <c r="P120" s="141">
        <v>0</v>
      </c>
      <c r="Q120" s="141">
        <v>123304041</v>
      </c>
      <c r="R120" s="141">
        <v>0</v>
      </c>
      <c r="S120" s="141">
        <v>0</v>
      </c>
      <c r="T120" s="141">
        <v>0</v>
      </c>
      <c r="U120" s="141">
        <v>0</v>
      </c>
      <c r="V120" s="141">
        <v>0</v>
      </c>
      <c r="W120" s="141">
        <v>0</v>
      </c>
      <c r="X120" s="141">
        <v>0</v>
      </c>
      <c r="Y120" s="141">
        <v>0</v>
      </c>
      <c r="Z120" s="141">
        <v>0</v>
      </c>
      <c r="AA120" s="141">
        <v>0</v>
      </c>
      <c r="AB120" s="141">
        <v>0</v>
      </c>
      <c r="AC120" s="141">
        <v>0</v>
      </c>
      <c r="AD120" s="141">
        <v>0</v>
      </c>
      <c r="AE120" s="141">
        <v>0</v>
      </c>
      <c r="AF120" s="141">
        <v>0</v>
      </c>
      <c r="AG120" s="141">
        <v>0</v>
      </c>
      <c r="AH120" s="141">
        <v>0</v>
      </c>
      <c r="AI120" s="141">
        <v>0</v>
      </c>
      <c r="AJ120" s="141">
        <v>0</v>
      </c>
      <c r="AK120" s="141">
        <v>0</v>
      </c>
      <c r="AL120" s="141">
        <v>0</v>
      </c>
      <c r="AM120" s="141">
        <v>0</v>
      </c>
      <c r="AN120" s="141">
        <v>0</v>
      </c>
      <c r="AO120" s="141">
        <v>0</v>
      </c>
      <c r="AP120" s="856">
        <v>0</v>
      </c>
      <c r="AQ120" s="856">
        <v>0</v>
      </c>
      <c r="AR120" s="857">
        <v>0</v>
      </c>
      <c r="AS120" t="s">
        <v>1686</v>
      </c>
    </row>
    <row r="121" spans="1:45" ht="12.75" x14ac:dyDescent="0.2">
      <c r="A121" s="764">
        <v>114</v>
      </c>
      <c r="B121" s="765" t="s">
        <v>114</v>
      </c>
      <c r="C121" s="766" t="s">
        <v>529</v>
      </c>
      <c r="D121" s="767" t="s">
        <v>1219</v>
      </c>
      <c r="E121" s="768" t="s">
        <v>548</v>
      </c>
      <c r="F121" s="141">
        <v>56154998</v>
      </c>
      <c r="G121" s="141">
        <v>45540</v>
      </c>
      <c r="H121" s="141">
        <v>56200538</v>
      </c>
      <c r="I121" s="141">
        <v>-749390</v>
      </c>
      <c r="J121" s="141">
        <v>-610</v>
      </c>
      <c r="K121" s="141">
        <v>-750000</v>
      </c>
      <c r="L121" s="141">
        <v>-1884416</v>
      </c>
      <c r="M121" s="141">
        <v>-2186</v>
      </c>
      <c r="N121" s="141">
        <v>-1886602</v>
      </c>
      <c r="O121" s="141">
        <v>53521192</v>
      </c>
      <c r="P121" s="141">
        <v>42744</v>
      </c>
      <c r="Q121" s="141">
        <v>53563936</v>
      </c>
      <c r="R121" s="141">
        <v>0</v>
      </c>
      <c r="S121" s="141">
        <v>0</v>
      </c>
      <c r="T121" s="141">
        <v>0</v>
      </c>
      <c r="U121" s="141">
        <v>0</v>
      </c>
      <c r="V121" s="141">
        <v>0</v>
      </c>
      <c r="W121" s="141">
        <v>0</v>
      </c>
      <c r="X121" s="141">
        <v>0</v>
      </c>
      <c r="Y121" s="141">
        <v>34014</v>
      </c>
      <c r="Z121" s="141">
        <v>8730</v>
      </c>
      <c r="AA121" s="141">
        <v>8730</v>
      </c>
      <c r="AB121" s="141">
        <v>32283</v>
      </c>
      <c r="AC121" s="141">
        <v>283820</v>
      </c>
      <c r="AD121" s="141">
        <v>316103</v>
      </c>
      <c r="AE121" s="141">
        <v>0</v>
      </c>
      <c r="AF121" s="141">
        <v>0</v>
      </c>
      <c r="AG121" s="141">
        <v>0</v>
      </c>
      <c r="AH121" s="141">
        <v>0</v>
      </c>
      <c r="AI121" s="141">
        <v>0</v>
      </c>
      <c r="AJ121" s="141">
        <v>0</v>
      </c>
      <c r="AK121" s="141">
        <v>0</v>
      </c>
      <c r="AL121" s="141">
        <v>0</v>
      </c>
      <c r="AM121" s="141">
        <v>0</v>
      </c>
      <c r="AN121" s="141">
        <v>0</v>
      </c>
      <c r="AO121" s="141">
        <v>0</v>
      </c>
      <c r="AP121" s="856">
        <v>0</v>
      </c>
      <c r="AQ121" s="856">
        <v>0</v>
      </c>
      <c r="AR121" s="857">
        <v>0</v>
      </c>
      <c r="AS121" t="s">
        <v>1687</v>
      </c>
    </row>
    <row r="122" spans="1:45" ht="12.75" x14ac:dyDescent="0.2">
      <c r="A122" s="764">
        <v>115</v>
      </c>
      <c r="B122" s="765" t="s">
        <v>116</v>
      </c>
      <c r="C122" s="766" t="s">
        <v>1217</v>
      </c>
      <c r="D122" s="767" t="s">
        <v>1225</v>
      </c>
      <c r="E122" s="768" t="s">
        <v>115</v>
      </c>
      <c r="F122" s="141">
        <v>28592175</v>
      </c>
      <c r="G122" s="141">
        <v>0</v>
      </c>
      <c r="H122" s="141">
        <v>28592175</v>
      </c>
      <c r="I122" s="141">
        <v>-285920</v>
      </c>
      <c r="J122" s="141">
        <v>0</v>
      </c>
      <c r="K122" s="141">
        <v>-285920</v>
      </c>
      <c r="L122" s="141">
        <v>-434604</v>
      </c>
      <c r="M122" s="141">
        <v>0</v>
      </c>
      <c r="N122" s="141">
        <v>-434604</v>
      </c>
      <c r="O122" s="141">
        <v>27871651</v>
      </c>
      <c r="P122" s="141">
        <v>0</v>
      </c>
      <c r="Q122" s="141">
        <v>27871651</v>
      </c>
      <c r="R122" s="141">
        <v>71315</v>
      </c>
      <c r="S122" s="141">
        <v>0</v>
      </c>
      <c r="T122" s="141">
        <v>71315</v>
      </c>
      <c r="U122" s="141">
        <v>0</v>
      </c>
      <c r="V122" s="141">
        <v>0</v>
      </c>
      <c r="W122" s="141">
        <v>0</v>
      </c>
      <c r="X122" s="141">
        <v>0</v>
      </c>
      <c r="Y122" s="141">
        <v>0</v>
      </c>
      <c r="Z122" s="141">
        <v>0</v>
      </c>
      <c r="AA122" s="141">
        <v>0</v>
      </c>
      <c r="AB122" s="141">
        <v>0</v>
      </c>
      <c r="AC122" s="141">
        <v>0</v>
      </c>
      <c r="AD122" s="141">
        <v>0</v>
      </c>
      <c r="AE122" s="141">
        <v>0</v>
      </c>
      <c r="AF122" s="141">
        <v>0</v>
      </c>
      <c r="AG122" s="141">
        <v>0</v>
      </c>
      <c r="AH122" s="141">
        <v>0</v>
      </c>
      <c r="AI122" s="141">
        <v>0</v>
      </c>
      <c r="AJ122" s="141">
        <v>0</v>
      </c>
      <c r="AK122" s="141">
        <v>0</v>
      </c>
      <c r="AL122" s="141">
        <v>0</v>
      </c>
      <c r="AM122" s="141">
        <v>0</v>
      </c>
      <c r="AN122" s="141">
        <v>0</v>
      </c>
      <c r="AO122" s="141">
        <v>0</v>
      </c>
      <c r="AP122" s="856">
        <v>0</v>
      </c>
      <c r="AQ122" s="856">
        <v>0</v>
      </c>
      <c r="AR122" s="857">
        <v>0</v>
      </c>
      <c r="AS122" t="s">
        <v>1688</v>
      </c>
    </row>
    <row r="123" spans="1:45" ht="12.75" x14ac:dyDescent="0.2">
      <c r="A123" s="764">
        <v>116</v>
      </c>
      <c r="B123" s="765" t="s">
        <v>118</v>
      </c>
      <c r="C123" s="766" t="s">
        <v>1228</v>
      </c>
      <c r="D123" s="767" t="s">
        <v>1223</v>
      </c>
      <c r="E123" s="768" t="s">
        <v>117</v>
      </c>
      <c r="F123" s="141">
        <v>256113595</v>
      </c>
      <c r="G123" s="141">
        <v>0</v>
      </c>
      <c r="H123" s="141">
        <v>256113595</v>
      </c>
      <c r="I123" s="141">
        <v>-6669941</v>
      </c>
      <c r="J123" s="141">
        <v>0</v>
      </c>
      <c r="K123" s="141">
        <v>-6669941</v>
      </c>
      <c r="L123" s="141">
        <v>-15501023</v>
      </c>
      <c r="M123" s="141">
        <v>0</v>
      </c>
      <c r="N123" s="141">
        <v>-15501023</v>
      </c>
      <c r="O123" s="141">
        <v>233942631</v>
      </c>
      <c r="P123" s="141">
        <v>0</v>
      </c>
      <c r="Q123" s="141">
        <v>233942631</v>
      </c>
      <c r="R123" s="141">
        <v>0</v>
      </c>
      <c r="S123" s="141">
        <v>0</v>
      </c>
      <c r="T123" s="141">
        <v>0</v>
      </c>
      <c r="U123" s="141">
        <v>0</v>
      </c>
      <c r="V123" s="141">
        <v>0</v>
      </c>
      <c r="W123" s="141">
        <v>0</v>
      </c>
      <c r="X123" s="141">
        <v>0</v>
      </c>
      <c r="Y123" s="141">
        <v>0</v>
      </c>
      <c r="Z123" s="141">
        <v>0</v>
      </c>
      <c r="AA123" s="141">
        <v>0</v>
      </c>
      <c r="AB123" s="141">
        <v>0</v>
      </c>
      <c r="AC123" s="141">
        <v>0</v>
      </c>
      <c r="AD123" s="141">
        <v>0</v>
      </c>
      <c r="AE123" s="141">
        <v>0</v>
      </c>
      <c r="AF123" s="141">
        <v>0</v>
      </c>
      <c r="AG123" s="141">
        <v>0</v>
      </c>
      <c r="AH123" s="141">
        <v>0</v>
      </c>
      <c r="AI123" s="141">
        <v>0</v>
      </c>
      <c r="AJ123" s="141">
        <v>0</v>
      </c>
      <c r="AK123" s="141">
        <v>0</v>
      </c>
      <c r="AL123" s="141">
        <v>0</v>
      </c>
      <c r="AM123" s="141">
        <v>0</v>
      </c>
      <c r="AN123" s="141">
        <v>0</v>
      </c>
      <c r="AO123" s="141">
        <v>0</v>
      </c>
      <c r="AP123" s="856">
        <v>0</v>
      </c>
      <c r="AQ123" s="856">
        <v>0</v>
      </c>
      <c r="AR123" s="857">
        <v>0</v>
      </c>
      <c r="AS123" t="s">
        <v>1689</v>
      </c>
    </row>
    <row r="124" spans="1:45" ht="12.75" x14ac:dyDescent="0.2">
      <c r="A124" s="764">
        <v>117</v>
      </c>
      <c r="B124" s="765" t="s">
        <v>120</v>
      </c>
      <c r="C124" s="766" t="s">
        <v>1217</v>
      </c>
      <c r="D124" s="767" t="s">
        <v>1220</v>
      </c>
      <c r="E124" s="768" t="s">
        <v>119</v>
      </c>
      <c r="F124" s="141">
        <v>45126033</v>
      </c>
      <c r="G124" s="141">
        <v>0</v>
      </c>
      <c r="H124" s="141">
        <v>45126033</v>
      </c>
      <c r="I124" s="141">
        <v>-54000</v>
      </c>
      <c r="J124" s="141">
        <v>0</v>
      </c>
      <c r="K124" s="141">
        <v>-54000</v>
      </c>
      <c r="L124" s="141">
        <v>-2505460</v>
      </c>
      <c r="M124" s="141">
        <v>0</v>
      </c>
      <c r="N124" s="141">
        <v>-2505460</v>
      </c>
      <c r="O124" s="141">
        <v>42566573</v>
      </c>
      <c r="P124" s="141">
        <v>0</v>
      </c>
      <c r="Q124" s="141">
        <v>42566573</v>
      </c>
      <c r="R124" s="141">
        <v>13171</v>
      </c>
      <c r="S124" s="141">
        <v>0</v>
      </c>
      <c r="T124" s="141">
        <v>13171</v>
      </c>
      <c r="U124" s="141">
        <v>0</v>
      </c>
      <c r="V124" s="141">
        <v>0</v>
      </c>
      <c r="W124" s="141">
        <v>0</v>
      </c>
      <c r="X124" s="141">
        <v>0</v>
      </c>
      <c r="Y124" s="141">
        <v>0</v>
      </c>
      <c r="Z124" s="141">
        <v>0</v>
      </c>
      <c r="AA124" s="141">
        <v>0</v>
      </c>
      <c r="AB124" s="141">
        <v>0</v>
      </c>
      <c r="AC124" s="141">
        <v>0</v>
      </c>
      <c r="AD124" s="141">
        <v>0</v>
      </c>
      <c r="AE124" s="141">
        <v>0</v>
      </c>
      <c r="AF124" s="141">
        <v>0</v>
      </c>
      <c r="AG124" s="141">
        <v>0</v>
      </c>
      <c r="AH124" s="141">
        <v>0</v>
      </c>
      <c r="AI124" s="141">
        <v>0</v>
      </c>
      <c r="AJ124" s="141">
        <v>0</v>
      </c>
      <c r="AK124" s="141">
        <v>0</v>
      </c>
      <c r="AL124" s="141">
        <v>0</v>
      </c>
      <c r="AM124" s="141">
        <v>0</v>
      </c>
      <c r="AN124" s="141">
        <v>0</v>
      </c>
      <c r="AO124" s="141">
        <v>0</v>
      </c>
      <c r="AP124" s="856">
        <v>0</v>
      </c>
      <c r="AQ124" s="856">
        <v>0</v>
      </c>
      <c r="AR124" s="857">
        <v>0</v>
      </c>
      <c r="AS124" t="s">
        <v>1690</v>
      </c>
    </row>
    <row r="125" spans="1:45" ht="12.75" x14ac:dyDescent="0.2">
      <c r="A125" s="764">
        <v>118</v>
      </c>
      <c r="B125" s="765" t="s">
        <v>122</v>
      </c>
      <c r="C125" s="766" t="s">
        <v>1222</v>
      </c>
      <c r="D125" s="767" t="s">
        <v>1223</v>
      </c>
      <c r="E125" s="768" t="s">
        <v>121</v>
      </c>
      <c r="F125" s="141">
        <v>75636346</v>
      </c>
      <c r="G125" s="141">
        <v>0</v>
      </c>
      <c r="H125" s="141">
        <v>75636346</v>
      </c>
      <c r="I125" s="141">
        <v>-1512727</v>
      </c>
      <c r="J125" s="141">
        <v>0</v>
      </c>
      <c r="K125" s="141">
        <v>-1512727</v>
      </c>
      <c r="L125" s="141">
        <v>-3674814</v>
      </c>
      <c r="M125" s="141">
        <v>0</v>
      </c>
      <c r="N125" s="141">
        <v>-3674814</v>
      </c>
      <c r="O125" s="141">
        <v>70448805</v>
      </c>
      <c r="P125" s="141">
        <v>0</v>
      </c>
      <c r="Q125" s="141">
        <v>70448805</v>
      </c>
      <c r="R125" s="141">
        <v>0</v>
      </c>
      <c r="S125" s="141">
        <v>0</v>
      </c>
      <c r="T125" s="141">
        <v>0</v>
      </c>
      <c r="U125" s="141">
        <v>0</v>
      </c>
      <c r="V125" s="141">
        <v>0</v>
      </c>
      <c r="W125" s="141">
        <v>0</v>
      </c>
      <c r="X125" s="141">
        <v>0</v>
      </c>
      <c r="Y125" s="141">
        <v>0</v>
      </c>
      <c r="Z125" s="141">
        <v>0</v>
      </c>
      <c r="AA125" s="141">
        <v>0</v>
      </c>
      <c r="AB125" s="141">
        <v>0</v>
      </c>
      <c r="AC125" s="141">
        <v>0</v>
      </c>
      <c r="AD125" s="141">
        <v>0</v>
      </c>
      <c r="AE125" s="141">
        <v>0</v>
      </c>
      <c r="AF125" s="141">
        <v>0</v>
      </c>
      <c r="AG125" s="141">
        <v>0</v>
      </c>
      <c r="AH125" s="141">
        <v>0</v>
      </c>
      <c r="AI125" s="141">
        <v>0</v>
      </c>
      <c r="AJ125" s="141">
        <v>0</v>
      </c>
      <c r="AK125" s="141">
        <v>0</v>
      </c>
      <c r="AL125" s="141">
        <v>0</v>
      </c>
      <c r="AM125" s="141">
        <v>0</v>
      </c>
      <c r="AN125" s="141">
        <v>0</v>
      </c>
      <c r="AO125" s="141">
        <v>0</v>
      </c>
      <c r="AP125" s="856">
        <v>0</v>
      </c>
      <c r="AQ125" s="856">
        <v>0</v>
      </c>
      <c r="AR125" s="857">
        <v>0</v>
      </c>
      <c r="AS125" t="s">
        <v>1691</v>
      </c>
    </row>
    <row r="126" spans="1:45" ht="12.75" x14ac:dyDescent="0.2">
      <c r="A126" s="764">
        <v>119</v>
      </c>
      <c r="B126" s="765" t="s">
        <v>124</v>
      </c>
      <c r="C126" s="766" t="s">
        <v>1217</v>
      </c>
      <c r="D126" s="767" t="s">
        <v>1221</v>
      </c>
      <c r="E126" s="768" t="s">
        <v>123</v>
      </c>
      <c r="F126" s="141">
        <v>44116405</v>
      </c>
      <c r="G126" s="141">
        <v>4620771</v>
      </c>
      <c r="H126" s="141">
        <v>48737176</v>
      </c>
      <c r="I126" s="141">
        <v>-178000</v>
      </c>
      <c r="J126" s="141">
        <v>-16600</v>
      </c>
      <c r="K126" s="141">
        <v>-194600</v>
      </c>
      <c r="L126" s="141">
        <v>-977000</v>
      </c>
      <c r="M126" s="141">
        <v>-90000</v>
      </c>
      <c r="N126" s="141">
        <v>-1067000</v>
      </c>
      <c r="O126" s="141">
        <v>42961405</v>
      </c>
      <c r="P126" s="141">
        <v>4514171</v>
      </c>
      <c r="Q126" s="141">
        <v>47475576</v>
      </c>
      <c r="R126" s="141">
        <v>0</v>
      </c>
      <c r="S126" s="141">
        <v>0</v>
      </c>
      <c r="T126" s="141">
        <v>0</v>
      </c>
      <c r="U126" s="141">
        <v>0</v>
      </c>
      <c r="V126" s="141">
        <v>0</v>
      </c>
      <c r="W126" s="141">
        <v>0</v>
      </c>
      <c r="X126" s="141">
        <v>1604</v>
      </c>
      <c r="Y126" s="141">
        <v>3339900</v>
      </c>
      <c r="Z126" s="141">
        <v>1175875</v>
      </c>
      <c r="AA126" s="141">
        <v>1175875</v>
      </c>
      <c r="AB126" s="141">
        <v>0</v>
      </c>
      <c r="AC126" s="141">
        <v>0</v>
      </c>
      <c r="AD126" s="141">
        <v>0</v>
      </c>
      <c r="AE126" s="141">
        <v>0</v>
      </c>
      <c r="AF126" s="141">
        <v>0</v>
      </c>
      <c r="AG126" s="141">
        <v>0</v>
      </c>
      <c r="AH126" s="141">
        <v>0</v>
      </c>
      <c r="AI126" s="141">
        <v>0</v>
      </c>
      <c r="AJ126" s="141">
        <v>0</v>
      </c>
      <c r="AK126" s="141">
        <v>0</v>
      </c>
      <c r="AL126" s="141">
        <v>0</v>
      </c>
      <c r="AM126" s="141">
        <v>0</v>
      </c>
      <c r="AN126" s="141">
        <v>0</v>
      </c>
      <c r="AO126" s="141">
        <v>0</v>
      </c>
      <c r="AP126" s="856">
        <v>0</v>
      </c>
      <c r="AQ126" s="856">
        <v>0</v>
      </c>
      <c r="AR126" s="857">
        <v>0</v>
      </c>
      <c r="AS126" t="s">
        <v>1692</v>
      </c>
    </row>
    <row r="127" spans="1:45" ht="12.75" x14ac:dyDescent="0.2">
      <c r="A127" s="764">
        <v>120</v>
      </c>
      <c r="B127" s="765" t="s">
        <v>126</v>
      </c>
      <c r="C127" s="766" t="s">
        <v>1217</v>
      </c>
      <c r="D127" s="767" t="s">
        <v>1225</v>
      </c>
      <c r="E127" s="768" t="s">
        <v>125</v>
      </c>
      <c r="F127" s="141">
        <v>66035013</v>
      </c>
      <c r="G127" s="141">
        <v>0</v>
      </c>
      <c r="H127" s="141">
        <v>66035013</v>
      </c>
      <c r="I127" s="141">
        <v>-660000</v>
      </c>
      <c r="J127" s="141">
        <v>0</v>
      </c>
      <c r="K127" s="141">
        <v>-660000</v>
      </c>
      <c r="L127" s="141">
        <v>-3800000</v>
      </c>
      <c r="M127" s="141">
        <v>0</v>
      </c>
      <c r="N127" s="141">
        <v>-3800000</v>
      </c>
      <c r="O127" s="141">
        <v>61575013</v>
      </c>
      <c r="P127" s="141">
        <v>0</v>
      </c>
      <c r="Q127" s="141">
        <v>61575013</v>
      </c>
      <c r="R127" s="141">
        <v>224280</v>
      </c>
      <c r="S127" s="141">
        <v>0</v>
      </c>
      <c r="T127" s="141">
        <v>224280</v>
      </c>
      <c r="U127" s="141">
        <v>0</v>
      </c>
      <c r="V127" s="141">
        <v>0</v>
      </c>
      <c r="W127" s="141">
        <v>0</v>
      </c>
      <c r="X127" s="141">
        <v>0</v>
      </c>
      <c r="Y127" s="141">
        <v>0</v>
      </c>
      <c r="Z127" s="141">
        <v>0</v>
      </c>
      <c r="AA127" s="141">
        <v>0</v>
      </c>
      <c r="AB127" s="141">
        <v>0</v>
      </c>
      <c r="AC127" s="141">
        <v>0</v>
      </c>
      <c r="AD127" s="141">
        <v>0</v>
      </c>
      <c r="AE127" s="141">
        <v>0</v>
      </c>
      <c r="AF127" s="141">
        <v>0</v>
      </c>
      <c r="AG127" s="141">
        <v>0</v>
      </c>
      <c r="AH127" s="141">
        <v>0</v>
      </c>
      <c r="AI127" s="141">
        <v>0</v>
      </c>
      <c r="AJ127" s="141">
        <v>0</v>
      </c>
      <c r="AK127" s="141">
        <v>0</v>
      </c>
      <c r="AL127" s="141">
        <v>0</v>
      </c>
      <c r="AM127" s="141">
        <v>0</v>
      </c>
      <c r="AN127" s="141">
        <v>0</v>
      </c>
      <c r="AO127" s="141">
        <v>0</v>
      </c>
      <c r="AP127" s="856">
        <v>0</v>
      </c>
      <c r="AQ127" s="856">
        <v>0</v>
      </c>
      <c r="AR127" s="857">
        <v>0</v>
      </c>
      <c r="AS127" t="s">
        <v>1693</v>
      </c>
    </row>
    <row r="128" spans="1:45" ht="12.75" x14ac:dyDescent="0.2">
      <c r="A128" s="764">
        <v>121</v>
      </c>
      <c r="B128" s="765" t="s">
        <v>128</v>
      </c>
      <c r="C128" s="766" t="s">
        <v>1222</v>
      </c>
      <c r="D128" s="767" t="s">
        <v>1223</v>
      </c>
      <c r="E128" s="768" t="s">
        <v>127</v>
      </c>
      <c r="F128" s="141">
        <v>53540167</v>
      </c>
      <c r="G128" s="141">
        <v>0</v>
      </c>
      <c r="H128" s="141">
        <v>53540167</v>
      </c>
      <c r="I128" s="141">
        <v>-1110000</v>
      </c>
      <c r="J128" s="141">
        <v>0</v>
      </c>
      <c r="K128" s="141">
        <v>-1110000</v>
      </c>
      <c r="L128" s="141">
        <v>-1125000</v>
      </c>
      <c r="M128" s="141">
        <v>0</v>
      </c>
      <c r="N128" s="141">
        <v>-1125000</v>
      </c>
      <c r="O128" s="141">
        <v>51305167</v>
      </c>
      <c r="P128" s="141">
        <v>0</v>
      </c>
      <c r="Q128" s="141">
        <v>51305167</v>
      </c>
      <c r="R128" s="141">
        <v>0</v>
      </c>
      <c r="S128" s="141">
        <v>0</v>
      </c>
      <c r="T128" s="141">
        <v>0</v>
      </c>
      <c r="U128" s="141">
        <v>0</v>
      </c>
      <c r="V128" s="141">
        <v>0</v>
      </c>
      <c r="W128" s="141">
        <v>0</v>
      </c>
      <c r="X128" s="141">
        <v>0</v>
      </c>
      <c r="Y128" s="141">
        <v>0</v>
      </c>
      <c r="Z128" s="141">
        <v>0</v>
      </c>
      <c r="AA128" s="141">
        <v>0</v>
      </c>
      <c r="AB128" s="141">
        <v>0</v>
      </c>
      <c r="AC128" s="141">
        <v>0</v>
      </c>
      <c r="AD128" s="141">
        <v>0</v>
      </c>
      <c r="AE128" s="141">
        <v>0</v>
      </c>
      <c r="AF128" s="141">
        <v>0</v>
      </c>
      <c r="AG128" s="141">
        <v>0</v>
      </c>
      <c r="AH128" s="141">
        <v>0</v>
      </c>
      <c r="AI128" s="141">
        <v>0</v>
      </c>
      <c r="AJ128" s="141">
        <v>0</v>
      </c>
      <c r="AK128" s="141">
        <v>0</v>
      </c>
      <c r="AL128" s="141">
        <v>0</v>
      </c>
      <c r="AM128" s="141">
        <v>0</v>
      </c>
      <c r="AN128" s="141">
        <v>0</v>
      </c>
      <c r="AO128" s="141">
        <v>0</v>
      </c>
      <c r="AP128" s="856">
        <v>0</v>
      </c>
      <c r="AQ128" s="856">
        <v>0</v>
      </c>
      <c r="AR128" s="857">
        <v>0</v>
      </c>
      <c r="AS128" t="s">
        <v>1694</v>
      </c>
    </row>
    <row r="129" spans="1:45" ht="12.75" x14ac:dyDescent="0.2">
      <c r="A129" s="764">
        <v>122</v>
      </c>
      <c r="B129" s="765" t="s">
        <v>130</v>
      </c>
      <c r="C129" s="766" t="s">
        <v>1217</v>
      </c>
      <c r="D129" s="767" t="s">
        <v>1218</v>
      </c>
      <c r="E129" s="768" t="s">
        <v>129</v>
      </c>
      <c r="F129" s="141">
        <v>30705859</v>
      </c>
      <c r="G129" s="141">
        <v>0</v>
      </c>
      <c r="H129" s="141">
        <v>30705859</v>
      </c>
      <c r="I129" s="141">
        <v>-130628</v>
      </c>
      <c r="J129" s="141">
        <v>0</v>
      </c>
      <c r="K129" s="141">
        <v>-130628</v>
      </c>
      <c r="L129" s="141">
        <v>-100603</v>
      </c>
      <c r="M129" s="141">
        <v>0</v>
      </c>
      <c r="N129" s="141">
        <v>-100603</v>
      </c>
      <c r="O129" s="141">
        <v>30474628</v>
      </c>
      <c r="P129" s="141">
        <v>0</v>
      </c>
      <c r="Q129" s="141">
        <v>30474628</v>
      </c>
      <c r="R129" s="141">
        <v>0</v>
      </c>
      <c r="S129" s="141">
        <v>0</v>
      </c>
      <c r="T129" s="141">
        <v>0</v>
      </c>
      <c r="U129" s="141">
        <v>0</v>
      </c>
      <c r="V129" s="141">
        <v>0</v>
      </c>
      <c r="W129" s="141">
        <v>0</v>
      </c>
      <c r="X129" s="141">
        <v>0</v>
      </c>
      <c r="Y129" s="141">
        <v>0</v>
      </c>
      <c r="Z129" s="141">
        <v>0</v>
      </c>
      <c r="AA129" s="141">
        <v>0</v>
      </c>
      <c r="AB129" s="141">
        <v>0</v>
      </c>
      <c r="AC129" s="141">
        <v>0</v>
      </c>
      <c r="AD129" s="141">
        <v>0</v>
      </c>
      <c r="AE129" s="141">
        <v>0</v>
      </c>
      <c r="AF129" s="141">
        <v>0</v>
      </c>
      <c r="AG129" s="141">
        <v>0</v>
      </c>
      <c r="AH129" s="141">
        <v>0</v>
      </c>
      <c r="AI129" s="141">
        <v>0</v>
      </c>
      <c r="AJ129" s="141">
        <v>0</v>
      </c>
      <c r="AK129" s="141">
        <v>0</v>
      </c>
      <c r="AL129" s="141">
        <v>0</v>
      </c>
      <c r="AM129" s="141">
        <v>0</v>
      </c>
      <c r="AN129" s="141">
        <v>0</v>
      </c>
      <c r="AO129" s="141">
        <v>0</v>
      </c>
      <c r="AP129" s="856">
        <v>0</v>
      </c>
      <c r="AQ129" s="856">
        <v>0</v>
      </c>
      <c r="AR129" s="857">
        <v>0</v>
      </c>
      <c r="AS129" t="s">
        <v>1695</v>
      </c>
    </row>
    <row r="130" spans="1:45" ht="12.75" x14ac:dyDescent="0.2">
      <c r="A130" s="764">
        <v>123</v>
      </c>
      <c r="B130" s="765" t="s">
        <v>132</v>
      </c>
      <c r="C130" s="766" t="s">
        <v>529</v>
      </c>
      <c r="D130" s="767" t="s">
        <v>1229</v>
      </c>
      <c r="E130" s="768" t="s">
        <v>552</v>
      </c>
      <c r="F130" s="141">
        <v>32584080</v>
      </c>
      <c r="G130" s="141">
        <v>96587</v>
      </c>
      <c r="H130" s="141">
        <v>32680667</v>
      </c>
      <c r="I130" s="141">
        <v>-358425</v>
      </c>
      <c r="J130" s="141">
        <v>0</v>
      </c>
      <c r="K130" s="141">
        <v>-358425</v>
      </c>
      <c r="L130" s="141">
        <v>-380170</v>
      </c>
      <c r="M130" s="141">
        <v>0</v>
      </c>
      <c r="N130" s="141">
        <v>-380170</v>
      </c>
      <c r="O130" s="141">
        <v>31845485</v>
      </c>
      <c r="P130" s="141">
        <v>96587</v>
      </c>
      <c r="Q130" s="141">
        <v>31942072</v>
      </c>
      <c r="R130" s="141">
        <v>0</v>
      </c>
      <c r="S130" s="141">
        <v>0</v>
      </c>
      <c r="T130" s="141">
        <v>0</v>
      </c>
      <c r="U130" s="141">
        <v>0</v>
      </c>
      <c r="V130" s="141">
        <v>0</v>
      </c>
      <c r="W130" s="141">
        <v>0</v>
      </c>
      <c r="X130" s="141">
        <v>854</v>
      </c>
      <c r="Y130" s="141">
        <v>0</v>
      </c>
      <c r="Z130" s="141">
        <v>97441</v>
      </c>
      <c r="AA130" s="141">
        <v>97441</v>
      </c>
      <c r="AB130" s="141">
        <v>0</v>
      </c>
      <c r="AC130" s="141">
        <v>0</v>
      </c>
      <c r="AD130" s="141">
        <v>0</v>
      </c>
      <c r="AE130" s="141">
        <v>0</v>
      </c>
      <c r="AF130" s="141">
        <v>44097</v>
      </c>
      <c r="AG130" s="141">
        <v>44097</v>
      </c>
      <c r="AH130" s="141">
        <v>31575846</v>
      </c>
      <c r="AI130" s="141">
        <v>31575846</v>
      </c>
      <c r="AJ130" s="141">
        <v>33469821.581699781</v>
      </c>
      <c r="AK130" s="141">
        <v>33469821.581699781</v>
      </c>
      <c r="AL130" s="141">
        <v>0</v>
      </c>
      <c r="AM130" s="141">
        <v>0</v>
      </c>
      <c r="AN130" s="141">
        <v>0</v>
      </c>
      <c r="AO130" s="141">
        <v>0</v>
      </c>
      <c r="AP130" s="856">
        <v>0</v>
      </c>
      <c r="AQ130" s="856">
        <v>44097</v>
      </c>
      <c r="AR130" s="857">
        <v>44097</v>
      </c>
      <c r="AS130" t="s">
        <v>1696</v>
      </c>
    </row>
    <row r="131" spans="1:45" ht="12.75" x14ac:dyDescent="0.2">
      <c r="A131" s="764">
        <v>124</v>
      </c>
      <c r="B131" s="765" t="s">
        <v>134</v>
      </c>
      <c r="C131" s="766" t="s">
        <v>1217</v>
      </c>
      <c r="D131" s="767" t="s">
        <v>1218</v>
      </c>
      <c r="E131" s="768" t="s">
        <v>133</v>
      </c>
      <c r="F131" s="141">
        <v>23085782</v>
      </c>
      <c r="G131" s="141">
        <v>0</v>
      </c>
      <c r="H131" s="141">
        <v>23085782</v>
      </c>
      <c r="I131" s="141">
        <v>-334151</v>
      </c>
      <c r="J131" s="141">
        <v>0</v>
      </c>
      <c r="K131" s="141">
        <v>-334151</v>
      </c>
      <c r="L131" s="141">
        <v>-1472879</v>
      </c>
      <c r="M131" s="141">
        <v>0</v>
      </c>
      <c r="N131" s="141">
        <v>-1472879</v>
      </c>
      <c r="O131" s="141">
        <v>21278752</v>
      </c>
      <c r="P131" s="141">
        <v>0</v>
      </c>
      <c r="Q131" s="141">
        <v>21278752</v>
      </c>
      <c r="R131" s="141">
        <v>0</v>
      </c>
      <c r="S131" s="141">
        <v>0</v>
      </c>
      <c r="T131" s="141">
        <v>0</v>
      </c>
      <c r="U131" s="141">
        <v>0</v>
      </c>
      <c r="V131" s="141">
        <v>0</v>
      </c>
      <c r="W131" s="141">
        <v>0</v>
      </c>
      <c r="X131" s="141">
        <v>0</v>
      </c>
      <c r="Y131" s="141">
        <v>0</v>
      </c>
      <c r="Z131" s="141">
        <v>0</v>
      </c>
      <c r="AA131" s="141">
        <v>0</v>
      </c>
      <c r="AB131" s="141">
        <v>0</v>
      </c>
      <c r="AC131" s="141">
        <v>0</v>
      </c>
      <c r="AD131" s="141">
        <v>0</v>
      </c>
      <c r="AE131" s="141">
        <v>0</v>
      </c>
      <c r="AF131" s="141">
        <v>0</v>
      </c>
      <c r="AG131" s="141">
        <v>0</v>
      </c>
      <c r="AH131" s="141">
        <v>0</v>
      </c>
      <c r="AI131" s="141">
        <v>0</v>
      </c>
      <c r="AJ131" s="141">
        <v>0</v>
      </c>
      <c r="AK131" s="141">
        <v>0</v>
      </c>
      <c r="AL131" s="141">
        <v>0</v>
      </c>
      <c r="AM131" s="141">
        <v>0</v>
      </c>
      <c r="AN131" s="141">
        <v>0</v>
      </c>
      <c r="AO131" s="141">
        <v>0</v>
      </c>
      <c r="AP131" s="856">
        <v>0</v>
      </c>
      <c r="AQ131" s="856">
        <v>0</v>
      </c>
      <c r="AR131" s="857">
        <v>0</v>
      </c>
      <c r="AS131" t="s">
        <v>1697</v>
      </c>
    </row>
    <row r="132" spans="1:45" ht="12.75" x14ac:dyDescent="0.2">
      <c r="A132" s="764">
        <v>125</v>
      </c>
      <c r="B132" s="765" t="s">
        <v>136</v>
      </c>
      <c r="C132" s="766" t="s">
        <v>1217</v>
      </c>
      <c r="D132" s="767" t="s">
        <v>1218</v>
      </c>
      <c r="E132" s="768" t="s">
        <v>135</v>
      </c>
      <c r="F132" s="141">
        <v>35686867</v>
      </c>
      <c r="G132" s="141">
        <v>0</v>
      </c>
      <c r="H132" s="141">
        <v>35686867</v>
      </c>
      <c r="I132" s="141">
        <v>-189676</v>
      </c>
      <c r="J132" s="141">
        <v>0</v>
      </c>
      <c r="K132" s="141">
        <v>-189676</v>
      </c>
      <c r="L132" s="141">
        <v>-500000</v>
      </c>
      <c r="M132" s="141">
        <v>0</v>
      </c>
      <c r="N132" s="141">
        <v>-500000</v>
      </c>
      <c r="O132" s="141">
        <v>34997191</v>
      </c>
      <c r="P132" s="141">
        <v>0</v>
      </c>
      <c r="Q132" s="141">
        <v>34997191</v>
      </c>
      <c r="R132" s="141">
        <v>0</v>
      </c>
      <c r="S132" s="141">
        <v>0</v>
      </c>
      <c r="T132" s="141">
        <v>0</v>
      </c>
      <c r="U132" s="141">
        <v>0</v>
      </c>
      <c r="V132" s="141">
        <v>0</v>
      </c>
      <c r="W132" s="141">
        <v>0</v>
      </c>
      <c r="X132" s="141">
        <v>0</v>
      </c>
      <c r="Y132" s="141">
        <v>0</v>
      </c>
      <c r="Z132" s="141">
        <v>0</v>
      </c>
      <c r="AA132" s="141">
        <v>0</v>
      </c>
      <c r="AB132" s="141">
        <v>0</v>
      </c>
      <c r="AC132" s="141">
        <v>0</v>
      </c>
      <c r="AD132" s="141">
        <v>0</v>
      </c>
      <c r="AE132" s="141">
        <v>0</v>
      </c>
      <c r="AF132" s="141">
        <v>0</v>
      </c>
      <c r="AG132" s="141">
        <v>0</v>
      </c>
      <c r="AH132" s="141">
        <v>0</v>
      </c>
      <c r="AI132" s="141">
        <v>0</v>
      </c>
      <c r="AJ132" s="141">
        <v>0</v>
      </c>
      <c r="AK132" s="141">
        <v>0</v>
      </c>
      <c r="AL132" s="141">
        <v>0</v>
      </c>
      <c r="AM132" s="141">
        <v>0</v>
      </c>
      <c r="AN132" s="141">
        <v>0</v>
      </c>
      <c r="AO132" s="141">
        <v>0</v>
      </c>
      <c r="AP132" s="856">
        <v>0</v>
      </c>
      <c r="AQ132" s="856">
        <v>0</v>
      </c>
      <c r="AR132" s="857">
        <v>0</v>
      </c>
      <c r="AS132" t="s">
        <v>1698</v>
      </c>
    </row>
    <row r="133" spans="1:45" ht="12.75" x14ac:dyDescent="0.2">
      <c r="A133" s="764">
        <v>126</v>
      </c>
      <c r="B133" s="765" t="s">
        <v>138</v>
      </c>
      <c r="C133" s="766" t="s">
        <v>1222</v>
      </c>
      <c r="D133" s="767" t="s">
        <v>1223</v>
      </c>
      <c r="E133" s="768" t="s">
        <v>137</v>
      </c>
      <c r="F133" s="141">
        <v>83325975</v>
      </c>
      <c r="G133" s="141">
        <v>0</v>
      </c>
      <c r="H133" s="141">
        <v>83325975</v>
      </c>
      <c r="I133" s="141">
        <v>-833260</v>
      </c>
      <c r="J133" s="141">
        <v>0</v>
      </c>
      <c r="K133" s="141">
        <v>-833260</v>
      </c>
      <c r="L133" s="141">
        <v>-3819668</v>
      </c>
      <c r="M133" s="141">
        <v>0</v>
      </c>
      <c r="N133" s="141">
        <v>-3819668</v>
      </c>
      <c r="O133" s="141">
        <v>78673047</v>
      </c>
      <c r="P133" s="141">
        <v>0</v>
      </c>
      <c r="Q133" s="141">
        <v>78673047</v>
      </c>
      <c r="R133" s="141">
        <v>0</v>
      </c>
      <c r="S133" s="141">
        <v>0</v>
      </c>
      <c r="T133" s="141">
        <v>0</v>
      </c>
      <c r="U133" s="141">
        <v>0</v>
      </c>
      <c r="V133" s="141">
        <v>0</v>
      </c>
      <c r="W133" s="141">
        <v>0</v>
      </c>
      <c r="X133" s="141">
        <v>0</v>
      </c>
      <c r="Y133" s="141">
        <v>0</v>
      </c>
      <c r="Z133" s="141">
        <v>0</v>
      </c>
      <c r="AA133" s="141">
        <v>0</v>
      </c>
      <c r="AB133" s="141">
        <v>0</v>
      </c>
      <c r="AC133" s="141">
        <v>0</v>
      </c>
      <c r="AD133" s="141">
        <v>0</v>
      </c>
      <c r="AE133" s="141">
        <v>0</v>
      </c>
      <c r="AF133" s="141">
        <v>0</v>
      </c>
      <c r="AG133" s="141">
        <v>0</v>
      </c>
      <c r="AH133" s="141">
        <v>0</v>
      </c>
      <c r="AI133" s="141">
        <v>0</v>
      </c>
      <c r="AJ133" s="141">
        <v>0</v>
      </c>
      <c r="AK133" s="141">
        <v>0</v>
      </c>
      <c r="AL133" s="141">
        <v>0</v>
      </c>
      <c r="AM133" s="141">
        <v>0</v>
      </c>
      <c r="AN133" s="141">
        <v>0</v>
      </c>
      <c r="AO133" s="141">
        <v>0</v>
      </c>
      <c r="AP133" s="856">
        <v>0</v>
      </c>
      <c r="AQ133" s="856">
        <v>0</v>
      </c>
      <c r="AR133" s="857">
        <v>0</v>
      </c>
      <c r="AS133" t="s">
        <v>1699</v>
      </c>
    </row>
    <row r="134" spans="1:45" ht="12.75" x14ac:dyDescent="0.2">
      <c r="A134" s="764">
        <v>127</v>
      </c>
      <c r="B134" s="765" t="s">
        <v>140</v>
      </c>
      <c r="C134" s="766" t="s">
        <v>529</v>
      </c>
      <c r="D134" s="767" t="s">
        <v>1227</v>
      </c>
      <c r="E134" s="768" t="s">
        <v>581</v>
      </c>
      <c r="F134" s="141">
        <v>48020150</v>
      </c>
      <c r="G134" s="141">
        <v>427582</v>
      </c>
      <c r="H134" s="141">
        <v>48447732</v>
      </c>
      <c r="I134" s="141">
        <v>-400000</v>
      </c>
      <c r="J134" s="141">
        <v>0</v>
      </c>
      <c r="K134" s="141">
        <v>-400000</v>
      </c>
      <c r="L134" s="141">
        <v>-2300000</v>
      </c>
      <c r="M134" s="141">
        <v>0</v>
      </c>
      <c r="N134" s="141">
        <v>-2300000</v>
      </c>
      <c r="O134" s="141">
        <v>45320150</v>
      </c>
      <c r="P134" s="141">
        <v>427582</v>
      </c>
      <c r="Q134" s="141">
        <v>45747732</v>
      </c>
      <c r="R134" s="141">
        <v>175000</v>
      </c>
      <c r="S134" s="141">
        <v>0</v>
      </c>
      <c r="T134" s="141">
        <v>175000</v>
      </c>
      <c r="U134" s="141">
        <v>0</v>
      </c>
      <c r="V134" s="141">
        <v>0</v>
      </c>
      <c r="W134" s="141">
        <v>0</v>
      </c>
      <c r="X134" s="141">
        <v>0</v>
      </c>
      <c r="Y134" s="141">
        <v>249749</v>
      </c>
      <c r="Z134" s="141">
        <v>177833</v>
      </c>
      <c r="AA134" s="141">
        <v>177833</v>
      </c>
      <c r="AB134" s="141">
        <v>0</v>
      </c>
      <c r="AC134" s="141">
        <v>0</v>
      </c>
      <c r="AD134" s="141">
        <v>0</v>
      </c>
      <c r="AE134" s="141">
        <v>0</v>
      </c>
      <c r="AF134" s="141">
        <v>340840</v>
      </c>
      <c r="AG134" s="141">
        <v>340840</v>
      </c>
      <c r="AH134" s="141">
        <v>0</v>
      </c>
      <c r="AI134" s="141">
        <v>0</v>
      </c>
      <c r="AJ134" s="141">
        <v>0</v>
      </c>
      <c r="AK134" s="141">
        <v>0</v>
      </c>
      <c r="AL134" s="141">
        <v>0</v>
      </c>
      <c r="AM134" s="141">
        <v>0</v>
      </c>
      <c r="AN134" s="141">
        <v>0</v>
      </c>
      <c r="AO134" s="141">
        <v>0</v>
      </c>
      <c r="AP134" s="856">
        <v>0</v>
      </c>
      <c r="AQ134" s="856">
        <v>340840</v>
      </c>
      <c r="AR134" s="857">
        <v>340840</v>
      </c>
      <c r="AS134" t="s">
        <v>1700</v>
      </c>
    </row>
    <row r="135" spans="1:45" ht="12.75" x14ac:dyDescent="0.2">
      <c r="A135" s="764">
        <v>128</v>
      </c>
      <c r="B135" s="765" t="s">
        <v>142</v>
      </c>
      <c r="C135" s="766" t="s">
        <v>1217</v>
      </c>
      <c r="D135" s="767" t="s">
        <v>1221</v>
      </c>
      <c r="E135" s="768" t="s">
        <v>141</v>
      </c>
      <c r="F135" s="141">
        <v>49201410.590000004</v>
      </c>
      <c r="G135" s="141">
        <v>0</v>
      </c>
      <c r="H135" s="141">
        <v>49201410.590000004</v>
      </c>
      <c r="I135" s="141">
        <v>-365108</v>
      </c>
      <c r="J135" s="141">
        <v>0</v>
      </c>
      <c r="K135" s="141">
        <v>-365108</v>
      </c>
      <c r="L135" s="141">
        <v>-3296495</v>
      </c>
      <c r="M135" s="141">
        <v>0</v>
      </c>
      <c r="N135" s="141">
        <v>-3296495</v>
      </c>
      <c r="O135" s="141">
        <v>45539807.590000004</v>
      </c>
      <c r="P135" s="141">
        <v>0</v>
      </c>
      <c r="Q135" s="141">
        <v>45539807.590000004</v>
      </c>
      <c r="R135" s="141">
        <v>0</v>
      </c>
      <c r="S135" s="141">
        <v>0</v>
      </c>
      <c r="T135" s="141">
        <v>0</v>
      </c>
      <c r="U135" s="141">
        <v>0</v>
      </c>
      <c r="V135" s="141">
        <v>0</v>
      </c>
      <c r="W135" s="141">
        <v>0</v>
      </c>
      <c r="X135" s="141">
        <v>0</v>
      </c>
      <c r="Y135" s="141">
        <v>0</v>
      </c>
      <c r="Z135" s="141">
        <v>0</v>
      </c>
      <c r="AA135" s="141">
        <v>0</v>
      </c>
      <c r="AB135" s="141">
        <v>0</v>
      </c>
      <c r="AC135" s="141">
        <v>0</v>
      </c>
      <c r="AD135" s="141">
        <v>0</v>
      </c>
      <c r="AE135" s="141">
        <v>0</v>
      </c>
      <c r="AF135" s="141">
        <v>0</v>
      </c>
      <c r="AG135" s="141">
        <v>0</v>
      </c>
      <c r="AH135" s="141">
        <v>0</v>
      </c>
      <c r="AI135" s="141">
        <v>0</v>
      </c>
      <c r="AJ135" s="141">
        <v>0</v>
      </c>
      <c r="AK135" s="141">
        <v>0</v>
      </c>
      <c r="AL135" s="141">
        <v>0</v>
      </c>
      <c r="AM135" s="141">
        <v>0</v>
      </c>
      <c r="AN135" s="141">
        <v>0</v>
      </c>
      <c r="AO135" s="141">
        <v>0</v>
      </c>
      <c r="AP135" s="856">
        <v>0</v>
      </c>
      <c r="AQ135" s="856">
        <v>0</v>
      </c>
      <c r="AR135" s="857">
        <v>0</v>
      </c>
      <c r="AS135" t="s">
        <v>1701</v>
      </c>
    </row>
    <row r="136" spans="1:45" ht="12.75" x14ac:dyDescent="0.2">
      <c r="A136" s="764">
        <v>129</v>
      </c>
      <c r="B136" s="765" t="s">
        <v>144</v>
      </c>
      <c r="C136" s="766" t="s">
        <v>1217</v>
      </c>
      <c r="D136" s="767" t="s">
        <v>1220</v>
      </c>
      <c r="E136" s="768" t="s">
        <v>143</v>
      </c>
      <c r="F136" s="141">
        <v>26274596</v>
      </c>
      <c r="G136" s="141">
        <v>0</v>
      </c>
      <c r="H136" s="141">
        <v>26274596</v>
      </c>
      <c r="I136" s="141">
        <v>-197059</v>
      </c>
      <c r="J136" s="141">
        <v>0</v>
      </c>
      <c r="K136" s="141">
        <v>-197059</v>
      </c>
      <c r="L136" s="141">
        <v>-1111415</v>
      </c>
      <c r="M136" s="141">
        <v>0</v>
      </c>
      <c r="N136" s="141">
        <v>-1111415</v>
      </c>
      <c r="O136" s="141">
        <v>24966122</v>
      </c>
      <c r="P136" s="141">
        <v>0</v>
      </c>
      <c r="Q136" s="141">
        <v>24966122</v>
      </c>
      <c r="R136" s="141">
        <v>0</v>
      </c>
      <c r="S136" s="141">
        <v>0</v>
      </c>
      <c r="T136" s="141">
        <v>0</v>
      </c>
      <c r="U136" s="141">
        <v>0</v>
      </c>
      <c r="V136" s="141">
        <v>0</v>
      </c>
      <c r="W136" s="141">
        <v>0</v>
      </c>
      <c r="X136" s="141">
        <v>0</v>
      </c>
      <c r="Y136" s="141">
        <v>0</v>
      </c>
      <c r="Z136" s="141">
        <v>0</v>
      </c>
      <c r="AA136" s="141">
        <v>0</v>
      </c>
      <c r="AB136" s="141">
        <v>0</v>
      </c>
      <c r="AC136" s="141">
        <v>0</v>
      </c>
      <c r="AD136" s="141">
        <v>0</v>
      </c>
      <c r="AE136" s="141">
        <v>0</v>
      </c>
      <c r="AF136" s="141">
        <v>0</v>
      </c>
      <c r="AG136" s="141">
        <v>0</v>
      </c>
      <c r="AH136" s="141">
        <v>0</v>
      </c>
      <c r="AI136" s="141">
        <v>0</v>
      </c>
      <c r="AJ136" s="141">
        <v>0</v>
      </c>
      <c r="AK136" s="141">
        <v>0</v>
      </c>
      <c r="AL136" s="141">
        <v>0</v>
      </c>
      <c r="AM136" s="141">
        <v>0</v>
      </c>
      <c r="AN136" s="141">
        <v>0</v>
      </c>
      <c r="AO136" s="141">
        <v>0</v>
      </c>
      <c r="AP136" s="856">
        <v>0</v>
      </c>
      <c r="AQ136" s="856">
        <v>0</v>
      </c>
      <c r="AR136" s="857">
        <v>0</v>
      </c>
      <c r="AS136" t="s">
        <v>1702</v>
      </c>
    </row>
    <row r="137" spans="1:45" ht="12.75" x14ac:dyDescent="0.2">
      <c r="A137" s="764">
        <v>130</v>
      </c>
      <c r="B137" s="765" t="s">
        <v>146</v>
      </c>
      <c r="C137" s="766" t="s">
        <v>1222</v>
      </c>
      <c r="D137" s="767" t="s">
        <v>1223</v>
      </c>
      <c r="E137" s="768" t="s">
        <v>145</v>
      </c>
      <c r="F137" s="141">
        <v>392776732</v>
      </c>
      <c r="G137" s="141">
        <v>0</v>
      </c>
      <c r="H137" s="141">
        <v>392776732</v>
      </c>
      <c r="I137" s="141">
        <v>-2000000</v>
      </c>
      <c r="J137" s="141">
        <v>0</v>
      </c>
      <c r="K137" s="141">
        <v>-2000000</v>
      </c>
      <c r="L137" s="141">
        <v>-6400000</v>
      </c>
      <c r="M137" s="141">
        <v>0</v>
      </c>
      <c r="N137" s="141">
        <v>-6400000</v>
      </c>
      <c r="O137" s="141">
        <v>384376732</v>
      </c>
      <c r="P137" s="141">
        <v>0</v>
      </c>
      <c r="Q137" s="141">
        <v>384376732</v>
      </c>
      <c r="R137" s="141">
        <v>0</v>
      </c>
      <c r="S137" s="141">
        <v>0</v>
      </c>
      <c r="T137" s="141">
        <v>0</v>
      </c>
      <c r="U137" s="141">
        <v>0</v>
      </c>
      <c r="V137" s="141">
        <v>0</v>
      </c>
      <c r="W137" s="141">
        <v>0</v>
      </c>
      <c r="X137" s="141">
        <v>0</v>
      </c>
      <c r="Y137" s="141">
        <v>0</v>
      </c>
      <c r="Z137" s="141">
        <v>0</v>
      </c>
      <c r="AA137" s="141">
        <v>0</v>
      </c>
      <c r="AB137" s="141">
        <v>0</v>
      </c>
      <c r="AC137" s="141">
        <v>0</v>
      </c>
      <c r="AD137" s="141">
        <v>0</v>
      </c>
      <c r="AE137" s="141">
        <v>0</v>
      </c>
      <c r="AF137" s="141">
        <v>0</v>
      </c>
      <c r="AG137" s="141">
        <v>0</v>
      </c>
      <c r="AH137" s="141">
        <v>0</v>
      </c>
      <c r="AI137" s="141">
        <v>0</v>
      </c>
      <c r="AJ137" s="141">
        <v>0</v>
      </c>
      <c r="AK137" s="141">
        <v>0</v>
      </c>
      <c r="AL137" s="141">
        <v>0</v>
      </c>
      <c r="AM137" s="141">
        <v>0</v>
      </c>
      <c r="AN137" s="141">
        <v>0</v>
      </c>
      <c r="AO137" s="141">
        <v>0</v>
      </c>
      <c r="AP137" s="856">
        <v>0</v>
      </c>
      <c r="AQ137" s="856">
        <v>0</v>
      </c>
      <c r="AR137" s="857">
        <v>0</v>
      </c>
      <c r="AS137" t="s">
        <v>1703</v>
      </c>
    </row>
    <row r="138" spans="1:45" ht="12.75" x14ac:dyDescent="0.2">
      <c r="A138" s="764">
        <v>131</v>
      </c>
      <c r="B138" s="765" t="s">
        <v>148</v>
      </c>
      <c r="C138" s="766" t="s">
        <v>1217</v>
      </c>
      <c r="D138" s="767" t="s">
        <v>1220</v>
      </c>
      <c r="E138" s="768" t="s">
        <v>147</v>
      </c>
      <c r="F138" s="141">
        <v>33130316</v>
      </c>
      <c r="G138" s="141">
        <v>1078880</v>
      </c>
      <c r="H138" s="141">
        <v>34209196</v>
      </c>
      <c r="I138" s="141">
        <v>-331803</v>
      </c>
      <c r="J138" s="141">
        <v>-10789</v>
      </c>
      <c r="K138" s="141">
        <v>-342592</v>
      </c>
      <c r="L138" s="141">
        <v>-995409</v>
      </c>
      <c r="M138" s="141">
        <v>-32366</v>
      </c>
      <c r="N138" s="141">
        <v>-1027775</v>
      </c>
      <c r="O138" s="141">
        <v>31803104</v>
      </c>
      <c r="P138" s="141">
        <v>1035725</v>
      </c>
      <c r="Q138" s="141">
        <v>32838829</v>
      </c>
      <c r="R138" s="141">
        <v>81951</v>
      </c>
      <c r="S138" s="141">
        <v>0</v>
      </c>
      <c r="T138" s="141">
        <v>81951</v>
      </c>
      <c r="U138" s="141">
        <v>0</v>
      </c>
      <c r="V138" s="141">
        <v>0</v>
      </c>
      <c r="W138" s="141">
        <v>0</v>
      </c>
      <c r="X138" s="141">
        <v>510</v>
      </c>
      <c r="Y138" s="141">
        <v>889191</v>
      </c>
      <c r="Z138" s="141">
        <v>147044</v>
      </c>
      <c r="AA138" s="141">
        <v>147044</v>
      </c>
      <c r="AB138" s="141">
        <v>0</v>
      </c>
      <c r="AC138" s="141">
        <v>0</v>
      </c>
      <c r="AD138" s="141">
        <v>0</v>
      </c>
      <c r="AE138" s="141">
        <v>0</v>
      </c>
      <c r="AF138" s="141">
        <v>193704</v>
      </c>
      <c r="AG138" s="141">
        <v>193704</v>
      </c>
      <c r="AH138" s="141">
        <v>0</v>
      </c>
      <c r="AI138" s="141">
        <v>0</v>
      </c>
      <c r="AJ138" s="141">
        <v>0</v>
      </c>
      <c r="AK138" s="141">
        <v>0</v>
      </c>
      <c r="AL138" s="141">
        <v>0</v>
      </c>
      <c r="AM138" s="141">
        <v>0</v>
      </c>
      <c r="AN138" s="141">
        <v>0</v>
      </c>
      <c r="AO138" s="141">
        <v>0</v>
      </c>
      <c r="AP138" s="856">
        <v>0</v>
      </c>
      <c r="AQ138" s="856">
        <v>193704</v>
      </c>
      <c r="AR138" s="857">
        <v>193704</v>
      </c>
      <c r="AS138" t="s">
        <v>1704</v>
      </c>
    </row>
    <row r="139" spans="1:45" ht="12.75" x14ac:dyDescent="0.2">
      <c r="A139" s="764">
        <v>132</v>
      </c>
      <c r="B139" s="765" t="s">
        <v>150</v>
      </c>
      <c r="C139" s="766" t="s">
        <v>1217</v>
      </c>
      <c r="D139" s="767" t="s">
        <v>1218</v>
      </c>
      <c r="E139" s="768" t="s">
        <v>149</v>
      </c>
      <c r="F139" s="141">
        <v>45311735</v>
      </c>
      <c r="G139" s="141">
        <v>0</v>
      </c>
      <c r="H139" s="141">
        <v>45311735</v>
      </c>
      <c r="I139" s="141">
        <v>-453000</v>
      </c>
      <c r="J139" s="141">
        <v>0</v>
      </c>
      <c r="K139" s="141">
        <v>-453000</v>
      </c>
      <c r="L139" s="141">
        <v>-2129650</v>
      </c>
      <c r="M139" s="141">
        <v>0</v>
      </c>
      <c r="N139" s="141">
        <v>-2129650</v>
      </c>
      <c r="O139" s="141">
        <v>42729085</v>
      </c>
      <c r="P139" s="141">
        <v>0</v>
      </c>
      <c r="Q139" s="141">
        <v>42729085</v>
      </c>
      <c r="R139" s="141">
        <v>0</v>
      </c>
      <c r="S139" s="141">
        <v>0</v>
      </c>
      <c r="T139" s="141">
        <v>0</v>
      </c>
      <c r="U139" s="141">
        <v>0</v>
      </c>
      <c r="V139" s="141">
        <v>0</v>
      </c>
      <c r="W139" s="141">
        <v>0</v>
      </c>
      <c r="X139" s="141">
        <v>0</v>
      </c>
      <c r="Y139" s="141">
        <v>0</v>
      </c>
      <c r="Z139" s="141">
        <v>0</v>
      </c>
      <c r="AA139" s="141">
        <v>0</v>
      </c>
      <c r="AB139" s="141">
        <v>0</v>
      </c>
      <c r="AC139" s="141">
        <v>0</v>
      </c>
      <c r="AD139" s="141">
        <v>0</v>
      </c>
      <c r="AE139" s="141">
        <v>0</v>
      </c>
      <c r="AF139" s="141">
        <v>0</v>
      </c>
      <c r="AG139" s="141">
        <v>0</v>
      </c>
      <c r="AH139" s="141">
        <v>0</v>
      </c>
      <c r="AI139" s="141">
        <v>0</v>
      </c>
      <c r="AJ139" s="141">
        <v>0</v>
      </c>
      <c r="AK139" s="141">
        <v>0</v>
      </c>
      <c r="AL139" s="141">
        <v>0</v>
      </c>
      <c r="AM139" s="141">
        <v>0</v>
      </c>
      <c r="AN139" s="141">
        <v>0</v>
      </c>
      <c r="AO139" s="141">
        <v>0</v>
      </c>
      <c r="AP139" s="856">
        <v>0</v>
      </c>
      <c r="AQ139" s="856">
        <v>0</v>
      </c>
      <c r="AR139" s="857">
        <v>0</v>
      </c>
      <c r="AS139" t="s">
        <v>1705</v>
      </c>
    </row>
    <row r="140" spans="1:45" ht="12.75" x14ac:dyDescent="0.2">
      <c r="A140" s="764">
        <v>133</v>
      </c>
      <c r="B140" s="765" t="s">
        <v>152</v>
      </c>
      <c r="C140" s="766" t="s">
        <v>1222</v>
      </c>
      <c r="D140" s="767" t="s">
        <v>1223</v>
      </c>
      <c r="E140" s="768" t="s">
        <v>151</v>
      </c>
      <c r="F140" s="141">
        <v>206913785</v>
      </c>
      <c r="G140" s="141">
        <v>0</v>
      </c>
      <c r="H140" s="141">
        <v>206913785</v>
      </c>
      <c r="I140" s="141">
        <v>-2100000</v>
      </c>
      <c r="J140" s="141">
        <v>0</v>
      </c>
      <c r="K140" s="141">
        <v>-2100000</v>
      </c>
      <c r="L140" s="141">
        <v>-1400000</v>
      </c>
      <c r="M140" s="141">
        <v>0</v>
      </c>
      <c r="N140" s="141">
        <v>-1400000</v>
      </c>
      <c r="O140" s="141">
        <v>203413785</v>
      </c>
      <c r="P140" s="141">
        <v>0</v>
      </c>
      <c r="Q140" s="141">
        <v>203413785</v>
      </c>
      <c r="R140" s="141">
        <v>0</v>
      </c>
      <c r="S140" s="141">
        <v>0</v>
      </c>
      <c r="T140" s="141">
        <v>0</v>
      </c>
      <c r="U140" s="141">
        <v>0</v>
      </c>
      <c r="V140" s="141">
        <v>0</v>
      </c>
      <c r="W140" s="141">
        <v>0</v>
      </c>
      <c r="X140" s="141">
        <v>0</v>
      </c>
      <c r="Y140" s="141">
        <v>0</v>
      </c>
      <c r="Z140" s="141">
        <v>0</v>
      </c>
      <c r="AA140" s="141">
        <v>0</v>
      </c>
      <c r="AB140" s="141">
        <v>0</v>
      </c>
      <c r="AC140" s="141">
        <v>0</v>
      </c>
      <c r="AD140" s="141">
        <v>0</v>
      </c>
      <c r="AE140" s="141">
        <v>0</v>
      </c>
      <c r="AF140" s="141">
        <v>0</v>
      </c>
      <c r="AG140" s="141">
        <v>0</v>
      </c>
      <c r="AH140" s="141">
        <v>0</v>
      </c>
      <c r="AI140" s="141">
        <v>0</v>
      </c>
      <c r="AJ140" s="141">
        <v>0</v>
      </c>
      <c r="AK140" s="141">
        <v>0</v>
      </c>
      <c r="AL140" s="141">
        <v>0</v>
      </c>
      <c r="AM140" s="141">
        <v>0</v>
      </c>
      <c r="AN140" s="141">
        <v>0</v>
      </c>
      <c r="AO140" s="141">
        <v>0</v>
      </c>
      <c r="AP140" s="856">
        <v>0</v>
      </c>
      <c r="AQ140" s="856">
        <v>0</v>
      </c>
      <c r="AR140" s="857">
        <v>0</v>
      </c>
      <c r="AS140" t="s">
        <v>1706</v>
      </c>
    </row>
    <row r="141" spans="1:45" ht="12.75" x14ac:dyDescent="0.2">
      <c r="A141" s="764">
        <v>134</v>
      </c>
      <c r="B141" s="765" t="s">
        <v>154</v>
      </c>
      <c r="C141" s="766" t="s">
        <v>1217</v>
      </c>
      <c r="D141" s="767" t="s">
        <v>1221</v>
      </c>
      <c r="E141" s="768" t="s">
        <v>153</v>
      </c>
      <c r="F141" s="141">
        <v>61309577</v>
      </c>
      <c r="G141" s="141">
        <v>1948659</v>
      </c>
      <c r="H141" s="141">
        <v>63258236</v>
      </c>
      <c r="I141" s="141">
        <v>-275000</v>
      </c>
      <c r="J141" s="141">
        <v>0</v>
      </c>
      <c r="K141" s="141">
        <v>-275000</v>
      </c>
      <c r="L141" s="141">
        <v>-2650000</v>
      </c>
      <c r="M141" s="141">
        <v>0</v>
      </c>
      <c r="N141" s="141">
        <v>-2650000</v>
      </c>
      <c r="O141" s="141">
        <v>58384577</v>
      </c>
      <c r="P141" s="141">
        <v>1948659</v>
      </c>
      <c r="Q141" s="141">
        <v>60333236</v>
      </c>
      <c r="R141" s="141">
        <v>908873</v>
      </c>
      <c r="S141" s="141">
        <v>0</v>
      </c>
      <c r="T141" s="141">
        <v>908873</v>
      </c>
      <c r="U141" s="141">
        <v>0</v>
      </c>
      <c r="V141" s="141">
        <v>0</v>
      </c>
      <c r="W141" s="141">
        <v>0</v>
      </c>
      <c r="X141" s="141">
        <v>10497</v>
      </c>
      <c r="Y141" s="141">
        <v>775240</v>
      </c>
      <c r="Z141" s="141">
        <v>1183916</v>
      </c>
      <c r="AA141" s="141">
        <v>1183916</v>
      </c>
      <c r="AB141" s="141">
        <v>0</v>
      </c>
      <c r="AC141" s="141">
        <v>0</v>
      </c>
      <c r="AD141" s="141">
        <v>0</v>
      </c>
      <c r="AE141" s="141">
        <v>0</v>
      </c>
      <c r="AF141" s="141">
        <v>209234</v>
      </c>
      <c r="AG141" s="141">
        <v>209234</v>
      </c>
      <c r="AH141" s="141">
        <v>0</v>
      </c>
      <c r="AI141" s="141">
        <v>0</v>
      </c>
      <c r="AJ141" s="141">
        <v>0</v>
      </c>
      <c r="AK141" s="141">
        <v>0</v>
      </c>
      <c r="AL141" s="141">
        <v>0</v>
      </c>
      <c r="AM141" s="141">
        <v>0</v>
      </c>
      <c r="AN141" s="141">
        <v>0</v>
      </c>
      <c r="AO141" s="141">
        <v>0</v>
      </c>
      <c r="AP141" s="856">
        <v>0</v>
      </c>
      <c r="AQ141" s="856">
        <v>209234</v>
      </c>
      <c r="AR141" s="857">
        <v>209234</v>
      </c>
      <c r="AS141" t="s">
        <v>1707</v>
      </c>
    </row>
    <row r="142" spans="1:45" ht="12.75" x14ac:dyDescent="0.2">
      <c r="A142" s="764">
        <v>135</v>
      </c>
      <c r="B142" s="765" t="s">
        <v>156</v>
      </c>
      <c r="C142" s="766" t="s">
        <v>1217</v>
      </c>
      <c r="D142" s="767" t="s">
        <v>1219</v>
      </c>
      <c r="E142" s="768" t="s">
        <v>155</v>
      </c>
      <c r="F142" s="141">
        <v>19540586</v>
      </c>
      <c r="G142" s="141">
        <v>0</v>
      </c>
      <c r="H142" s="141">
        <v>19540586</v>
      </c>
      <c r="I142" s="141">
        <v>-781623</v>
      </c>
      <c r="J142" s="141">
        <v>0</v>
      </c>
      <c r="K142" s="141">
        <v>-781623</v>
      </c>
      <c r="L142" s="141">
        <v>-1954058</v>
      </c>
      <c r="M142" s="141">
        <v>0</v>
      </c>
      <c r="N142" s="141">
        <v>-1954058</v>
      </c>
      <c r="O142" s="141">
        <v>16804905</v>
      </c>
      <c r="P142" s="141">
        <v>0</v>
      </c>
      <c r="Q142" s="141">
        <v>16804905</v>
      </c>
      <c r="R142" s="141">
        <v>0</v>
      </c>
      <c r="S142" s="141">
        <v>0</v>
      </c>
      <c r="T142" s="141">
        <v>0</v>
      </c>
      <c r="U142" s="141">
        <v>0</v>
      </c>
      <c r="V142" s="141">
        <v>0</v>
      </c>
      <c r="W142" s="141">
        <v>0</v>
      </c>
      <c r="X142" s="141">
        <v>0</v>
      </c>
      <c r="Y142" s="141">
        <v>0</v>
      </c>
      <c r="Z142" s="141">
        <v>0</v>
      </c>
      <c r="AA142" s="141">
        <v>0</v>
      </c>
      <c r="AB142" s="141">
        <v>0</v>
      </c>
      <c r="AC142" s="141">
        <v>0</v>
      </c>
      <c r="AD142" s="141">
        <v>0</v>
      </c>
      <c r="AE142" s="141">
        <v>0</v>
      </c>
      <c r="AF142" s="141">
        <v>0</v>
      </c>
      <c r="AG142" s="141">
        <v>0</v>
      </c>
      <c r="AH142" s="141">
        <v>0</v>
      </c>
      <c r="AI142" s="141">
        <v>0</v>
      </c>
      <c r="AJ142" s="141">
        <v>0</v>
      </c>
      <c r="AK142" s="141">
        <v>0</v>
      </c>
      <c r="AL142" s="141">
        <v>0</v>
      </c>
      <c r="AM142" s="141">
        <v>0</v>
      </c>
      <c r="AN142" s="141">
        <v>0</v>
      </c>
      <c r="AO142" s="141">
        <v>0</v>
      </c>
      <c r="AP142" s="856">
        <v>0</v>
      </c>
      <c r="AQ142" s="856">
        <v>0</v>
      </c>
      <c r="AR142" s="857">
        <v>0</v>
      </c>
      <c r="AS142" t="s">
        <v>1708</v>
      </c>
    </row>
    <row r="143" spans="1:45" ht="12.75" x14ac:dyDescent="0.2">
      <c r="A143" s="764">
        <v>136</v>
      </c>
      <c r="B143" s="765" t="s">
        <v>158</v>
      </c>
      <c r="C143" s="766" t="s">
        <v>1217</v>
      </c>
      <c r="D143" s="767" t="s">
        <v>1221</v>
      </c>
      <c r="E143" s="768" t="s">
        <v>157</v>
      </c>
      <c r="F143" s="141">
        <v>55981798</v>
      </c>
      <c r="G143" s="141">
        <v>1268983</v>
      </c>
      <c r="H143" s="141">
        <v>57250781</v>
      </c>
      <c r="I143" s="141">
        <v>-409787</v>
      </c>
      <c r="J143" s="141">
        <v>-9289</v>
      </c>
      <c r="K143" s="141">
        <v>-419076</v>
      </c>
      <c r="L143" s="141">
        <v>-1921709</v>
      </c>
      <c r="M143" s="141">
        <v>-19796</v>
      </c>
      <c r="N143" s="141">
        <v>-1941505</v>
      </c>
      <c r="O143" s="141">
        <v>53650302</v>
      </c>
      <c r="P143" s="141">
        <v>1239898</v>
      </c>
      <c r="Q143" s="141">
        <v>54890200</v>
      </c>
      <c r="R143" s="141">
        <v>2858</v>
      </c>
      <c r="S143" s="141">
        <v>0</v>
      </c>
      <c r="T143" s="141">
        <v>2858</v>
      </c>
      <c r="U143" s="141">
        <v>0</v>
      </c>
      <c r="V143" s="141">
        <v>0</v>
      </c>
      <c r="W143" s="141">
        <v>0</v>
      </c>
      <c r="X143" s="141">
        <v>0</v>
      </c>
      <c r="Y143" s="141">
        <v>202888</v>
      </c>
      <c r="Z143" s="141">
        <v>1037010</v>
      </c>
      <c r="AA143" s="141">
        <v>1037010</v>
      </c>
      <c r="AB143" s="141">
        <v>0</v>
      </c>
      <c r="AC143" s="141">
        <v>0</v>
      </c>
      <c r="AD143" s="141">
        <v>0</v>
      </c>
      <c r="AE143" s="141">
        <v>0</v>
      </c>
      <c r="AF143" s="141">
        <v>149938</v>
      </c>
      <c r="AG143" s="141">
        <v>149938</v>
      </c>
      <c r="AH143" s="141">
        <v>0</v>
      </c>
      <c r="AI143" s="141">
        <v>0</v>
      </c>
      <c r="AJ143" s="141">
        <v>0</v>
      </c>
      <c r="AK143" s="141">
        <v>0</v>
      </c>
      <c r="AL143" s="141">
        <v>0</v>
      </c>
      <c r="AM143" s="141">
        <v>0</v>
      </c>
      <c r="AN143" s="141">
        <v>0</v>
      </c>
      <c r="AO143" s="141">
        <v>0</v>
      </c>
      <c r="AP143" s="856">
        <v>0</v>
      </c>
      <c r="AQ143" s="856">
        <v>149938</v>
      </c>
      <c r="AR143" s="857">
        <v>149938</v>
      </c>
      <c r="AS143" t="s">
        <v>1709</v>
      </c>
    </row>
    <row r="144" spans="1:45" ht="12.75" x14ac:dyDescent="0.2">
      <c r="A144" s="764">
        <v>137</v>
      </c>
      <c r="B144" s="765" t="s">
        <v>160</v>
      </c>
      <c r="C144" s="766" t="s">
        <v>529</v>
      </c>
      <c r="D144" s="767" t="s">
        <v>1218</v>
      </c>
      <c r="E144" s="768" t="s">
        <v>898</v>
      </c>
      <c r="F144" s="141">
        <v>40501669</v>
      </c>
      <c r="G144" s="141">
        <v>0</v>
      </c>
      <c r="H144" s="141">
        <v>40501669</v>
      </c>
      <c r="I144" s="141">
        <v>-400000</v>
      </c>
      <c r="J144" s="141">
        <v>0</v>
      </c>
      <c r="K144" s="141">
        <v>-400000</v>
      </c>
      <c r="L144" s="141">
        <v>-1949547</v>
      </c>
      <c r="M144" s="141">
        <v>0</v>
      </c>
      <c r="N144" s="141">
        <v>-1949547</v>
      </c>
      <c r="O144" s="141">
        <v>38152122</v>
      </c>
      <c r="P144" s="141">
        <v>0</v>
      </c>
      <c r="Q144" s="141">
        <v>38152122</v>
      </c>
      <c r="R144" s="141">
        <v>282332</v>
      </c>
      <c r="S144" s="141">
        <v>0</v>
      </c>
      <c r="T144" s="141">
        <v>282332</v>
      </c>
      <c r="U144" s="141">
        <v>0</v>
      </c>
      <c r="V144" s="141">
        <v>0</v>
      </c>
      <c r="W144" s="141">
        <v>0</v>
      </c>
      <c r="X144" s="141">
        <v>0</v>
      </c>
      <c r="Y144" s="141">
        <v>0</v>
      </c>
      <c r="Z144" s="141">
        <v>0</v>
      </c>
      <c r="AA144" s="141">
        <v>0</v>
      </c>
      <c r="AB144" s="141">
        <v>0</v>
      </c>
      <c r="AC144" s="141">
        <v>0</v>
      </c>
      <c r="AD144" s="141">
        <v>0</v>
      </c>
      <c r="AE144" s="141">
        <v>0</v>
      </c>
      <c r="AF144" s="141">
        <v>0</v>
      </c>
      <c r="AG144" s="141">
        <v>0</v>
      </c>
      <c r="AH144" s="141">
        <v>0</v>
      </c>
      <c r="AI144" s="141">
        <v>0</v>
      </c>
      <c r="AJ144" s="141">
        <v>0</v>
      </c>
      <c r="AK144" s="141">
        <v>0</v>
      </c>
      <c r="AL144" s="141">
        <v>0</v>
      </c>
      <c r="AM144" s="141">
        <v>0</v>
      </c>
      <c r="AN144" s="141">
        <v>0</v>
      </c>
      <c r="AO144" s="141">
        <v>0</v>
      </c>
      <c r="AP144" s="856">
        <v>0</v>
      </c>
      <c r="AQ144" s="856">
        <v>0</v>
      </c>
      <c r="AR144" s="857">
        <v>0</v>
      </c>
      <c r="AS144" t="s">
        <v>1710</v>
      </c>
    </row>
    <row r="145" spans="1:45" ht="12.75" x14ac:dyDescent="0.2">
      <c r="A145" s="764">
        <v>138</v>
      </c>
      <c r="B145" s="765" t="s">
        <v>162</v>
      </c>
      <c r="C145" s="766" t="s">
        <v>529</v>
      </c>
      <c r="D145" s="767" t="s">
        <v>1226</v>
      </c>
      <c r="E145" s="768" t="s">
        <v>899</v>
      </c>
      <c r="F145" s="141">
        <v>1521114</v>
      </c>
      <c r="G145" s="141">
        <v>0</v>
      </c>
      <c r="H145" s="141">
        <v>1521114</v>
      </c>
      <c r="I145" s="141">
        <v>-65000</v>
      </c>
      <c r="J145" s="141">
        <v>0</v>
      </c>
      <c r="K145" s="141">
        <v>-65000</v>
      </c>
      <c r="L145" s="141">
        <v>-70000</v>
      </c>
      <c r="M145" s="141">
        <v>0</v>
      </c>
      <c r="N145" s="141">
        <v>-70000</v>
      </c>
      <c r="O145" s="141">
        <v>1386114</v>
      </c>
      <c r="P145" s="141">
        <v>0</v>
      </c>
      <c r="Q145" s="141">
        <v>1386114</v>
      </c>
      <c r="R145" s="141">
        <v>0</v>
      </c>
      <c r="S145" s="141">
        <v>0</v>
      </c>
      <c r="T145" s="141">
        <v>0</v>
      </c>
      <c r="U145" s="141">
        <v>0</v>
      </c>
      <c r="V145" s="141">
        <v>0</v>
      </c>
      <c r="W145" s="141">
        <v>0</v>
      </c>
      <c r="X145" s="141">
        <v>0</v>
      </c>
      <c r="Y145" s="141">
        <v>0</v>
      </c>
      <c r="Z145" s="141">
        <v>0</v>
      </c>
      <c r="AA145" s="141">
        <v>0</v>
      </c>
      <c r="AB145" s="141">
        <v>0</v>
      </c>
      <c r="AC145" s="141">
        <v>0</v>
      </c>
      <c r="AD145" s="141">
        <v>0</v>
      </c>
      <c r="AE145" s="141">
        <v>0</v>
      </c>
      <c r="AF145" s="141">
        <v>0</v>
      </c>
      <c r="AG145" s="141">
        <v>0</v>
      </c>
      <c r="AH145" s="141">
        <v>0</v>
      </c>
      <c r="AI145" s="141">
        <v>0</v>
      </c>
      <c r="AJ145" s="141">
        <v>0</v>
      </c>
      <c r="AK145" s="141">
        <v>0</v>
      </c>
      <c r="AL145" s="141">
        <v>0</v>
      </c>
      <c r="AM145" s="141">
        <v>0</v>
      </c>
      <c r="AN145" s="141">
        <v>0</v>
      </c>
      <c r="AO145" s="141">
        <v>0</v>
      </c>
      <c r="AP145" s="856">
        <v>0</v>
      </c>
      <c r="AQ145" s="856">
        <v>0</v>
      </c>
      <c r="AR145" s="857">
        <v>0</v>
      </c>
      <c r="AS145" t="s">
        <v>1711</v>
      </c>
    </row>
    <row r="146" spans="1:45" ht="12.75" x14ac:dyDescent="0.2">
      <c r="A146" s="764">
        <v>139</v>
      </c>
      <c r="B146" s="765" t="s">
        <v>164</v>
      </c>
      <c r="C146" s="766" t="s">
        <v>1228</v>
      </c>
      <c r="D146" s="767" t="s">
        <v>1223</v>
      </c>
      <c r="E146" s="768" t="s">
        <v>163</v>
      </c>
      <c r="F146" s="141">
        <v>289914508</v>
      </c>
      <c r="G146" s="141">
        <v>0</v>
      </c>
      <c r="H146" s="141">
        <v>289914508</v>
      </c>
      <c r="I146" s="141">
        <v>-5039936</v>
      </c>
      <c r="J146" s="141">
        <v>0</v>
      </c>
      <c r="K146" s="141">
        <v>-5039936</v>
      </c>
      <c r="L146" s="141">
        <v>-9790750</v>
      </c>
      <c r="M146" s="141">
        <v>0</v>
      </c>
      <c r="N146" s="141">
        <v>-9790750</v>
      </c>
      <c r="O146" s="141">
        <v>275083822</v>
      </c>
      <c r="P146" s="141">
        <v>0</v>
      </c>
      <c r="Q146" s="141">
        <v>275083822</v>
      </c>
      <c r="R146" s="141">
        <v>76437</v>
      </c>
      <c r="S146" s="141">
        <v>0</v>
      </c>
      <c r="T146" s="141">
        <v>76437</v>
      </c>
      <c r="U146" s="141">
        <v>0</v>
      </c>
      <c r="V146" s="141">
        <v>0</v>
      </c>
      <c r="W146" s="141">
        <v>0</v>
      </c>
      <c r="X146" s="141">
        <v>0</v>
      </c>
      <c r="Y146" s="141">
        <v>0</v>
      </c>
      <c r="Z146" s="141">
        <v>0</v>
      </c>
      <c r="AA146" s="141">
        <v>0</v>
      </c>
      <c r="AB146" s="141">
        <v>0</v>
      </c>
      <c r="AC146" s="141">
        <v>0</v>
      </c>
      <c r="AD146" s="141">
        <v>0</v>
      </c>
      <c r="AE146" s="141">
        <v>0</v>
      </c>
      <c r="AF146" s="141">
        <v>0</v>
      </c>
      <c r="AG146" s="141">
        <v>0</v>
      </c>
      <c r="AH146" s="141">
        <v>0</v>
      </c>
      <c r="AI146" s="141">
        <v>0</v>
      </c>
      <c r="AJ146" s="141">
        <v>0</v>
      </c>
      <c r="AK146" s="141">
        <v>0</v>
      </c>
      <c r="AL146" s="141">
        <v>0</v>
      </c>
      <c r="AM146" s="141">
        <v>0</v>
      </c>
      <c r="AN146" s="141">
        <v>0</v>
      </c>
      <c r="AO146" s="141">
        <v>0</v>
      </c>
      <c r="AP146" s="856">
        <v>0</v>
      </c>
      <c r="AQ146" s="856">
        <v>0</v>
      </c>
      <c r="AR146" s="857">
        <v>0</v>
      </c>
      <c r="AS146" t="s">
        <v>1712</v>
      </c>
    </row>
    <row r="147" spans="1:45" ht="12.75" x14ac:dyDescent="0.2">
      <c r="A147" s="764">
        <v>140</v>
      </c>
      <c r="B147" s="765" t="s">
        <v>166</v>
      </c>
      <c r="C147" s="766" t="s">
        <v>1228</v>
      </c>
      <c r="D147" s="767" t="s">
        <v>1223</v>
      </c>
      <c r="E147" s="768" t="s">
        <v>165</v>
      </c>
      <c r="F147" s="141">
        <v>362549817</v>
      </c>
      <c r="G147" s="141">
        <v>0</v>
      </c>
      <c r="H147" s="141">
        <v>362549817</v>
      </c>
      <c r="I147" s="141">
        <v>-3600000</v>
      </c>
      <c r="J147" s="141">
        <v>0</v>
      </c>
      <c r="K147" s="141">
        <v>-3600000</v>
      </c>
      <c r="L147" s="141">
        <v>-27040000</v>
      </c>
      <c r="M147" s="141">
        <v>0</v>
      </c>
      <c r="N147" s="141">
        <v>-27040000</v>
      </c>
      <c r="O147" s="141">
        <v>331909817</v>
      </c>
      <c r="P147" s="141">
        <v>0</v>
      </c>
      <c r="Q147" s="141">
        <v>331909817</v>
      </c>
      <c r="R147" s="141">
        <v>0</v>
      </c>
      <c r="S147" s="141">
        <v>0</v>
      </c>
      <c r="T147" s="141">
        <v>0</v>
      </c>
      <c r="U147" s="141">
        <v>0</v>
      </c>
      <c r="V147" s="141">
        <v>0</v>
      </c>
      <c r="W147" s="141">
        <v>0</v>
      </c>
      <c r="X147" s="141">
        <v>0</v>
      </c>
      <c r="Y147" s="141">
        <v>0</v>
      </c>
      <c r="Z147" s="141">
        <v>0</v>
      </c>
      <c r="AA147" s="141">
        <v>0</v>
      </c>
      <c r="AB147" s="141">
        <v>0</v>
      </c>
      <c r="AC147" s="141">
        <v>0</v>
      </c>
      <c r="AD147" s="141">
        <v>0</v>
      </c>
      <c r="AE147" s="141">
        <v>0</v>
      </c>
      <c r="AF147" s="141">
        <v>0</v>
      </c>
      <c r="AG147" s="141">
        <v>0</v>
      </c>
      <c r="AH147" s="141">
        <v>0</v>
      </c>
      <c r="AI147" s="141">
        <v>0</v>
      </c>
      <c r="AJ147" s="141">
        <v>0</v>
      </c>
      <c r="AK147" s="141">
        <v>0</v>
      </c>
      <c r="AL147" s="141">
        <v>0</v>
      </c>
      <c r="AM147" s="141">
        <v>0</v>
      </c>
      <c r="AN147" s="141">
        <v>0</v>
      </c>
      <c r="AO147" s="141">
        <v>0</v>
      </c>
      <c r="AP147" s="856">
        <v>0</v>
      </c>
      <c r="AQ147" s="856">
        <v>0</v>
      </c>
      <c r="AR147" s="857">
        <v>0</v>
      </c>
      <c r="AS147" t="s">
        <v>1713</v>
      </c>
    </row>
    <row r="148" spans="1:45" ht="12.75" x14ac:dyDescent="0.2">
      <c r="A148" s="764">
        <v>141</v>
      </c>
      <c r="B148" s="765" t="s">
        <v>168</v>
      </c>
      <c r="C148" s="766" t="s">
        <v>1217</v>
      </c>
      <c r="D148" s="767" t="s">
        <v>1220</v>
      </c>
      <c r="E148" s="768" t="s">
        <v>167</v>
      </c>
      <c r="F148" s="141">
        <v>33124851.078000002</v>
      </c>
      <c r="G148" s="141">
        <v>0</v>
      </c>
      <c r="H148" s="141">
        <v>33124851.078000002</v>
      </c>
      <c r="I148" s="141">
        <v>-200000</v>
      </c>
      <c r="J148" s="141">
        <v>0</v>
      </c>
      <c r="K148" s="141">
        <v>-200000</v>
      </c>
      <c r="L148" s="141">
        <v>-400000</v>
      </c>
      <c r="M148" s="141">
        <v>0</v>
      </c>
      <c r="N148" s="141">
        <v>-400000</v>
      </c>
      <c r="O148" s="141">
        <v>32524851.078000002</v>
      </c>
      <c r="P148" s="141">
        <v>0</v>
      </c>
      <c r="Q148" s="141">
        <v>32524851.078000002</v>
      </c>
      <c r="R148" s="141">
        <v>349360</v>
      </c>
      <c r="S148" s="141">
        <v>0</v>
      </c>
      <c r="T148" s="141">
        <v>349360</v>
      </c>
      <c r="U148" s="141">
        <v>0</v>
      </c>
      <c r="V148" s="141">
        <v>0</v>
      </c>
      <c r="W148" s="141">
        <v>0</v>
      </c>
      <c r="X148" s="141">
        <v>0</v>
      </c>
      <c r="Y148" s="141">
        <v>0</v>
      </c>
      <c r="Z148" s="141">
        <v>0</v>
      </c>
      <c r="AA148" s="141">
        <v>0</v>
      </c>
      <c r="AB148" s="141">
        <v>0</v>
      </c>
      <c r="AC148" s="141">
        <v>0</v>
      </c>
      <c r="AD148" s="141">
        <v>0</v>
      </c>
      <c r="AE148" s="141">
        <v>0</v>
      </c>
      <c r="AF148" s="141">
        <v>0</v>
      </c>
      <c r="AG148" s="141">
        <v>0</v>
      </c>
      <c r="AH148" s="141">
        <v>0</v>
      </c>
      <c r="AI148" s="141">
        <v>0</v>
      </c>
      <c r="AJ148" s="141">
        <v>0</v>
      </c>
      <c r="AK148" s="141">
        <v>0</v>
      </c>
      <c r="AL148" s="141">
        <v>0</v>
      </c>
      <c r="AM148" s="141">
        <v>0</v>
      </c>
      <c r="AN148" s="141">
        <v>0</v>
      </c>
      <c r="AO148" s="141">
        <v>0</v>
      </c>
      <c r="AP148" s="856">
        <v>0</v>
      </c>
      <c r="AQ148" s="856">
        <v>0</v>
      </c>
      <c r="AR148" s="857">
        <v>0</v>
      </c>
      <c r="AS148" t="s">
        <v>1714</v>
      </c>
    </row>
    <row r="149" spans="1:45" ht="12.75" x14ac:dyDescent="0.2">
      <c r="A149" s="764">
        <v>142</v>
      </c>
      <c r="B149" s="765" t="s">
        <v>170</v>
      </c>
      <c r="C149" s="766" t="s">
        <v>1217</v>
      </c>
      <c r="D149" s="767" t="s">
        <v>1221</v>
      </c>
      <c r="E149" s="768" t="s">
        <v>901</v>
      </c>
      <c r="F149" s="141">
        <v>47918304</v>
      </c>
      <c r="G149" s="141">
        <v>0</v>
      </c>
      <c r="H149" s="141">
        <v>47918304</v>
      </c>
      <c r="I149" s="141">
        <v>-200000</v>
      </c>
      <c r="J149" s="141">
        <v>0</v>
      </c>
      <c r="K149" s="141">
        <v>-200000</v>
      </c>
      <c r="L149" s="141">
        <v>-1196203</v>
      </c>
      <c r="M149" s="141">
        <v>0</v>
      </c>
      <c r="N149" s="141">
        <v>-1196203</v>
      </c>
      <c r="O149" s="141">
        <v>46522101</v>
      </c>
      <c r="P149" s="141">
        <v>0</v>
      </c>
      <c r="Q149" s="141">
        <v>46522101</v>
      </c>
      <c r="R149" s="141">
        <v>2614400</v>
      </c>
      <c r="S149" s="141">
        <v>0</v>
      </c>
      <c r="T149" s="141">
        <v>2614400</v>
      </c>
      <c r="U149" s="141">
        <v>0</v>
      </c>
      <c r="V149" s="141">
        <v>0</v>
      </c>
      <c r="W149" s="141">
        <v>0</v>
      </c>
      <c r="X149" s="141">
        <v>0</v>
      </c>
      <c r="Y149" s="141">
        <v>0</v>
      </c>
      <c r="Z149" s="141">
        <v>0</v>
      </c>
      <c r="AA149" s="141">
        <v>0</v>
      </c>
      <c r="AB149" s="141">
        <v>0</v>
      </c>
      <c r="AC149" s="141">
        <v>0</v>
      </c>
      <c r="AD149" s="141">
        <v>0</v>
      </c>
      <c r="AE149" s="141">
        <v>0</v>
      </c>
      <c r="AF149" s="141">
        <v>79701</v>
      </c>
      <c r="AG149" s="141">
        <v>79701</v>
      </c>
      <c r="AH149" s="141">
        <v>0</v>
      </c>
      <c r="AI149" s="141">
        <v>0</v>
      </c>
      <c r="AJ149" s="141">
        <v>0</v>
      </c>
      <c r="AK149" s="141">
        <v>0</v>
      </c>
      <c r="AL149" s="141">
        <v>0</v>
      </c>
      <c r="AM149" s="141">
        <v>0</v>
      </c>
      <c r="AN149" s="141">
        <v>0</v>
      </c>
      <c r="AO149" s="141">
        <v>0</v>
      </c>
      <c r="AP149" s="856">
        <v>0</v>
      </c>
      <c r="AQ149" s="856">
        <v>79701</v>
      </c>
      <c r="AR149" s="857">
        <v>79701</v>
      </c>
      <c r="AS149" t="s">
        <v>1715</v>
      </c>
    </row>
    <row r="150" spans="1:45" ht="12.75" x14ac:dyDescent="0.2">
      <c r="A150" s="764">
        <v>143</v>
      </c>
      <c r="B150" s="765" t="s">
        <v>172</v>
      </c>
      <c r="C150" s="766" t="s">
        <v>529</v>
      </c>
      <c r="D150" s="767" t="s">
        <v>1225</v>
      </c>
      <c r="E150" s="768" t="s">
        <v>897</v>
      </c>
      <c r="F150" s="141">
        <v>88656384</v>
      </c>
      <c r="G150" s="141">
        <v>4548675</v>
      </c>
      <c r="H150" s="141">
        <v>93205059</v>
      </c>
      <c r="I150" s="141">
        <v>-1320000</v>
      </c>
      <c r="J150" s="141">
        <v>0</v>
      </c>
      <c r="K150" s="141">
        <v>-1320000</v>
      </c>
      <c r="L150" s="141">
        <v>-1255701</v>
      </c>
      <c r="M150" s="141">
        <v>0</v>
      </c>
      <c r="N150" s="141">
        <v>-1255701</v>
      </c>
      <c r="O150" s="141">
        <v>86080683</v>
      </c>
      <c r="P150" s="141">
        <v>4548675</v>
      </c>
      <c r="Q150" s="141">
        <v>90629358</v>
      </c>
      <c r="R150" s="141">
        <v>38000</v>
      </c>
      <c r="S150" s="141">
        <v>1276600</v>
      </c>
      <c r="T150" s="141">
        <v>1314600</v>
      </c>
      <c r="U150" s="141">
        <v>0</v>
      </c>
      <c r="V150" s="141">
        <v>0</v>
      </c>
      <c r="W150" s="141">
        <v>0</v>
      </c>
      <c r="X150" s="141">
        <v>0</v>
      </c>
      <c r="Y150" s="141">
        <v>352421</v>
      </c>
      <c r="Z150" s="141">
        <v>2983259</v>
      </c>
      <c r="AA150" s="141">
        <v>2983259</v>
      </c>
      <c r="AB150" s="141">
        <v>0</v>
      </c>
      <c r="AC150" s="141">
        <v>0</v>
      </c>
      <c r="AD150" s="141">
        <v>0</v>
      </c>
      <c r="AE150" s="141">
        <v>0</v>
      </c>
      <c r="AF150" s="141">
        <v>63660</v>
      </c>
      <c r="AG150" s="141">
        <v>63660</v>
      </c>
      <c r="AH150" s="141">
        <v>0</v>
      </c>
      <c r="AI150" s="141">
        <v>0</v>
      </c>
      <c r="AJ150" s="141">
        <v>0</v>
      </c>
      <c r="AK150" s="141">
        <v>0</v>
      </c>
      <c r="AL150" s="141">
        <v>0</v>
      </c>
      <c r="AM150" s="141">
        <v>0</v>
      </c>
      <c r="AN150" s="141">
        <v>0</v>
      </c>
      <c r="AO150" s="141">
        <v>0</v>
      </c>
      <c r="AP150" s="856">
        <v>0</v>
      </c>
      <c r="AQ150" s="856">
        <v>63660</v>
      </c>
      <c r="AR150" s="857">
        <v>63660</v>
      </c>
      <c r="AS150" t="s">
        <v>1716</v>
      </c>
    </row>
    <row r="151" spans="1:45" ht="12.75" x14ac:dyDescent="0.2">
      <c r="A151" s="764">
        <v>144</v>
      </c>
      <c r="B151" s="765" t="s">
        <v>174</v>
      </c>
      <c r="C151" s="766" t="s">
        <v>1222</v>
      </c>
      <c r="D151" s="767" t="s">
        <v>1223</v>
      </c>
      <c r="E151" s="768" t="s">
        <v>173</v>
      </c>
      <c r="F151" s="141">
        <v>88576439</v>
      </c>
      <c r="G151" s="141">
        <v>0</v>
      </c>
      <c r="H151" s="141">
        <v>88576439</v>
      </c>
      <c r="I151" s="141">
        <v>-1000000</v>
      </c>
      <c r="J151" s="141">
        <v>0</v>
      </c>
      <c r="K151" s="141">
        <v>-1000000</v>
      </c>
      <c r="L151" s="141">
        <v>-1001000</v>
      </c>
      <c r="M151" s="141">
        <v>0</v>
      </c>
      <c r="N151" s="141">
        <v>-1001000</v>
      </c>
      <c r="O151" s="141">
        <v>86575439</v>
      </c>
      <c r="P151" s="141">
        <v>0</v>
      </c>
      <c r="Q151" s="141">
        <v>86575439</v>
      </c>
      <c r="R151" s="141">
        <v>0</v>
      </c>
      <c r="S151" s="141">
        <v>0</v>
      </c>
      <c r="T151" s="141">
        <v>0</v>
      </c>
      <c r="U151" s="141">
        <v>0</v>
      </c>
      <c r="V151" s="141">
        <v>0</v>
      </c>
      <c r="W151" s="141">
        <v>0</v>
      </c>
      <c r="X151" s="141">
        <v>0</v>
      </c>
      <c r="Y151" s="141">
        <v>0</v>
      </c>
      <c r="Z151" s="141">
        <v>0</v>
      </c>
      <c r="AA151" s="141">
        <v>0</v>
      </c>
      <c r="AB151" s="141">
        <v>0</v>
      </c>
      <c r="AC151" s="141">
        <v>0</v>
      </c>
      <c r="AD151" s="141">
        <v>0</v>
      </c>
      <c r="AE151" s="141">
        <v>0</v>
      </c>
      <c r="AF151" s="141">
        <v>0</v>
      </c>
      <c r="AG151" s="141">
        <v>0</v>
      </c>
      <c r="AH151" s="141">
        <v>0</v>
      </c>
      <c r="AI151" s="141">
        <v>0</v>
      </c>
      <c r="AJ151" s="141">
        <v>0</v>
      </c>
      <c r="AK151" s="141">
        <v>0</v>
      </c>
      <c r="AL151" s="141">
        <v>0</v>
      </c>
      <c r="AM151" s="141">
        <v>0</v>
      </c>
      <c r="AN151" s="141">
        <v>0</v>
      </c>
      <c r="AO151" s="141">
        <v>0</v>
      </c>
      <c r="AP151" s="856">
        <v>0</v>
      </c>
      <c r="AQ151" s="856">
        <v>0</v>
      </c>
      <c r="AR151" s="857">
        <v>0</v>
      </c>
      <c r="AS151" t="s">
        <v>1717</v>
      </c>
    </row>
    <row r="152" spans="1:45" ht="12.75" x14ac:dyDescent="0.2">
      <c r="A152" s="764">
        <v>145</v>
      </c>
      <c r="B152" s="765" t="s">
        <v>176</v>
      </c>
      <c r="C152" s="766" t="s">
        <v>1224</v>
      </c>
      <c r="D152" s="767" t="s">
        <v>1225</v>
      </c>
      <c r="E152" s="768" t="s">
        <v>175</v>
      </c>
      <c r="F152" s="141">
        <v>106838453</v>
      </c>
      <c r="G152" s="141">
        <v>87390</v>
      </c>
      <c r="H152" s="141">
        <v>106925843</v>
      </c>
      <c r="I152" s="141">
        <v>-1800000</v>
      </c>
      <c r="J152" s="141">
        <v>0</v>
      </c>
      <c r="K152" s="141">
        <v>-1800000</v>
      </c>
      <c r="L152" s="141">
        <v>-1700000</v>
      </c>
      <c r="M152" s="141">
        <v>0</v>
      </c>
      <c r="N152" s="141">
        <v>-1700000</v>
      </c>
      <c r="O152" s="141">
        <v>103338453</v>
      </c>
      <c r="P152" s="141">
        <v>87390</v>
      </c>
      <c r="Q152" s="141">
        <v>103425843</v>
      </c>
      <c r="R152" s="141">
        <v>0</v>
      </c>
      <c r="S152" s="141">
        <v>0</v>
      </c>
      <c r="T152" s="141">
        <v>0</v>
      </c>
      <c r="U152" s="141">
        <v>0</v>
      </c>
      <c r="V152" s="141">
        <v>0</v>
      </c>
      <c r="W152" s="141">
        <v>0</v>
      </c>
      <c r="X152" s="141">
        <v>0</v>
      </c>
      <c r="Y152" s="141">
        <v>0</v>
      </c>
      <c r="Z152" s="141">
        <v>87390</v>
      </c>
      <c r="AA152" s="141">
        <v>87390</v>
      </c>
      <c r="AB152" s="141">
        <v>0</v>
      </c>
      <c r="AC152" s="141">
        <v>0</v>
      </c>
      <c r="AD152" s="141">
        <v>0</v>
      </c>
      <c r="AE152" s="141">
        <v>0</v>
      </c>
      <c r="AF152" s="141">
        <v>101891</v>
      </c>
      <c r="AG152" s="141">
        <v>101891</v>
      </c>
      <c r="AH152" s="141">
        <v>0</v>
      </c>
      <c r="AI152" s="141">
        <v>0</v>
      </c>
      <c r="AJ152" s="141">
        <v>0</v>
      </c>
      <c r="AK152" s="141">
        <v>0</v>
      </c>
      <c r="AL152" s="141">
        <v>0</v>
      </c>
      <c r="AM152" s="141">
        <v>0</v>
      </c>
      <c r="AN152" s="141">
        <v>0</v>
      </c>
      <c r="AO152" s="141">
        <v>0</v>
      </c>
      <c r="AP152" s="856">
        <v>0</v>
      </c>
      <c r="AQ152" s="856">
        <v>101891</v>
      </c>
      <c r="AR152" s="857">
        <v>101891</v>
      </c>
      <c r="AS152" t="s">
        <v>1718</v>
      </c>
    </row>
    <row r="153" spans="1:45" ht="12.75" x14ac:dyDescent="0.2">
      <c r="A153" s="764">
        <v>146</v>
      </c>
      <c r="B153" s="765" t="s">
        <v>178</v>
      </c>
      <c r="C153" s="766" t="s">
        <v>1224</v>
      </c>
      <c r="D153" s="767" t="s">
        <v>1219</v>
      </c>
      <c r="E153" s="768" t="s">
        <v>177</v>
      </c>
      <c r="F153" s="141">
        <v>47203035</v>
      </c>
      <c r="G153" s="141">
        <v>0</v>
      </c>
      <c r="H153" s="141">
        <v>47203035</v>
      </c>
      <c r="I153" s="141">
        <v>0</v>
      </c>
      <c r="J153" s="141">
        <v>0</v>
      </c>
      <c r="K153" s="141">
        <v>0</v>
      </c>
      <c r="L153" s="141">
        <v>-1021777</v>
      </c>
      <c r="M153" s="141">
        <v>0</v>
      </c>
      <c r="N153" s="141">
        <v>-1021777</v>
      </c>
      <c r="O153" s="141">
        <v>46181258</v>
      </c>
      <c r="P153" s="141">
        <v>0</v>
      </c>
      <c r="Q153" s="141">
        <v>46181258</v>
      </c>
      <c r="R153" s="141">
        <v>0</v>
      </c>
      <c r="S153" s="141">
        <v>0</v>
      </c>
      <c r="T153" s="141">
        <v>0</v>
      </c>
      <c r="U153" s="141">
        <v>0</v>
      </c>
      <c r="V153" s="141">
        <v>0</v>
      </c>
      <c r="W153" s="141">
        <v>0</v>
      </c>
      <c r="X153" s="141">
        <v>0</v>
      </c>
      <c r="Y153" s="141">
        <v>0</v>
      </c>
      <c r="Z153" s="141">
        <v>0</v>
      </c>
      <c r="AA153" s="141">
        <v>0</v>
      </c>
      <c r="AB153" s="141">
        <v>0</v>
      </c>
      <c r="AC153" s="141">
        <v>0</v>
      </c>
      <c r="AD153" s="141">
        <v>0</v>
      </c>
      <c r="AE153" s="141">
        <v>0</v>
      </c>
      <c r="AF153" s="141">
        <v>0</v>
      </c>
      <c r="AG153" s="141">
        <v>0</v>
      </c>
      <c r="AH153" s="141">
        <v>0</v>
      </c>
      <c r="AI153" s="141">
        <v>0</v>
      </c>
      <c r="AJ153" s="141">
        <v>0</v>
      </c>
      <c r="AK153" s="141">
        <v>0</v>
      </c>
      <c r="AL153" s="141">
        <v>0</v>
      </c>
      <c r="AM153" s="141">
        <v>0</v>
      </c>
      <c r="AN153" s="141">
        <v>0</v>
      </c>
      <c r="AO153" s="141">
        <v>0</v>
      </c>
      <c r="AP153" s="856">
        <v>0</v>
      </c>
      <c r="AQ153" s="856">
        <v>0</v>
      </c>
      <c r="AR153" s="857">
        <v>0</v>
      </c>
      <c r="AS153" t="s">
        <v>1719</v>
      </c>
    </row>
    <row r="154" spans="1:45" ht="12.75" x14ac:dyDescent="0.2">
      <c r="A154" s="764">
        <v>147</v>
      </c>
      <c r="B154" s="765" t="s">
        <v>180</v>
      </c>
      <c r="C154" s="766" t="s">
        <v>1228</v>
      </c>
      <c r="D154" s="767" t="s">
        <v>1223</v>
      </c>
      <c r="E154" s="768" t="s">
        <v>179</v>
      </c>
      <c r="F154" s="141">
        <v>165366240</v>
      </c>
      <c r="G154" s="141">
        <v>1385923</v>
      </c>
      <c r="H154" s="141">
        <v>166752163</v>
      </c>
      <c r="I154" s="141">
        <v>-800000</v>
      </c>
      <c r="J154" s="141">
        <v>0</v>
      </c>
      <c r="K154" s="141">
        <v>-800000</v>
      </c>
      <c r="L154" s="141">
        <v>-4190676</v>
      </c>
      <c r="M154" s="141">
        <v>0</v>
      </c>
      <c r="N154" s="141">
        <v>-4190676</v>
      </c>
      <c r="O154" s="141">
        <v>160375564</v>
      </c>
      <c r="P154" s="141">
        <v>1385923</v>
      </c>
      <c r="Q154" s="141">
        <v>161761487</v>
      </c>
      <c r="R154" s="141">
        <v>0</v>
      </c>
      <c r="S154" s="141">
        <v>0</v>
      </c>
      <c r="T154" s="141">
        <v>0</v>
      </c>
      <c r="U154" s="141">
        <v>0</v>
      </c>
      <c r="V154" s="141">
        <v>0</v>
      </c>
      <c r="W154" s="141">
        <v>0</v>
      </c>
      <c r="X154" s="141">
        <v>-52166</v>
      </c>
      <c r="Y154" s="141">
        <v>1691690</v>
      </c>
      <c r="Z154" s="141">
        <v>0</v>
      </c>
      <c r="AA154" s="141">
        <v>0</v>
      </c>
      <c r="AB154" s="141">
        <v>0</v>
      </c>
      <c r="AC154" s="141">
        <v>0</v>
      </c>
      <c r="AD154" s="141">
        <v>0</v>
      </c>
      <c r="AE154" s="141">
        <v>0</v>
      </c>
      <c r="AF154" s="141">
        <v>0</v>
      </c>
      <c r="AG154" s="141">
        <v>0</v>
      </c>
      <c r="AH154" s="141">
        <v>0</v>
      </c>
      <c r="AI154" s="141">
        <v>0</v>
      </c>
      <c r="AJ154" s="141">
        <v>0</v>
      </c>
      <c r="AK154" s="141">
        <v>0</v>
      </c>
      <c r="AL154" s="141">
        <v>0</v>
      </c>
      <c r="AM154" s="141">
        <v>0</v>
      </c>
      <c r="AN154" s="141">
        <v>0</v>
      </c>
      <c r="AO154" s="141">
        <v>0</v>
      </c>
      <c r="AP154" s="856">
        <v>0</v>
      </c>
      <c r="AQ154" s="856">
        <v>0</v>
      </c>
      <c r="AR154" s="857">
        <v>0</v>
      </c>
      <c r="AS154" t="s">
        <v>1720</v>
      </c>
    </row>
    <row r="155" spans="1:45" ht="12.75" x14ac:dyDescent="0.2">
      <c r="A155" s="764">
        <v>148</v>
      </c>
      <c r="B155" s="765" t="s">
        <v>182</v>
      </c>
      <c r="C155" s="766" t="s">
        <v>1217</v>
      </c>
      <c r="D155" s="767" t="s">
        <v>1219</v>
      </c>
      <c r="E155" s="768" t="s">
        <v>181</v>
      </c>
      <c r="F155" s="141">
        <v>66786582</v>
      </c>
      <c r="G155" s="141">
        <v>0</v>
      </c>
      <c r="H155" s="141">
        <v>66786582</v>
      </c>
      <c r="I155" s="141">
        <v>-300000</v>
      </c>
      <c r="J155" s="141">
        <v>0</v>
      </c>
      <c r="K155" s="141">
        <v>-300000</v>
      </c>
      <c r="L155" s="141">
        <v>-3138969</v>
      </c>
      <c r="M155" s="141">
        <v>0</v>
      </c>
      <c r="N155" s="141">
        <v>-3138969</v>
      </c>
      <c r="O155" s="141">
        <v>63347613</v>
      </c>
      <c r="P155" s="141">
        <v>0</v>
      </c>
      <c r="Q155" s="141">
        <v>63347613</v>
      </c>
      <c r="R155" s="141">
        <v>918926</v>
      </c>
      <c r="S155" s="141">
        <v>0</v>
      </c>
      <c r="T155" s="141">
        <v>918926</v>
      </c>
      <c r="U155" s="141">
        <v>0</v>
      </c>
      <c r="V155" s="141">
        <v>0</v>
      </c>
      <c r="W155" s="141">
        <v>0</v>
      </c>
      <c r="X155" s="141">
        <v>0</v>
      </c>
      <c r="Y155" s="141">
        <v>0</v>
      </c>
      <c r="Z155" s="141">
        <v>0</v>
      </c>
      <c r="AA155" s="141">
        <v>0</v>
      </c>
      <c r="AB155" s="141">
        <v>0</v>
      </c>
      <c r="AC155" s="141">
        <v>0</v>
      </c>
      <c r="AD155" s="141">
        <v>0</v>
      </c>
      <c r="AE155" s="141">
        <v>0</v>
      </c>
      <c r="AF155" s="141">
        <v>0</v>
      </c>
      <c r="AG155" s="141">
        <v>0</v>
      </c>
      <c r="AH155" s="141">
        <v>0</v>
      </c>
      <c r="AI155" s="141">
        <v>0</v>
      </c>
      <c r="AJ155" s="141">
        <v>0</v>
      </c>
      <c r="AK155" s="141">
        <v>0</v>
      </c>
      <c r="AL155" s="141">
        <v>0</v>
      </c>
      <c r="AM155" s="141">
        <v>0</v>
      </c>
      <c r="AN155" s="141">
        <v>0</v>
      </c>
      <c r="AO155" s="141">
        <v>0</v>
      </c>
      <c r="AP155" s="856">
        <v>0</v>
      </c>
      <c r="AQ155" s="856">
        <v>0</v>
      </c>
      <c r="AR155" s="857">
        <v>0</v>
      </c>
      <c r="AS155" t="s">
        <v>1721</v>
      </c>
    </row>
    <row r="156" spans="1:45" ht="12.75" x14ac:dyDescent="0.2">
      <c r="A156" s="764">
        <v>149</v>
      </c>
      <c r="B156" s="765" t="s">
        <v>184</v>
      </c>
      <c r="C156" s="766" t="s">
        <v>1224</v>
      </c>
      <c r="D156" s="767" t="s">
        <v>1225</v>
      </c>
      <c r="E156" s="768" t="s">
        <v>183</v>
      </c>
      <c r="F156" s="141">
        <v>392733738</v>
      </c>
      <c r="G156" s="141">
        <v>2679037</v>
      </c>
      <c r="H156" s="141">
        <v>395412775</v>
      </c>
      <c r="I156" s="141">
        <v>-3952000</v>
      </c>
      <c r="J156" s="141">
        <v>0</v>
      </c>
      <c r="K156" s="141">
        <v>-3952000</v>
      </c>
      <c r="L156" s="141">
        <v>-13000000</v>
      </c>
      <c r="M156" s="141">
        <v>0</v>
      </c>
      <c r="N156" s="141">
        <v>-13000000</v>
      </c>
      <c r="O156" s="141">
        <v>375781738</v>
      </c>
      <c r="P156" s="141">
        <v>2679037</v>
      </c>
      <c r="Q156" s="141">
        <v>378460775</v>
      </c>
      <c r="R156" s="141">
        <v>245308</v>
      </c>
      <c r="S156" s="141">
        <v>0</v>
      </c>
      <c r="T156" s="141">
        <v>245308</v>
      </c>
      <c r="U156" s="141">
        <v>0</v>
      </c>
      <c r="V156" s="141">
        <v>0</v>
      </c>
      <c r="W156" s="141">
        <v>0</v>
      </c>
      <c r="X156" s="141">
        <v>-25193</v>
      </c>
      <c r="Y156" s="141">
        <v>1034686</v>
      </c>
      <c r="Z156" s="141">
        <v>1619158</v>
      </c>
      <c r="AA156" s="141">
        <v>1619158</v>
      </c>
      <c r="AB156" s="141">
        <v>0</v>
      </c>
      <c r="AC156" s="141">
        <v>0</v>
      </c>
      <c r="AD156" s="141">
        <v>0</v>
      </c>
      <c r="AE156" s="141">
        <v>0</v>
      </c>
      <c r="AF156" s="141">
        <v>468160</v>
      </c>
      <c r="AG156" s="141">
        <v>468160</v>
      </c>
      <c r="AH156" s="141">
        <v>0</v>
      </c>
      <c r="AI156" s="141">
        <v>0</v>
      </c>
      <c r="AJ156" s="141">
        <v>0</v>
      </c>
      <c r="AK156" s="141">
        <v>0</v>
      </c>
      <c r="AL156" s="141">
        <v>0</v>
      </c>
      <c r="AM156" s="141">
        <v>0</v>
      </c>
      <c r="AN156" s="141">
        <v>0</v>
      </c>
      <c r="AO156" s="141">
        <v>0</v>
      </c>
      <c r="AP156" s="856">
        <v>0</v>
      </c>
      <c r="AQ156" s="856">
        <v>468160</v>
      </c>
      <c r="AR156" s="857">
        <v>468160</v>
      </c>
      <c r="AS156" t="s">
        <v>1722</v>
      </c>
    </row>
    <row r="157" spans="1:45" ht="12.75" x14ac:dyDescent="0.2">
      <c r="A157" s="764">
        <v>150</v>
      </c>
      <c r="B157" s="765" t="s">
        <v>186</v>
      </c>
      <c r="C157" s="766" t="s">
        <v>529</v>
      </c>
      <c r="D157" s="767" t="s">
        <v>1220</v>
      </c>
      <c r="E157" s="768" t="s">
        <v>596</v>
      </c>
      <c r="F157" s="141">
        <v>111277723</v>
      </c>
      <c r="G157" s="141">
        <v>2212822</v>
      </c>
      <c r="H157" s="141">
        <v>113490545</v>
      </c>
      <c r="I157" s="141">
        <v>-1335333</v>
      </c>
      <c r="J157" s="141">
        <v>-64667</v>
      </c>
      <c r="K157" s="141">
        <v>-1400000</v>
      </c>
      <c r="L157" s="141">
        <v>-5119675</v>
      </c>
      <c r="M157" s="141">
        <v>-125236</v>
      </c>
      <c r="N157" s="141">
        <v>-5244911</v>
      </c>
      <c r="O157" s="141">
        <v>104822715</v>
      </c>
      <c r="P157" s="141">
        <v>2022919</v>
      </c>
      <c r="Q157" s="141">
        <v>106845634</v>
      </c>
      <c r="R157" s="141">
        <v>0</v>
      </c>
      <c r="S157" s="141">
        <v>0</v>
      </c>
      <c r="T157" s="141">
        <v>0</v>
      </c>
      <c r="U157" s="141">
        <v>0</v>
      </c>
      <c r="V157" s="141">
        <v>0</v>
      </c>
      <c r="W157" s="141">
        <v>0</v>
      </c>
      <c r="X157" s="141">
        <v>65387</v>
      </c>
      <c r="Y157" s="141">
        <v>2459293</v>
      </c>
      <c r="Z157" s="141">
        <v>0</v>
      </c>
      <c r="AA157" s="141">
        <v>0</v>
      </c>
      <c r="AB157" s="141">
        <v>0</v>
      </c>
      <c r="AC157" s="141">
        <v>0</v>
      </c>
      <c r="AD157" s="141">
        <v>0</v>
      </c>
      <c r="AE157" s="141">
        <v>0</v>
      </c>
      <c r="AF157" s="141">
        <v>0</v>
      </c>
      <c r="AG157" s="141">
        <v>0</v>
      </c>
      <c r="AH157" s="141">
        <v>0</v>
      </c>
      <c r="AI157" s="141">
        <v>0</v>
      </c>
      <c r="AJ157" s="141">
        <v>0</v>
      </c>
      <c r="AK157" s="141">
        <v>0</v>
      </c>
      <c r="AL157" s="141">
        <v>0</v>
      </c>
      <c r="AM157" s="141">
        <v>0</v>
      </c>
      <c r="AN157" s="141">
        <v>0</v>
      </c>
      <c r="AO157" s="141">
        <v>0</v>
      </c>
      <c r="AP157" s="856">
        <v>0</v>
      </c>
      <c r="AQ157" s="856">
        <v>0</v>
      </c>
      <c r="AR157" s="857">
        <v>0</v>
      </c>
      <c r="AS157" t="s">
        <v>1723</v>
      </c>
    </row>
    <row r="158" spans="1:45" ht="12.75" x14ac:dyDescent="0.2">
      <c r="A158" s="764">
        <v>151</v>
      </c>
      <c r="B158" s="765" t="s">
        <v>188</v>
      </c>
      <c r="C158" s="766" t="s">
        <v>1217</v>
      </c>
      <c r="D158" s="767" t="s">
        <v>1218</v>
      </c>
      <c r="E158" s="768" t="s">
        <v>187</v>
      </c>
      <c r="F158" s="141">
        <v>23308808</v>
      </c>
      <c r="G158" s="141">
        <v>2555419</v>
      </c>
      <c r="H158" s="141">
        <v>25864227</v>
      </c>
      <c r="I158" s="141">
        <v>-17000</v>
      </c>
      <c r="J158" s="141">
        <v>-28000</v>
      </c>
      <c r="K158" s="141">
        <v>-45000</v>
      </c>
      <c r="L158" s="141">
        <v>-765170</v>
      </c>
      <c r="M158" s="141">
        <v>-178000</v>
      </c>
      <c r="N158" s="141">
        <v>-943170</v>
      </c>
      <c r="O158" s="141">
        <v>22526638</v>
      </c>
      <c r="P158" s="141">
        <v>2349419</v>
      </c>
      <c r="Q158" s="141">
        <v>24876057</v>
      </c>
      <c r="R158" s="141">
        <v>0</v>
      </c>
      <c r="S158" s="141">
        <v>0</v>
      </c>
      <c r="T158" s="141">
        <v>0</v>
      </c>
      <c r="U158" s="141">
        <v>0</v>
      </c>
      <c r="V158" s="141">
        <v>0</v>
      </c>
      <c r="W158" s="141">
        <v>0</v>
      </c>
      <c r="X158" s="141">
        <v>-16111</v>
      </c>
      <c r="Y158" s="141">
        <v>2106611</v>
      </c>
      <c r="Z158" s="141">
        <v>266303</v>
      </c>
      <c r="AA158" s="141">
        <v>266303</v>
      </c>
      <c r="AB158" s="141">
        <v>0</v>
      </c>
      <c r="AC158" s="141">
        <v>0</v>
      </c>
      <c r="AD158" s="141">
        <v>0</v>
      </c>
      <c r="AE158" s="141">
        <v>0</v>
      </c>
      <c r="AF158" s="141">
        <v>310492</v>
      </c>
      <c r="AG158" s="141">
        <v>310492</v>
      </c>
      <c r="AH158" s="141">
        <v>0</v>
      </c>
      <c r="AI158" s="141">
        <v>0</v>
      </c>
      <c r="AJ158" s="141">
        <v>0</v>
      </c>
      <c r="AK158" s="141">
        <v>0</v>
      </c>
      <c r="AL158" s="141">
        <v>0</v>
      </c>
      <c r="AM158" s="141">
        <v>0</v>
      </c>
      <c r="AN158" s="141">
        <v>0</v>
      </c>
      <c r="AO158" s="141">
        <v>0</v>
      </c>
      <c r="AP158" s="856">
        <v>0</v>
      </c>
      <c r="AQ158" s="856">
        <v>310492</v>
      </c>
      <c r="AR158" s="857">
        <v>310492</v>
      </c>
      <c r="AS158" t="s">
        <v>1724</v>
      </c>
    </row>
    <row r="159" spans="1:45" ht="12.75" x14ac:dyDescent="0.2">
      <c r="A159" s="764">
        <v>152</v>
      </c>
      <c r="B159" s="765" t="s">
        <v>190</v>
      </c>
      <c r="C159" s="766" t="s">
        <v>1228</v>
      </c>
      <c r="D159" s="767" t="s">
        <v>1223</v>
      </c>
      <c r="E159" s="768" t="s">
        <v>189</v>
      </c>
      <c r="F159" s="141">
        <v>63774861</v>
      </c>
      <c r="G159" s="141">
        <v>0</v>
      </c>
      <c r="H159" s="141">
        <v>63774861</v>
      </c>
      <c r="I159" s="141">
        <v>-637749</v>
      </c>
      <c r="J159" s="141">
        <v>0</v>
      </c>
      <c r="K159" s="141">
        <v>-637749</v>
      </c>
      <c r="L159" s="141">
        <v>-3061193</v>
      </c>
      <c r="M159" s="141">
        <v>0</v>
      </c>
      <c r="N159" s="141">
        <v>-3061193</v>
      </c>
      <c r="O159" s="141">
        <v>60075919</v>
      </c>
      <c r="P159" s="141">
        <v>0</v>
      </c>
      <c r="Q159" s="141">
        <v>60075919</v>
      </c>
      <c r="R159" s="141">
        <v>0</v>
      </c>
      <c r="S159" s="141">
        <v>0</v>
      </c>
      <c r="T159" s="141">
        <v>0</v>
      </c>
      <c r="U159" s="141">
        <v>0</v>
      </c>
      <c r="V159" s="141">
        <v>0</v>
      </c>
      <c r="W159" s="141">
        <v>0</v>
      </c>
      <c r="X159" s="141">
        <v>0</v>
      </c>
      <c r="Y159" s="141">
        <v>0</v>
      </c>
      <c r="Z159" s="141">
        <v>0</v>
      </c>
      <c r="AA159" s="141">
        <v>0</v>
      </c>
      <c r="AB159" s="141">
        <v>0</v>
      </c>
      <c r="AC159" s="141">
        <v>0</v>
      </c>
      <c r="AD159" s="141">
        <v>0</v>
      </c>
      <c r="AE159" s="141">
        <v>0</v>
      </c>
      <c r="AF159" s="141">
        <v>0</v>
      </c>
      <c r="AG159" s="141">
        <v>0</v>
      </c>
      <c r="AH159" s="141">
        <v>0</v>
      </c>
      <c r="AI159" s="141">
        <v>0</v>
      </c>
      <c r="AJ159" s="141">
        <v>0</v>
      </c>
      <c r="AK159" s="141">
        <v>0</v>
      </c>
      <c r="AL159" s="141">
        <v>0</v>
      </c>
      <c r="AM159" s="141">
        <v>0</v>
      </c>
      <c r="AN159" s="141">
        <v>0</v>
      </c>
      <c r="AO159" s="141">
        <v>0</v>
      </c>
      <c r="AP159" s="856">
        <v>0</v>
      </c>
      <c r="AQ159" s="856">
        <v>0</v>
      </c>
      <c r="AR159" s="857">
        <v>0</v>
      </c>
      <c r="AS159" t="s">
        <v>1725</v>
      </c>
    </row>
    <row r="160" spans="1:45" ht="12.75" x14ac:dyDescent="0.2">
      <c r="A160" s="764">
        <v>153</v>
      </c>
      <c r="B160" s="765" t="s">
        <v>192</v>
      </c>
      <c r="C160" s="766" t="s">
        <v>1217</v>
      </c>
      <c r="D160" s="767" t="s">
        <v>1227</v>
      </c>
      <c r="E160" s="768" t="s">
        <v>191</v>
      </c>
      <c r="F160" s="141">
        <v>35122255</v>
      </c>
      <c r="G160" s="141">
        <v>0</v>
      </c>
      <c r="H160" s="141">
        <v>35122255</v>
      </c>
      <c r="I160" s="141">
        <v>-321000</v>
      </c>
      <c r="J160" s="141">
        <v>0</v>
      </c>
      <c r="K160" s="141">
        <v>-321000</v>
      </c>
      <c r="L160" s="141">
        <v>-1717000</v>
      </c>
      <c r="M160" s="141">
        <v>0</v>
      </c>
      <c r="N160" s="141">
        <v>-1717000</v>
      </c>
      <c r="O160" s="141">
        <v>33084255</v>
      </c>
      <c r="P160" s="141">
        <v>0</v>
      </c>
      <c r="Q160" s="141">
        <v>33084255</v>
      </c>
      <c r="R160" s="141">
        <v>0</v>
      </c>
      <c r="S160" s="141">
        <v>0</v>
      </c>
      <c r="T160" s="141">
        <v>0</v>
      </c>
      <c r="U160" s="141">
        <v>0</v>
      </c>
      <c r="V160" s="141">
        <v>0</v>
      </c>
      <c r="W160" s="141">
        <v>0</v>
      </c>
      <c r="X160" s="141">
        <v>0</v>
      </c>
      <c r="Y160" s="141">
        <v>0</v>
      </c>
      <c r="Z160" s="141">
        <v>0</v>
      </c>
      <c r="AA160" s="141">
        <v>0</v>
      </c>
      <c r="AB160" s="141">
        <v>0</v>
      </c>
      <c r="AC160" s="141">
        <v>0</v>
      </c>
      <c r="AD160" s="141">
        <v>0</v>
      </c>
      <c r="AE160" s="141">
        <v>0</v>
      </c>
      <c r="AF160" s="141">
        <v>0</v>
      </c>
      <c r="AG160" s="141">
        <v>0</v>
      </c>
      <c r="AH160" s="141">
        <v>0</v>
      </c>
      <c r="AI160" s="141">
        <v>0</v>
      </c>
      <c r="AJ160" s="141">
        <v>0</v>
      </c>
      <c r="AK160" s="141">
        <v>0</v>
      </c>
      <c r="AL160" s="141">
        <v>0</v>
      </c>
      <c r="AM160" s="141">
        <v>0</v>
      </c>
      <c r="AN160" s="141">
        <v>0</v>
      </c>
      <c r="AO160" s="141">
        <v>0</v>
      </c>
      <c r="AP160" s="856">
        <v>0</v>
      </c>
      <c r="AQ160" s="856">
        <v>0</v>
      </c>
      <c r="AR160" s="857">
        <v>0</v>
      </c>
      <c r="AS160" t="s">
        <v>1726</v>
      </c>
    </row>
    <row r="161" spans="1:45" ht="12.75" x14ac:dyDescent="0.2">
      <c r="A161" s="764">
        <v>154</v>
      </c>
      <c r="B161" s="765" t="s">
        <v>194</v>
      </c>
      <c r="C161" s="766" t="s">
        <v>1217</v>
      </c>
      <c r="D161" s="767" t="s">
        <v>1220</v>
      </c>
      <c r="E161" s="768" t="s">
        <v>193</v>
      </c>
      <c r="F161" s="141">
        <v>43857273</v>
      </c>
      <c r="G161" s="141">
        <v>0</v>
      </c>
      <c r="H161" s="141">
        <v>43857273</v>
      </c>
      <c r="I161" s="141">
        <v>-250000</v>
      </c>
      <c r="J161" s="141">
        <v>0</v>
      </c>
      <c r="K161" s="141">
        <v>-250000</v>
      </c>
      <c r="L161" s="141">
        <v>-1500000</v>
      </c>
      <c r="M161" s="141">
        <v>0</v>
      </c>
      <c r="N161" s="141">
        <v>-1500000</v>
      </c>
      <c r="O161" s="141">
        <v>42107273</v>
      </c>
      <c r="P161" s="141">
        <v>0</v>
      </c>
      <c r="Q161" s="141">
        <v>42107273</v>
      </c>
      <c r="R161" s="141">
        <v>364</v>
      </c>
      <c r="S161" s="141">
        <v>0</v>
      </c>
      <c r="T161" s="141">
        <v>364</v>
      </c>
      <c r="U161" s="141">
        <v>0</v>
      </c>
      <c r="V161" s="141">
        <v>0</v>
      </c>
      <c r="W161" s="141">
        <v>0</v>
      </c>
      <c r="X161" s="141">
        <v>0</v>
      </c>
      <c r="Y161" s="141">
        <v>0</v>
      </c>
      <c r="Z161" s="141">
        <v>0</v>
      </c>
      <c r="AA161" s="141">
        <v>0</v>
      </c>
      <c r="AB161" s="141">
        <v>0</v>
      </c>
      <c r="AC161" s="141">
        <v>0</v>
      </c>
      <c r="AD161" s="141">
        <v>0</v>
      </c>
      <c r="AE161" s="141">
        <v>0</v>
      </c>
      <c r="AF161" s="141">
        <v>0</v>
      </c>
      <c r="AG161" s="141">
        <v>0</v>
      </c>
      <c r="AH161" s="141">
        <v>0</v>
      </c>
      <c r="AI161" s="141">
        <v>0</v>
      </c>
      <c r="AJ161" s="141">
        <v>0</v>
      </c>
      <c r="AK161" s="141">
        <v>0</v>
      </c>
      <c r="AL161" s="141">
        <v>0</v>
      </c>
      <c r="AM161" s="141">
        <v>0</v>
      </c>
      <c r="AN161" s="141">
        <v>0</v>
      </c>
      <c r="AO161" s="141">
        <v>0</v>
      </c>
      <c r="AP161" s="856">
        <v>0</v>
      </c>
      <c r="AQ161" s="856">
        <v>0</v>
      </c>
      <c r="AR161" s="857">
        <v>0</v>
      </c>
      <c r="AS161" t="s">
        <v>1727</v>
      </c>
    </row>
    <row r="162" spans="1:45" ht="12.75" x14ac:dyDescent="0.2">
      <c r="A162" s="764">
        <v>155</v>
      </c>
      <c r="B162" s="765" t="s">
        <v>196</v>
      </c>
      <c r="C162" s="766" t="s">
        <v>1224</v>
      </c>
      <c r="D162" s="767" t="s">
        <v>1219</v>
      </c>
      <c r="E162" s="768" t="s">
        <v>195</v>
      </c>
      <c r="F162" s="141">
        <v>189577146</v>
      </c>
      <c r="G162" s="141">
        <v>27324653</v>
      </c>
      <c r="H162" s="141">
        <v>216901799</v>
      </c>
      <c r="I162" s="141">
        <v>-7583086</v>
      </c>
      <c r="J162" s="141">
        <v>-1096461</v>
      </c>
      <c r="K162" s="141">
        <v>-8679547</v>
      </c>
      <c r="L162" s="141">
        <v>-10940492</v>
      </c>
      <c r="M162" s="141">
        <v>-1466321</v>
      </c>
      <c r="N162" s="141">
        <v>-12406813</v>
      </c>
      <c r="O162" s="141">
        <v>171053568</v>
      </c>
      <c r="P162" s="141">
        <v>24761871</v>
      </c>
      <c r="Q162" s="141">
        <v>195815439</v>
      </c>
      <c r="R162" s="141">
        <v>0</v>
      </c>
      <c r="S162" s="141">
        <v>0</v>
      </c>
      <c r="T162" s="141">
        <v>0</v>
      </c>
      <c r="U162" s="141">
        <v>0</v>
      </c>
      <c r="V162" s="141">
        <v>0</v>
      </c>
      <c r="W162" s="141">
        <v>0</v>
      </c>
      <c r="X162" s="141">
        <v>-580881</v>
      </c>
      <c r="Y162" s="141">
        <v>34622025</v>
      </c>
      <c r="Z162" s="141">
        <v>0</v>
      </c>
      <c r="AA162" s="141">
        <v>0</v>
      </c>
      <c r="AB162" s="141">
        <v>0</v>
      </c>
      <c r="AC162" s="141">
        <v>414488</v>
      </c>
      <c r="AD162" s="141">
        <v>414488</v>
      </c>
      <c r="AE162" s="141">
        <v>0</v>
      </c>
      <c r="AF162" s="141">
        <v>0</v>
      </c>
      <c r="AG162" s="141">
        <v>0</v>
      </c>
      <c r="AH162" s="141">
        <v>0</v>
      </c>
      <c r="AI162" s="141">
        <v>0</v>
      </c>
      <c r="AJ162" s="141">
        <v>0</v>
      </c>
      <c r="AK162" s="141">
        <v>0</v>
      </c>
      <c r="AL162" s="141">
        <v>0</v>
      </c>
      <c r="AM162" s="141">
        <v>0</v>
      </c>
      <c r="AN162" s="141">
        <v>0</v>
      </c>
      <c r="AO162" s="141">
        <v>0</v>
      </c>
      <c r="AP162" s="856">
        <v>0</v>
      </c>
      <c r="AQ162" s="856">
        <v>0</v>
      </c>
      <c r="AR162" s="857">
        <v>0</v>
      </c>
      <c r="AS162" t="s">
        <v>1728</v>
      </c>
    </row>
    <row r="163" spans="1:45" ht="12.75" x14ac:dyDescent="0.2">
      <c r="A163" s="764">
        <v>156</v>
      </c>
      <c r="B163" s="765" t="s">
        <v>198</v>
      </c>
      <c r="C163" s="766" t="s">
        <v>529</v>
      </c>
      <c r="D163" s="767" t="s">
        <v>1221</v>
      </c>
      <c r="E163" s="768" t="s">
        <v>534</v>
      </c>
      <c r="F163" s="141">
        <v>65729852</v>
      </c>
      <c r="G163" s="141">
        <v>4377365</v>
      </c>
      <c r="H163" s="141">
        <v>70107217</v>
      </c>
      <c r="I163" s="141">
        <v>-1741841</v>
      </c>
      <c r="J163" s="141">
        <v>-116000</v>
      </c>
      <c r="K163" s="141">
        <v>-1857841</v>
      </c>
      <c r="L163" s="141">
        <v>-3040941</v>
      </c>
      <c r="M163" s="141">
        <v>-205736</v>
      </c>
      <c r="N163" s="141">
        <v>-3246677</v>
      </c>
      <c r="O163" s="141">
        <v>60947070</v>
      </c>
      <c r="P163" s="141">
        <v>4055629</v>
      </c>
      <c r="Q163" s="141">
        <v>65002699</v>
      </c>
      <c r="R163" s="141">
        <v>0</v>
      </c>
      <c r="S163" s="141">
        <v>0</v>
      </c>
      <c r="T163" s="141">
        <v>0</v>
      </c>
      <c r="U163" s="141">
        <v>0</v>
      </c>
      <c r="V163" s="141">
        <v>0</v>
      </c>
      <c r="W163" s="141">
        <v>0</v>
      </c>
      <c r="X163" s="141">
        <v>-10121</v>
      </c>
      <c r="Y163" s="141">
        <v>4768803</v>
      </c>
      <c r="Z163" s="141">
        <v>0</v>
      </c>
      <c r="AA163" s="141">
        <v>0</v>
      </c>
      <c r="AB163" s="141">
        <v>0</v>
      </c>
      <c r="AC163" s="141">
        <v>0</v>
      </c>
      <c r="AD163" s="141">
        <v>0</v>
      </c>
      <c r="AE163" s="141">
        <v>0</v>
      </c>
      <c r="AF163" s="141">
        <v>0</v>
      </c>
      <c r="AG163" s="141">
        <v>0</v>
      </c>
      <c r="AH163" s="141">
        <v>0</v>
      </c>
      <c r="AI163" s="141">
        <v>0</v>
      </c>
      <c r="AJ163" s="141">
        <v>0</v>
      </c>
      <c r="AK163" s="141">
        <v>0</v>
      </c>
      <c r="AL163" s="141">
        <v>0</v>
      </c>
      <c r="AM163" s="141">
        <v>0</v>
      </c>
      <c r="AN163" s="141">
        <v>0</v>
      </c>
      <c r="AO163" s="141">
        <v>0</v>
      </c>
      <c r="AP163" s="856">
        <v>0</v>
      </c>
      <c r="AQ163" s="856">
        <v>0</v>
      </c>
      <c r="AR163" s="857">
        <v>0</v>
      </c>
      <c r="AS163" t="s">
        <v>1729</v>
      </c>
    </row>
    <row r="164" spans="1:45" ht="12.75" x14ac:dyDescent="0.2">
      <c r="A164" s="764">
        <v>157</v>
      </c>
      <c r="B164" s="765" t="s">
        <v>200</v>
      </c>
      <c r="C164" s="766" t="s">
        <v>1217</v>
      </c>
      <c r="D164" s="767" t="s">
        <v>1218</v>
      </c>
      <c r="E164" s="768" t="s">
        <v>199</v>
      </c>
      <c r="F164" s="141">
        <v>60271418</v>
      </c>
      <c r="G164" s="141">
        <v>70205</v>
      </c>
      <c r="H164" s="141">
        <v>60341623</v>
      </c>
      <c r="I164" s="141">
        <v>-602714</v>
      </c>
      <c r="J164" s="141">
        <v>-702</v>
      </c>
      <c r="K164" s="141">
        <v>-603416</v>
      </c>
      <c r="L164" s="141">
        <v>-2645000</v>
      </c>
      <c r="M164" s="141">
        <v>0</v>
      </c>
      <c r="N164" s="141">
        <v>-2645000</v>
      </c>
      <c r="O164" s="141">
        <v>57023704</v>
      </c>
      <c r="P164" s="141">
        <v>69503</v>
      </c>
      <c r="Q164" s="141">
        <v>57093207</v>
      </c>
      <c r="R164" s="141">
        <v>52312</v>
      </c>
      <c r="S164" s="141">
        <v>0</v>
      </c>
      <c r="T164" s="141">
        <v>52312</v>
      </c>
      <c r="U164" s="141">
        <v>0</v>
      </c>
      <c r="V164" s="141">
        <v>0</v>
      </c>
      <c r="W164" s="141">
        <v>0</v>
      </c>
      <c r="X164" s="141">
        <v>0</v>
      </c>
      <c r="Y164" s="141">
        <v>0</v>
      </c>
      <c r="Z164" s="141">
        <v>69503</v>
      </c>
      <c r="AA164" s="141">
        <v>69503</v>
      </c>
      <c r="AB164" s="141">
        <v>0</v>
      </c>
      <c r="AC164" s="141">
        <v>0</v>
      </c>
      <c r="AD164" s="141">
        <v>0</v>
      </c>
      <c r="AE164" s="141">
        <v>0</v>
      </c>
      <c r="AF164" s="141">
        <v>55000</v>
      </c>
      <c r="AG164" s="141">
        <v>55000</v>
      </c>
      <c r="AH164" s="141">
        <v>0</v>
      </c>
      <c r="AI164" s="141">
        <v>0</v>
      </c>
      <c r="AJ164" s="141">
        <v>0</v>
      </c>
      <c r="AK164" s="141">
        <v>0</v>
      </c>
      <c r="AL164" s="141">
        <v>0</v>
      </c>
      <c r="AM164" s="141">
        <v>0</v>
      </c>
      <c r="AN164" s="141">
        <v>0</v>
      </c>
      <c r="AO164" s="141">
        <v>0</v>
      </c>
      <c r="AP164" s="856">
        <v>0</v>
      </c>
      <c r="AQ164" s="856">
        <v>55000</v>
      </c>
      <c r="AR164" s="857">
        <v>55000</v>
      </c>
      <c r="AS164" t="s">
        <v>1730</v>
      </c>
    </row>
    <row r="165" spans="1:45" ht="12.75" x14ac:dyDescent="0.2">
      <c r="A165" s="764">
        <v>158</v>
      </c>
      <c r="B165" s="765" t="s">
        <v>202</v>
      </c>
      <c r="C165" s="766" t="s">
        <v>1217</v>
      </c>
      <c r="D165" s="767" t="s">
        <v>1221</v>
      </c>
      <c r="E165" s="768" t="s">
        <v>201</v>
      </c>
      <c r="F165" s="141">
        <v>14901963</v>
      </c>
      <c r="G165" s="141">
        <v>0</v>
      </c>
      <c r="H165" s="141">
        <v>14901963</v>
      </c>
      <c r="I165" s="141">
        <v>-302876</v>
      </c>
      <c r="J165" s="141">
        <v>0</v>
      </c>
      <c r="K165" s="141">
        <v>-302876</v>
      </c>
      <c r="L165" s="141">
        <v>-902984</v>
      </c>
      <c r="M165" s="141">
        <v>0</v>
      </c>
      <c r="N165" s="141">
        <v>-902984</v>
      </c>
      <c r="O165" s="141">
        <v>13696103</v>
      </c>
      <c r="P165" s="141">
        <v>0</v>
      </c>
      <c r="Q165" s="141">
        <v>13696103</v>
      </c>
      <c r="R165" s="141">
        <v>734499</v>
      </c>
      <c r="S165" s="141">
        <v>0</v>
      </c>
      <c r="T165" s="141">
        <v>734499</v>
      </c>
      <c r="U165" s="141">
        <v>0</v>
      </c>
      <c r="V165" s="141">
        <v>0</v>
      </c>
      <c r="W165" s="141">
        <v>0</v>
      </c>
      <c r="X165" s="141">
        <v>0</v>
      </c>
      <c r="Y165" s="141">
        <v>0</v>
      </c>
      <c r="Z165" s="141">
        <v>0</v>
      </c>
      <c r="AA165" s="141">
        <v>0</v>
      </c>
      <c r="AB165" s="141">
        <v>0</v>
      </c>
      <c r="AC165" s="141">
        <v>0</v>
      </c>
      <c r="AD165" s="141">
        <v>0</v>
      </c>
      <c r="AE165" s="141">
        <v>0</v>
      </c>
      <c r="AF165" s="141">
        <v>0</v>
      </c>
      <c r="AG165" s="141">
        <v>0</v>
      </c>
      <c r="AH165" s="141">
        <v>0</v>
      </c>
      <c r="AI165" s="141">
        <v>0</v>
      </c>
      <c r="AJ165" s="141">
        <v>0</v>
      </c>
      <c r="AK165" s="141">
        <v>0</v>
      </c>
      <c r="AL165" s="141">
        <v>0</v>
      </c>
      <c r="AM165" s="141">
        <v>0</v>
      </c>
      <c r="AN165" s="141">
        <v>0</v>
      </c>
      <c r="AO165" s="141">
        <v>0</v>
      </c>
      <c r="AP165" s="856">
        <v>0</v>
      </c>
      <c r="AQ165" s="856">
        <v>0</v>
      </c>
      <c r="AR165" s="857">
        <v>0</v>
      </c>
      <c r="AS165" t="s">
        <v>1731</v>
      </c>
    </row>
    <row r="166" spans="1:45" ht="12.75" x14ac:dyDescent="0.2">
      <c r="A166" s="764">
        <v>159</v>
      </c>
      <c r="B166" s="765" t="s">
        <v>204</v>
      </c>
      <c r="C166" s="766" t="s">
        <v>1217</v>
      </c>
      <c r="D166" s="767" t="s">
        <v>1227</v>
      </c>
      <c r="E166" s="768" t="s">
        <v>203</v>
      </c>
      <c r="F166" s="141">
        <v>15467203</v>
      </c>
      <c r="G166" s="141">
        <v>0</v>
      </c>
      <c r="H166" s="141">
        <v>15467203</v>
      </c>
      <c r="I166" s="141">
        <v>-154672</v>
      </c>
      <c r="J166" s="141">
        <v>0</v>
      </c>
      <c r="K166" s="141">
        <v>-154672</v>
      </c>
      <c r="L166" s="141">
        <v>-1160040</v>
      </c>
      <c r="M166" s="141">
        <v>0</v>
      </c>
      <c r="N166" s="141">
        <v>-1160040</v>
      </c>
      <c r="O166" s="141">
        <v>14152491</v>
      </c>
      <c r="P166" s="141">
        <v>0</v>
      </c>
      <c r="Q166" s="141">
        <v>14152491</v>
      </c>
      <c r="R166" s="141">
        <v>0</v>
      </c>
      <c r="S166" s="141">
        <v>0</v>
      </c>
      <c r="T166" s="141">
        <v>0</v>
      </c>
      <c r="U166" s="141">
        <v>0</v>
      </c>
      <c r="V166" s="141">
        <v>0</v>
      </c>
      <c r="W166" s="141">
        <v>0</v>
      </c>
      <c r="X166" s="141">
        <v>0</v>
      </c>
      <c r="Y166" s="141">
        <v>0</v>
      </c>
      <c r="Z166" s="141">
        <v>0</v>
      </c>
      <c r="AA166" s="141">
        <v>0</v>
      </c>
      <c r="AB166" s="141">
        <v>0</v>
      </c>
      <c r="AC166" s="141">
        <v>0</v>
      </c>
      <c r="AD166" s="141">
        <v>0</v>
      </c>
      <c r="AE166" s="141">
        <v>0</v>
      </c>
      <c r="AF166" s="141">
        <v>0</v>
      </c>
      <c r="AG166" s="141">
        <v>0</v>
      </c>
      <c r="AH166" s="141">
        <v>0</v>
      </c>
      <c r="AI166" s="141">
        <v>0</v>
      </c>
      <c r="AJ166" s="141">
        <v>0</v>
      </c>
      <c r="AK166" s="141">
        <v>0</v>
      </c>
      <c r="AL166" s="141">
        <v>0</v>
      </c>
      <c r="AM166" s="141">
        <v>0</v>
      </c>
      <c r="AN166" s="141">
        <v>0</v>
      </c>
      <c r="AO166" s="141">
        <v>0</v>
      </c>
      <c r="AP166" s="856">
        <v>0</v>
      </c>
      <c r="AQ166" s="856">
        <v>0</v>
      </c>
      <c r="AR166" s="857">
        <v>0</v>
      </c>
      <c r="AS166" t="s">
        <v>1732</v>
      </c>
    </row>
    <row r="167" spans="1:45" ht="12.75" x14ac:dyDescent="0.2">
      <c r="A167" s="764">
        <v>160</v>
      </c>
      <c r="B167" s="765" t="s">
        <v>206</v>
      </c>
      <c r="C167" s="766" t="s">
        <v>1224</v>
      </c>
      <c r="D167" s="767" t="s">
        <v>1219</v>
      </c>
      <c r="E167" s="768" t="s">
        <v>205</v>
      </c>
      <c r="F167" s="141">
        <v>360774730</v>
      </c>
      <c r="G167" s="141">
        <v>13776961</v>
      </c>
      <c r="H167" s="141">
        <v>374551691</v>
      </c>
      <c r="I167" s="141">
        <v>-10823242</v>
      </c>
      <c r="J167" s="141">
        <v>-413304</v>
      </c>
      <c r="K167" s="141">
        <v>-11236546</v>
      </c>
      <c r="L167" s="141">
        <v>-26946265</v>
      </c>
      <c r="M167" s="141">
        <v>-1029002</v>
      </c>
      <c r="N167" s="141">
        <v>-27975267</v>
      </c>
      <c r="O167" s="141">
        <v>323005223</v>
      </c>
      <c r="P167" s="141">
        <v>12334655</v>
      </c>
      <c r="Q167" s="141">
        <v>335339878</v>
      </c>
      <c r="R167" s="141">
        <v>0</v>
      </c>
      <c r="S167" s="141">
        <v>0</v>
      </c>
      <c r="T167" s="141">
        <v>0</v>
      </c>
      <c r="U167" s="141">
        <v>0</v>
      </c>
      <c r="V167" s="141">
        <v>0</v>
      </c>
      <c r="W167" s="141">
        <v>0</v>
      </c>
      <c r="X167" s="141">
        <v>-72266</v>
      </c>
      <c r="Y167" s="141">
        <v>12382983</v>
      </c>
      <c r="Z167" s="141">
        <v>576267</v>
      </c>
      <c r="AA167" s="141">
        <v>576267</v>
      </c>
      <c r="AB167" s="141">
        <v>0</v>
      </c>
      <c r="AC167" s="141">
        <v>1034015</v>
      </c>
      <c r="AD167" s="141">
        <v>1034015</v>
      </c>
      <c r="AE167" s="141">
        <v>0</v>
      </c>
      <c r="AF167" s="141">
        <v>0</v>
      </c>
      <c r="AG167" s="141">
        <v>0</v>
      </c>
      <c r="AH167" s="141">
        <v>0</v>
      </c>
      <c r="AI167" s="141">
        <v>0</v>
      </c>
      <c r="AJ167" s="141">
        <v>0</v>
      </c>
      <c r="AK167" s="141">
        <v>0</v>
      </c>
      <c r="AL167" s="141">
        <v>0</v>
      </c>
      <c r="AM167" s="141">
        <v>0</v>
      </c>
      <c r="AN167" s="141">
        <v>0</v>
      </c>
      <c r="AO167" s="141">
        <v>0</v>
      </c>
      <c r="AP167" s="856">
        <v>0</v>
      </c>
      <c r="AQ167" s="856">
        <v>0</v>
      </c>
      <c r="AR167" s="857">
        <v>0</v>
      </c>
      <c r="AS167" t="s">
        <v>1733</v>
      </c>
    </row>
    <row r="168" spans="1:45" ht="12.75" x14ac:dyDescent="0.2">
      <c r="A168" s="764">
        <v>161</v>
      </c>
      <c r="B168" s="765" t="s">
        <v>208</v>
      </c>
      <c r="C168" s="766" t="s">
        <v>1217</v>
      </c>
      <c r="D168" s="767" t="s">
        <v>1220</v>
      </c>
      <c r="E168" s="768" t="s">
        <v>207</v>
      </c>
      <c r="F168" s="141">
        <v>29901545</v>
      </c>
      <c r="G168" s="141">
        <v>0</v>
      </c>
      <c r="H168" s="141">
        <v>29901545</v>
      </c>
      <c r="I168" s="141">
        <v>-455000</v>
      </c>
      <c r="J168" s="141">
        <v>0</v>
      </c>
      <c r="K168" s="141">
        <v>-455000</v>
      </c>
      <c r="L168" s="141">
        <v>-1369095</v>
      </c>
      <c r="M168" s="141">
        <v>0</v>
      </c>
      <c r="N168" s="141">
        <v>-1369095</v>
      </c>
      <c r="O168" s="141">
        <v>28077450</v>
      </c>
      <c r="P168" s="141">
        <v>0</v>
      </c>
      <c r="Q168" s="141">
        <v>28077450</v>
      </c>
      <c r="R168" s="141">
        <v>77853</v>
      </c>
      <c r="S168" s="141">
        <v>0</v>
      </c>
      <c r="T168" s="141">
        <v>77853</v>
      </c>
      <c r="U168" s="141">
        <v>0</v>
      </c>
      <c r="V168" s="141">
        <v>0</v>
      </c>
      <c r="W168" s="141">
        <v>0</v>
      </c>
      <c r="X168" s="141">
        <v>0</v>
      </c>
      <c r="Y168" s="141">
        <v>0</v>
      </c>
      <c r="Z168" s="141">
        <v>0</v>
      </c>
      <c r="AA168" s="141">
        <v>0</v>
      </c>
      <c r="AB168" s="141">
        <v>0</v>
      </c>
      <c r="AC168" s="141">
        <v>0</v>
      </c>
      <c r="AD168" s="141">
        <v>0</v>
      </c>
      <c r="AE168" s="141">
        <v>0</v>
      </c>
      <c r="AF168" s="141">
        <v>0</v>
      </c>
      <c r="AG168" s="141">
        <v>0</v>
      </c>
      <c r="AH168" s="141">
        <v>0</v>
      </c>
      <c r="AI168" s="141">
        <v>0</v>
      </c>
      <c r="AJ168" s="141">
        <v>0</v>
      </c>
      <c r="AK168" s="141">
        <v>0</v>
      </c>
      <c r="AL168" s="141">
        <v>0</v>
      </c>
      <c r="AM168" s="141">
        <v>0</v>
      </c>
      <c r="AN168" s="141">
        <v>0</v>
      </c>
      <c r="AO168" s="141">
        <v>0</v>
      </c>
      <c r="AP168" s="856">
        <v>0</v>
      </c>
      <c r="AQ168" s="856">
        <v>0</v>
      </c>
      <c r="AR168" s="857">
        <v>0</v>
      </c>
      <c r="AS168" t="s">
        <v>1734</v>
      </c>
    </row>
    <row r="169" spans="1:45" ht="12.75" x14ac:dyDescent="0.2">
      <c r="A169" s="764">
        <v>162</v>
      </c>
      <c r="B169" s="765" t="s">
        <v>210</v>
      </c>
      <c r="C169" s="766" t="s">
        <v>529</v>
      </c>
      <c r="D169" s="767" t="s">
        <v>1218</v>
      </c>
      <c r="E169" s="768" t="s">
        <v>589</v>
      </c>
      <c r="F169" s="141">
        <v>98016008</v>
      </c>
      <c r="G169" s="141">
        <v>0</v>
      </c>
      <c r="H169" s="141">
        <v>98016008</v>
      </c>
      <c r="I169" s="141">
        <v>-1500000</v>
      </c>
      <c r="J169" s="141">
        <v>0</v>
      </c>
      <c r="K169" s="141">
        <v>-1500000</v>
      </c>
      <c r="L169" s="141">
        <v>-4347826</v>
      </c>
      <c r="M169" s="141">
        <v>0</v>
      </c>
      <c r="N169" s="141">
        <v>-4347826</v>
      </c>
      <c r="O169" s="141">
        <v>92168182</v>
      </c>
      <c r="P169" s="141">
        <v>0</v>
      </c>
      <c r="Q169" s="141">
        <v>92168182</v>
      </c>
      <c r="R169" s="141">
        <v>0</v>
      </c>
      <c r="S169" s="141">
        <v>0</v>
      </c>
      <c r="T169" s="141">
        <v>0</v>
      </c>
      <c r="U169" s="141">
        <v>0</v>
      </c>
      <c r="V169" s="141">
        <v>0</v>
      </c>
      <c r="W169" s="141">
        <v>0</v>
      </c>
      <c r="X169" s="141">
        <v>0</v>
      </c>
      <c r="Y169" s="141">
        <v>11474</v>
      </c>
      <c r="Z169" s="141">
        <v>0</v>
      </c>
      <c r="AA169" s="141">
        <v>0</v>
      </c>
      <c r="AB169" s="141">
        <v>0</v>
      </c>
      <c r="AC169" s="141">
        <v>0</v>
      </c>
      <c r="AD169" s="141">
        <v>0</v>
      </c>
      <c r="AE169" s="141">
        <v>0</v>
      </c>
      <c r="AF169" s="141">
        <v>0</v>
      </c>
      <c r="AG169" s="141">
        <v>0</v>
      </c>
      <c r="AH169" s="141">
        <v>0</v>
      </c>
      <c r="AI169" s="141">
        <v>0</v>
      </c>
      <c r="AJ169" s="141">
        <v>0</v>
      </c>
      <c r="AK169" s="141">
        <v>0</v>
      </c>
      <c r="AL169" s="141">
        <v>0</v>
      </c>
      <c r="AM169" s="141">
        <v>0</v>
      </c>
      <c r="AN169" s="141">
        <v>0</v>
      </c>
      <c r="AO169" s="141">
        <v>0</v>
      </c>
      <c r="AP169" s="856">
        <v>0</v>
      </c>
      <c r="AQ169" s="856">
        <v>0</v>
      </c>
      <c r="AR169" s="857">
        <v>0</v>
      </c>
      <c r="AS169" t="s">
        <v>1735</v>
      </c>
    </row>
    <row r="170" spans="1:45" ht="12.75" x14ac:dyDescent="0.2">
      <c r="A170" s="764">
        <v>163</v>
      </c>
      <c r="B170" s="765" t="s">
        <v>212</v>
      </c>
      <c r="C170" s="766" t="s">
        <v>1217</v>
      </c>
      <c r="D170" s="767" t="s">
        <v>1220</v>
      </c>
      <c r="E170" s="768" t="s">
        <v>211</v>
      </c>
      <c r="F170" s="141">
        <v>15043953</v>
      </c>
      <c r="G170" s="141">
        <v>0</v>
      </c>
      <c r="H170" s="141">
        <v>15043953</v>
      </c>
      <c r="I170" s="141">
        <v>-74944</v>
      </c>
      <c r="J170" s="141">
        <v>0</v>
      </c>
      <c r="K170" s="141">
        <v>-74944</v>
      </c>
      <c r="L170" s="141">
        <v>-120000</v>
      </c>
      <c r="M170" s="141">
        <v>0</v>
      </c>
      <c r="N170" s="141">
        <v>-120000</v>
      </c>
      <c r="O170" s="141">
        <v>14849009</v>
      </c>
      <c r="P170" s="141">
        <v>0</v>
      </c>
      <c r="Q170" s="141">
        <v>14849009</v>
      </c>
      <c r="R170" s="141">
        <v>138600</v>
      </c>
      <c r="S170" s="141">
        <v>0</v>
      </c>
      <c r="T170" s="141">
        <v>138600</v>
      </c>
      <c r="U170" s="141">
        <v>0</v>
      </c>
      <c r="V170" s="141">
        <v>0</v>
      </c>
      <c r="W170" s="141">
        <v>0</v>
      </c>
      <c r="X170" s="141">
        <v>0</v>
      </c>
      <c r="Y170" s="141">
        <v>0</v>
      </c>
      <c r="Z170" s="141">
        <v>0</v>
      </c>
      <c r="AA170" s="141">
        <v>0</v>
      </c>
      <c r="AB170" s="141">
        <v>0</v>
      </c>
      <c r="AC170" s="141">
        <v>0</v>
      </c>
      <c r="AD170" s="141">
        <v>0</v>
      </c>
      <c r="AE170" s="141">
        <v>0</v>
      </c>
      <c r="AF170" s="141">
        <v>0</v>
      </c>
      <c r="AG170" s="141">
        <v>0</v>
      </c>
      <c r="AH170" s="141">
        <v>0</v>
      </c>
      <c r="AI170" s="141">
        <v>0</v>
      </c>
      <c r="AJ170" s="141">
        <v>0</v>
      </c>
      <c r="AK170" s="141">
        <v>0</v>
      </c>
      <c r="AL170" s="141">
        <v>0</v>
      </c>
      <c r="AM170" s="141">
        <v>0</v>
      </c>
      <c r="AN170" s="141">
        <v>0</v>
      </c>
      <c r="AO170" s="141">
        <v>0</v>
      </c>
      <c r="AP170" s="856">
        <v>0</v>
      </c>
      <c r="AQ170" s="856">
        <v>0</v>
      </c>
      <c r="AR170" s="857">
        <v>0</v>
      </c>
      <c r="AS170" t="s">
        <v>1736</v>
      </c>
    </row>
    <row r="171" spans="1:45" ht="12.75" x14ac:dyDescent="0.2">
      <c r="A171" s="764">
        <v>164</v>
      </c>
      <c r="B171" s="765" t="s">
        <v>214</v>
      </c>
      <c r="C171" s="766" t="s">
        <v>1217</v>
      </c>
      <c r="D171" s="767" t="s">
        <v>1226</v>
      </c>
      <c r="E171" s="768" t="s">
        <v>213</v>
      </c>
      <c r="F171" s="141">
        <v>35550068</v>
      </c>
      <c r="G171" s="141">
        <v>0</v>
      </c>
      <c r="H171" s="141">
        <v>35550068</v>
      </c>
      <c r="I171" s="141">
        <v>-95938</v>
      </c>
      <c r="J171" s="141">
        <v>0</v>
      </c>
      <c r="K171" s="141">
        <v>-95938</v>
      </c>
      <c r="L171" s="141">
        <v>-151466</v>
      </c>
      <c r="M171" s="141">
        <v>0</v>
      </c>
      <c r="N171" s="141">
        <v>-151466</v>
      </c>
      <c r="O171" s="141">
        <v>35302664</v>
      </c>
      <c r="P171" s="141">
        <v>0</v>
      </c>
      <c r="Q171" s="141">
        <v>35302664</v>
      </c>
      <c r="R171" s="141">
        <v>113721</v>
      </c>
      <c r="S171" s="141">
        <v>0</v>
      </c>
      <c r="T171" s="141">
        <v>113721</v>
      </c>
      <c r="U171" s="141">
        <v>0</v>
      </c>
      <c r="V171" s="141">
        <v>0</v>
      </c>
      <c r="W171" s="141">
        <v>0</v>
      </c>
      <c r="X171" s="141">
        <v>0</v>
      </c>
      <c r="Y171" s="141">
        <v>0</v>
      </c>
      <c r="Z171" s="141">
        <v>0</v>
      </c>
      <c r="AA171" s="141">
        <v>0</v>
      </c>
      <c r="AB171" s="141">
        <v>0</v>
      </c>
      <c r="AC171" s="141">
        <v>0</v>
      </c>
      <c r="AD171" s="141">
        <v>0</v>
      </c>
      <c r="AE171" s="141">
        <v>0</v>
      </c>
      <c r="AF171" s="141">
        <v>0</v>
      </c>
      <c r="AG171" s="141">
        <v>0</v>
      </c>
      <c r="AH171" s="141">
        <v>0</v>
      </c>
      <c r="AI171" s="141">
        <v>0</v>
      </c>
      <c r="AJ171" s="141">
        <v>0</v>
      </c>
      <c r="AK171" s="141">
        <v>0</v>
      </c>
      <c r="AL171" s="141">
        <v>0</v>
      </c>
      <c r="AM171" s="141">
        <v>0</v>
      </c>
      <c r="AN171" s="141">
        <v>0</v>
      </c>
      <c r="AO171" s="141">
        <v>0</v>
      </c>
      <c r="AP171" s="856">
        <v>0</v>
      </c>
      <c r="AQ171" s="856">
        <v>0</v>
      </c>
      <c r="AR171" s="857">
        <v>0</v>
      </c>
      <c r="AS171" t="s">
        <v>1737</v>
      </c>
    </row>
    <row r="172" spans="1:45" ht="12.75" x14ac:dyDescent="0.2">
      <c r="A172" s="764">
        <v>165</v>
      </c>
      <c r="B172" s="765" t="s">
        <v>216</v>
      </c>
      <c r="C172" s="766" t="s">
        <v>1222</v>
      </c>
      <c r="D172" s="767" t="s">
        <v>1223</v>
      </c>
      <c r="E172" s="768" t="s">
        <v>215</v>
      </c>
      <c r="F172" s="141">
        <v>91781823.900000006</v>
      </c>
      <c r="G172" s="141">
        <v>0</v>
      </c>
      <c r="H172" s="141">
        <v>91781823.900000006</v>
      </c>
      <c r="I172" s="141">
        <v>-917818</v>
      </c>
      <c r="J172" s="141">
        <v>0</v>
      </c>
      <c r="K172" s="141">
        <v>-917818</v>
      </c>
      <c r="L172" s="141">
        <v>-1978701</v>
      </c>
      <c r="M172" s="141">
        <v>0</v>
      </c>
      <c r="N172" s="141">
        <v>-1978701</v>
      </c>
      <c r="O172" s="141">
        <v>88885304.900000006</v>
      </c>
      <c r="P172" s="141">
        <v>0</v>
      </c>
      <c r="Q172" s="141">
        <v>88885304.900000006</v>
      </c>
      <c r="R172" s="141">
        <v>0</v>
      </c>
      <c r="S172" s="141">
        <v>0</v>
      </c>
      <c r="T172" s="141">
        <v>0</v>
      </c>
      <c r="U172" s="141">
        <v>0</v>
      </c>
      <c r="V172" s="141">
        <v>0</v>
      </c>
      <c r="W172" s="141">
        <v>0</v>
      </c>
      <c r="X172" s="141">
        <v>0</v>
      </c>
      <c r="Y172" s="141">
        <v>0</v>
      </c>
      <c r="Z172" s="141">
        <v>0</v>
      </c>
      <c r="AA172" s="141">
        <v>0</v>
      </c>
      <c r="AB172" s="141">
        <v>0</v>
      </c>
      <c r="AC172" s="141">
        <v>0</v>
      </c>
      <c r="AD172" s="141">
        <v>0</v>
      </c>
      <c r="AE172" s="141">
        <v>0</v>
      </c>
      <c r="AF172" s="141">
        <v>0</v>
      </c>
      <c r="AG172" s="141">
        <v>0</v>
      </c>
      <c r="AH172" s="141">
        <v>0</v>
      </c>
      <c r="AI172" s="141">
        <v>0</v>
      </c>
      <c r="AJ172" s="141">
        <v>0</v>
      </c>
      <c r="AK172" s="141">
        <v>0</v>
      </c>
      <c r="AL172" s="141">
        <v>0</v>
      </c>
      <c r="AM172" s="141">
        <v>0</v>
      </c>
      <c r="AN172" s="141">
        <v>0</v>
      </c>
      <c r="AO172" s="141">
        <v>0</v>
      </c>
      <c r="AP172" s="856">
        <v>0</v>
      </c>
      <c r="AQ172" s="856">
        <v>0</v>
      </c>
      <c r="AR172" s="857">
        <v>0</v>
      </c>
      <c r="AS172" t="s">
        <v>1738</v>
      </c>
    </row>
    <row r="173" spans="1:45" ht="12.75" x14ac:dyDescent="0.2">
      <c r="A173" s="764">
        <v>166</v>
      </c>
      <c r="B173" s="765" t="s">
        <v>218</v>
      </c>
      <c r="C173" s="766" t="s">
        <v>1217</v>
      </c>
      <c r="D173" s="767" t="s">
        <v>1226</v>
      </c>
      <c r="E173" s="768" t="s">
        <v>217</v>
      </c>
      <c r="F173" s="141">
        <v>15755364</v>
      </c>
      <c r="G173" s="141">
        <v>0</v>
      </c>
      <c r="H173" s="141">
        <v>15755364</v>
      </c>
      <c r="I173" s="141">
        <v>-100000</v>
      </c>
      <c r="J173" s="141">
        <v>0</v>
      </c>
      <c r="K173" s="141">
        <v>-100000</v>
      </c>
      <c r="L173" s="141">
        <v>-200000</v>
      </c>
      <c r="M173" s="141">
        <v>0</v>
      </c>
      <c r="N173" s="141">
        <v>-200000</v>
      </c>
      <c r="O173" s="141">
        <v>15455364</v>
      </c>
      <c r="P173" s="141">
        <v>0</v>
      </c>
      <c r="Q173" s="141">
        <v>15455364</v>
      </c>
      <c r="R173" s="141">
        <v>126327</v>
      </c>
      <c r="S173" s="141">
        <v>0</v>
      </c>
      <c r="T173" s="141">
        <v>126327</v>
      </c>
      <c r="U173" s="141">
        <v>0</v>
      </c>
      <c r="V173" s="141">
        <v>0</v>
      </c>
      <c r="W173" s="141">
        <v>0</v>
      </c>
      <c r="X173" s="141">
        <v>0</v>
      </c>
      <c r="Y173" s="141">
        <v>0</v>
      </c>
      <c r="Z173" s="141">
        <v>0</v>
      </c>
      <c r="AA173" s="141">
        <v>0</v>
      </c>
      <c r="AB173" s="141">
        <v>0</v>
      </c>
      <c r="AC173" s="141">
        <v>0</v>
      </c>
      <c r="AD173" s="141">
        <v>0</v>
      </c>
      <c r="AE173" s="141">
        <v>0</v>
      </c>
      <c r="AF173" s="141">
        <v>0</v>
      </c>
      <c r="AG173" s="141">
        <v>0</v>
      </c>
      <c r="AH173" s="141">
        <v>0</v>
      </c>
      <c r="AI173" s="141">
        <v>0</v>
      </c>
      <c r="AJ173" s="141">
        <v>0</v>
      </c>
      <c r="AK173" s="141">
        <v>0</v>
      </c>
      <c r="AL173" s="141">
        <v>0</v>
      </c>
      <c r="AM173" s="141">
        <v>0</v>
      </c>
      <c r="AN173" s="141">
        <v>0</v>
      </c>
      <c r="AO173" s="141">
        <v>0</v>
      </c>
      <c r="AP173" s="856">
        <v>0</v>
      </c>
      <c r="AQ173" s="856">
        <v>0</v>
      </c>
      <c r="AR173" s="857">
        <v>0</v>
      </c>
      <c r="AS173" t="s">
        <v>1739</v>
      </c>
    </row>
    <row r="174" spans="1:45" ht="12.75" x14ac:dyDescent="0.2">
      <c r="A174" s="764">
        <v>167</v>
      </c>
      <c r="B174" s="765" t="s">
        <v>220</v>
      </c>
      <c r="C174" s="766" t="s">
        <v>1217</v>
      </c>
      <c r="D174" s="767" t="s">
        <v>1221</v>
      </c>
      <c r="E174" s="768" t="s">
        <v>219</v>
      </c>
      <c r="F174" s="141">
        <v>23534960</v>
      </c>
      <c r="G174" s="141">
        <v>0</v>
      </c>
      <c r="H174" s="141">
        <v>23534960</v>
      </c>
      <c r="I174" s="141">
        <v>-118000</v>
      </c>
      <c r="J174" s="141">
        <v>0</v>
      </c>
      <c r="K174" s="141">
        <v>-118000</v>
      </c>
      <c r="L174" s="141">
        <v>-867477</v>
      </c>
      <c r="M174" s="141">
        <v>0</v>
      </c>
      <c r="N174" s="141">
        <v>-867477</v>
      </c>
      <c r="O174" s="141">
        <v>22549483</v>
      </c>
      <c r="P174" s="141">
        <v>0</v>
      </c>
      <c r="Q174" s="141">
        <v>22549483</v>
      </c>
      <c r="R174" s="141">
        <v>325483</v>
      </c>
      <c r="S174" s="141">
        <v>0</v>
      </c>
      <c r="T174" s="141">
        <v>325483</v>
      </c>
      <c r="U174" s="141">
        <v>0</v>
      </c>
      <c r="V174" s="141">
        <v>0</v>
      </c>
      <c r="W174" s="141">
        <v>0</v>
      </c>
      <c r="X174" s="141">
        <v>0</v>
      </c>
      <c r="Y174" s="141">
        <v>0</v>
      </c>
      <c r="Z174" s="141">
        <v>0</v>
      </c>
      <c r="AA174" s="141">
        <v>0</v>
      </c>
      <c r="AB174" s="141">
        <v>0</v>
      </c>
      <c r="AC174" s="141">
        <v>0</v>
      </c>
      <c r="AD174" s="141">
        <v>0</v>
      </c>
      <c r="AE174" s="141">
        <v>0</v>
      </c>
      <c r="AF174" s="141">
        <v>0</v>
      </c>
      <c r="AG174" s="141">
        <v>0</v>
      </c>
      <c r="AH174" s="141">
        <v>0</v>
      </c>
      <c r="AI174" s="141">
        <v>0</v>
      </c>
      <c r="AJ174" s="141">
        <v>0</v>
      </c>
      <c r="AK174" s="141">
        <v>0</v>
      </c>
      <c r="AL174" s="141">
        <v>0</v>
      </c>
      <c r="AM174" s="141">
        <v>0</v>
      </c>
      <c r="AN174" s="141">
        <v>0</v>
      </c>
      <c r="AO174" s="141">
        <v>0</v>
      </c>
      <c r="AP174" s="856">
        <v>0</v>
      </c>
      <c r="AQ174" s="856">
        <v>0</v>
      </c>
      <c r="AR174" s="857">
        <v>0</v>
      </c>
      <c r="AS174" t="s">
        <v>1740</v>
      </c>
    </row>
    <row r="175" spans="1:45" ht="12.75" x14ac:dyDescent="0.2">
      <c r="A175" s="764">
        <v>168</v>
      </c>
      <c r="B175" s="765" t="s">
        <v>222</v>
      </c>
      <c r="C175" s="766" t="s">
        <v>1217</v>
      </c>
      <c r="D175" s="767" t="s">
        <v>1218</v>
      </c>
      <c r="E175" s="768" t="s">
        <v>221</v>
      </c>
      <c r="F175" s="141">
        <v>46917366</v>
      </c>
      <c r="G175" s="141">
        <v>0</v>
      </c>
      <c r="H175" s="141">
        <v>46917366</v>
      </c>
      <c r="I175" s="141">
        <v>-469174</v>
      </c>
      <c r="J175" s="141">
        <v>0</v>
      </c>
      <c r="K175" s="141">
        <v>-469174</v>
      </c>
      <c r="L175" s="141">
        <v>-2205116</v>
      </c>
      <c r="M175" s="141">
        <v>0</v>
      </c>
      <c r="N175" s="141">
        <v>-2205116</v>
      </c>
      <c r="O175" s="141">
        <v>44243076</v>
      </c>
      <c r="P175" s="141">
        <v>0</v>
      </c>
      <c r="Q175" s="141">
        <v>44243076</v>
      </c>
      <c r="R175" s="141">
        <v>0</v>
      </c>
      <c r="S175" s="141">
        <v>0</v>
      </c>
      <c r="T175" s="141">
        <v>0</v>
      </c>
      <c r="U175" s="141">
        <v>0</v>
      </c>
      <c r="V175" s="141">
        <v>0</v>
      </c>
      <c r="W175" s="141">
        <v>0</v>
      </c>
      <c r="X175" s="141">
        <v>0</v>
      </c>
      <c r="Y175" s="141">
        <v>0</v>
      </c>
      <c r="Z175" s="141">
        <v>0</v>
      </c>
      <c r="AA175" s="141">
        <v>0</v>
      </c>
      <c r="AB175" s="141">
        <v>0</v>
      </c>
      <c r="AC175" s="141">
        <v>0</v>
      </c>
      <c r="AD175" s="141">
        <v>0</v>
      </c>
      <c r="AE175" s="141">
        <v>0</v>
      </c>
      <c r="AF175" s="141">
        <v>0</v>
      </c>
      <c r="AG175" s="141">
        <v>0</v>
      </c>
      <c r="AH175" s="141">
        <v>0</v>
      </c>
      <c r="AI175" s="141">
        <v>0</v>
      </c>
      <c r="AJ175" s="141">
        <v>0</v>
      </c>
      <c r="AK175" s="141">
        <v>0</v>
      </c>
      <c r="AL175" s="141">
        <v>0</v>
      </c>
      <c r="AM175" s="141">
        <v>0</v>
      </c>
      <c r="AN175" s="141">
        <v>0</v>
      </c>
      <c r="AO175" s="141">
        <v>0</v>
      </c>
      <c r="AP175" s="856">
        <v>0</v>
      </c>
      <c r="AQ175" s="856">
        <v>0</v>
      </c>
      <c r="AR175" s="857">
        <v>0</v>
      </c>
      <c r="AS175" t="s">
        <v>1741</v>
      </c>
    </row>
    <row r="176" spans="1:45" ht="12.75" x14ac:dyDescent="0.2">
      <c r="A176" s="764">
        <v>169</v>
      </c>
      <c r="B176" s="765" t="s">
        <v>224</v>
      </c>
      <c r="C176" s="766" t="s">
        <v>529</v>
      </c>
      <c r="D176" s="767" t="s">
        <v>1229</v>
      </c>
      <c r="E176" s="768" t="s">
        <v>554</v>
      </c>
      <c r="F176" s="141">
        <v>37826607</v>
      </c>
      <c r="G176" s="141">
        <v>2483315</v>
      </c>
      <c r="H176" s="141">
        <v>40309922</v>
      </c>
      <c r="I176" s="141">
        <v>-1032000</v>
      </c>
      <c r="J176" s="141">
        <v>-68000</v>
      </c>
      <c r="K176" s="141">
        <v>-1100000</v>
      </c>
      <c r="L176" s="141">
        <v>-975000</v>
      </c>
      <c r="M176" s="141">
        <v>-64000</v>
      </c>
      <c r="N176" s="141">
        <v>-1039000</v>
      </c>
      <c r="O176" s="141">
        <v>35819607</v>
      </c>
      <c r="P176" s="141">
        <v>2351315</v>
      </c>
      <c r="Q176" s="141">
        <v>38170922</v>
      </c>
      <c r="R176" s="141">
        <v>0</v>
      </c>
      <c r="S176" s="141">
        <v>0</v>
      </c>
      <c r="T176" s="141">
        <v>0</v>
      </c>
      <c r="U176" s="141">
        <v>0</v>
      </c>
      <c r="V176" s="141">
        <v>0</v>
      </c>
      <c r="W176" s="141">
        <v>0</v>
      </c>
      <c r="X176" s="141">
        <v>-144202</v>
      </c>
      <c r="Y176" s="141">
        <v>2930348</v>
      </c>
      <c r="Z176" s="141">
        <v>14048</v>
      </c>
      <c r="AA176" s="141">
        <v>14048</v>
      </c>
      <c r="AB176" s="141">
        <v>0</v>
      </c>
      <c r="AC176" s="141">
        <v>0</v>
      </c>
      <c r="AD176" s="141">
        <v>0</v>
      </c>
      <c r="AE176" s="141">
        <v>0</v>
      </c>
      <c r="AF176" s="141">
        <v>115000</v>
      </c>
      <c r="AG176" s="141">
        <v>115000</v>
      </c>
      <c r="AH176" s="141">
        <v>34568675</v>
      </c>
      <c r="AI176" s="141">
        <v>34568675</v>
      </c>
      <c r="AJ176" s="141">
        <v>40326840.458840542</v>
      </c>
      <c r="AK176" s="141">
        <v>40326840.458840542</v>
      </c>
      <c r="AL176" s="141">
        <v>0</v>
      </c>
      <c r="AM176" s="141">
        <v>0</v>
      </c>
      <c r="AN176" s="141">
        <v>0</v>
      </c>
      <c r="AO176" s="141">
        <v>0</v>
      </c>
      <c r="AP176" s="856">
        <v>0</v>
      </c>
      <c r="AQ176" s="856">
        <v>115000</v>
      </c>
      <c r="AR176" s="857">
        <v>115000</v>
      </c>
      <c r="AS176" t="s">
        <v>1742</v>
      </c>
    </row>
    <row r="177" spans="1:45" ht="12.75" x14ac:dyDescent="0.2">
      <c r="A177" s="764">
        <v>170</v>
      </c>
      <c r="B177" s="765" t="s">
        <v>226</v>
      </c>
      <c r="C177" s="766" t="s">
        <v>529</v>
      </c>
      <c r="D177" s="767" t="s">
        <v>1218</v>
      </c>
      <c r="E177" s="768" t="s">
        <v>542</v>
      </c>
      <c r="F177" s="141">
        <v>177463763</v>
      </c>
      <c r="G177" s="141">
        <v>0</v>
      </c>
      <c r="H177" s="141">
        <v>177463763</v>
      </c>
      <c r="I177" s="141">
        <v>-1972000</v>
      </c>
      <c r="J177" s="141">
        <v>0</v>
      </c>
      <c r="K177" s="141">
        <v>-1972000</v>
      </c>
      <c r="L177" s="141">
        <v>-22000000</v>
      </c>
      <c r="M177" s="141">
        <v>0</v>
      </c>
      <c r="N177" s="141">
        <v>-22000000</v>
      </c>
      <c r="O177" s="141">
        <v>153491763</v>
      </c>
      <c r="P177" s="141">
        <v>0</v>
      </c>
      <c r="Q177" s="141">
        <v>153491763</v>
      </c>
      <c r="R177" s="141">
        <v>249000</v>
      </c>
      <c r="S177" s="141">
        <v>0</v>
      </c>
      <c r="T177" s="141">
        <v>249000</v>
      </c>
      <c r="U177" s="141">
        <v>0</v>
      </c>
      <c r="V177" s="141">
        <v>0</v>
      </c>
      <c r="W177" s="141">
        <v>0</v>
      </c>
      <c r="X177" s="141">
        <v>0</v>
      </c>
      <c r="Y177" s="141">
        <v>0</v>
      </c>
      <c r="Z177" s="141">
        <v>0</v>
      </c>
      <c r="AA177" s="141">
        <v>0</v>
      </c>
      <c r="AB177" s="141">
        <v>0</v>
      </c>
      <c r="AC177" s="141">
        <v>0</v>
      </c>
      <c r="AD177" s="141">
        <v>0</v>
      </c>
      <c r="AE177" s="141">
        <v>0</v>
      </c>
      <c r="AF177" s="141">
        <v>0</v>
      </c>
      <c r="AG177" s="141">
        <v>0</v>
      </c>
      <c r="AH177" s="141">
        <v>0</v>
      </c>
      <c r="AI177" s="141">
        <v>0</v>
      </c>
      <c r="AJ177" s="141">
        <v>0</v>
      </c>
      <c r="AK177" s="141">
        <v>0</v>
      </c>
      <c r="AL177" s="141">
        <v>0</v>
      </c>
      <c r="AM177" s="141">
        <v>0</v>
      </c>
      <c r="AN177" s="141">
        <v>0</v>
      </c>
      <c r="AO177" s="141">
        <v>0</v>
      </c>
      <c r="AP177" s="856">
        <v>0</v>
      </c>
      <c r="AQ177" s="856">
        <v>0</v>
      </c>
      <c r="AR177" s="857">
        <v>0</v>
      </c>
      <c r="AS177" t="s">
        <v>1743</v>
      </c>
    </row>
    <row r="178" spans="1:45" ht="12.75" x14ac:dyDescent="0.2">
      <c r="A178" s="764">
        <v>171</v>
      </c>
      <c r="B178" s="765" t="s">
        <v>228</v>
      </c>
      <c r="C178" s="766" t="s">
        <v>1217</v>
      </c>
      <c r="D178" s="767" t="s">
        <v>1218</v>
      </c>
      <c r="E178" s="768" t="s">
        <v>227</v>
      </c>
      <c r="F178" s="141">
        <v>44448922</v>
      </c>
      <c r="G178" s="141">
        <v>0</v>
      </c>
      <c r="H178" s="141">
        <v>44448922</v>
      </c>
      <c r="I178" s="141">
        <v>-175000</v>
      </c>
      <c r="J178" s="141">
        <v>0</v>
      </c>
      <c r="K178" s="141">
        <v>-175000</v>
      </c>
      <c r="L178" s="141">
        <v>-1391000</v>
      </c>
      <c r="M178" s="141">
        <v>0</v>
      </c>
      <c r="N178" s="141">
        <v>-1391000</v>
      </c>
      <c r="O178" s="141">
        <v>42882922</v>
      </c>
      <c r="P178" s="141">
        <v>0</v>
      </c>
      <c r="Q178" s="141">
        <v>42882922</v>
      </c>
      <c r="R178" s="141">
        <v>0</v>
      </c>
      <c r="S178" s="141">
        <v>0</v>
      </c>
      <c r="T178" s="141">
        <v>0</v>
      </c>
      <c r="U178" s="141">
        <v>0</v>
      </c>
      <c r="V178" s="141">
        <v>0</v>
      </c>
      <c r="W178" s="141">
        <v>0</v>
      </c>
      <c r="X178" s="141">
        <v>0</v>
      </c>
      <c r="Y178" s="141">
        <v>0</v>
      </c>
      <c r="Z178" s="141">
        <v>0</v>
      </c>
      <c r="AA178" s="141">
        <v>0</v>
      </c>
      <c r="AB178" s="141">
        <v>0</v>
      </c>
      <c r="AC178" s="141">
        <v>0</v>
      </c>
      <c r="AD178" s="141">
        <v>0</v>
      </c>
      <c r="AE178" s="141">
        <v>0</v>
      </c>
      <c r="AF178" s="141">
        <v>0</v>
      </c>
      <c r="AG178" s="141">
        <v>0</v>
      </c>
      <c r="AH178" s="141">
        <v>0</v>
      </c>
      <c r="AI178" s="141">
        <v>0</v>
      </c>
      <c r="AJ178" s="141">
        <v>0</v>
      </c>
      <c r="AK178" s="141">
        <v>0</v>
      </c>
      <c r="AL178" s="141">
        <v>0</v>
      </c>
      <c r="AM178" s="141">
        <v>0</v>
      </c>
      <c r="AN178" s="141">
        <v>0</v>
      </c>
      <c r="AO178" s="141">
        <v>0</v>
      </c>
      <c r="AP178" s="856">
        <v>0</v>
      </c>
      <c r="AQ178" s="856">
        <v>0</v>
      </c>
      <c r="AR178" s="857">
        <v>0</v>
      </c>
      <c r="AS178" t="s">
        <v>1744</v>
      </c>
    </row>
    <row r="179" spans="1:45" ht="12.75" x14ac:dyDescent="0.2">
      <c r="A179" s="764">
        <v>172</v>
      </c>
      <c r="B179" s="765" t="s">
        <v>230</v>
      </c>
      <c r="C179" s="766" t="s">
        <v>1217</v>
      </c>
      <c r="D179" s="767" t="s">
        <v>1218</v>
      </c>
      <c r="E179" s="768" t="s">
        <v>229</v>
      </c>
      <c r="F179" s="141">
        <v>69524402</v>
      </c>
      <c r="G179" s="141">
        <v>0</v>
      </c>
      <c r="H179" s="141">
        <v>69524402</v>
      </c>
      <c r="I179" s="141">
        <v>-347622</v>
      </c>
      <c r="J179" s="141">
        <v>0</v>
      </c>
      <c r="K179" s="141">
        <v>-347622</v>
      </c>
      <c r="L179" s="141">
        <v>-2953159</v>
      </c>
      <c r="M179" s="141">
        <v>0</v>
      </c>
      <c r="N179" s="141">
        <v>-2953159</v>
      </c>
      <c r="O179" s="141">
        <v>66223621</v>
      </c>
      <c r="P179" s="141">
        <v>0</v>
      </c>
      <c r="Q179" s="141">
        <v>66223621</v>
      </c>
      <c r="R179" s="141">
        <v>10265</v>
      </c>
      <c r="S179" s="141">
        <v>0</v>
      </c>
      <c r="T179" s="141">
        <v>10265</v>
      </c>
      <c r="U179" s="141">
        <v>0</v>
      </c>
      <c r="V179" s="141">
        <v>0</v>
      </c>
      <c r="W179" s="141">
        <v>0</v>
      </c>
      <c r="X179" s="141">
        <v>0</v>
      </c>
      <c r="Y179" s="141">
        <v>0</v>
      </c>
      <c r="Z179" s="141">
        <v>0</v>
      </c>
      <c r="AA179" s="141">
        <v>0</v>
      </c>
      <c r="AB179" s="141">
        <v>0</v>
      </c>
      <c r="AC179" s="141">
        <v>0</v>
      </c>
      <c r="AD179" s="141">
        <v>0</v>
      </c>
      <c r="AE179" s="141">
        <v>0</v>
      </c>
      <c r="AF179" s="141">
        <v>0</v>
      </c>
      <c r="AG179" s="141">
        <v>0</v>
      </c>
      <c r="AH179" s="141">
        <v>0</v>
      </c>
      <c r="AI179" s="141">
        <v>0</v>
      </c>
      <c r="AJ179" s="141">
        <v>0</v>
      </c>
      <c r="AK179" s="141">
        <v>0</v>
      </c>
      <c r="AL179" s="141">
        <v>0</v>
      </c>
      <c r="AM179" s="141">
        <v>0</v>
      </c>
      <c r="AN179" s="141">
        <v>0</v>
      </c>
      <c r="AO179" s="141">
        <v>0</v>
      </c>
      <c r="AP179" s="856">
        <v>0</v>
      </c>
      <c r="AQ179" s="856">
        <v>0</v>
      </c>
      <c r="AR179" s="857">
        <v>0</v>
      </c>
      <c r="AS179" t="s">
        <v>1745</v>
      </c>
    </row>
    <row r="180" spans="1:45" ht="12.75" x14ac:dyDescent="0.2">
      <c r="A180" s="764">
        <v>173</v>
      </c>
      <c r="B180" s="765" t="s">
        <v>232</v>
      </c>
      <c r="C180" s="766" t="s">
        <v>1217</v>
      </c>
      <c r="D180" s="767" t="s">
        <v>1220</v>
      </c>
      <c r="E180" s="768" t="s">
        <v>231</v>
      </c>
      <c r="F180" s="141">
        <v>43740152</v>
      </c>
      <c r="G180" s="141">
        <v>0</v>
      </c>
      <c r="H180" s="141">
        <v>43740152</v>
      </c>
      <c r="I180" s="141">
        <v>-300000</v>
      </c>
      <c r="J180" s="141">
        <v>0</v>
      </c>
      <c r="K180" s="141">
        <v>-300000</v>
      </c>
      <c r="L180" s="141">
        <v>-2055787</v>
      </c>
      <c r="M180" s="141">
        <v>0</v>
      </c>
      <c r="N180" s="141">
        <v>-2055787</v>
      </c>
      <c r="O180" s="141">
        <v>41384365</v>
      </c>
      <c r="P180" s="141">
        <v>0</v>
      </c>
      <c r="Q180" s="141">
        <v>41384365</v>
      </c>
      <c r="R180" s="141">
        <v>703050</v>
      </c>
      <c r="S180" s="141">
        <v>0</v>
      </c>
      <c r="T180" s="141">
        <v>703050</v>
      </c>
      <c r="U180" s="141">
        <v>0</v>
      </c>
      <c r="V180" s="141">
        <v>0</v>
      </c>
      <c r="W180" s="141">
        <v>0</v>
      </c>
      <c r="X180" s="141">
        <v>0</v>
      </c>
      <c r="Y180" s="141">
        <v>0</v>
      </c>
      <c r="Z180" s="141">
        <v>0</v>
      </c>
      <c r="AA180" s="141">
        <v>0</v>
      </c>
      <c r="AB180" s="141">
        <v>0</v>
      </c>
      <c r="AC180" s="141">
        <v>0</v>
      </c>
      <c r="AD180" s="141">
        <v>0</v>
      </c>
      <c r="AE180" s="141">
        <v>0</v>
      </c>
      <c r="AF180" s="141">
        <v>0</v>
      </c>
      <c r="AG180" s="141">
        <v>0</v>
      </c>
      <c r="AH180" s="141">
        <v>0</v>
      </c>
      <c r="AI180" s="141">
        <v>0</v>
      </c>
      <c r="AJ180" s="141">
        <v>0</v>
      </c>
      <c r="AK180" s="141">
        <v>0</v>
      </c>
      <c r="AL180" s="141">
        <v>0</v>
      </c>
      <c r="AM180" s="141">
        <v>0</v>
      </c>
      <c r="AN180" s="141">
        <v>0</v>
      </c>
      <c r="AO180" s="141">
        <v>0</v>
      </c>
      <c r="AP180" s="856">
        <v>0</v>
      </c>
      <c r="AQ180" s="856">
        <v>0</v>
      </c>
      <c r="AR180" s="857">
        <v>0</v>
      </c>
      <c r="AS180" t="s">
        <v>1746</v>
      </c>
    </row>
    <row r="181" spans="1:45" ht="12.75" x14ac:dyDescent="0.2">
      <c r="A181" s="764">
        <v>174</v>
      </c>
      <c r="B181" s="765" t="s">
        <v>233</v>
      </c>
      <c r="C181" s="766" t="s">
        <v>1224</v>
      </c>
      <c r="D181" s="767" t="s">
        <v>1229</v>
      </c>
      <c r="E181" s="768" t="s">
        <v>867</v>
      </c>
      <c r="F181" s="141">
        <v>142599130</v>
      </c>
      <c r="G181" s="141">
        <v>8220352</v>
      </c>
      <c r="H181" s="141">
        <v>150819482</v>
      </c>
      <c r="I181" s="141">
        <v>-2038388</v>
      </c>
      <c r="J181" s="141">
        <v>-115085</v>
      </c>
      <c r="K181" s="141">
        <v>-2153473</v>
      </c>
      <c r="L181" s="141">
        <v>-7500000</v>
      </c>
      <c r="M181" s="141">
        <v>0</v>
      </c>
      <c r="N181" s="141">
        <v>-7500000</v>
      </c>
      <c r="O181" s="141">
        <v>133060742</v>
      </c>
      <c r="P181" s="141">
        <v>8105267</v>
      </c>
      <c r="Q181" s="141">
        <v>141166009</v>
      </c>
      <c r="R181" s="141">
        <v>0</v>
      </c>
      <c r="S181" s="141">
        <v>0</v>
      </c>
      <c r="T181" s="141">
        <v>0</v>
      </c>
      <c r="U181" s="141">
        <v>0</v>
      </c>
      <c r="V181" s="141">
        <v>0</v>
      </c>
      <c r="W181" s="141">
        <v>0</v>
      </c>
      <c r="X181" s="141">
        <v>-359712</v>
      </c>
      <c r="Y181" s="141">
        <v>5551008</v>
      </c>
      <c r="Z181" s="141">
        <v>2194547</v>
      </c>
      <c r="AA181" s="141">
        <v>2194547</v>
      </c>
      <c r="AB181" s="141">
        <v>0</v>
      </c>
      <c r="AC181" s="141">
        <v>0</v>
      </c>
      <c r="AD181" s="141">
        <v>0</v>
      </c>
      <c r="AE181" s="141">
        <v>0</v>
      </c>
      <c r="AF181" s="141">
        <v>0</v>
      </c>
      <c r="AG181" s="141">
        <v>0</v>
      </c>
      <c r="AH181" s="141">
        <v>0</v>
      </c>
      <c r="AI181" s="141">
        <v>0</v>
      </c>
      <c r="AJ181" s="141">
        <v>0</v>
      </c>
      <c r="AK181" s="141">
        <v>0</v>
      </c>
      <c r="AL181" s="141">
        <v>0</v>
      </c>
      <c r="AM181" s="141">
        <v>0</v>
      </c>
      <c r="AN181" s="141">
        <v>0</v>
      </c>
      <c r="AO181" s="141">
        <v>0</v>
      </c>
      <c r="AP181" s="856">
        <v>0</v>
      </c>
      <c r="AQ181" s="856">
        <v>0</v>
      </c>
      <c r="AR181" s="857">
        <v>0</v>
      </c>
      <c r="AS181" t="s">
        <v>1747</v>
      </c>
    </row>
    <row r="182" spans="1:45" ht="12.75" x14ac:dyDescent="0.2">
      <c r="A182" s="764">
        <v>175</v>
      </c>
      <c r="B182" s="765" t="s">
        <v>235</v>
      </c>
      <c r="C182" s="766" t="s">
        <v>1217</v>
      </c>
      <c r="D182" s="767" t="s">
        <v>1227</v>
      </c>
      <c r="E182" s="768" t="s">
        <v>234</v>
      </c>
      <c r="F182" s="141">
        <v>33071169</v>
      </c>
      <c r="G182" s="141">
        <v>0</v>
      </c>
      <c r="H182" s="141">
        <v>33071169</v>
      </c>
      <c r="I182" s="141">
        <v>-500000</v>
      </c>
      <c r="J182" s="141">
        <v>0</v>
      </c>
      <c r="K182" s="141">
        <v>-500000</v>
      </c>
      <c r="L182" s="141">
        <v>-2690449</v>
      </c>
      <c r="M182" s="141">
        <v>0</v>
      </c>
      <c r="N182" s="141">
        <v>-2690449</v>
      </c>
      <c r="O182" s="141">
        <v>29880720</v>
      </c>
      <c r="P182" s="141">
        <v>0</v>
      </c>
      <c r="Q182" s="141">
        <v>29880720</v>
      </c>
      <c r="R182" s="141">
        <v>0</v>
      </c>
      <c r="S182" s="141">
        <v>0</v>
      </c>
      <c r="T182" s="141">
        <v>0</v>
      </c>
      <c r="U182" s="141">
        <v>0</v>
      </c>
      <c r="V182" s="141">
        <v>0</v>
      </c>
      <c r="W182" s="141">
        <v>0</v>
      </c>
      <c r="X182" s="141">
        <v>0</v>
      </c>
      <c r="Y182" s="141">
        <v>0</v>
      </c>
      <c r="Z182" s="141">
        <v>0</v>
      </c>
      <c r="AA182" s="141">
        <v>0</v>
      </c>
      <c r="AB182" s="141">
        <v>0</v>
      </c>
      <c r="AC182" s="141">
        <v>0</v>
      </c>
      <c r="AD182" s="141">
        <v>0</v>
      </c>
      <c r="AE182" s="141">
        <v>0</v>
      </c>
      <c r="AF182" s="141">
        <v>0</v>
      </c>
      <c r="AG182" s="141">
        <v>0</v>
      </c>
      <c r="AH182" s="141">
        <v>0</v>
      </c>
      <c r="AI182" s="141">
        <v>0</v>
      </c>
      <c r="AJ182" s="141">
        <v>0</v>
      </c>
      <c r="AK182" s="141">
        <v>0</v>
      </c>
      <c r="AL182" s="141">
        <v>0</v>
      </c>
      <c r="AM182" s="141">
        <v>0</v>
      </c>
      <c r="AN182" s="141">
        <v>0</v>
      </c>
      <c r="AO182" s="141">
        <v>0</v>
      </c>
      <c r="AP182" s="856">
        <v>0</v>
      </c>
      <c r="AQ182" s="856">
        <v>0</v>
      </c>
      <c r="AR182" s="857">
        <v>0</v>
      </c>
      <c r="AS182" t="s">
        <v>1748</v>
      </c>
    </row>
    <row r="183" spans="1:45" ht="12.75" x14ac:dyDescent="0.2">
      <c r="A183" s="764">
        <v>176</v>
      </c>
      <c r="B183" s="765" t="s">
        <v>237</v>
      </c>
      <c r="C183" s="766" t="s">
        <v>1222</v>
      </c>
      <c r="D183" s="767" t="s">
        <v>1223</v>
      </c>
      <c r="E183" s="768" t="s">
        <v>236</v>
      </c>
      <c r="F183" s="141">
        <v>154999711</v>
      </c>
      <c r="G183" s="141">
        <v>2050062</v>
      </c>
      <c r="H183" s="141">
        <v>157049773</v>
      </c>
      <c r="I183" s="141">
        <v>-813656</v>
      </c>
      <c r="J183" s="141">
        <v>0</v>
      </c>
      <c r="K183" s="141">
        <v>-813656</v>
      </c>
      <c r="L183" s="141">
        <v>-12150375</v>
      </c>
      <c r="M183" s="141">
        <v>0</v>
      </c>
      <c r="N183" s="141">
        <v>-12150375</v>
      </c>
      <c r="O183" s="141">
        <v>142035680</v>
      </c>
      <c r="P183" s="141">
        <v>2050062</v>
      </c>
      <c r="Q183" s="141">
        <v>144085742</v>
      </c>
      <c r="R183" s="141">
        <v>0</v>
      </c>
      <c r="S183" s="141">
        <v>0</v>
      </c>
      <c r="T183" s="141">
        <v>0</v>
      </c>
      <c r="U183" s="141">
        <v>0</v>
      </c>
      <c r="V183" s="141">
        <v>0</v>
      </c>
      <c r="W183" s="141">
        <v>0</v>
      </c>
      <c r="X183" s="141">
        <v>-5247</v>
      </c>
      <c r="Y183" s="141">
        <v>243219</v>
      </c>
      <c r="Z183" s="141">
        <v>1801596</v>
      </c>
      <c r="AA183" s="141">
        <v>1801596</v>
      </c>
      <c r="AB183" s="141">
        <v>0</v>
      </c>
      <c r="AC183" s="141">
        <v>0</v>
      </c>
      <c r="AD183" s="141">
        <v>0</v>
      </c>
      <c r="AE183" s="141">
        <v>0</v>
      </c>
      <c r="AF183" s="141">
        <v>490742</v>
      </c>
      <c r="AG183" s="141">
        <v>490742</v>
      </c>
      <c r="AH183" s="141">
        <v>0</v>
      </c>
      <c r="AI183" s="141">
        <v>0</v>
      </c>
      <c r="AJ183" s="141">
        <v>0</v>
      </c>
      <c r="AK183" s="141">
        <v>0</v>
      </c>
      <c r="AL183" s="141">
        <v>0</v>
      </c>
      <c r="AM183" s="141">
        <v>0</v>
      </c>
      <c r="AN183" s="141">
        <v>0</v>
      </c>
      <c r="AO183" s="141">
        <v>0</v>
      </c>
      <c r="AP183" s="856">
        <v>0</v>
      </c>
      <c r="AQ183" s="856">
        <v>490742</v>
      </c>
      <c r="AR183" s="857">
        <v>490742</v>
      </c>
      <c r="AS183" t="s">
        <v>1749</v>
      </c>
    </row>
    <row r="184" spans="1:45" ht="12.75" x14ac:dyDescent="0.2">
      <c r="A184" s="764">
        <v>177</v>
      </c>
      <c r="B184" s="765" t="s">
        <v>239</v>
      </c>
      <c r="C184" s="766" t="s">
        <v>1217</v>
      </c>
      <c r="D184" s="767" t="s">
        <v>1226</v>
      </c>
      <c r="E184" s="768" t="s">
        <v>238</v>
      </c>
      <c r="F184" s="141">
        <v>32702772</v>
      </c>
      <c r="G184" s="141">
        <v>0</v>
      </c>
      <c r="H184" s="141">
        <v>32702772</v>
      </c>
      <c r="I184" s="141">
        <v>-327028</v>
      </c>
      <c r="J184" s="141">
        <v>0</v>
      </c>
      <c r="K184" s="141">
        <v>-327028</v>
      </c>
      <c r="L184" s="141">
        <v>-359730</v>
      </c>
      <c r="M184" s="141">
        <v>0</v>
      </c>
      <c r="N184" s="141">
        <v>-359730</v>
      </c>
      <c r="O184" s="141">
        <v>32016014</v>
      </c>
      <c r="P184" s="141">
        <v>0</v>
      </c>
      <c r="Q184" s="141">
        <v>32016014</v>
      </c>
      <c r="R184" s="141">
        <v>381182</v>
      </c>
      <c r="S184" s="141">
        <v>0</v>
      </c>
      <c r="T184" s="141">
        <v>381182</v>
      </c>
      <c r="U184" s="141">
        <v>0</v>
      </c>
      <c r="V184" s="141">
        <v>0</v>
      </c>
      <c r="W184" s="141">
        <v>0</v>
      </c>
      <c r="X184" s="141">
        <v>0</v>
      </c>
      <c r="Y184" s="141">
        <v>0</v>
      </c>
      <c r="Z184" s="141">
        <v>0</v>
      </c>
      <c r="AA184" s="141">
        <v>0</v>
      </c>
      <c r="AB184" s="141">
        <v>0</v>
      </c>
      <c r="AC184" s="141">
        <v>0</v>
      </c>
      <c r="AD184" s="141">
        <v>0</v>
      </c>
      <c r="AE184" s="141">
        <v>0</v>
      </c>
      <c r="AF184" s="141">
        <v>0</v>
      </c>
      <c r="AG184" s="141">
        <v>0</v>
      </c>
      <c r="AH184" s="141">
        <v>0</v>
      </c>
      <c r="AI184" s="141">
        <v>0</v>
      </c>
      <c r="AJ184" s="141">
        <v>0</v>
      </c>
      <c r="AK184" s="141">
        <v>0</v>
      </c>
      <c r="AL184" s="141">
        <v>0</v>
      </c>
      <c r="AM184" s="141">
        <v>0</v>
      </c>
      <c r="AN184" s="141">
        <v>0</v>
      </c>
      <c r="AO184" s="141">
        <v>0</v>
      </c>
      <c r="AP184" s="856">
        <v>0</v>
      </c>
      <c r="AQ184" s="856">
        <v>0</v>
      </c>
      <c r="AR184" s="857">
        <v>0</v>
      </c>
      <c r="AS184" t="s">
        <v>1750</v>
      </c>
    </row>
    <row r="185" spans="1:45" ht="12.75" x14ac:dyDescent="0.2">
      <c r="A185" s="764">
        <v>178</v>
      </c>
      <c r="B185" s="765" t="s">
        <v>241</v>
      </c>
      <c r="C185" s="766" t="s">
        <v>1217</v>
      </c>
      <c r="D185" s="767" t="s">
        <v>1220</v>
      </c>
      <c r="E185" s="768" t="s">
        <v>240</v>
      </c>
      <c r="F185" s="141">
        <v>17761396</v>
      </c>
      <c r="G185" s="141">
        <v>0</v>
      </c>
      <c r="H185" s="141">
        <v>17761396</v>
      </c>
      <c r="I185" s="141">
        <v>-160000</v>
      </c>
      <c r="J185" s="141">
        <v>0</v>
      </c>
      <c r="K185" s="141">
        <v>-160000</v>
      </c>
      <c r="L185" s="141">
        <v>-718389</v>
      </c>
      <c r="M185" s="141">
        <v>0</v>
      </c>
      <c r="N185" s="141">
        <v>-718389</v>
      </c>
      <c r="O185" s="141">
        <v>16883007</v>
      </c>
      <c r="P185" s="141">
        <v>0</v>
      </c>
      <c r="Q185" s="141">
        <v>16883007</v>
      </c>
      <c r="R185" s="141">
        <v>0</v>
      </c>
      <c r="S185" s="141">
        <v>0</v>
      </c>
      <c r="T185" s="141">
        <v>0</v>
      </c>
      <c r="U185" s="141">
        <v>0</v>
      </c>
      <c r="V185" s="141">
        <v>0</v>
      </c>
      <c r="W185" s="141">
        <v>0</v>
      </c>
      <c r="X185" s="141">
        <v>0</v>
      </c>
      <c r="Y185" s="141">
        <v>0</v>
      </c>
      <c r="Z185" s="141">
        <v>0</v>
      </c>
      <c r="AA185" s="141">
        <v>0</v>
      </c>
      <c r="AB185" s="141">
        <v>0</v>
      </c>
      <c r="AC185" s="141">
        <v>0</v>
      </c>
      <c r="AD185" s="141">
        <v>0</v>
      </c>
      <c r="AE185" s="141">
        <v>0</v>
      </c>
      <c r="AF185" s="141">
        <v>0</v>
      </c>
      <c r="AG185" s="141">
        <v>0</v>
      </c>
      <c r="AH185" s="141">
        <v>0</v>
      </c>
      <c r="AI185" s="141">
        <v>0</v>
      </c>
      <c r="AJ185" s="141">
        <v>0</v>
      </c>
      <c r="AK185" s="141">
        <v>0</v>
      </c>
      <c r="AL185" s="141">
        <v>0</v>
      </c>
      <c r="AM185" s="141">
        <v>0</v>
      </c>
      <c r="AN185" s="141">
        <v>0</v>
      </c>
      <c r="AO185" s="141">
        <v>0</v>
      </c>
      <c r="AP185" s="856">
        <v>0</v>
      </c>
      <c r="AQ185" s="856">
        <v>0</v>
      </c>
      <c r="AR185" s="857">
        <v>0</v>
      </c>
      <c r="AS185" t="s">
        <v>1751</v>
      </c>
    </row>
    <row r="186" spans="1:45" ht="12.75" x14ac:dyDescent="0.2">
      <c r="A186" s="764">
        <v>179</v>
      </c>
      <c r="B186" s="765" t="s">
        <v>243</v>
      </c>
      <c r="C186" s="766" t="s">
        <v>529</v>
      </c>
      <c r="D186" s="767" t="s">
        <v>1225</v>
      </c>
      <c r="E186" s="768" t="s">
        <v>587</v>
      </c>
      <c r="F186" s="141">
        <v>66308843</v>
      </c>
      <c r="G186" s="141">
        <v>0</v>
      </c>
      <c r="H186" s="141">
        <v>66308843</v>
      </c>
      <c r="I186" s="141">
        <v>-650662</v>
      </c>
      <c r="J186" s="141">
        <v>0</v>
      </c>
      <c r="K186" s="141">
        <v>-650662</v>
      </c>
      <c r="L186" s="141">
        <v>-3058110</v>
      </c>
      <c r="M186" s="141">
        <v>0</v>
      </c>
      <c r="N186" s="141">
        <v>-3058110</v>
      </c>
      <c r="O186" s="141">
        <v>62600071</v>
      </c>
      <c r="P186" s="141">
        <v>0</v>
      </c>
      <c r="Q186" s="141">
        <v>62600071</v>
      </c>
      <c r="R186" s="141">
        <v>136663</v>
      </c>
      <c r="S186" s="141">
        <v>0</v>
      </c>
      <c r="T186" s="141">
        <v>136663</v>
      </c>
      <c r="U186" s="141">
        <v>0</v>
      </c>
      <c r="V186" s="141">
        <v>0</v>
      </c>
      <c r="W186" s="141">
        <v>0</v>
      </c>
      <c r="X186" s="141">
        <v>0</v>
      </c>
      <c r="Y186" s="141">
        <v>0</v>
      </c>
      <c r="Z186" s="141">
        <v>0</v>
      </c>
      <c r="AA186" s="141">
        <v>0</v>
      </c>
      <c r="AB186" s="141">
        <v>0</v>
      </c>
      <c r="AC186" s="141">
        <v>0</v>
      </c>
      <c r="AD186" s="141">
        <v>0</v>
      </c>
      <c r="AE186" s="141">
        <v>0</v>
      </c>
      <c r="AF186" s="141">
        <v>176264</v>
      </c>
      <c r="AG186" s="141">
        <v>176264</v>
      </c>
      <c r="AH186" s="141">
        <v>0</v>
      </c>
      <c r="AI186" s="141">
        <v>0</v>
      </c>
      <c r="AJ186" s="141">
        <v>0</v>
      </c>
      <c r="AK186" s="141">
        <v>0</v>
      </c>
      <c r="AL186" s="141">
        <v>0</v>
      </c>
      <c r="AM186" s="141">
        <v>0</v>
      </c>
      <c r="AN186" s="141">
        <v>0</v>
      </c>
      <c r="AO186" s="141">
        <v>0</v>
      </c>
      <c r="AP186" s="856">
        <v>0</v>
      </c>
      <c r="AQ186" s="856">
        <v>176264</v>
      </c>
      <c r="AR186" s="857">
        <v>176264</v>
      </c>
      <c r="AS186" t="s">
        <v>1752</v>
      </c>
    </row>
    <row r="187" spans="1:45" ht="12.75" x14ac:dyDescent="0.2">
      <c r="A187" s="764">
        <v>180</v>
      </c>
      <c r="B187" s="765" t="s">
        <v>245</v>
      </c>
      <c r="C187" s="766" t="s">
        <v>1217</v>
      </c>
      <c r="D187" s="767" t="s">
        <v>1221</v>
      </c>
      <c r="E187" s="768" t="s">
        <v>244</v>
      </c>
      <c r="F187" s="141">
        <v>39162473</v>
      </c>
      <c r="G187" s="141">
        <v>0</v>
      </c>
      <c r="H187" s="141">
        <v>39162473</v>
      </c>
      <c r="I187" s="141">
        <v>-650000</v>
      </c>
      <c r="J187" s="141">
        <v>0</v>
      </c>
      <c r="K187" s="141">
        <v>-650000</v>
      </c>
      <c r="L187" s="141">
        <v>-1000000</v>
      </c>
      <c r="M187" s="141">
        <v>0</v>
      </c>
      <c r="N187" s="141">
        <v>-1000000</v>
      </c>
      <c r="O187" s="141">
        <v>37512473</v>
      </c>
      <c r="P187" s="141">
        <v>0</v>
      </c>
      <c r="Q187" s="141">
        <v>37512473</v>
      </c>
      <c r="R187" s="141">
        <v>32228</v>
      </c>
      <c r="S187" s="141">
        <v>0</v>
      </c>
      <c r="T187" s="141">
        <v>32228</v>
      </c>
      <c r="U187" s="141">
        <v>0</v>
      </c>
      <c r="V187" s="141">
        <v>0</v>
      </c>
      <c r="W187" s="141">
        <v>0</v>
      </c>
      <c r="X187" s="141">
        <v>0</v>
      </c>
      <c r="Y187" s="141">
        <v>0</v>
      </c>
      <c r="Z187" s="141">
        <v>0</v>
      </c>
      <c r="AA187" s="141">
        <v>0</v>
      </c>
      <c r="AB187" s="141">
        <v>0</v>
      </c>
      <c r="AC187" s="141">
        <v>0</v>
      </c>
      <c r="AD187" s="141">
        <v>0</v>
      </c>
      <c r="AE187" s="141">
        <v>0</v>
      </c>
      <c r="AF187" s="141">
        <v>0</v>
      </c>
      <c r="AG187" s="141">
        <v>0</v>
      </c>
      <c r="AH187" s="141">
        <v>0</v>
      </c>
      <c r="AI187" s="141">
        <v>0</v>
      </c>
      <c r="AJ187" s="141">
        <v>0</v>
      </c>
      <c r="AK187" s="141">
        <v>0</v>
      </c>
      <c r="AL187" s="141">
        <v>0</v>
      </c>
      <c r="AM187" s="141">
        <v>0</v>
      </c>
      <c r="AN187" s="141">
        <v>0</v>
      </c>
      <c r="AO187" s="141">
        <v>0</v>
      </c>
      <c r="AP187" s="856">
        <v>0</v>
      </c>
      <c r="AQ187" s="856">
        <v>0</v>
      </c>
      <c r="AR187" s="857">
        <v>0</v>
      </c>
      <c r="AS187" t="s">
        <v>1753</v>
      </c>
    </row>
    <row r="188" spans="1:45" ht="12.75" x14ac:dyDescent="0.2">
      <c r="A188" s="764">
        <v>181</v>
      </c>
      <c r="B188" s="765" t="s">
        <v>247</v>
      </c>
      <c r="C188" s="766" t="s">
        <v>1217</v>
      </c>
      <c r="D188" s="767" t="s">
        <v>1220</v>
      </c>
      <c r="E188" s="768" t="s">
        <v>246</v>
      </c>
      <c r="F188" s="141">
        <v>28497809</v>
      </c>
      <c r="G188" s="141">
        <v>0</v>
      </c>
      <c r="H188" s="141">
        <v>28497809</v>
      </c>
      <c r="I188" s="141">
        <v>-150000</v>
      </c>
      <c r="J188" s="141">
        <v>0</v>
      </c>
      <c r="K188" s="141">
        <v>-150000</v>
      </c>
      <c r="L188" s="141">
        <v>-501027</v>
      </c>
      <c r="M188" s="141">
        <v>0</v>
      </c>
      <c r="N188" s="141">
        <v>-501027</v>
      </c>
      <c r="O188" s="141">
        <v>27846782</v>
      </c>
      <c r="P188" s="141">
        <v>0</v>
      </c>
      <c r="Q188" s="141">
        <v>27846782</v>
      </c>
      <c r="R188" s="141">
        <v>1683059</v>
      </c>
      <c r="S188" s="141">
        <v>0</v>
      </c>
      <c r="T188" s="141">
        <v>1683059</v>
      </c>
      <c r="U188" s="141">
        <v>0</v>
      </c>
      <c r="V188" s="141">
        <v>0</v>
      </c>
      <c r="W188" s="141">
        <v>0</v>
      </c>
      <c r="X188" s="141">
        <v>0</v>
      </c>
      <c r="Y188" s="141">
        <v>0</v>
      </c>
      <c r="Z188" s="141">
        <v>0</v>
      </c>
      <c r="AA188" s="141">
        <v>0</v>
      </c>
      <c r="AB188" s="141">
        <v>0</v>
      </c>
      <c r="AC188" s="141">
        <v>0</v>
      </c>
      <c r="AD188" s="141">
        <v>0</v>
      </c>
      <c r="AE188" s="141">
        <v>0</v>
      </c>
      <c r="AF188" s="141">
        <v>0</v>
      </c>
      <c r="AG188" s="141">
        <v>0</v>
      </c>
      <c r="AH188" s="141">
        <v>0</v>
      </c>
      <c r="AI188" s="141">
        <v>0</v>
      </c>
      <c r="AJ188" s="141">
        <v>0</v>
      </c>
      <c r="AK188" s="141">
        <v>0</v>
      </c>
      <c r="AL188" s="141">
        <v>0</v>
      </c>
      <c r="AM188" s="141">
        <v>0</v>
      </c>
      <c r="AN188" s="141">
        <v>0</v>
      </c>
      <c r="AO188" s="141">
        <v>0</v>
      </c>
      <c r="AP188" s="856">
        <v>0</v>
      </c>
      <c r="AQ188" s="856">
        <v>0</v>
      </c>
      <c r="AR188" s="857">
        <v>0</v>
      </c>
      <c r="AS188" t="s">
        <v>1754</v>
      </c>
    </row>
    <row r="189" spans="1:45" ht="12.75" x14ac:dyDescent="0.2">
      <c r="A189" s="764">
        <v>182</v>
      </c>
      <c r="B189" s="765" t="s">
        <v>249</v>
      </c>
      <c r="C189" s="766" t="s">
        <v>529</v>
      </c>
      <c r="D189" s="767" t="s">
        <v>1225</v>
      </c>
      <c r="E189" s="768" t="s">
        <v>588</v>
      </c>
      <c r="F189" s="141">
        <v>86590665</v>
      </c>
      <c r="G189" s="141">
        <v>2174202</v>
      </c>
      <c r="H189" s="141">
        <v>88764867</v>
      </c>
      <c r="I189" s="141">
        <v>-800000</v>
      </c>
      <c r="J189" s="141">
        <v>0</v>
      </c>
      <c r="K189" s="141">
        <v>-800000</v>
      </c>
      <c r="L189" s="141">
        <v>-4123121</v>
      </c>
      <c r="M189" s="141">
        <v>0</v>
      </c>
      <c r="N189" s="141">
        <v>-4123121</v>
      </c>
      <c r="O189" s="141">
        <v>81667544</v>
      </c>
      <c r="P189" s="141">
        <v>2174202</v>
      </c>
      <c r="Q189" s="141">
        <v>83841746</v>
      </c>
      <c r="R189" s="141">
        <v>2881193</v>
      </c>
      <c r="S189" s="141">
        <v>0</v>
      </c>
      <c r="T189" s="141">
        <v>2881193</v>
      </c>
      <c r="U189" s="141">
        <v>0</v>
      </c>
      <c r="V189" s="141">
        <v>0</v>
      </c>
      <c r="W189" s="141">
        <v>0</v>
      </c>
      <c r="X189" s="141">
        <v>1709</v>
      </c>
      <c r="Y189" s="141">
        <v>966173</v>
      </c>
      <c r="Z189" s="141">
        <v>1209738</v>
      </c>
      <c r="AA189" s="141">
        <v>1209738</v>
      </c>
      <c r="AB189" s="141">
        <v>0</v>
      </c>
      <c r="AC189" s="141">
        <v>0</v>
      </c>
      <c r="AD189" s="141">
        <v>0</v>
      </c>
      <c r="AE189" s="141">
        <v>0</v>
      </c>
      <c r="AF189" s="141">
        <v>81176</v>
      </c>
      <c r="AG189" s="141">
        <v>81176</v>
      </c>
      <c r="AH189" s="141">
        <v>0</v>
      </c>
      <c r="AI189" s="141">
        <v>0</v>
      </c>
      <c r="AJ189" s="141">
        <v>0</v>
      </c>
      <c r="AK189" s="141">
        <v>0</v>
      </c>
      <c r="AL189" s="141">
        <v>0</v>
      </c>
      <c r="AM189" s="141">
        <v>0</v>
      </c>
      <c r="AN189" s="141">
        <v>0</v>
      </c>
      <c r="AO189" s="141">
        <v>0</v>
      </c>
      <c r="AP189" s="856">
        <v>0</v>
      </c>
      <c r="AQ189" s="856">
        <v>81176</v>
      </c>
      <c r="AR189" s="857">
        <v>81176</v>
      </c>
      <c r="AS189" t="s">
        <v>1755</v>
      </c>
    </row>
    <row r="190" spans="1:45" ht="12.75" x14ac:dyDescent="0.2">
      <c r="A190" s="764">
        <v>183</v>
      </c>
      <c r="B190" s="765" t="s">
        <v>251</v>
      </c>
      <c r="C190" s="766" t="s">
        <v>1217</v>
      </c>
      <c r="D190" s="767" t="s">
        <v>1221</v>
      </c>
      <c r="E190" s="768" t="s">
        <v>250</v>
      </c>
      <c r="F190" s="141">
        <v>27229246</v>
      </c>
      <c r="G190" s="141">
        <v>0</v>
      </c>
      <c r="H190" s="141">
        <v>27229246</v>
      </c>
      <c r="I190" s="141">
        <v>-100000</v>
      </c>
      <c r="J190" s="141">
        <v>0</v>
      </c>
      <c r="K190" s="141">
        <v>-100000</v>
      </c>
      <c r="L190" s="141">
        <v>-1802384</v>
      </c>
      <c r="M190" s="141">
        <v>0</v>
      </c>
      <c r="N190" s="141">
        <v>-1802384</v>
      </c>
      <c r="O190" s="141">
        <v>25326862</v>
      </c>
      <c r="P190" s="141">
        <v>0</v>
      </c>
      <c r="Q190" s="141">
        <v>25326862</v>
      </c>
      <c r="R190" s="141">
        <v>654938</v>
      </c>
      <c r="S190" s="141">
        <v>0</v>
      </c>
      <c r="T190" s="141">
        <v>654938</v>
      </c>
      <c r="U190" s="141">
        <v>0</v>
      </c>
      <c r="V190" s="141">
        <v>0</v>
      </c>
      <c r="W190" s="141">
        <v>0</v>
      </c>
      <c r="X190" s="141">
        <v>29861</v>
      </c>
      <c r="Y190" s="141">
        <v>0</v>
      </c>
      <c r="Z190" s="141">
        <v>29861</v>
      </c>
      <c r="AA190" s="141">
        <v>29861</v>
      </c>
      <c r="AB190" s="141">
        <v>0</v>
      </c>
      <c r="AC190" s="141">
        <v>0</v>
      </c>
      <c r="AD190" s="141">
        <v>0</v>
      </c>
      <c r="AE190" s="141">
        <v>0</v>
      </c>
      <c r="AF190" s="141">
        <v>272414</v>
      </c>
      <c r="AG190" s="141">
        <v>272414</v>
      </c>
      <c r="AH190" s="141">
        <v>0</v>
      </c>
      <c r="AI190" s="141">
        <v>0</v>
      </c>
      <c r="AJ190" s="141">
        <v>0</v>
      </c>
      <c r="AK190" s="141">
        <v>0</v>
      </c>
      <c r="AL190" s="141">
        <v>0</v>
      </c>
      <c r="AM190" s="141">
        <v>0</v>
      </c>
      <c r="AN190" s="141">
        <v>0</v>
      </c>
      <c r="AO190" s="141">
        <v>0</v>
      </c>
      <c r="AP190" s="856">
        <v>0</v>
      </c>
      <c r="AQ190" s="856">
        <v>272414</v>
      </c>
      <c r="AR190" s="857">
        <v>272414</v>
      </c>
      <c r="AS190" t="s">
        <v>1756</v>
      </c>
    </row>
    <row r="191" spans="1:45" ht="12.75" x14ac:dyDescent="0.2">
      <c r="A191" s="764">
        <v>184</v>
      </c>
      <c r="B191" s="765" t="s">
        <v>253</v>
      </c>
      <c r="C191" s="766" t="s">
        <v>529</v>
      </c>
      <c r="D191" s="767" t="s">
        <v>1226</v>
      </c>
      <c r="E191" s="768" t="s">
        <v>533</v>
      </c>
      <c r="F191" s="141">
        <v>62712044</v>
      </c>
      <c r="G191" s="141">
        <v>914914</v>
      </c>
      <c r="H191" s="141">
        <v>63626958</v>
      </c>
      <c r="I191" s="141">
        <v>-1189840</v>
      </c>
      <c r="J191" s="141">
        <v>-18000</v>
      </c>
      <c r="K191" s="141">
        <v>-1207840</v>
      </c>
      <c r="L191" s="141">
        <v>-3635263</v>
      </c>
      <c r="M191" s="141">
        <v>-21000</v>
      </c>
      <c r="N191" s="141">
        <v>-3656263</v>
      </c>
      <c r="O191" s="141">
        <v>57886941</v>
      </c>
      <c r="P191" s="141">
        <v>875914</v>
      </c>
      <c r="Q191" s="141">
        <v>58762855</v>
      </c>
      <c r="R191" s="141">
        <v>91224</v>
      </c>
      <c r="S191" s="141">
        <v>0</v>
      </c>
      <c r="T191" s="141">
        <v>91224</v>
      </c>
      <c r="U191" s="141">
        <v>0</v>
      </c>
      <c r="V191" s="141">
        <v>0</v>
      </c>
      <c r="W191" s="141">
        <v>0</v>
      </c>
      <c r="X191" s="141">
        <v>-59762</v>
      </c>
      <c r="Y191" s="141">
        <v>193888</v>
      </c>
      <c r="Z191" s="141">
        <v>622264</v>
      </c>
      <c r="AA191" s="141">
        <v>622264</v>
      </c>
      <c r="AB191" s="141">
        <v>0</v>
      </c>
      <c r="AC191" s="141">
        <v>0</v>
      </c>
      <c r="AD191" s="141">
        <v>0</v>
      </c>
      <c r="AE191" s="141">
        <v>0</v>
      </c>
      <c r="AF191" s="141">
        <v>0</v>
      </c>
      <c r="AG191" s="141">
        <v>0</v>
      </c>
      <c r="AH191" s="141">
        <v>0</v>
      </c>
      <c r="AI191" s="141">
        <v>0</v>
      </c>
      <c r="AJ191" s="141">
        <v>0</v>
      </c>
      <c r="AK191" s="141">
        <v>0</v>
      </c>
      <c r="AL191" s="141">
        <v>0</v>
      </c>
      <c r="AM191" s="141">
        <v>0</v>
      </c>
      <c r="AN191" s="141">
        <v>1365840</v>
      </c>
      <c r="AO191" s="141">
        <v>696578</v>
      </c>
      <c r="AP191" s="856">
        <v>696578</v>
      </c>
      <c r="AQ191" s="856">
        <v>0</v>
      </c>
      <c r="AR191" s="857">
        <v>696578</v>
      </c>
      <c r="AS191" t="s">
        <v>1757</v>
      </c>
    </row>
    <row r="192" spans="1:45" ht="12.75" x14ac:dyDescent="0.2">
      <c r="A192" s="764">
        <v>185</v>
      </c>
      <c r="B192" s="765" t="s">
        <v>255</v>
      </c>
      <c r="C192" s="766" t="s">
        <v>1224</v>
      </c>
      <c r="D192" s="767" t="s">
        <v>1229</v>
      </c>
      <c r="E192" s="768" t="s">
        <v>254</v>
      </c>
      <c r="F192" s="141">
        <v>59488939</v>
      </c>
      <c r="G192" s="141">
        <v>752845</v>
      </c>
      <c r="H192" s="141">
        <v>60241784</v>
      </c>
      <c r="I192" s="141">
        <v>-594889</v>
      </c>
      <c r="J192" s="141">
        <v>0</v>
      </c>
      <c r="K192" s="141">
        <v>-594889</v>
      </c>
      <c r="L192" s="141">
        <v>-1000000</v>
      </c>
      <c r="M192" s="141">
        <v>0</v>
      </c>
      <c r="N192" s="141">
        <v>-1000000</v>
      </c>
      <c r="O192" s="141">
        <v>57894050</v>
      </c>
      <c r="P192" s="141">
        <v>752845</v>
      </c>
      <c r="Q192" s="141">
        <v>58646895</v>
      </c>
      <c r="R192" s="141">
        <v>0</v>
      </c>
      <c r="S192" s="141">
        <v>0</v>
      </c>
      <c r="T192" s="141">
        <v>0</v>
      </c>
      <c r="U192" s="141">
        <v>0</v>
      </c>
      <c r="V192" s="141">
        <v>0</v>
      </c>
      <c r="W192" s="141">
        <v>0</v>
      </c>
      <c r="X192" s="141">
        <v>12059</v>
      </c>
      <c r="Y192" s="141">
        <v>613621</v>
      </c>
      <c r="Z192" s="141">
        <v>151283</v>
      </c>
      <c r="AA192" s="141">
        <v>151283</v>
      </c>
      <c r="AB192" s="141">
        <v>0</v>
      </c>
      <c r="AC192" s="141">
        <v>0</v>
      </c>
      <c r="AD192" s="141">
        <v>0</v>
      </c>
      <c r="AE192" s="141">
        <v>0</v>
      </c>
      <c r="AF192" s="141">
        <v>24187</v>
      </c>
      <c r="AG192" s="141">
        <v>24187</v>
      </c>
      <c r="AH192" s="141">
        <v>0</v>
      </c>
      <c r="AI192" s="141">
        <v>0</v>
      </c>
      <c r="AJ192" s="141">
        <v>0</v>
      </c>
      <c r="AK192" s="141">
        <v>0</v>
      </c>
      <c r="AL192" s="141">
        <v>0</v>
      </c>
      <c r="AM192" s="141">
        <v>0</v>
      </c>
      <c r="AN192" s="141">
        <v>0</v>
      </c>
      <c r="AO192" s="141">
        <v>0</v>
      </c>
      <c r="AP192" s="856">
        <v>0</v>
      </c>
      <c r="AQ192" s="856">
        <v>24187</v>
      </c>
      <c r="AR192" s="857">
        <v>24187</v>
      </c>
      <c r="AS192" t="s">
        <v>1758</v>
      </c>
    </row>
    <row r="193" spans="1:45" ht="12.75" x14ac:dyDescent="0.2">
      <c r="A193" s="764">
        <v>186</v>
      </c>
      <c r="B193" s="765" t="s">
        <v>257</v>
      </c>
      <c r="C193" s="766" t="s">
        <v>1217</v>
      </c>
      <c r="D193" s="767" t="s">
        <v>1227</v>
      </c>
      <c r="E193" s="768" t="s">
        <v>256</v>
      </c>
      <c r="F193" s="141">
        <v>54166384.020000003</v>
      </c>
      <c r="G193" s="141">
        <v>0</v>
      </c>
      <c r="H193" s="141">
        <v>54166384.020000003</v>
      </c>
      <c r="I193" s="141">
        <v>-200000</v>
      </c>
      <c r="J193" s="141">
        <v>0</v>
      </c>
      <c r="K193" s="141">
        <v>-200000</v>
      </c>
      <c r="L193" s="141">
        <v>-4850000</v>
      </c>
      <c r="M193" s="141">
        <v>0</v>
      </c>
      <c r="N193" s="141">
        <v>-4850000</v>
      </c>
      <c r="O193" s="141">
        <v>49116384.020000003</v>
      </c>
      <c r="P193" s="141">
        <v>0</v>
      </c>
      <c r="Q193" s="141">
        <v>49116384.020000003</v>
      </c>
      <c r="R193" s="141">
        <v>0</v>
      </c>
      <c r="S193" s="141">
        <v>0</v>
      </c>
      <c r="T193" s="141">
        <v>0</v>
      </c>
      <c r="U193" s="141">
        <v>0</v>
      </c>
      <c r="V193" s="141">
        <v>0</v>
      </c>
      <c r="W193" s="141">
        <v>0</v>
      </c>
      <c r="X193" s="141">
        <v>0</v>
      </c>
      <c r="Y193" s="141">
        <v>0</v>
      </c>
      <c r="Z193" s="141">
        <v>0</v>
      </c>
      <c r="AA193" s="141">
        <v>0</v>
      </c>
      <c r="AB193" s="141">
        <v>0</v>
      </c>
      <c r="AC193" s="141">
        <v>0</v>
      </c>
      <c r="AD193" s="141">
        <v>0</v>
      </c>
      <c r="AE193" s="141">
        <v>0</v>
      </c>
      <c r="AF193" s="141">
        <v>0</v>
      </c>
      <c r="AG193" s="141">
        <v>0</v>
      </c>
      <c r="AH193" s="141">
        <v>0</v>
      </c>
      <c r="AI193" s="141">
        <v>0</v>
      </c>
      <c r="AJ193" s="141">
        <v>0</v>
      </c>
      <c r="AK193" s="141">
        <v>0</v>
      </c>
      <c r="AL193" s="141">
        <v>0</v>
      </c>
      <c r="AM193" s="141">
        <v>0</v>
      </c>
      <c r="AN193" s="141">
        <v>0</v>
      </c>
      <c r="AO193" s="141">
        <v>0</v>
      </c>
      <c r="AP193" s="856">
        <v>0</v>
      </c>
      <c r="AQ193" s="856">
        <v>0</v>
      </c>
      <c r="AR193" s="857">
        <v>0</v>
      </c>
      <c r="AS193" t="s">
        <v>1759</v>
      </c>
    </row>
    <row r="194" spans="1:45" ht="12.75" x14ac:dyDescent="0.2">
      <c r="A194" s="764">
        <v>187</v>
      </c>
      <c r="B194" s="765" t="s">
        <v>263</v>
      </c>
      <c r="C194" s="766" t="s">
        <v>1217</v>
      </c>
      <c r="D194" s="767" t="s">
        <v>1220</v>
      </c>
      <c r="E194" s="768" t="s">
        <v>262</v>
      </c>
      <c r="F194" s="141">
        <v>64697866</v>
      </c>
      <c r="G194" s="141">
        <v>0</v>
      </c>
      <c r="H194" s="141">
        <v>64697866</v>
      </c>
      <c r="I194" s="141">
        <v>-9038</v>
      </c>
      <c r="J194" s="141">
        <v>0</v>
      </c>
      <c r="K194" s="141">
        <v>-9038</v>
      </c>
      <c r="L194" s="141">
        <v>-1017412</v>
      </c>
      <c r="M194" s="141">
        <v>0</v>
      </c>
      <c r="N194" s="141">
        <v>-1017412</v>
      </c>
      <c r="O194" s="141">
        <v>63671416</v>
      </c>
      <c r="P194" s="141">
        <v>0</v>
      </c>
      <c r="Q194" s="141">
        <v>63671416</v>
      </c>
      <c r="R194" s="141">
        <v>174740</v>
      </c>
      <c r="S194" s="141">
        <v>0</v>
      </c>
      <c r="T194" s="141">
        <v>174740</v>
      </c>
      <c r="U194" s="141">
        <v>0</v>
      </c>
      <c r="V194" s="141">
        <v>0</v>
      </c>
      <c r="W194" s="141">
        <v>0</v>
      </c>
      <c r="X194" s="141">
        <v>0</v>
      </c>
      <c r="Y194" s="141">
        <v>0</v>
      </c>
      <c r="Z194" s="141">
        <v>0</v>
      </c>
      <c r="AA194" s="141">
        <v>0</v>
      </c>
      <c r="AB194" s="141">
        <v>0</v>
      </c>
      <c r="AC194" s="141">
        <v>0</v>
      </c>
      <c r="AD194" s="141">
        <v>0</v>
      </c>
      <c r="AE194" s="141">
        <v>0</v>
      </c>
      <c r="AF194" s="141">
        <v>0</v>
      </c>
      <c r="AG194" s="141">
        <v>0</v>
      </c>
      <c r="AH194" s="141">
        <v>0</v>
      </c>
      <c r="AI194" s="141">
        <v>0</v>
      </c>
      <c r="AJ194" s="141">
        <v>0</v>
      </c>
      <c r="AK194" s="141">
        <v>0</v>
      </c>
      <c r="AL194" s="141">
        <v>0</v>
      </c>
      <c r="AM194" s="141">
        <v>0</v>
      </c>
      <c r="AN194" s="141">
        <v>0</v>
      </c>
      <c r="AO194" s="141">
        <v>0</v>
      </c>
      <c r="AP194" s="856">
        <v>0</v>
      </c>
      <c r="AQ194" s="856">
        <v>0</v>
      </c>
      <c r="AR194" s="857">
        <v>0</v>
      </c>
      <c r="AS194" t="s">
        <v>1760</v>
      </c>
    </row>
    <row r="195" spans="1:45" ht="12.75" x14ac:dyDescent="0.2">
      <c r="A195" s="764">
        <v>188</v>
      </c>
      <c r="B195" s="765" t="s">
        <v>265</v>
      </c>
      <c r="C195" s="766" t="s">
        <v>1217</v>
      </c>
      <c r="D195" s="767" t="s">
        <v>1220</v>
      </c>
      <c r="E195" s="768" t="s">
        <v>264</v>
      </c>
      <c r="F195" s="141">
        <v>101219043</v>
      </c>
      <c r="G195" s="141">
        <v>4330528</v>
      </c>
      <c r="H195" s="141">
        <v>105549571</v>
      </c>
      <c r="I195" s="141">
        <v>-1199639</v>
      </c>
      <c r="J195" s="141">
        <v>-50361</v>
      </c>
      <c r="K195" s="141">
        <v>-1250000</v>
      </c>
      <c r="L195" s="141">
        <v>-3787506</v>
      </c>
      <c r="M195" s="141">
        <v>-62202</v>
      </c>
      <c r="N195" s="141">
        <v>-3849708</v>
      </c>
      <c r="O195" s="141">
        <v>96231898</v>
      </c>
      <c r="P195" s="141">
        <v>4217965</v>
      </c>
      <c r="Q195" s="141">
        <v>100449863</v>
      </c>
      <c r="R195" s="141">
        <v>0</v>
      </c>
      <c r="S195" s="141">
        <v>0</v>
      </c>
      <c r="T195" s="141">
        <v>0</v>
      </c>
      <c r="U195" s="141">
        <v>0</v>
      </c>
      <c r="V195" s="141">
        <v>0</v>
      </c>
      <c r="W195" s="141">
        <v>0</v>
      </c>
      <c r="X195" s="141">
        <v>-94715</v>
      </c>
      <c r="Y195" s="141">
        <v>3335656</v>
      </c>
      <c r="Z195" s="141">
        <v>787594</v>
      </c>
      <c r="AA195" s="141">
        <v>787594</v>
      </c>
      <c r="AB195" s="141">
        <v>0</v>
      </c>
      <c r="AC195" s="141">
        <v>0</v>
      </c>
      <c r="AD195" s="141">
        <v>0</v>
      </c>
      <c r="AE195" s="141">
        <v>0</v>
      </c>
      <c r="AF195" s="141">
        <v>623308</v>
      </c>
      <c r="AG195" s="141">
        <v>623308</v>
      </c>
      <c r="AH195" s="141">
        <v>0</v>
      </c>
      <c r="AI195" s="141">
        <v>0</v>
      </c>
      <c r="AJ195" s="141">
        <v>0</v>
      </c>
      <c r="AK195" s="141">
        <v>0</v>
      </c>
      <c r="AL195" s="141">
        <v>0</v>
      </c>
      <c r="AM195" s="141">
        <v>0</v>
      </c>
      <c r="AN195" s="141">
        <v>0</v>
      </c>
      <c r="AO195" s="141">
        <v>0</v>
      </c>
      <c r="AP195" s="856">
        <v>0</v>
      </c>
      <c r="AQ195" s="856">
        <v>623308</v>
      </c>
      <c r="AR195" s="857">
        <v>623308</v>
      </c>
      <c r="AS195" t="s">
        <v>1761</v>
      </c>
    </row>
    <row r="196" spans="1:45" ht="12.75" x14ac:dyDescent="0.2">
      <c r="A196" s="764">
        <v>189</v>
      </c>
      <c r="B196" s="765" t="s">
        <v>267</v>
      </c>
      <c r="C196" s="766" t="s">
        <v>529</v>
      </c>
      <c r="D196" s="767" t="s">
        <v>1229</v>
      </c>
      <c r="E196" s="768" t="s">
        <v>266</v>
      </c>
      <c r="F196" s="141">
        <v>84214970</v>
      </c>
      <c r="G196" s="141">
        <v>288447</v>
      </c>
      <c r="H196" s="141">
        <v>84503417</v>
      </c>
      <c r="I196" s="141">
        <v>-500000</v>
      </c>
      <c r="J196" s="141">
        <v>0</v>
      </c>
      <c r="K196" s="141">
        <v>-500000</v>
      </c>
      <c r="L196" s="141">
        <v>-5218066</v>
      </c>
      <c r="M196" s="141">
        <v>0</v>
      </c>
      <c r="N196" s="141">
        <v>-5218066</v>
      </c>
      <c r="O196" s="141">
        <v>78496904</v>
      </c>
      <c r="P196" s="141">
        <v>288447</v>
      </c>
      <c r="Q196" s="141">
        <v>78785351</v>
      </c>
      <c r="R196" s="141">
        <v>2842372</v>
      </c>
      <c r="S196" s="141">
        <v>0</v>
      </c>
      <c r="T196" s="141">
        <v>2842372</v>
      </c>
      <c r="U196" s="141">
        <v>0</v>
      </c>
      <c r="V196" s="141">
        <v>0</v>
      </c>
      <c r="W196" s="141">
        <v>0</v>
      </c>
      <c r="X196" s="141">
        <v>11003</v>
      </c>
      <c r="Y196" s="141">
        <v>36214</v>
      </c>
      <c r="Z196" s="141">
        <v>278145</v>
      </c>
      <c r="AA196" s="141">
        <v>278145</v>
      </c>
      <c r="AB196" s="141">
        <v>0</v>
      </c>
      <c r="AC196" s="141">
        <v>0</v>
      </c>
      <c r="AD196" s="141">
        <v>0</v>
      </c>
      <c r="AE196" s="141">
        <v>0</v>
      </c>
      <c r="AF196" s="141">
        <v>96195</v>
      </c>
      <c r="AG196" s="141">
        <v>96195</v>
      </c>
      <c r="AH196" s="141">
        <v>0</v>
      </c>
      <c r="AI196" s="141">
        <v>0</v>
      </c>
      <c r="AJ196" s="141">
        <v>0</v>
      </c>
      <c r="AK196" s="141">
        <v>0</v>
      </c>
      <c r="AL196" s="141">
        <v>0</v>
      </c>
      <c r="AM196" s="141">
        <v>0</v>
      </c>
      <c r="AN196" s="141">
        <v>0</v>
      </c>
      <c r="AO196" s="141">
        <v>0</v>
      </c>
      <c r="AP196" s="856">
        <v>0</v>
      </c>
      <c r="AQ196" s="856">
        <v>96195</v>
      </c>
      <c r="AR196" s="857">
        <v>96195</v>
      </c>
      <c r="AS196" t="s">
        <v>1762</v>
      </c>
    </row>
    <row r="197" spans="1:45" ht="12.75" x14ac:dyDescent="0.2">
      <c r="A197" s="764">
        <v>190</v>
      </c>
      <c r="B197" s="765" t="s">
        <v>269</v>
      </c>
      <c r="C197" s="766" t="s">
        <v>1217</v>
      </c>
      <c r="D197" s="767" t="s">
        <v>1221</v>
      </c>
      <c r="E197" s="768" t="s">
        <v>268</v>
      </c>
      <c r="F197" s="141">
        <v>77340628</v>
      </c>
      <c r="G197" s="141">
        <v>0</v>
      </c>
      <c r="H197" s="141">
        <v>77340628</v>
      </c>
      <c r="I197" s="141">
        <v>-769699</v>
      </c>
      <c r="J197" s="141">
        <v>0</v>
      </c>
      <c r="K197" s="141">
        <v>-769699</v>
      </c>
      <c r="L197" s="141">
        <v>-1154548</v>
      </c>
      <c r="M197" s="141">
        <v>0</v>
      </c>
      <c r="N197" s="141">
        <v>-1154548</v>
      </c>
      <c r="O197" s="141">
        <v>75416381</v>
      </c>
      <c r="P197" s="141">
        <v>0</v>
      </c>
      <c r="Q197" s="141">
        <v>75416381</v>
      </c>
      <c r="R197" s="141">
        <v>0</v>
      </c>
      <c r="S197" s="141">
        <v>0</v>
      </c>
      <c r="T197" s="141">
        <v>0</v>
      </c>
      <c r="U197" s="141">
        <v>0</v>
      </c>
      <c r="V197" s="141">
        <v>0</v>
      </c>
      <c r="W197" s="141">
        <v>0</v>
      </c>
      <c r="X197" s="141">
        <v>0</v>
      </c>
      <c r="Y197" s="141">
        <v>0</v>
      </c>
      <c r="Z197" s="141">
        <v>0</v>
      </c>
      <c r="AA197" s="141">
        <v>0</v>
      </c>
      <c r="AB197" s="141">
        <v>0</v>
      </c>
      <c r="AC197" s="141">
        <v>0</v>
      </c>
      <c r="AD197" s="141">
        <v>0</v>
      </c>
      <c r="AE197" s="141">
        <v>0</v>
      </c>
      <c r="AF197" s="141">
        <v>0</v>
      </c>
      <c r="AG197" s="141">
        <v>0</v>
      </c>
      <c r="AH197" s="141">
        <v>0</v>
      </c>
      <c r="AI197" s="141">
        <v>0</v>
      </c>
      <c r="AJ197" s="141">
        <v>0</v>
      </c>
      <c r="AK197" s="141">
        <v>0</v>
      </c>
      <c r="AL197" s="141">
        <v>0</v>
      </c>
      <c r="AM197" s="141">
        <v>0</v>
      </c>
      <c r="AN197" s="141">
        <v>0</v>
      </c>
      <c r="AO197" s="141">
        <v>0</v>
      </c>
      <c r="AP197" s="856">
        <v>0</v>
      </c>
      <c r="AQ197" s="856">
        <v>0</v>
      </c>
      <c r="AR197" s="857">
        <v>0</v>
      </c>
      <c r="AS197" t="s">
        <v>1763</v>
      </c>
    </row>
    <row r="198" spans="1:45" ht="12.75" x14ac:dyDescent="0.2">
      <c r="A198" s="764">
        <v>191</v>
      </c>
      <c r="B198" s="765" t="s">
        <v>271</v>
      </c>
      <c r="C198" s="766" t="s">
        <v>529</v>
      </c>
      <c r="D198" s="767" t="s">
        <v>1220</v>
      </c>
      <c r="E198" s="768" t="s">
        <v>606</v>
      </c>
      <c r="F198" s="141">
        <v>131620356</v>
      </c>
      <c r="G198" s="141">
        <v>10829897</v>
      </c>
      <c r="H198" s="141">
        <v>142450253</v>
      </c>
      <c r="I198" s="141">
        <v>-1116000</v>
      </c>
      <c r="J198" s="141">
        <v>-84000</v>
      </c>
      <c r="K198" s="141">
        <v>-1200000</v>
      </c>
      <c r="L198" s="141">
        <v>-5908000</v>
      </c>
      <c r="M198" s="141">
        <v>-445000</v>
      </c>
      <c r="N198" s="141">
        <v>-6353000</v>
      </c>
      <c r="O198" s="141">
        <v>124596356</v>
      </c>
      <c r="P198" s="141">
        <v>10300897</v>
      </c>
      <c r="Q198" s="141">
        <v>134897253</v>
      </c>
      <c r="R198" s="141">
        <v>0</v>
      </c>
      <c r="S198" s="141">
        <v>0</v>
      </c>
      <c r="T198" s="141">
        <v>0</v>
      </c>
      <c r="U198" s="141">
        <v>0</v>
      </c>
      <c r="V198" s="141">
        <v>0</v>
      </c>
      <c r="W198" s="141">
        <v>0</v>
      </c>
      <c r="X198" s="141">
        <v>85439</v>
      </c>
      <c r="Y198" s="141">
        <v>11522989</v>
      </c>
      <c r="Z198" s="141">
        <v>0</v>
      </c>
      <c r="AA198" s="141">
        <v>0</v>
      </c>
      <c r="AB198" s="141">
        <v>0</v>
      </c>
      <c r="AC198" s="141">
        <v>0</v>
      </c>
      <c r="AD198" s="141">
        <v>0</v>
      </c>
      <c r="AE198" s="141">
        <v>0</v>
      </c>
      <c r="AF198" s="141">
        <v>0</v>
      </c>
      <c r="AG198" s="141">
        <v>0</v>
      </c>
      <c r="AH198" s="141">
        <v>0</v>
      </c>
      <c r="AI198" s="141">
        <v>0</v>
      </c>
      <c r="AJ198" s="141">
        <v>0</v>
      </c>
      <c r="AK198" s="141">
        <v>0</v>
      </c>
      <c r="AL198" s="141">
        <v>0</v>
      </c>
      <c r="AM198" s="141">
        <v>0</v>
      </c>
      <c r="AN198" s="141">
        <v>0</v>
      </c>
      <c r="AO198" s="141">
        <v>0</v>
      </c>
      <c r="AP198" s="856">
        <v>0</v>
      </c>
      <c r="AQ198" s="856">
        <v>0</v>
      </c>
      <c r="AR198" s="857">
        <v>0</v>
      </c>
      <c r="AS198" t="s">
        <v>1764</v>
      </c>
    </row>
    <row r="199" spans="1:45" ht="12.75" x14ac:dyDescent="0.2">
      <c r="A199" s="764">
        <v>192</v>
      </c>
      <c r="B199" s="765" t="s">
        <v>273</v>
      </c>
      <c r="C199" s="766" t="s">
        <v>1217</v>
      </c>
      <c r="D199" s="767" t="s">
        <v>1227</v>
      </c>
      <c r="E199" s="768" t="s">
        <v>272</v>
      </c>
      <c r="F199" s="141">
        <v>35878132</v>
      </c>
      <c r="G199" s="141">
        <v>0</v>
      </c>
      <c r="H199" s="141">
        <v>35878132</v>
      </c>
      <c r="I199" s="141">
        <v>-250000</v>
      </c>
      <c r="J199" s="141">
        <v>0</v>
      </c>
      <c r="K199" s="141">
        <v>-250000</v>
      </c>
      <c r="L199" s="141">
        <v>-1000000</v>
      </c>
      <c r="M199" s="141">
        <v>0</v>
      </c>
      <c r="N199" s="141">
        <v>-1000000</v>
      </c>
      <c r="O199" s="141">
        <v>34628132</v>
      </c>
      <c r="P199" s="141">
        <v>0</v>
      </c>
      <c r="Q199" s="141">
        <v>34628132</v>
      </c>
      <c r="R199" s="141">
        <v>0</v>
      </c>
      <c r="S199" s="141">
        <v>0</v>
      </c>
      <c r="T199" s="141">
        <v>0</v>
      </c>
      <c r="U199" s="141">
        <v>0</v>
      </c>
      <c r="V199" s="141">
        <v>0</v>
      </c>
      <c r="W199" s="141">
        <v>0</v>
      </c>
      <c r="X199" s="141">
        <v>0</v>
      </c>
      <c r="Y199" s="141">
        <v>0</v>
      </c>
      <c r="Z199" s="141">
        <v>0</v>
      </c>
      <c r="AA199" s="141">
        <v>0</v>
      </c>
      <c r="AB199" s="141">
        <v>0</v>
      </c>
      <c r="AC199" s="141">
        <v>0</v>
      </c>
      <c r="AD199" s="141">
        <v>0</v>
      </c>
      <c r="AE199" s="141">
        <v>0</v>
      </c>
      <c r="AF199" s="141">
        <v>0</v>
      </c>
      <c r="AG199" s="141">
        <v>0</v>
      </c>
      <c r="AH199" s="141">
        <v>0</v>
      </c>
      <c r="AI199" s="141">
        <v>0</v>
      </c>
      <c r="AJ199" s="141">
        <v>0</v>
      </c>
      <c r="AK199" s="141">
        <v>0</v>
      </c>
      <c r="AL199" s="141">
        <v>0</v>
      </c>
      <c r="AM199" s="141">
        <v>0</v>
      </c>
      <c r="AN199" s="141">
        <v>0</v>
      </c>
      <c r="AO199" s="141">
        <v>0</v>
      </c>
      <c r="AP199" s="856">
        <v>0</v>
      </c>
      <c r="AQ199" s="856">
        <v>0</v>
      </c>
      <c r="AR199" s="857">
        <v>0</v>
      </c>
      <c r="AS199" t="s">
        <v>1765</v>
      </c>
    </row>
    <row r="200" spans="1:45" ht="12.75" x14ac:dyDescent="0.2">
      <c r="A200" s="764">
        <v>193</v>
      </c>
      <c r="B200" s="765" t="s">
        <v>275</v>
      </c>
      <c r="C200" s="766" t="s">
        <v>1217</v>
      </c>
      <c r="D200" s="767" t="s">
        <v>1220</v>
      </c>
      <c r="E200" s="768" t="s">
        <v>274</v>
      </c>
      <c r="F200" s="141">
        <v>12702503</v>
      </c>
      <c r="G200" s="141">
        <v>0</v>
      </c>
      <c r="H200" s="141">
        <v>12702503</v>
      </c>
      <c r="I200" s="141">
        <v>-85000</v>
      </c>
      <c r="J200" s="141">
        <v>0</v>
      </c>
      <c r="K200" s="141">
        <v>-85000</v>
      </c>
      <c r="L200" s="141">
        <v>-508100</v>
      </c>
      <c r="M200" s="141">
        <v>0</v>
      </c>
      <c r="N200" s="141">
        <v>-508100</v>
      </c>
      <c r="O200" s="141">
        <v>12109403</v>
      </c>
      <c r="P200" s="141">
        <v>0</v>
      </c>
      <c r="Q200" s="141">
        <v>12109403</v>
      </c>
      <c r="R200" s="141">
        <v>8446</v>
      </c>
      <c r="S200" s="141">
        <v>0</v>
      </c>
      <c r="T200" s="141">
        <v>8446</v>
      </c>
      <c r="U200" s="141">
        <v>0</v>
      </c>
      <c r="V200" s="141">
        <v>0</v>
      </c>
      <c r="W200" s="141">
        <v>0</v>
      </c>
      <c r="X200" s="141">
        <v>0</v>
      </c>
      <c r="Y200" s="141">
        <v>0</v>
      </c>
      <c r="Z200" s="141">
        <v>0</v>
      </c>
      <c r="AA200" s="141">
        <v>0</v>
      </c>
      <c r="AB200" s="141">
        <v>0</v>
      </c>
      <c r="AC200" s="141">
        <v>0</v>
      </c>
      <c r="AD200" s="141">
        <v>0</v>
      </c>
      <c r="AE200" s="141">
        <v>0</v>
      </c>
      <c r="AF200" s="141">
        <v>0</v>
      </c>
      <c r="AG200" s="141">
        <v>0</v>
      </c>
      <c r="AH200" s="141">
        <v>0</v>
      </c>
      <c r="AI200" s="141">
        <v>0</v>
      </c>
      <c r="AJ200" s="141">
        <v>0</v>
      </c>
      <c r="AK200" s="141">
        <v>0</v>
      </c>
      <c r="AL200" s="141">
        <v>0</v>
      </c>
      <c r="AM200" s="141">
        <v>0</v>
      </c>
      <c r="AN200" s="141">
        <v>0</v>
      </c>
      <c r="AO200" s="141">
        <v>0</v>
      </c>
      <c r="AP200" s="856">
        <v>0</v>
      </c>
      <c r="AQ200" s="856">
        <v>0</v>
      </c>
      <c r="AR200" s="857">
        <v>0</v>
      </c>
      <c r="AS200" t="s">
        <v>1766</v>
      </c>
    </row>
    <row r="201" spans="1:45" ht="12.75" x14ac:dyDescent="0.2">
      <c r="A201" s="764">
        <v>194</v>
      </c>
      <c r="B201" s="765" t="s">
        <v>277</v>
      </c>
      <c r="C201" s="766" t="s">
        <v>1224</v>
      </c>
      <c r="D201" s="767" t="s">
        <v>1219</v>
      </c>
      <c r="E201" s="768" t="s">
        <v>276</v>
      </c>
      <c r="F201" s="141">
        <v>59156404</v>
      </c>
      <c r="G201" s="141">
        <v>0</v>
      </c>
      <c r="H201" s="141">
        <v>59156404</v>
      </c>
      <c r="I201" s="141">
        <v>-1597223</v>
      </c>
      <c r="J201" s="141">
        <v>0</v>
      </c>
      <c r="K201" s="141">
        <v>-1597223</v>
      </c>
      <c r="L201" s="141">
        <v>-2236112</v>
      </c>
      <c r="M201" s="141">
        <v>0</v>
      </c>
      <c r="N201" s="141">
        <v>-2236112</v>
      </c>
      <c r="O201" s="141">
        <v>55323069</v>
      </c>
      <c r="P201" s="141">
        <v>0</v>
      </c>
      <c r="Q201" s="141">
        <v>55323069</v>
      </c>
      <c r="R201" s="141">
        <v>0</v>
      </c>
      <c r="S201" s="141">
        <v>0</v>
      </c>
      <c r="T201" s="141">
        <v>0</v>
      </c>
      <c r="U201" s="141">
        <v>0</v>
      </c>
      <c r="V201" s="141">
        <v>0</v>
      </c>
      <c r="W201" s="141">
        <v>0</v>
      </c>
      <c r="X201" s="141">
        <v>0</v>
      </c>
      <c r="Y201" s="141">
        <v>0</v>
      </c>
      <c r="Z201" s="141">
        <v>0</v>
      </c>
      <c r="AA201" s="141">
        <v>0</v>
      </c>
      <c r="AB201" s="141">
        <v>0</v>
      </c>
      <c r="AC201" s="141">
        <v>0</v>
      </c>
      <c r="AD201" s="141">
        <v>0</v>
      </c>
      <c r="AE201" s="141">
        <v>0</v>
      </c>
      <c r="AF201" s="141">
        <v>0</v>
      </c>
      <c r="AG201" s="141">
        <v>0</v>
      </c>
      <c r="AH201" s="141">
        <v>0</v>
      </c>
      <c r="AI201" s="141">
        <v>0</v>
      </c>
      <c r="AJ201" s="141">
        <v>0</v>
      </c>
      <c r="AK201" s="141">
        <v>0</v>
      </c>
      <c r="AL201" s="141">
        <v>0</v>
      </c>
      <c r="AM201" s="141">
        <v>0</v>
      </c>
      <c r="AN201" s="141">
        <v>0</v>
      </c>
      <c r="AO201" s="141">
        <v>0</v>
      </c>
      <c r="AP201" s="856">
        <v>0</v>
      </c>
      <c r="AQ201" s="856">
        <v>0</v>
      </c>
      <c r="AR201" s="857">
        <v>0</v>
      </c>
      <c r="AS201" t="s">
        <v>1767</v>
      </c>
    </row>
    <row r="202" spans="1:45" ht="12.75" x14ac:dyDescent="0.2">
      <c r="A202" s="764">
        <v>195</v>
      </c>
      <c r="B202" s="765" t="s">
        <v>279</v>
      </c>
      <c r="C202" s="766" t="s">
        <v>1217</v>
      </c>
      <c r="D202" s="767" t="s">
        <v>1218</v>
      </c>
      <c r="E202" s="768" t="s">
        <v>278</v>
      </c>
      <c r="F202" s="141">
        <v>110301614</v>
      </c>
      <c r="G202" s="141">
        <v>0</v>
      </c>
      <c r="H202" s="141">
        <v>110301614</v>
      </c>
      <c r="I202" s="141">
        <v>-600000</v>
      </c>
      <c r="J202" s="141">
        <v>0</v>
      </c>
      <c r="K202" s="141">
        <v>-600000</v>
      </c>
      <c r="L202" s="141">
        <v>-5184176</v>
      </c>
      <c r="M202" s="141">
        <v>0</v>
      </c>
      <c r="N202" s="141">
        <v>-5184176</v>
      </c>
      <c r="O202" s="141">
        <v>104517438</v>
      </c>
      <c r="P202" s="141">
        <v>0</v>
      </c>
      <c r="Q202" s="141">
        <v>104517438</v>
      </c>
      <c r="R202" s="141">
        <v>8155</v>
      </c>
      <c r="S202" s="141">
        <v>0</v>
      </c>
      <c r="T202" s="141">
        <v>8155</v>
      </c>
      <c r="U202" s="141">
        <v>0</v>
      </c>
      <c r="V202" s="141">
        <v>0</v>
      </c>
      <c r="W202" s="141">
        <v>0</v>
      </c>
      <c r="X202" s="141">
        <v>0</v>
      </c>
      <c r="Y202" s="141">
        <v>0</v>
      </c>
      <c r="Z202" s="141">
        <v>0</v>
      </c>
      <c r="AA202" s="141">
        <v>0</v>
      </c>
      <c r="AB202" s="141">
        <v>0</v>
      </c>
      <c r="AC202" s="141">
        <v>0</v>
      </c>
      <c r="AD202" s="141">
        <v>0</v>
      </c>
      <c r="AE202" s="141">
        <v>0</v>
      </c>
      <c r="AF202" s="141">
        <v>0</v>
      </c>
      <c r="AG202" s="141">
        <v>0</v>
      </c>
      <c r="AH202" s="141">
        <v>0</v>
      </c>
      <c r="AI202" s="141">
        <v>0</v>
      </c>
      <c r="AJ202" s="141">
        <v>0</v>
      </c>
      <c r="AK202" s="141">
        <v>0</v>
      </c>
      <c r="AL202" s="141">
        <v>0</v>
      </c>
      <c r="AM202" s="141">
        <v>0</v>
      </c>
      <c r="AN202" s="141">
        <v>0</v>
      </c>
      <c r="AO202" s="141">
        <v>0</v>
      </c>
      <c r="AP202" s="856">
        <v>0</v>
      </c>
      <c r="AQ202" s="856">
        <v>0</v>
      </c>
      <c r="AR202" s="857">
        <v>0</v>
      </c>
      <c r="AS202" t="s">
        <v>1768</v>
      </c>
    </row>
    <row r="203" spans="1:45" ht="12.75" x14ac:dyDescent="0.2">
      <c r="A203" s="764">
        <v>196</v>
      </c>
      <c r="B203" s="765" t="s">
        <v>281</v>
      </c>
      <c r="C203" s="766" t="s">
        <v>1217</v>
      </c>
      <c r="D203" s="767" t="s">
        <v>1219</v>
      </c>
      <c r="E203" s="768" t="s">
        <v>280</v>
      </c>
      <c r="F203" s="141">
        <v>18576720</v>
      </c>
      <c r="G203" s="141">
        <v>0</v>
      </c>
      <c r="H203" s="141">
        <v>18576720</v>
      </c>
      <c r="I203" s="141">
        <v>-312400</v>
      </c>
      <c r="J203" s="141">
        <v>0</v>
      </c>
      <c r="K203" s="141">
        <v>-312400</v>
      </c>
      <c r="L203" s="141">
        <v>-956701</v>
      </c>
      <c r="M203" s="141">
        <v>0</v>
      </c>
      <c r="N203" s="141">
        <v>-956701</v>
      </c>
      <c r="O203" s="141">
        <v>17307619</v>
      </c>
      <c r="P203" s="141">
        <v>0</v>
      </c>
      <c r="Q203" s="141">
        <v>17307619</v>
      </c>
      <c r="R203" s="141">
        <v>0</v>
      </c>
      <c r="S203" s="141">
        <v>0</v>
      </c>
      <c r="T203" s="141">
        <v>0</v>
      </c>
      <c r="U203" s="141">
        <v>0</v>
      </c>
      <c r="V203" s="141">
        <v>0</v>
      </c>
      <c r="W203" s="141">
        <v>0</v>
      </c>
      <c r="X203" s="141">
        <v>0</v>
      </c>
      <c r="Y203" s="141">
        <v>0</v>
      </c>
      <c r="Z203" s="141">
        <v>0</v>
      </c>
      <c r="AA203" s="141">
        <v>0</v>
      </c>
      <c r="AB203" s="141">
        <v>0</v>
      </c>
      <c r="AC203" s="141">
        <v>0</v>
      </c>
      <c r="AD203" s="141">
        <v>0</v>
      </c>
      <c r="AE203" s="141">
        <v>0</v>
      </c>
      <c r="AF203" s="141">
        <v>0</v>
      </c>
      <c r="AG203" s="141">
        <v>0</v>
      </c>
      <c r="AH203" s="141">
        <v>0</v>
      </c>
      <c r="AI203" s="141">
        <v>0</v>
      </c>
      <c r="AJ203" s="141">
        <v>0</v>
      </c>
      <c r="AK203" s="141">
        <v>0</v>
      </c>
      <c r="AL203" s="141">
        <v>0</v>
      </c>
      <c r="AM203" s="141">
        <v>0</v>
      </c>
      <c r="AN203" s="141">
        <v>0</v>
      </c>
      <c r="AO203" s="141">
        <v>0</v>
      </c>
      <c r="AP203" s="856">
        <v>0</v>
      </c>
      <c r="AQ203" s="856">
        <v>0</v>
      </c>
      <c r="AR203" s="857">
        <v>0</v>
      </c>
      <c r="AS203" t="s">
        <v>1769</v>
      </c>
    </row>
    <row r="204" spans="1:45" ht="12.75" x14ac:dyDescent="0.2">
      <c r="A204" s="764">
        <v>197</v>
      </c>
      <c r="B204" s="765" t="s">
        <v>283</v>
      </c>
      <c r="C204" s="766" t="s">
        <v>529</v>
      </c>
      <c r="D204" s="767" t="s">
        <v>1221</v>
      </c>
      <c r="E204" s="768" t="s">
        <v>545</v>
      </c>
      <c r="F204" s="141">
        <v>100829284</v>
      </c>
      <c r="G204" s="141">
        <v>0</v>
      </c>
      <c r="H204" s="141">
        <v>100829284</v>
      </c>
      <c r="I204" s="141">
        <v>-1291000</v>
      </c>
      <c r="J204" s="141">
        <v>0</v>
      </c>
      <c r="K204" s="141">
        <v>-1291000</v>
      </c>
      <c r="L204" s="141">
        <v>-4691000</v>
      </c>
      <c r="M204" s="141">
        <v>0</v>
      </c>
      <c r="N204" s="141">
        <v>-4691000</v>
      </c>
      <c r="O204" s="141">
        <v>94847284</v>
      </c>
      <c r="P204" s="141">
        <v>0</v>
      </c>
      <c r="Q204" s="141">
        <v>94847284</v>
      </c>
      <c r="R204" s="141">
        <v>344000</v>
      </c>
      <c r="S204" s="141">
        <v>0</v>
      </c>
      <c r="T204" s="141">
        <v>344000</v>
      </c>
      <c r="U204" s="141">
        <v>0</v>
      </c>
      <c r="V204" s="141">
        <v>0</v>
      </c>
      <c r="W204" s="141">
        <v>0</v>
      </c>
      <c r="X204" s="141">
        <v>0</v>
      </c>
      <c r="Y204" s="141">
        <v>0</v>
      </c>
      <c r="Z204" s="141">
        <v>0</v>
      </c>
      <c r="AA204" s="141">
        <v>0</v>
      </c>
      <c r="AB204" s="141">
        <v>0</v>
      </c>
      <c r="AC204" s="141">
        <v>0</v>
      </c>
      <c r="AD204" s="141">
        <v>0</v>
      </c>
      <c r="AE204" s="141">
        <v>0</v>
      </c>
      <c r="AF204" s="141">
        <v>0</v>
      </c>
      <c r="AG204" s="141">
        <v>0</v>
      </c>
      <c r="AH204" s="141">
        <v>0</v>
      </c>
      <c r="AI204" s="141">
        <v>0</v>
      </c>
      <c r="AJ204" s="141">
        <v>0</v>
      </c>
      <c r="AK204" s="141">
        <v>0</v>
      </c>
      <c r="AL204" s="141">
        <v>0</v>
      </c>
      <c r="AM204" s="141">
        <v>0</v>
      </c>
      <c r="AN204" s="141">
        <v>0</v>
      </c>
      <c r="AO204" s="141">
        <v>0</v>
      </c>
      <c r="AP204" s="856">
        <v>0</v>
      </c>
      <c r="AQ204" s="856">
        <v>0</v>
      </c>
      <c r="AR204" s="857">
        <v>0</v>
      </c>
      <c r="AS204" t="s">
        <v>1770</v>
      </c>
    </row>
    <row r="205" spans="1:45" ht="12.75" x14ac:dyDescent="0.2">
      <c r="A205" s="764">
        <v>198</v>
      </c>
      <c r="B205" s="765" t="s">
        <v>285</v>
      </c>
      <c r="C205" s="766" t="s">
        <v>529</v>
      </c>
      <c r="D205" s="767" t="s">
        <v>1226</v>
      </c>
      <c r="E205" s="768" t="s">
        <v>562</v>
      </c>
      <c r="F205" s="141">
        <v>93461331</v>
      </c>
      <c r="G205" s="141">
        <v>0</v>
      </c>
      <c r="H205" s="141">
        <v>93461331</v>
      </c>
      <c r="I205" s="141">
        <v>-500000</v>
      </c>
      <c r="J205" s="141">
        <v>0</v>
      </c>
      <c r="K205" s="141">
        <v>-500000</v>
      </c>
      <c r="L205" s="141">
        <v>-1000000</v>
      </c>
      <c r="M205" s="141">
        <v>0</v>
      </c>
      <c r="N205" s="141">
        <v>-1000000</v>
      </c>
      <c r="O205" s="141">
        <v>91961331</v>
      </c>
      <c r="P205" s="141">
        <v>0</v>
      </c>
      <c r="Q205" s="141">
        <v>91961331</v>
      </c>
      <c r="R205" s="141">
        <v>204266</v>
      </c>
      <c r="S205" s="141">
        <v>0</v>
      </c>
      <c r="T205" s="141">
        <v>204266</v>
      </c>
      <c r="U205" s="141">
        <v>0</v>
      </c>
      <c r="V205" s="141">
        <v>0</v>
      </c>
      <c r="W205" s="141">
        <v>0</v>
      </c>
      <c r="X205" s="141">
        <v>0</v>
      </c>
      <c r="Y205" s="141">
        <v>556817</v>
      </c>
      <c r="Z205" s="141">
        <v>0</v>
      </c>
      <c r="AA205" s="141">
        <v>0</v>
      </c>
      <c r="AB205" s="141">
        <v>0</v>
      </c>
      <c r="AC205" s="141">
        <v>0</v>
      </c>
      <c r="AD205" s="141">
        <v>0</v>
      </c>
      <c r="AE205" s="141">
        <v>0</v>
      </c>
      <c r="AF205" s="141">
        <v>56029</v>
      </c>
      <c r="AG205" s="141">
        <v>56029</v>
      </c>
      <c r="AH205" s="141">
        <v>0</v>
      </c>
      <c r="AI205" s="141">
        <v>0</v>
      </c>
      <c r="AJ205" s="141">
        <v>0</v>
      </c>
      <c r="AK205" s="141">
        <v>0</v>
      </c>
      <c r="AL205" s="141">
        <v>0</v>
      </c>
      <c r="AM205" s="141">
        <v>0</v>
      </c>
      <c r="AN205" s="141">
        <v>0</v>
      </c>
      <c r="AO205" s="141">
        <v>0</v>
      </c>
      <c r="AP205" s="856">
        <v>0</v>
      </c>
      <c r="AQ205" s="856">
        <v>56029</v>
      </c>
      <c r="AR205" s="857">
        <v>56029</v>
      </c>
      <c r="AS205" t="s">
        <v>1771</v>
      </c>
    </row>
    <row r="206" spans="1:45" ht="12.75" x14ac:dyDescent="0.2">
      <c r="A206" s="764">
        <v>199</v>
      </c>
      <c r="B206" s="765" t="s">
        <v>287</v>
      </c>
      <c r="C206" s="766" t="s">
        <v>529</v>
      </c>
      <c r="D206" s="767" t="s">
        <v>1218</v>
      </c>
      <c r="E206" s="768" t="s">
        <v>577</v>
      </c>
      <c r="F206" s="141">
        <v>89812792</v>
      </c>
      <c r="G206" s="141">
        <v>0</v>
      </c>
      <c r="H206" s="141">
        <v>89812792</v>
      </c>
      <c r="I206" s="141">
        <v>-1027100</v>
      </c>
      <c r="J206" s="141">
        <v>0</v>
      </c>
      <c r="K206" s="141">
        <v>-1027100</v>
      </c>
      <c r="L206" s="141">
        <v>-4221201</v>
      </c>
      <c r="M206" s="141">
        <v>0</v>
      </c>
      <c r="N206" s="141">
        <v>-4221201</v>
      </c>
      <c r="O206" s="141">
        <v>84564491</v>
      </c>
      <c r="P206" s="141">
        <v>0</v>
      </c>
      <c r="Q206" s="141">
        <v>84564491</v>
      </c>
      <c r="R206" s="141">
        <v>0</v>
      </c>
      <c r="S206" s="141">
        <v>0</v>
      </c>
      <c r="T206" s="141">
        <v>0</v>
      </c>
      <c r="U206" s="141">
        <v>0</v>
      </c>
      <c r="V206" s="141">
        <v>0</v>
      </c>
      <c r="W206" s="141">
        <v>0</v>
      </c>
      <c r="X206" s="141">
        <v>0</v>
      </c>
      <c r="Y206" s="141">
        <v>0</v>
      </c>
      <c r="Z206" s="141">
        <v>0</v>
      </c>
      <c r="AA206" s="141">
        <v>0</v>
      </c>
      <c r="AB206" s="141">
        <v>0</v>
      </c>
      <c r="AC206" s="141">
        <v>0</v>
      </c>
      <c r="AD206" s="141">
        <v>0</v>
      </c>
      <c r="AE206" s="141">
        <v>0</v>
      </c>
      <c r="AF206" s="141">
        <v>0</v>
      </c>
      <c r="AG206" s="141">
        <v>0</v>
      </c>
      <c r="AH206" s="141">
        <v>0</v>
      </c>
      <c r="AI206" s="141">
        <v>0</v>
      </c>
      <c r="AJ206" s="141">
        <v>0</v>
      </c>
      <c r="AK206" s="141">
        <v>0</v>
      </c>
      <c r="AL206" s="141">
        <v>0</v>
      </c>
      <c r="AM206" s="141">
        <v>0</v>
      </c>
      <c r="AN206" s="141">
        <v>0</v>
      </c>
      <c r="AO206" s="141">
        <v>0</v>
      </c>
      <c r="AP206" s="856">
        <v>0</v>
      </c>
      <c r="AQ206" s="856">
        <v>0</v>
      </c>
      <c r="AR206" s="857">
        <v>0</v>
      </c>
      <c r="AS206" t="s">
        <v>1772</v>
      </c>
    </row>
    <row r="207" spans="1:45" ht="12.75" x14ac:dyDescent="0.2">
      <c r="A207" s="764">
        <v>200</v>
      </c>
      <c r="B207" s="765" t="s">
        <v>289</v>
      </c>
      <c r="C207" s="766" t="s">
        <v>1217</v>
      </c>
      <c r="D207" s="767" t="s">
        <v>1219</v>
      </c>
      <c r="E207" s="768" t="s">
        <v>288</v>
      </c>
      <c r="F207" s="141">
        <v>62892212</v>
      </c>
      <c r="G207" s="141">
        <v>0</v>
      </c>
      <c r="H207" s="141">
        <v>62892212</v>
      </c>
      <c r="I207" s="141">
        <v>-2241793</v>
      </c>
      <c r="J207" s="141">
        <v>0</v>
      </c>
      <c r="K207" s="141">
        <v>-2241793</v>
      </c>
      <c r="L207" s="141">
        <v>-3304190</v>
      </c>
      <c r="M207" s="141">
        <v>0</v>
      </c>
      <c r="N207" s="141">
        <v>-3304190</v>
      </c>
      <c r="O207" s="141">
        <v>57346229</v>
      </c>
      <c r="P207" s="141">
        <v>0</v>
      </c>
      <c r="Q207" s="141">
        <v>57346229</v>
      </c>
      <c r="R207" s="141">
        <v>26490</v>
      </c>
      <c r="S207" s="141">
        <v>0</v>
      </c>
      <c r="T207" s="141">
        <v>26490</v>
      </c>
      <c r="U207" s="141">
        <v>0</v>
      </c>
      <c r="V207" s="141">
        <v>0</v>
      </c>
      <c r="W207" s="141">
        <v>0</v>
      </c>
      <c r="X207" s="141">
        <v>0</v>
      </c>
      <c r="Y207" s="141">
        <v>0</v>
      </c>
      <c r="Z207" s="141">
        <v>0</v>
      </c>
      <c r="AA207" s="141">
        <v>0</v>
      </c>
      <c r="AB207" s="141">
        <v>0</v>
      </c>
      <c r="AC207" s="141">
        <v>0</v>
      </c>
      <c r="AD207" s="141">
        <v>0</v>
      </c>
      <c r="AE207" s="141">
        <v>0</v>
      </c>
      <c r="AF207" s="141">
        <v>0</v>
      </c>
      <c r="AG207" s="141">
        <v>0</v>
      </c>
      <c r="AH207" s="141">
        <v>0</v>
      </c>
      <c r="AI207" s="141">
        <v>0</v>
      </c>
      <c r="AJ207" s="141">
        <v>0</v>
      </c>
      <c r="AK207" s="141">
        <v>0</v>
      </c>
      <c r="AL207" s="141">
        <v>0</v>
      </c>
      <c r="AM207" s="141">
        <v>0</v>
      </c>
      <c r="AN207" s="141">
        <v>0</v>
      </c>
      <c r="AO207" s="141">
        <v>0</v>
      </c>
      <c r="AP207" s="856">
        <v>0</v>
      </c>
      <c r="AQ207" s="856">
        <v>0</v>
      </c>
      <c r="AR207" s="857">
        <v>0</v>
      </c>
      <c r="AS207" t="s">
        <v>1773</v>
      </c>
    </row>
    <row r="208" spans="1:45" ht="12.75" x14ac:dyDescent="0.2">
      <c r="A208" s="764">
        <v>201</v>
      </c>
      <c r="B208" s="765" t="s">
        <v>291</v>
      </c>
      <c r="C208" s="766" t="s">
        <v>529</v>
      </c>
      <c r="D208" s="767" t="s">
        <v>1218</v>
      </c>
      <c r="E208" s="768" t="s">
        <v>539</v>
      </c>
      <c r="F208" s="141">
        <v>140775821</v>
      </c>
      <c r="G208" s="141">
        <v>0</v>
      </c>
      <c r="H208" s="141">
        <v>140775821</v>
      </c>
      <c r="I208" s="141">
        <v>-1760000</v>
      </c>
      <c r="J208" s="141">
        <v>0</v>
      </c>
      <c r="K208" s="141">
        <v>-1760000</v>
      </c>
      <c r="L208" s="141">
        <v>-5621000</v>
      </c>
      <c r="M208" s="141">
        <v>0</v>
      </c>
      <c r="N208" s="141">
        <v>-5621000</v>
      </c>
      <c r="O208" s="141">
        <v>133394821</v>
      </c>
      <c r="P208" s="141">
        <v>0</v>
      </c>
      <c r="Q208" s="141">
        <v>133394821</v>
      </c>
      <c r="R208" s="141">
        <v>0</v>
      </c>
      <c r="S208" s="141">
        <v>0</v>
      </c>
      <c r="T208" s="141">
        <v>0</v>
      </c>
      <c r="U208" s="141">
        <v>0</v>
      </c>
      <c r="V208" s="141">
        <v>0</v>
      </c>
      <c r="W208" s="141">
        <v>0</v>
      </c>
      <c r="X208" s="141">
        <v>0</v>
      </c>
      <c r="Y208" s="141">
        <v>0</v>
      </c>
      <c r="Z208" s="141">
        <v>0</v>
      </c>
      <c r="AA208" s="141">
        <v>0</v>
      </c>
      <c r="AB208" s="141">
        <v>0</v>
      </c>
      <c r="AC208" s="141">
        <v>0</v>
      </c>
      <c r="AD208" s="141">
        <v>0</v>
      </c>
      <c r="AE208" s="141">
        <v>0</v>
      </c>
      <c r="AF208" s="141">
        <v>0</v>
      </c>
      <c r="AG208" s="141">
        <v>0</v>
      </c>
      <c r="AH208" s="141">
        <v>0</v>
      </c>
      <c r="AI208" s="141">
        <v>0</v>
      </c>
      <c r="AJ208" s="141">
        <v>0</v>
      </c>
      <c r="AK208" s="141">
        <v>0</v>
      </c>
      <c r="AL208" s="141">
        <v>0</v>
      </c>
      <c r="AM208" s="141">
        <v>0</v>
      </c>
      <c r="AN208" s="141">
        <v>0</v>
      </c>
      <c r="AO208" s="141">
        <v>0</v>
      </c>
      <c r="AP208" s="856">
        <v>0</v>
      </c>
      <c r="AQ208" s="856">
        <v>0</v>
      </c>
      <c r="AR208" s="857">
        <v>0</v>
      </c>
      <c r="AS208" t="s">
        <v>1774</v>
      </c>
    </row>
    <row r="209" spans="1:45" ht="12.75" x14ac:dyDescent="0.2">
      <c r="A209" s="764">
        <v>202</v>
      </c>
      <c r="B209" s="765" t="s">
        <v>293</v>
      </c>
      <c r="C209" s="766" t="s">
        <v>1222</v>
      </c>
      <c r="D209" s="767" t="s">
        <v>1223</v>
      </c>
      <c r="E209" s="768" t="s">
        <v>292</v>
      </c>
      <c r="F209" s="141">
        <v>57060225</v>
      </c>
      <c r="G209" s="141">
        <v>0</v>
      </c>
      <c r="H209" s="141">
        <v>57060225</v>
      </c>
      <c r="I209" s="141">
        <v>-1142000</v>
      </c>
      <c r="J209" s="141">
        <v>0</v>
      </c>
      <c r="K209" s="141">
        <v>-1142000</v>
      </c>
      <c r="L209" s="141">
        <v>-3792000</v>
      </c>
      <c r="M209" s="141">
        <v>0</v>
      </c>
      <c r="N209" s="141">
        <v>-3792000</v>
      </c>
      <c r="O209" s="141">
        <v>52126225</v>
      </c>
      <c r="P209" s="141">
        <v>0</v>
      </c>
      <c r="Q209" s="141">
        <v>52126225</v>
      </c>
      <c r="R209" s="141">
        <v>0</v>
      </c>
      <c r="S209" s="141">
        <v>0</v>
      </c>
      <c r="T209" s="141">
        <v>0</v>
      </c>
      <c r="U209" s="141">
        <v>0</v>
      </c>
      <c r="V209" s="141">
        <v>0</v>
      </c>
      <c r="W209" s="141">
        <v>0</v>
      </c>
      <c r="X209" s="141">
        <v>0</v>
      </c>
      <c r="Y209" s="141">
        <v>0</v>
      </c>
      <c r="Z209" s="141">
        <v>0</v>
      </c>
      <c r="AA209" s="141">
        <v>0</v>
      </c>
      <c r="AB209" s="141">
        <v>0</v>
      </c>
      <c r="AC209" s="141">
        <v>0</v>
      </c>
      <c r="AD209" s="141">
        <v>0</v>
      </c>
      <c r="AE209" s="141">
        <v>0</v>
      </c>
      <c r="AF209" s="141">
        <v>0</v>
      </c>
      <c r="AG209" s="141">
        <v>0</v>
      </c>
      <c r="AH209" s="141">
        <v>0</v>
      </c>
      <c r="AI209" s="141">
        <v>0</v>
      </c>
      <c r="AJ209" s="141">
        <v>0</v>
      </c>
      <c r="AK209" s="141">
        <v>0</v>
      </c>
      <c r="AL209" s="141">
        <v>0</v>
      </c>
      <c r="AM209" s="141">
        <v>0</v>
      </c>
      <c r="AN209" s="141">
        <v>0</v>
      </c>
      <c r="AO209" s="141">
        <v>0</v>
      </c>
      <c r="AP209" s="856">
        <v>0</v>
      </c>
      <c r="AQ209" s="856">
        <v>0</v>
      </c>
      <c r="AR209" s="857">
        <v>0</v>
      </c>
      <c r="AS209" t="s">
        <v>1775</v>
      </c>
    </row>
    <row r="210" spans="1:45" ht="12.75" x14ac:dyDescent="0.2">
      <c r="A210" s="764">
        <v>203</v>
      </c>
      <c r="B210" s="765" t="s">
        <v>295</v>
      </c>
      <c r="C210" s="766" t="s">
        <v>529</v>
      </c>
      <c r="D210" s="767" t="s">
        <v>1229</v>
      </c>
      <c r="E210" s="768" t="s">
        <v>896</v>
      </c>
      <c r="F210" s="141">
        <v>38387078</v>
      </c>
      <c r="G210" s="141">
        <v>1766232</v>
      </c>
      <c r="H210" s="141">
        <v>40153310</v>
      </c>
      <c r="I210" s="141">
        <v>0</v>
      </c>
      <c r="J210" s="141">
        <v>0</v>
      </c>
      <c r="K210" s="141">
        <v>0</v>
      </c>
      <c r="L210" s="141">
        <v>-822392</v>
      </c>
      <c r="M210" s="141">
        <v>-191408</v>
      </c>
      <c r="N210" s="141">
        <v>-1013800</v>
      </c>
      <c r="O210" s="141">
        <v>37564686</v>
      </c>
      <c r="P210" s="141">
        <v>1574824</v>
      </c>
      <c r="Q210" s="141">
        <v>39139510</v>
      </c>
      <c r="R210" s="141">
        <v>0</v>
      </c>
      <c r="S210" s="141">
        <v>0</v>
      </c>
      <c r="T210" s="141">
        <v>0</v>
      </c>
      <c r="U210" s="141">
        <v>0</v>
      </c>
      <c r="V210" s="141">
        <v>0</v>
      </c>
      <c r="W210" s="141">
        <v>0</v>
      </c>
      <c r="X210" s="141">
        <v>-10296</v>
      </c>
      <c r="Y210" s="141">
        <v>0</v>
      </c>
      <c r="Z210" s="141">
        <v>1564528</v>
      </c>
      <c r="AA210" s="141">
        <v>1564528</v>
      </c>
      <c r="AB210" s="141">
        <v>0</v>
      </c>
      <c r="AC210" s="141">
        <v>0</v>
      </c>
      <c r="AD210" s="141">
        <v>0</v>
      </c>
      <c r="AE210" s="141">
        <v>0</v>
      </c>
      <c r="AF210" s="141">
        <v>0</v>
      </c>
      <c r="AG210" s="141">
        <v>0</v>
      </c>
      <c r="AH210" s="141">
        <v>37581654</v>
      </c>
      <c r="AI210" s="141">
        <v>37581654</v>
      </c>
      <c r="AJ210" s="141">
        <v>32453566.794352733</v>
      </c>
      <c r="AK210" s="141">
        <v>32453566.794352733</v>
      </c>
      <c r="AL210" s="141">
        <v>2564044</v>
      </c>
      <c r="AM210" s="141">
        <v>2564044</v>
      </c>
      <c r="AN210" s="141">
        <v>0</v>
      </c>
      <c r="AO210" s="141">
        <v>0</v>
      </c>
      <c r="AP210" s="856">
        <v>2564044</v>
      </c>
      <c r="AQ210" s="856">
        <v>0</v>
      </c>
      <c r="AR210" s="857">
        <v>2564044</v>
      </c>
      <c r="AS210" t="s">
        <v>1776</v>
      </c>
    </row>
    <row r="211" spans="1:45" ht="12.75" x14ac:dyDescent="0.2">
      <c r="A211" s="764">
        <v>204</v>
      </c>
      <c r="B211" s="765" t="s">
        <v>297</v>
      </c>
      <c r="C211" s="766" t="s">
        <v>1217</v>
      </c>
      <c r="D211" s="767" t="s">
        <v>1227</v>
      </c>
      <c r="E211" s="768" t="s">
        <v>296</v>
      </c>
      <c r="F211" s="141">
        <v>35123676</v>
      </c>
      <c r="G211" s="141">
        <v>0</v>
      </c>
      <c r="H211" s="141">
        <v>35123676</v>
      </c>
      <c r="I211" s="141">
        <v>-351237</v>
      </c>
      <c r="J211" s="141">
        <v>0</v>
      </c>
      <c r="K211" s="141">
        <v>-351237</v>
      </c>
      <c r="L211" s="141">
        <v>-1650813</v>
      </c>
      <c r="M211" s="141">
        <v>0</v>
      </c>
      <c r="N211" s="141">
        <v>-1650813</v>
      </c>
      <c r="O211" s="141">
        <v>33121626</v>
      </c>
      <c r="P211" s="141">
        <v>0</v>
      </c>
      <c r="Q211" s="141">
        <v>33121626</v>
      </c>
      <c r="R211" s="141">
        <v>0</v>
      </c>
      <c r="S211" s="141">
        <v>0</v>
      </c>
      <c r="T211" s="141">
        <v>0</v>
      </c>
      <c r="U211" s="141">
        <v>0</v>
      </c>
      <c r="V211" s="141">
        <v>0</v>
      </c>
      <c r="W211" s="141">
        <v>0</v>
      </c>
      <c r="X211" s="141">
        <v>0</v>
      </c>
      <c r="Y211" s="141">
        <v>0</v>
      </c>
      <c r="Z211" s="141">
        <v>0</v>
      </c>
      <c r="AA211" s="141">
        <v>0</v>
      </c>
      <c r="AB211" s="141">
        <v>0</v>
      </c>
      <c r="AC211" s="141">
        <v>0</v>
      </c>
      <c r="AD211" s="141">
        <v>0</v>
      </c>
      <c r="AE211" s="141">
        <v>0</v>
      </c>
      <c r="AF211" s="141">
        <v>0</v>
      </c>
      <c r="AG211" s="141">
        <v>0</v>
      </c>
      <c r="AH211" s="141">
        <v>0</v>
      </c>
      <c r="AI211" s="141">
        <v>0</v>
      </c>
      <c r="AJ211" s="141">
        <v>0</v>
      </c>
      <c r="AK211" s="141">
        <v>0</v>
      </c>
      <c r="AL211" s="141">
        <v>0</v>
      </c>
      <c r="AM211" s="141">
        <v>0</v>
      </c>
      <c r="AN211" s="141">
        <v>0</v>
      </c>
      <c r="AO211" s="141">
        <v>0</v>
      </c>
      <c r="AP211" s="856">
        <v>0</v>
      </c>
      <c r="AQ211" s="856">
        <v>0</v>
      </c>
      <c r="AR211" s="857">
        <v>0</v>
      </c>
      <c r="AS211" t="s">
        <v>1777</v>
      </c>
    </row>
    <row r="212" spans="1:45" ht="12.75" x14ac:dyDescent="0.2">
      <c r="A212" s="764">
        <v>205</v>
      </c>
      <c r="B212" s="765" t="s">
        <v>299</v>
      </c>
      <c r="C212" s="766" t="s">
        <v>1217</v>
      </c>
      <c r="D212" s="767" t="s">
        <v>1218</v>
      </c>
      <c r="E212" s="768" t="s">
        <v>298</v>
      </c>
      <c r="F212" s="141">
        <v>54615296</v>
      </c>
      <c r="G212" s="141">
        <v>0</v>
      </c>
      <c r="H212" s="141">
        <v>54615296</v>
      </c>
      <c r="I212" s="141">
        <v>-109001</v>
      </c>
      <c r="J212" s="141">
        <v>0</v>
      </c>
      <c r="K212" s="141">
        <v>-109001</v>
      </c>
      <c r="L212" s="141">
        <v>-2075611</v>
      </c>
      <c r="M212" s="141">
        <v>0</v>
      </c>
      <c r="N212" s="141">
        <v>-2075611</v>
      </c>
      <c r="O212" s="141">
        <v>52430684</v>
      </c>
      <c r="P212" s="141">
        <v>0</v>
      </c>
      <c r="Q212" s="141">
        <v>52430684</v>
      </c>
      <c r="R212" s="141">
        <v>0</v>
      </c>
      <c r="S212" s="141">
        <v>0</v>
      </c>
      <c r="T212" s="141">
        <v>0</v>
      </c>
      <c r="U212" s="141">
        <v>0</v>
      </c>
      <c r="V212" s="141">
        <v>0</v>
      </c>
      <c r="W212" s="141">
        <v>0</v>
      </c>
      <c r="X212" s="141">
        <v>0</v>
      </c>
      <c r="Y212" s="141">
        <v>0</v>
      </c>
      <c r="Z212" s="141">
        <v>0</v>
      </c>
      <c r="AA212" s="141">
        <v>0</v>
      </c>
      <c r="AB212" s="141">
        <v>0</v>
      </c>
      <c r="AC212" s="141">
        <v>0</v>
      </c>
      <c r="AD212" s="141">
        <v>0</v>
      </c>
      <c r="AE212" s="141">
        <v>0</v>
      </c>
      <c r="AF212" s="141">
        <v>0</v>
      </c>
      <c r="AG212" s="141">
        <v>0</v>
      </c>
      <c r="AH212" s="141">
        <v>0</v>
      </c>
      <c r="AI212" s="141">
        <v>0</v>
      </c>
      <c r="AJ212" s="141">
        <v>0</v>
      </c>
      <c r="AK212" s="141">
        <v>0</v>
      </c>
      <c r="AL212" s="141">
        <v>0</v>
      </c>
      <c r="AM212" s="141">
        <v>0</v>
      </c>
      <c r="AN212" s="141">
        <v>0</v>
      </c>
      <c r="AO212" s="141">
        <v>0</v>
      </c>
      <c r="AP212" s="856">
        <v>0</v>
      </c>
      <c r="AQ212" s="856">
        <v>0</v>
      </c>
      <c r="AR212" s="857">
        <v>0</v>
      </c>
      <c r="AS212" t="s">
        <v>1778</v>
      </c>
    </row>
    <row r="213" spans="1:45" ht="12.75" x14ac:dyDescent="0.2">
      <c r="A213" s="764">
        <v>206</v>
      </c>
      <c r="B213" s="765" t="s">
        <v>301</v>
      </c>
      <c r="C213" s="766" t="s">
        <v>1217</v>
      </c>
      <c r="D213" s="767" t="s">
        <v>1219</v>
      </c>
      <c r="E213" s="768" t="s">
        <v>300</v>
      </c>
      <c r="F213" s="141">
        <v>13567341</v>
      </c>
      <c r="G213" s="141">
        <v>2208780</v>
      </c>
      <c r="H213" s="141">
        <v>15776121</v>
      </c>
      <c r="I213" s="141">
        <v>-140654</v>
      </c>
      <c r="J213" s="141">
        <v>-22088</v>
      </c>
      <c r="K213" s="141">
        <v>-162742</v>
      </c>
      <c r="L213" s="141">
        <v>-421961</v>
      </c>
      <c r="M213" s="141">
        <v>-66263</v>
      </c>
      <c r="N213" s="141">
        <v>-488224</v>
      </c>
      <c r="O213" s="141">
        <v>13004726</v>
      </c>
      <c r="P213" s="141">
        <v>2120429</v>
      </c>
      <c r="Q213" s="141">
        <v>15125155</v>
      </c>
      <c r="R213" s="141">
        <v>45033</v>
      </c>
      <c r="S213" s="141">
        <v>48787</v>
      </c>
      <c r="T213" s="141">
        <v>93820</v>
      </c>
      <c r="U213" s="141">
        <v>0</v>
      </c>
      <c r="V213" s="141">
        <v>0</v>
      </c>
      <c r="W213" s="141">
        <v>0</v>
      </c>
      <c r="X213" s="141">
        <v>0</v>
      </c>
      <c r="Y213" s="141">
        <v>1938765</v>
      </c>
      <c r="Z213" s="141">
        <v>132877</v>
      </c>
      <c r="AA213" s="141">
        <v>132877</v>
      </c>
      <c r="AB213" s="141">
        <v>0</v>
      </c>
      <c r="AC213" s="141">
        <v>0</v>
      </c>
      <c r="AD213" s="141">
        <v>0</v>
      </c>
      <c r="AE213" s="141">
        <v>0</v>
      </c>
      <c r="AF213" s="141">
        <v>0</v>
      </c>
      <c r="AG213" s="141">
        <v>0</v>
      </c>
      <c r="AH213" s="141">
        <v>0</v>
      </c>
      <c r="AI213" s="141">
        <v>0</v>
      </c>
      <c r="AJ213" s="141">
        <v>0</v>
      </c>
      <c r="AK213" s="141">
        <v>0</v>
      </c>
      <c r="AL213" s="141">
        <v>0</v>
      </c>
      <c r="AM213" s="141">
        <v>0</v>
      </c>
      <c r="AN213" s="141">
        <v>0</v>
      </c>
      <c r="AO213" s="141">
        <v>0</v>
      </c>
      <c r="AP213" s="856">
        <v>0</v>
      </c>
      <c r="AQ213" s="856">
        <v>0</v>
      </c>
      <c r="AR213" s="857">
        <v>0</v>
      </c>
      <c r="AS213" t="s">
        <v>1779</v>
      </c>
    </row>
    <row r="214" spans="1:45" ht="12.75" x14ac:dyDescent="0.2">
      <c r="A214" s="764">
        <v>207</v>
      </c>
      <c r="B214" s="765" t="s">
        <v>303</v>
      </c>
      <c r="C214" s="766" t="s">
        <v>1222</v>
      </c>
      <c r="D214" s="767" t="s">
        <v>1223</v>
      </c>
      <c r="E214" s="768" t="s">
        <v>302</v>
      </c>
      <c r="F214" s="141">
        <v>90165151</v>
      </c>
      <c r="G214" s="141">
        <v>0</v>
      </c>
      <c r="H214" s="141">
        <v>90165151</v>
      </c>
      <c r="I214" s="141">
        <v>-500000</v>
      </c>
      <c r="J214" s="141">
        <v>0</v>
      </c>
      <c r="K214" s="141">
        <v>-500000</v>
      </c>
      <c r="L214" s="141">
        <v>0</v>
      </c>
      <c r="M214" s="141">
        <v>0</v>
      </c>
      <c r="N214" s="141">
        <v>0</v>
      </c>
      <c r="O214" s="141">
        <v>89665151</v>
      </c>
      <c r="P214" s="141">
        <v>0</v>
      </c>
      <c r="Q214" s="141">
        <v>89665151</v>
      </c>
      <c r="R214" s="141">
        <v>0</v>
      </c>
      <c r="S214" s="141">
        <v>0</v>
      </c>
      <c r="T214" s="141">
        <v>0</v>
      </c>
      <c r="U214" s="141">
        <v>0</v>
      </c>
      <c r="V214" s="141">
        <v>0</v>
      </c>
      <c r="W214" s="141">
        <v>0</v>
      </c>
      <c r="X214" s="141">
        <v>0</v>
      </c>
      <c r="Y214" s="141">
        <v>0</v>
      </c>
      <c r="Z214" s="141">
        <v>0</v>
      </c>
      <c r="AA214" s="141">
        <v>0</v>
      </c>
      <c r="AB214" s="141">
        <v>0</v>
      </c>
      <c r="AC214" s="141">
        <v>0</v>
      </c>
      <c r="AD214" s="141">
        <v>0</v>
      </c>
      <c r="AE214" s="141">
        <v>0</v>
      </c>
      <c r="AF214" s="141">
        <v>0</v>
      </c>
      <c r="AG214" s="141">
        <v>0</v>
      </c>
      <c r="AH214" s="141">
        <v>0</v>
      </c>
      <c r="AI214" s="141">
        <v>0</v>
      </c>
      <c r="AJ214" s="141">
        <v>0</v>
      </c>
      <c r="AK214" s="141">
        <v>0</v>
      </c>
      <c r="AL214" s="141">
        <v>0</v>
      </c>
      <c r="AM214" s="141">
        <v>0</v>
      </c>
      <c r="AN214" s="141">
        <v>0</v>
      </c>
      <c r="AO214" s="141">
        <v>0</v>
      </c>
      <c r="AP214" s="856">
        <v>0</v>
      </c>
      <c r="AQ214" s="856">
        <v>0</v>
      </c>
      <c r="AR214" s="857">
        <v>0</v>
      </c>
      <c r="AS214" t="s">
        <v>1780</v>
      </c>
    </row>
    <row r="215" spans="1:45" ht="12.75" x14ac:dyDescent="0.2">
      <c r="A215" s="764">
        <v>208</v>
      </c>
      <c r="B215" s="765" t="s">
        <v>305</v>
      </c>
      <c r="C215" s="766" t="s">
        <v>1217</v>
      </c>
      <c r="D215" s="767" t="s">
        <v>1225</v>
      </c>
      <c r="E215" s="768" t="s">
        <v>304</v>
      </c>
      <c r="F215" s="141">
        <v>13388556</v>
      </c>
      <c r="G215" s="141">
        <v>0</v>
      </c>
      <c r="H215" s="141">
        <v>13388556</v>
      </c>
      <c r="I215" s="141">
        <v>-100000</v>
      </c>
      <c r="J215" s="141">
        <v>0</v>
      </c>
      <c r="K215" s="141">
        <v>-100000</v>
      </c>
      <c r="L215" s="141">
        <v>-200000</v>
      </c>
      <c r="M215" s="141">
        <v>0</v>
      </c>
      <c r="N215" s="141">
        <v>-200000</v>
      </c>
      <c r="O215" s="141">
        <v>13088556</v>
      </c>
      <c r="P215" s="141">
        <v>0</v>
      </c>
      <c r="Q215" s="141">
        <v>13088556</v>
      </c>
      <c r="R215" s="141">
        <v>0</v>
      </c>
      <c r="S215" s="141">
        <v>0</v>
      </c>
      <c r="T215" s="141">
        <v>0</v>
      </c>
      <c r="U215" s="141">
        <v>0</v>
      </c>
      <c r="V215" s="141">
        <v>0</v>
      </c>
      <c r="W215" s="141">
        <v>0</v>
      </c>
      <c r="X215" s="141">
        <v>0</v>
      </c>
      <c r="Y215" s="141">
        <v>0</v>
      </c>
      <c r="Z215" s="141">
        <v>0</v>
      </c>
      <c r="AA215" s="141">
        <v>0</v>
      </c>
      <c r="AB215" s="141">
        <v>0</v>
      </c>
      <c r="AC215" s="141">
        <v>0</v>
      </c>
      <c r="AD215" s="141">
        <v>0</v>
      </c>
      <c r="AE215" s="141">
        <v>0</v>
      </c>
      <c r="AF215" s="141">
        <v>0</v>
      </c>
      <c r="AG215" s="141">
        <v>0</v>
      </c>
      <c r="AH215" s="141">
        <v>0</v>
      </c>
      <c r="AI215" s="141">
        <v>0</v>
      </c>
      <c r="AJ215" s="141">
        <v>0</v>
      </c>
      <c r="AK215" s="141">
        <v>0</v>
      </c>
      <c r="AL215" s="141">
        <v>0</v>
      </c>
      <c r="AM215" s="141">
        <v>0</v>
      </c>
      <c r="AN215" s="141">
        <v>0</v>
      </c>
      <c r="AO215" s="141">
        <v>0</v>
      </c>
      <c r="AP215" s="856">
        <v>0</v>
      </c>
      <c r="AQ215" s="856">
        <v>0</v>
      </c>
      <c r="AR215" s="857">
        <v>0</v>
      </c>
      <c r="AS215" t="s">
        <v>1781</v>
      </c>
    </row>
    <row r="216" spans="1:45" ht="12.75" x14ac:dyDescent="0.2">
      <c r="A216" s="764">
        <v>209</v>
      </c>
      <c r="B216" s="765" t="s">
        <v>307</v>
      </c>
      <c r="C216" s="766" t="s">
        <v>1224</v>
      </c>
      <c r="D216" s="767" t="s">
        <v>1219</v>
      </c>
      <c r="E216" s="768" t="s">
        <v>306</v>
      </c>
      <c r="F216" s="141">
        <v>67239000</v>
      </c>
      <c r="G216" s="141">
        <v>0</v>
      </c>
      <c r="H216" s="141">
        <v>67239000</v>
      </c>
      <c r="I216" s="141">
        <v>-1000000</v>
      </c>
      <c r="J216" s="141">
        <v>0</v>
      </c>
      <c r="K216" s="141">
        <v>-1000000</v>
      </c>
      <c r="L216" s="141">
        <v>-3802000</v>
      </c>
      <c r="M216" s="141">
        <v>0</v>
      </c>
      <c r="N216" s="141">
        <v>-3802000</v>
      </c>
      <c r="O216" s="141">
        <v>62437000</v>
      </c>
      <c r="P216" s="141">
        <v>0</v>
      </c>
      <c r="Q216" s="141">
        <v>62437000</v>
      </c>
      <c r="R216" s="141">
        <v>520494</v>
      </c>
      <c r="S216" s="141">
        <v>0</v>
      </c>
      <c r="T216" s="141">
        <v>520494</v>
      </c>
      <c r="U216" s="141">
        <v>0</v>
      </c>
      <c r="V216" s="141">
        <v>0</v>
      </c>
      <c r="W216" s="141">
        <v>0</v>
      </c>
      <c r="X216" s="141">
        <v>0</v>
      </c>
      <c r="Y216" s="141">
        <v>0</v>
      </c>
      <c r="Z216" s="141">
        <v>0</v>
      </c>
      <c r="AA216" s="141">
        <v>0</v>
      </c>
      <c r="AB216" s="141">
        <v>0</v>
      </c>
      <c r="AC216" s="141">
        <v>0</v>
      </c>
      <c r="AD216" s="141">
        <v>0</v>
      </c>
      <c r="AE216" s="141">
        <v>0</v>
      </c>
      <c r="AF216" s="141">
        <v>0</v>
      </c>
      <c r="AG216" s="141">
        <v>0</v>
      </c>
      <c r="AH216" s="141">
        <v>0</v>
      </c>
      <c r="AI216" s="141">
        <v>0</v>
      </c>
      <c r="AJ216" s="141">
        <v>0</v>
      </c>
      <c r="AK216" s="141">
        <v>0</v>
      </c>
      <c r="AL216" s="141">
        <v>0</v>
      </c>
      <c r="AM216" s="141">
        <v>0</v>
      </c>
      <c r="AN216" s="141">
        <v>0</v>
      </c>
      <c r="AO216" s="141">
        <v>0</v>
      </c>
      <c r="AP216" s="856">
        <v>0</v>
      </c>
      <c r="AQ216" s="856">
        <v>0</v>
      </c>
      <c r="AR216" s="857">
        <v>0</v>
      </c>
      <c r="AS216" t="s">
        <v>1782</v>
      </c>
    </row>
    <row r="217" spans="1:45" ht="12.75" x14ac:dyDescent="0.2">
      <c r="A217" s="764">
        <v>210</v>
      </c>
      <c r="B217" s="765" t="s">
        <v>309</v>
      </c>
      <c r="C217" s="766" t="s">
        <v>1217</v>
      </c>
      <c r="D217" s="767" t="s">
        <v>1221</v>
      </c>
      <c r="E217" s="768" t="s">
        <v>308</v>
      </c>
      <c r="F217" s="141">
        <v>16306273</v>
      </c>
      <c r="G217" s="141">
        <v>0</v>
      </c>
      <c r="H217" s="141">
        <v>16306273</v>
      </c>
      <c r="I217" s="141">
        <v>0</v>
      </c>
      <c r="J217" s="141">
        <v>0</v>
      </c>
      <c r="K217" s="141">
        <v>0</v>
      </c>
      <c r="L217" s="141">
        <v>0</v>
      </c>
      <c r="M217" s="141">
        <v>0</v>
      </c>
      <c r="N217" s="141">
        <v>0</v>
      </c>
      <c r="O217" s="141">
        <v>16306273</v>
      </c>
      <c r="P217" s="141">
        <v>0</v>
      </c>
      <c r="Q217" s="141">
        <v>16306273</v>
      </c>
      <c r="R217" s="141">
        <v>42149</v>
      </c>
      <c r="S217" s="141">
        <v>0</v>
      </c>
      <c r="T217" s="141">
        <v>42149</v>
      </c>
      <c r="U217" s="141">
        <v>0</v>
      </c>
      <c r="V217" s="141">
        <v>0</v>
      </c>
      <c r="W217" s="141">
        <v>0</v>
      </c>
      <c r="X217" s="141">
        <v>0</v>
      </c>
      <c r="Y217" s="141">
        <v>0</v>
      </c>
      <c r="Z217" s="141">
        <v>0</v>
      </c>
      <c r="AA217" s="141">
        <v>0</v>
      </c>
      <c r="AB217" s="141">
        <v>0</v>
      </c>
      <c r="AC217" s="141">
        <v>0</v>
      </c>
      <c r="AD217" s="141">
        <v>0</v>
      </c>
      <c r="AE217" s="141">
        <v>0</v>
      </c>
      <c r="AF217" s="141">
        <v>0</v>
      </c>
      <c r="AG217" s="141">
        <v>0</v>
      </c>
      <c r="AH217" s="141">
        <v>0</v>
      </c>
      <c r="AI217" s="141">
        <v>0</v>
      </c>
      <c r="AJ217" s="141">
        <v>0</v>
      </c>
      <c r="AK217" s="141">
        <v>0</v>
      </c>
      <c r="AL217" s="141">
        <v>0</v>
      </c>
      <c r="AM217" s="141">
        <v>0</v>
      </c>
      <c r="AN217" s="141">
        <v>0</v>
      </c>
      <c r="AO217" s="141">
        <v>0</v>
      </c>
      <c r="AP217" s="856">
        <v>0</v>
      </c>
      <c r="AQ217" s="856">
        <v>0</v>
      </c>
      <c r="AR217" s="857">
        <v>0</v>
      </c>
      <c r="AS217" t="s">
        <v>1783</v>
      </c>
    </row>
    <row r="218" spans="1:45" ht="12.75" x14ac:dyDescent="0.2">
      <c r="A218" s="764">
        <v>211</v>
      </c>
      <c r="B218" s="765" t="s">
        <v>311</v>
      </c>
      <c r="C218" s="766" t="s">
        <v>1217</v>
      </c>
      <c r="D218" s="767" t="s">
        <v>1219</v>
      </c>
      <c r="E218" s="768" t="s">
        <v>310</v>
      </c>
      <c r="F218" s="141">
        <v>13230699</v>
      </c>
      <c r="G218" s="141">
        <v>0</v>
      </c>
      <c r="H218" s="141">
        <v>13230699</v>
      </c>
      <c r="I218" s="141">
        <v>-300000</v>
      </c>
      <c r="J218" s="141">
        <v>0</v>
      </c>
      <c r="K218" s="141">
        <v>-300000</v>
      </c>
      <c r="L218" s="141">
        <v>-500000</v>
      </c>
      <c r="M218" s="141">
        <v>0</v>
      </c>
      <c r="N218" s="141">
        <v>-500000</v>
      </c>
      <c r="O218" s="141">
        <v>12430699</v>
      </c>
      <c r="P218" s="141">
        <v>0</v>
      </c>
      <c r="Q218" s="141">
        <v>12430699</v>
      </c>
      <c r="R218" s="141">
        <v>168160</v>
      </c>
      <c r="S218" s="141">
        <v>0</v>
      </c>
      <c r="T218" s="141">
        <v>168160</v>
      </c>
      <c r="U218" s="141">
        <v>0</v>
      </c>
      <c r="V218" s="141">
        <v>0</v>
      </c>
      <c r="W218" s="141">
        <v>0</v>
      </c>
      <c r="X218" s="141">
        <v>0</v>
      </c>
      <c r="Y218" s="141">
        <v>0</v>
      </c>
      <c r="Z218" s="141">
        <v>0</v>
      </c>
      <c r="AA218" s="141">
        <v>0</v>
      </c>
      <c r="AB218" s="141">
        <v>0</v>
      </c>
      <c r="AC218" s="141">
        <v>0</v>
      </c>
      <c r="AD218" s="141">
        <v>0</v>
      </c>
      <c r="AE218" s="141">
        <v>0</v>
      </c>
      <c r="AF218" s="141">
        <v>0</v>
      </c>
      <c r="AG218" s="141">
        <v>0</v>
      </c>
      <c r="AH218" s="141">
        <v>0</v>
      </c>
      <c r="AI218" s="141">
        <v>0</v>
      </c>
      <c r="AJ218" s="141">
        <v>0</v>
      </c>
      <c r="AK218" s="141">
        <v>0</v>
      </c>
      <c r="AL218" s="141">
        <v>0</v>
      </c>
      <c r="AM218" s="141">
        <v>0</v>
      </c>
      <c r="AN218" s="141">
        <v>0</v>
      </c>
      <c r="AO218" s="141">
        <v>0</v>
      </c>
      <c r="AP218" s="856">
        <v>0</v>
      </c>
      <c r="AQ218" s="856">
        <v>0</v>
      </c>
      <c r="AR218" s="857">
        <v>0</v>
      </c>
      <c r="AS218" t="s">
        <v>1784</v>
      </c>
    </row>
    <row r="219" spans="1:45" ht="12.75" x14ac:dyDescent="0.2">
      <c r="A219" s="764">
        <v>212</v>
      </c>
      <c r="B219" s="765" t="s">
        <v>313</v>
      </c>
      <c r="C219" s="766" t="s">
        <v>1217</v>
      </c>
      <c r="D219" s="767" t="s">
        <v>1218</v>
      </c>
      <c r="E219" s="768" t="s">
        <v>312</v>
      </c>
      <c r="F219" s="141">
        <v>18404540</v>
      </c>
      <c r="G219" s="141">
        <v>0</v>
      </c>
      <c r="H219" s="141">
        <v>18404540</v>
      </c>
      <c r="I219" s="141">
        <v>-184050</v>
      </c>
      <c r="J219" s="141">
        <v>0</v>
      </c>
      <c r="K219" s="141">
        <v>-184050</v>
      </c>
      <c r="L219" s="141">
        <v>-1250100</v>
      </c>
      <c r="M219" s="141">
        <v>0</v>
      </c>
      <c r="N219" s="141">
        <v>-1250100</v>
      </c>
      <c r="O219" s="141">
        <v>16970390</v>
      </c>
      <c r="P219" s="141">
        <v>0</v>
      </c>
      <c r="Q219" s="141">
        <v>16970390</v>
      </c>
      <c r="R219" s="141">
        <v>0</v>
      </c>
      <c r="S219" s="141">
        <v>0</v>
      </c>
      <c r="T219" s="141">
        <v>0</v>
      </c>
      <c r="U219" s="141">
        <v>0</v>
      </c>
      <c r="V219" s="141">
        <v>0</v>
      </c>
      <c r="W219" s="141">
        <v>0</v>
      </c>
      <c r="X219" s="141">
        <v>0</v>
      </c>
      <c r="Y219" s="141">
        <v>0</v>
      </c>
      <c r="Z219" s="141">
        <v>0</v>
      </c>
      <c r="AA219" s="141">
        <v>0</v>
      </c>
      <c r="AB219" s="141">
        <v>0</v>
      </c>
      <c r="AC219" s="141">
        <v>0</v>
      </c>
      <c r="AD219" s="141">
        <v>0</v>
      </c>
      <c r="AE219" s="141">
        <v>0</v>
      </c>
      <c r="AF219" s="141">
        <v>0</v>
      </c>
      <c r="AG219" s="141">
        <v>0</v>
      </c>
      <c r="AH219" s="141">
        <v>0</v>
      </c>
      <c r="AI219" s="141">
        <v>0</v>
      </c>
      <c r="AJ219" s="141">
        <v>0</v>
      </c>
      <c r="AK219" s="141">
        <v>0</v>
      </c>
      <c r="AL219" s="141">
        <v>0</v>
      </c>
      <c r="AM219" s="141">
        <v>0</v>
      </c>
      <c r="AN219" s="141">
        <v>0</v>
      </c>
      <c r="AO219" s="141">
        <v>0</v>
      </c>
      <c r="AP219" s="856">
        <v>0</v>
      </c>
      <c r="AQ219" s="856">
        <v>0</v>
      </c>
      <c r="AR219" s="857">
        <v>0</v>
      </c>
      <c r="AS219" t="s">
        <v>1785</v>
      </c>
    </row>
    <row r="220" spans="1:45" ht="12.75" x14ac:dyDescent="0.2">
      <c r="A220" s="764">
        <v>213</v>
      </c>
      <c r="B220" s="765" t="s">
        <v>315</v>
      </c>
      <c r="C220" s="766" t="s">
        <v>1224</v>
      </c>
      <c r="D220" s="767" t="s">
        <v>1225</v>
      </c>
      <c r="E220" s="768" t="s">
        <v>314</v>
      </c>
      <c r="F220" s="141">
        <v>77975092</v>
      </c>
      <c r="G220" s="141">
        <v>695502</v>
      </c>
      <c r="H220" s="141">
        <v>78670594</v>
      </c>
      <c r="I220" s="141">
        <v>-1000000</v>
      </c>
      <c r="J220" s="141">
        <v>0</v>
      </c>
      <c r="K220" s="141">
        <v>-1000000</v>
      </c>
      <c r="L220" s="141">
        <v>-3079597</v>
      </c>
      <c r="M220" s="141">
        <v>0</v>
      </c>
      <c r="N220" s="141">
        <v>-3079597</v>
      </c>
      <c r="O220" s="141">
        <v>73895495</v>
      </c>
      <c r="P220" s="141">
        <v>695502</v>
      </c>
      <c r="Q220" s="141">
        <v>74590997</v>
      </c>
      <c r="R220" s="141">
        <v>211490</v>
      </c>
      <c r="S220" s="141">
        <v>0</v>
      </c>
      <c r="T220" s="141">
        <v>211490</v>
      </c>
      <c r="U220" s="141">
        <v>0</v>
      </c>
      <c r="V220" s="141">
        <v>0</v>
      </c>
      <c r="W220" s="141">
        <v>0</v>
      </c>
      <c r="X220" s="141">
        <v>5821</v>
      </c>
      <c r="Y220" s="141">
        <v>338869</v>
      </c>
      <c r="Z220" s="141">
        <v>362454</v>
      </c>
      <c r="AA220" s="141">
        <v>362454</v>
      </c>
      <c r="AB220" s="141">
        <v>0</v>
      </c>
      <c r="AC220" s="141">
        <v>0</v>
      </c>
      <c r="AD220" s="141">
        <v>0</v>
      </c>
      <c r="AE220" s="141">
        <v>0</v>
      </c>
      <c r="AF220" s="141">
        <v>206859</v>
      </c>
      <c r="AG220" s="141">
        <v>206859</v>
      </c>
      <c r="AH220" s="141">
        <v>0</v>
      </c>
      <c r="AI220" s="141">
        <v>0</v>
      </c>
      <c r="AJ220" s="141">
        <v>0</v>
      </c>
      <c r="AK220" s="141">
        <v>0</v>
      </c>
      <c r="AL220" s="141">
        <v>0</v>
      </c>
      <c r="AM220" s="141">
        <v>0</v>
      </c>
      <c r="AN220" s="141">
        <v>0</v>
      </c>
      <c r="AO220" s="141">
        <v>0</v>
      </c>
      <c r="AP220" s="856">
        <v>0</v>
      </c>
      <c r="AQ220" s="856">
        <v>206859</v>
      </c>
      <c r="AR220" s="857">
        <v>206859</v>
      </c>
      <c r="AS220" t="s">
        <v>1786</v>
      </c>
    </row>
    <row r="221" spans="1:45" ht="12.75" x14ac:dyDescent="0.2">
      <c r="A221" s="764">
        <v>214</v>
      </c>
      <c r="B221" s="765" t="s">
        <v>317</v>
      </c>
      <c r="C221" s="766" t="s">
        <v>1217</v>
      </c>
      <c r="D221" s="767" t="s">
        <v>1227</v>
      </c>
      <c r="E221" s="768" t="s">
        <v>316</v>
      </c>
      <c r="F221" s="141">
        <v>56337706</v>
      </c>
      <c r="G221" s="141">
        <v>0</v>
      </c>
      <c r="H221" s="141">
        <v>56337706</v>
      </c>
      <c r="I221" s="141">
        <v>-163970</v>
      </c>
      <c r="J221" s="141">
        <v>0</v>
      </c>
      <c r="K221" s="141">
        <v>-163970</v>
      </c>
      <c r="L221" s="141">
        <v>-2967620</v>
      </c>
      <c r="M221" s="141">
        <v>0</v>
      </c>
      <c r="N221" s="141">
        <v>-2967620</v>
      </c>
      <c r="O221" s="141">
        <v>53206116</v>
      </c>
      <c r="P221" s="141">
        <v>0</v>
      </c>
      <c r="Q221" s="141">
        <v>53206116</v>
      </c>
      <c r="R221" s="141">
        <v>0</v>
      </c>
      <c r="S221" s="141">
        <v>0</v>
      </c>
      <c r="T221" s="141">
        <v>0</v>
      </c>
      <c r="U221" s="141">
        <v>0</v>
      </c>
      <c r="V221" s="141">
        <v>0</v>
      </c>
      <c r="W221" s="141">
        <v>0</v>
      </c>
      <c r="X221" s="141">
        <v>0</v>
      </c>
      <c r="Y221" s="141">
        <v>0</v>
      </c>
      <c r="Z221" s="141">
        <v>0</v>
      </c>
      <c r="AA221" s="141">
        <v>0</v>
      </c>
      <c r="AB221" s="141">
        <v>0</v>
      </c>
      <c r="AC221" s="141">
        <v>0</v>
      </c>
      <c r="AD221" s="141">
        <v>0</v>
      </c>
      <c r="AE221" s="141">
        <v>0</v>
      </c>
      <c r="AF221" s="141">
        <v>0</v>
      </c>
      <c r="AG221" s="141">
        <v>0</v>
      </c>
      <c r="AH221" s="141">
        <v>0</v>
      </c>
      <c r="AI221" s="141">
        <v>0</v>
      </c>
      <c r="AJ221" s="141">
        <v>0</v>
      </c>
      <c r="AK221" s="141">
        <v>0</v>
      </c>
      <c r="AL221" s="141">
        <v>0</v>
      </c>
      <c r="AM221" s="141">
        <v>0</v>
      </c>
      <c r="AN221" s="141">
        <v>0</v>
      </c>
      <c r="AO221" s="141">
        <v>0</v>
      </c>
      <c r="AP221" s="856">
        <v>0</v>
      </c>
      <c r="AQ221" s="856">
        <v>0</v>
      </c>
      <c r="AR221" s="857">
        <v>0</v>
      </c>
      <c r="AS221" t="s">
        <v>1787</v>
      </c>
    </row>
    <row r="222" spans="1:45" ht="12.75" x14ac:dyDescent="0.2">
      <c r="A222" s="764">
        <v>215</v>
      </c>
      <c r="B222" s="765" t="s">
        <v>319</v>
      </c>
      <c r="C222" s="766" t="s">
        <v>1217</v>
      </c>
      <c r="D222" s="767" t="s">
        <v>1218</v>
      </c>
      <c r="E222" s="768" t="s">
        <v>318</v>
      </c>
      <c r="F222" s="141">
        <v>59430072</v>
      </c>
      <c r="G222" s="141">
        <v>556303</v>
      </c>
      <c r="H222" s="141">
        <v>59986375</v>
      </c>
      <c r="I222" s="141">
        <v>-285000</v>
      </c>
      <c r="J222" s="141">
        <v>0</v>
      </c>
      <c r="K222" s="141">
        <v>-285000</v>
      </c>
      <c r="L222" s="141">
        <v>-1000000</v>
      </c>
      <c r="M222" s="141">
        <v>0</v>
      </c>
      <c r="N222" s="141">
        <v>-1000000</v>
      </c>
      <c r="O222" s="141">
        <v>58145072</v>
      </c>
      <c r="P222" s="141">
        <v>556303</v>
      </c>
      <c r="Q222" s="141">
        <v>58701375</v>
      </c>
      <c r="R222" s="141">
        <v>0</v>
      </c>
      <c r="S222" s="141">
        <v>0</v>
      </c>
      <c r="T222" s="141">
        <v>0</v>
      </c>
      <c r="U222" s="141">
        <v>0</v>
      </c>
      <c r="V222" s="141">
        <v>0</v>
      </c>
      <c r="W222" s="141">
        <v>0</v>
      </c>
      <c r="X222" s="141">
        <v>2949</v>
      </c>
      <c r="Y222" s="141">
        <v>635014</v>
      </c>
      <c r="Z222" s="141">
        <v>0</v>
      </c>
      <c r="AA222" s="141">
        <v>0</v>
      </c>
      <c r="AB222" s="141">
        <v>0</v>
      </c>
      <c r="AC222" s="141">
        <v>0</v>
      </c>
      <c r="AD222" s="141">
        <v>0</v>
      </c>
      <c r="AE222" s="141">
        <v>0</v>
      </c>
      <c r="AF222" s="141">
        <v>0</v>
      </c>
      <c r="AG222" s="141">
        <v>0</v>
      </c>
      <c r="AH222" s="141">
        <v>0</v>
      </c>
      <c r="AI222" s="141">
        <v>0</v>
      </c>
      <c r="AJ222" s="141">
        <v>0</v>
      </c>
      <c r="AK222" s="141">
        <v>0</v>
      </c>
      <c r="AL222" s="141">
        <v>0</v>
      </c>
      <c r="AM222" s="141">
        <v>0</v>
      </c>
      <c r="AN222" s="141">
        <v>0</v>
      </c>
      <c r="AO222" s="141">
        <v>0</v>
      </c>
      <c r="AP222" s="856">
        <v>0</v>
      </c>
      <c r="AQ222" s="856">
        <v>0</v>
      </c>
      <c r="AR222" s="857">
        <v>0</v>
      </c>
      <c r="AS222" t="s">
        <v>1788</v>
      </c>
    </row>
    <row r="223" spans="1:45" ht="12.75" x14ac:dyDescent="0.2">
      <c r="A223" s="764">
        <v>216</v>
      </c>
      <c r="B223" s="765" t="s">
        <v>321</v>
      </c>
      <c r="C223" s="766" t="s">
        <v>1217</v>
      </c>
      <c r="D223" s="767" t="s">
        <v>1220</v>
      </c>
      <c r="E223" s="768" t="s">
        <v>320</v>
      </c>
      <c r="F223" s="141">
        <v>30289742</v>
      </c>
      <c r="G223" s="141">
        <v>0</v>
      </c>
      <c r="H223" s="141">
        <v>30289742</v>
      </c>
      <c r="I223" s="141">
        <v>-130000</v>
      </c>
      <c r="J223" s="141">
        <v>0</v>
      </c>
      <c r="K223" s="141">
        <v>-130000</v>
      </c>
      <c r="L223" s="141">
        <v>-1423618</v>
      </c>
      <c r="M223" s="141">
        <v>0</v>
      </c>
      <c r="N223" s="141">
        <v>-1423618</v>
      </c>
      <c r="O223" s="141">
        <v>28736124</v>
      </c>
      <c r="P223" s="141">
        <v>0</v>
      </c>
      <c r="Q223" s="141">
        <v>28736124</v>
      </c>
      <c r="R223" s="141">
        <v>401631</v>
      </c>
      <c r="S223" s="141">
        <v>0</v>
      </c>
      <c r="T223" s="141">
        <v>401631</v>
      </c>
      <c r="U223" s="141">
        <v>0</v>
      </c>
      <c r="V223" s="141">
        <v>0</v>
      </c>
      <c r="W223" s="141">
        <v>0</v>
      </c>
      <c r="X223" s="141">
        <v>0</v>
      </c>
      <c r="Y223" s="141">
        <v>0</v>
      </c>
      <c r="Z223" s="141">
        <v>0</v>
      </c>
      <c r="AA223" s="141">
        <v>0</v>
      </c>
      <c r="AB223" s="141">
        <v>0</v>
      </c>
      <c r="AC223" s="141">
        <v>0</v>
      </c>
      <c r="AD223" s="141">
        <v>0</v>
      </c>
      <c r="AE223" s="141">
        <v>0</v>
      </c>
      <c r="AF223" s="141">
        <v>0</v>
      </c>
      <c r="AG223" s="141">
        <v>0</v>
      </c>
      <c r="AH223" s="141">
        <v>0</v>
      </c>
      <c r="AI223" s="141">
        <v>0</v>
      </c>
      <c r="AJ223" s="141">
        <v>0</v>
      </c>
      <c r="AK223" s="141">
        <v>0</v>
      </c>
      <c r="AL223" s="141">
        <v>0</v>
      </c>
      <c r="AM223" s="141">
        <v>0</v>
      </c>
      <c r="AN223" s="141">
        <v>0</v>
      </c>
      <c r="AO223" s="141">
        <v>0</v>
      </c>
      <c r="AP223" s="856">
        <v>0</v>
      </c>
      <c r="AQ223" s="856">
        <v>0</v>
      </c>
      <c r="AR223" s="857">
        <v>0</v>
      </c>
      <c r="AS223" t="s">
        <v>1789</v>
      </c>
    </row>
    <row r="224" spans="1:45" ht="12.75" x14ac:dyDescent="0.2">
      <c r="A224" s="764">
        <v>217</v>
      </c>
      <c r="B224" s="765" t="s">
        <v>323</v>
      </c>
      <c r="C224" s="766" t="s">
        <v>1217</v>
      </c>
      <c r="D224" s="767" t="s">
        <v>1218</v>
      </c>
      <c r="E224" s="768" t="s">
        <v>322</v>
      </c>
      <c r="F224" s="141">
        <v>54035844</v>
      </c>
      <c r="G224" s="141">
        <v>0</v>
      </c>
      <c r="H224" s="141">
        <v>54035844</v>
      </c>
      <c r="I224" s="141">
        <v>-350000</v>
      </c>
      <c r="J224" s="141">
        <v>0</v>
      </c>
      <c r="K224" s="141">
        <v>-350000</v>
      </c>
      <c r="L224" s="141">
        <v>-3906730</v>
      </c>
      <c r="M224" s="141">
        <v>0</v>
      </c>
      <c r="N224" s="141">
        <v>-3906730</v>
      </c>
      <c r="O224" s="141">
        <v>49779114</v>
      </c>
      <c r="P224" s="141">
        <v>0</v>
      </c>
      <c r="Q224" s="141">
        <v>49779114</v>
      </c>
      <c r="R224" s="141">
        <v>0</v>
      </c>
      <c r="S224" s="141">
        <v>0</v>
      </c>
      <c r="T224" s="141">
        <v>0</v>
      </c>
      <c r="U224" s="141">
        <v>0</v>
      </c>
      <c r="V224" s="141">
        <v>0</v>
      </c>
      <c r="W224" s="141">
        <v>0</v>
      </c>
      <c r="X224" s="141">
        <v>0</v>
      </c>
      <c r="Y224" s="141">
        <v>0</v>
      </c>
      <c r="Z224" s="141">
        <v>0</v>
      </c>
      <c r="AA224" s="141">
        <v>0</v>
      </c>
      <c r="AB224" s="141">
        <v>0</v>
      </c>
      <c r="AC224" s="141">
        <v>0</v>
      </c>
      <c r="AD224" s="141">
        <v>0</v>
      </c>
      <c r="AE224" s="141">
        <v>0</v>
      </c>
      <c r="AF224" s="141">
        <v>0</v>
      </c>
      <c r="AG224" s="141">
        <v>0</v>
      </c>
      <c r="AH224" s="141">
        <v>0</v>
      </c>
      <c r="AI224" s="141">
        <v>0</v>
      </c>
      <c r="AJ224" s="141">
        <v>0</v>
      </c>
      <c r="AK224" s="141">
        <v>0</v>
      </c>
      <c r="AL224" s="141">
        <v>0</v>
      </c>
      <c r="AM224" s="141">
        <v>0</v>
      </c>
      <c r="AN224" s="141">
        <v>0</v>
      </c>
      <c r="AO224" s="141">
        <v>0</v>
      </c>
      <c r="AP224" s="856">
        <v>0</v>
      </c>
      <c r="AQ224" s="856">
        <v>0</v>
      </c>
      <c r="AR224" s="857">
        <v>0</v>
      </c>
      <c r="AS224" t="s">
        <v>1790</v>
      </c>
    </row>
    <row r="225" spans="1:45" ht="12.75" x14ac:dyDescent="0.2">
      <c r="A225" s="764">
        <v>218</v>
      </c>
      <c r="B225" s="765" t="s">
        <v>325</v>
      </c>
      <c r="C225" s="766" t="s">
        <v>529</v>
      </c>
      <c r="D225" s="767" t="s">
        <v>1220</v>
      </c>
      <c r="E225" s="768" t="s">
        <v>598</v>
      </c>
      <c r="F225" s="141">
        <v>11772878</v>
      </c>
      <c r="G225" s="141">
        <v>0</v>
      </c>
      <c r="H225" s="141">
        <v>11772878</v>
      </c>
      <c r="I225" s="141">
        <v>-100000</v>
      </c>
      <c r="J225" s="141">
        <v>0</v>
      </c>
      <c r="K225" s="141">
        <v>-100000</v>
      </c>
      <c r="L225" s="141">
        <v>-734448</v>
      </c>
      <c r="M225" s="141">
        <v>0</v>
      </c>
      <c r="N225" s="141">
        <v>-734448</v>
      </c>
      <c r="O225" s="141">
        <v>10938430</v>
      </c>
      <c r="P225" s="141">
        <v>0</v>
      </c>
      <c r="Q225" s="141">
        <v>10938430</v>
      </c>
      <c r="R225" s="141">
        <v>36504</v>
      </c>
      <c r="S225" s="141">
        <v>0</v>
      </c>
      <c r="T225" s="141">
        <v>36504</v>
      </c>
      <c r="U225" s="141">
        <v>0</v>
      </c>
      <c r="V225" s="141">
        <v>0</v>
      </c>
      <c r="W225" s="141">
        <v>0</v>
      </c>
      <c r="X225" s="141">
        <v>0</v>
      </c>
      <c r="Y225" s="141">
        <v>0</v>
      </c>
      <c r="Z225" s="141">
        <v>0</v>
      </c>
      <c r="AA225" s="141">
        <v>0</v>
      </c>
      <c r="AB225" s="141">
        <v>0</v>
      </c>
      <c r="AC225" s="141">
        <v>0</v>
      </c>
      <c r="AD225" s="141">
        <v>0</v>
      </c>
      <c r="AE225" s="141">
        <v>0</v>
      </c>
      <c r="AF225" s="141">
        <v>0</v>
      </c>
      <c r="AG225" s="141">
        <v>0</v>
      </c>
      <c r="AH225" s="141">
        <v>0</v>
      </c>
      <c r="AI225" s="141">
        <v>0</v>
      </c>
      <c r="AJ225" s="141">
        <v>0</v>
      </c>
      <c r="AK225" s="141">
        <v>0</v>
      </c>
      <c r="AL225" s="141">
        <v>0</v>
      </c>
      <c r="AM225" s="141">
        <v>0</v>
      </c>
      <c r="AN225" s="141">
        <v>0</v>
      </c>
      <c r="AO225" s="141">
        <v>0</v>
      </c>
      <c r="AP225" s="856">
        <v>0</v>
      </c>
      <c r="AQ225" s="856">
        <v>0</v>
      </c>
      <c r="AR225" s="857">
        <v>0</v>
      </c>
      <c r="AS225" t="s">
        <v>1791</v>
      </c>
    </row>
    <row r="226" spans="1:45" ht="12.75" x14ac:dyDescent="0.2">
      <c r="A226" s="764">
        <v>219</v>
      </c>
      <c r="B226" s="765" t="s">
        <v>327</v>
      </c>
      <c r="C226" s="766" t="s">
        <v>1217</v>
      </c>
      <c r="D226" s="767" t="s">
        <v>1225</v>
      </c>
      <c r="E226" s="768" t="s">
        <v>326</v>
      </c>
      <c r="F226" s="141">
        <v>17811870</v>
      </c>
      <c r="G226" s="141">
        <v>0</v>
      </c>
      <c r="H226" s="141">
        <v>17811870</v>
      </c>
      <c r="I226" s="141">
        <v>-50000</v>
      </c>
      <c r="J226" s="141">
        <v>0</v>
      </c>
      <c r="K226" s="141">
        <v>-50000</v>
      </c>
      <c r="L226" s="141">
        <v>-1080000</v>
      </c>
      <c r="M226" s="141">
        <v>0</v>
      </c>
      <c r="N226" s="141">
        <v>-1080000</v>
      </c>
      <c r="O226" s="141">
        <v>16681870</v>
      </c>
      <c r="P226" s="141">
        <v>0</v>
      </c>
      <c r="Q226" s="141">
        <v>16681870</v>
      </c>
      <c r="R226" s="141">
        <v>22095</v>
      </c>
      <c r="S226" s="141">
        <v>0</v>
      </c>
      <c r="T226" s="141">
        <v>22095</v>
      </c>
      <c r="U226" s="141">
        <v>0</v>
      </c>
      <c r="V226" s="141">
        <v>0</v>
      </c>
      <c r="W226" s="141">
        <v>0</v>
      </c>
      <c r="X226" s="141">
        <v>0</v>
      </c>
      <c r="Y226" s="141">
        <v>0</v>
      </c>
      <c r="Z226" s="141">
        <v>0</v>
      </c>
      <c r="AA226" s="141">
        <v>0</v>
      </c>
      <c r="AB226" s="141">
        <v>0</v>
      </c>
      <c r="AC226" s="141">
        <v>0</v>
      </c>
      <c r="AD226" s="141">
        <v>0</v>
      </c>
      <c r="AE226" s="141">
        <v>0</v>
      </c>
      <c r="AF226" s="141">
        <v>0</v>
      </c>
      <c r="AG226" s="141">
        <v>0</v>
      </c>
      <c r="AH226" s="141">
        <v>0</v>
      </c>
      <c r="AI226" s="141">
        <v>0</v>
      </c>
      <c r="AJ226" s="141">
        <v>0</v>
      </c>
      <c r="AK226" s="141">
        <v>0</v>
      </c>
      <c r="AL226" s="141">
        <v>0</v>
      </c>
      <c r="AM226" s="141">
        <v>0</v>
      </c>
      <c r="AN226" s="141">
        <v>0</v>
      </c>
      <c r="AO226" s="141">
        <v>0</v>
      </c>
      <c r="AP226" s="856">
        <v>0</v>
      </c>
      <c r="AQ226" s="856">
        <v>0</v>
      </c>
      <c r="AR226" s="857">
        <v>0</v>
      </c>
      <c r="AS226" t="s">
        <v>1792</v>
      </c>
    </row>
    <row r="227" spans="1:45" ht="12.75" x14ac:dyDescent="0.2">
      <c r="A227" s="764">
        <v>220</v>
      </c>
      <c r="B227" s="765" t="s">
        <v>329</v>
      </c>
      <c r="C227" s="766" t="s">
        <v>1224</v>
      </c>
      <c r="D227" s="767" t="s">
        <v>1219</v>
      </c>
      <c r="E227" s="768" t="s">
        <v>328</v>
      </c>
      <c r="F227" s="141">
        <v>100341879</v>
      </c>
      <c r="G227" s="141">
        <v>0</v>
      </c>
      <c r="H227" s="141">
        <v>100341879</v>
      </c>
      <c r="I227" s="141">
        <v>-3511966</v>
      </c>
      <c r="J227" s="141">
        <v>0</v>
      </c>
      <c r="K227" s="141">
        <v>-3511966</v>
      </c>
      <c r="L227" s="141">
        <v>-5510042</v>
      </c>
      <c r="M227" s="141">
        <v>0</v>
      </c>
      <c r="N227" s="141">
        <v>-5510042</v>
      </c>
      <c r="O227" s="141">
        <v>91319871</v>
      </c>
      <c r="P227" s="141">
        <v>0</v>
      </c>
      <c r="Q227" s="141">
        <v>91319871</v>
      </c>
      <c r="R227" s="141">
        <v>0</v>
      </c>
      <c r="S227" s="141">
        <v>0</v>
      </c>
      <c r="T227" s="141">
        <v>0</v>
      </c>
      <c r="U227" s="141">
        <v>0</v>
      </c>
      <c r="V227" s="141">
        <v>0</v>
      </c>
      <c r="W227" s="141">
        <v>0</v>
      </c>
      <c r="X227" s="141">
        <v>0</v>
      </c>
      <c r="Y227" s="141">
        <v>0</v>
      </c>
      <c r="Z227" s="141">
        <v>0</v>
      </c>
      <c r="AA227" s="141">
        <v>0</v>
      </c>
      <c r="AB227" s="141">
        <v>0</v>
      </c>
      <c r="AC227" s="141">
        <v>0</v>
      </c>
      <c r="AD227" s="141">
        <v>0</v>
      </c>
      <c r="AE227" s="141">
        <v>0</v>
      </c>
      <c r="AF227" s="141">
        <v>0</v>
      </c>
      <c r="AG227" s="141">
        <v>0</v>
      </c>
      <c r="AH227" s="141">
        <v>0</v>
      </c>
      <c r="AI227" s="141">
        <v>0</v>
      </c>
      <c r="AJ227" s="141">
        <v>0</v>
      </c>
      <c r="AK227" s="141">
        <v>0</v>
      </c>
      <c r="AL227" s="141">
        <v>0</v>
      </c>
      <c r="AM227" s="141">
        <v>0</v>
      </c>
      <c r="AN227" s="141">
        <v>0</v>
      </c>
      <c r="AO227" s="141">
        <v>0</v>
      </c>
      <c r="AP227" s="856">
        <v>0</v>
      </c>
      <c r="AQ227" s="856">
        <v>0</v>
      </c>
      <c r="AR227" s="857">
        <v>0</v>
      </c>
      <c r="AS227" t="s">
        <v>1793</v>
      </c>
    </row>
    <row r="228" spans="1:45" ht="12.75" x14ac:dyDescent="0.2">
      <c r="A228" s="764">
        <v>221</v>
      </c>
      <c r="B228" s="765" t="s">
        <v>331</v>
      </c>
      <c r="C228" s="766" t="s">
        <v>1224</v>
      </c>
      <c r="D228" s="767" t="s">
        <v>1227</v>
      </c>
      <c r="E228" s="768" t="s">
        <v>330</v>
      </c>
      <c r="F228" s="141">
        <v>104143392</v>
      </c>
      <c r="G228" s="141">
        <v>0</v>
      </c>
      <c r="H228" s="141">
        <v>104143392</v>
      </c>
      <c r="I228" s="141">
        <v>-1400000</v>
      </c>
      <c r="J228" s="141">
        <v>0</v>
      </c>
      <c r="K228" s="141">
        <v>-1400000</v>
      </c>
      <c r="L228" s="141">
        <v>-3500000</v>
      </c>
      <c r="M228" s="141">
        <v>0</v>
      </c>
      <c r="N228" s="141">
        <v>-3500000</v>
      </c>
      <c r="O228" s="141">
        <v>99243392</v>
      </c>
      <c r="P228" s="141">
        <v>0</v>
      </c>
      <c r="Q228" s="141">
        <v>99243392</v>
      </c>
      <c r="R228" s="141">
        <v>0</v>
      </c>
      <c r="S228" s="141">
        <v>0</v>
      </c>
      <c r="T228" s="141">
        <v>0</v>
      </c>
      <c r="U228" s="141">
        <v>0</v>
      </c>
      <c r="V228" s="141">
        <v>0</v>
      </c>
      <c r="W228" s="141">
        <v>0</v>
      </c>
      <c r="X228" s="141">
        <v>0</v>
      </c>
      <c r="Y228" s="141">
        <v>0</v>
      </c>
      <c r="Z228" s="141">
        <v>0</v>
      </c>
      <c r="AA228" s="141">
        <v>0</v>
      </c>
      <c r="AB228" s="141">
        <v>0</v>
      </c>
      <c r="AC228" s="141">
        <v>0</v>
      </c>
      <c r="AD228" s="141">
        <v>0</v>
      </c>
      <c r="AE228" s="141">
        <v>0</v>
      </c>
      <c r="AF228" s="141">
        <v>0</v>
      </c>
      <c r="AG228" s="141">
        <v>0</v>
      </c>
      <c r="AH228" s="141">
        <v>0</v>
      </c>
      <c r="AI228" s="141">
        <v>0</v>
      </c>
      <c r="AJ228" s="141">
        <v>0</v>
      </c>
      <c r="AK228" s="141">
        <v>0</v>
      </c>
      <c r="AL228" s="141">
        <v>0</v>
      </c>
      <c r="AM228" s="141">
        <v>0</v>
      </c>
      <c r="AN228" s="141">
        <v>0</v>
      </c>
      <c r="AO228" s="141">
        <v>0</v>
      </c>
      <c r="AP228" s="856">
        <v>0</v>
      </c>
      <c r="AQ228" s="856">
        <v>0</v>
      </c>
      <c r="AR228" s="857">
        <v>0</v>
      </c>
      <c r="AS228" t="s">
        <v>1794</v>
      </c>
    </row>
    <row r="229" spans="1:45" ht="12.75" x14ac:dyDescent="0.2">
      <c r="A229" s="764">
        <v>222</v>
      </c>
      <c r="B229" s="765" t="s">
        <v>333</v>
      </c>
      <c r="C229" s="766" t="s">
        <v>1217</v>
      </c>
      <c r="D229" s="767" t="s">
        <v>1225</v>
      </c>
      <c r="E229" s="768" t="s">
        <v>332</v>
      </c>
      <c r="F229" s="141">
        <v>35206964</v>
      </c>
      <c r="G229" s="141">
        <v>0</v>
      </c>
      <c r="H229" s="141">
        <v>35206964</v>
      </c>
      <c r="I229" s="141">
        <v>-400000</v>
      </c>
      <c r="J229" s="141">
        <v>0</v>
      </c>
      <c r="K229" s="141">
        <v>-400000</v>
      </c>
      <c r="L229" s="141">
        <v>-1855000</v>
      </c>
      <c r="M229" s="141">
        <v>0</v>
      </c>
      <c r="N229" s="141">
        <v>-1855000</v>
      </c>
      <c r="O229" s="141">
        <v>32951964</v>
      </c>
      <c r="P229" s="141">
        <v>0</v>
      </c>
      <c r="Q229" s="141">
        <v>32951964</v>
      </c>
      <c r="R229" s="141">
        <v>0</v>
      </c>
      <c r="S229" s="141">
        <v>0</v>
      </c>
      <c r="T229" s="141">
        <v>0</v>
      </c>
      <c r="U229" s="141">
        <v>0</v>
      </c>
      <c r="V229" s="141">
        <v>0</v>
      </c>
      <c r="W229" s="141">
        <v>0</v>
      </c>
      <c r="X229" s="141">
        <v>0</v>
      </c>
      <c r="Y229" s="141">
        <v>0</v>
      </c>
      <c r="Z229" s="141">
        <v>0</v>
      </c>
      <c r="AA229" s="141">
        <v>0</v>
      </c>
      <c r="AB229" s="141">
        <v>0</v>
      </c>
      <c r="AC229" s="141">
        <v>0</v>
      </c>
      <c r="AD229" s="141">
        <v>0</v>
      </c>
      <c r="AE229" s="141">
        <v>0</v>
      </c>
      <c r="AF229" s="141">
        <v>0</v>
      </c>
      <c r="AG229" s="141">
        <v>0</v>
      </c>
      <c r="AH229" s="141">
        <v>0</v>
      </c>
      <c r="AI229" s="141">
        <v>0</v>
      </c>
      <c r="AJ229" s="141">
        <v>0</v>
      </c>
      <c r="AK229" s="141">
        <v>0</v>
      </c>
      <c r="AL229" s="141">
        <v>0</v>
      </c>
      <c r="AM229" s="141">
        <v>0</v>
      </c>
      <c r="AN229" s="141">
        <v>0</v>
      </c>
      <c r="AO229" s="141">
        <v>0</v>
      </c>
      <c r="AP229" s="856">
        <v>0</v>
      </c>
      <c r="AQ229" s="856">
        <v>0</v>
      </c>
      <c r="AR229" s="857">
        <v>0</v>
      </c>
      <c r="AS229" t="s">
        <v>1795</v>
      </c>
    </row>
    <row r="230" spans="1:45" ht="12.75" x14ac:dyDescent="0.2">
      <c r="A230" s="764">
        <v>223</v>
      </c>
      <c r="B230" s="765" t="s">
        <v>335</v>
      </c>
      <c r="C230" s="766" t="s">
        <v>1217</v>
      </c>
      <c r="D230" s="767" t="s">
        <v>1226</v>
      </c>
      <c r="E230" s="768" t="s">
        <v>334</v>
      </c>
      <c r="F230" s="141">
        <v>42964114</v>
      </c>
      <c r="G230" s="141">
        <v>18648</v>
      </c>
      <c r="H230" s="141">
        <v>42982762</v>
      </c>
      <c r="I230" s="141">
        <v>-214903</v>
      </c>
      <c r="J230" s="141">
        <v>0</v>
      </c>
      <c r="K230" s="141">
        <v>-214903</v>
      </c>
      <c r="L230" s="141">
        <v>-1130554</v>
      </c>
      <c r="M230" s="141">
        <v>0</v>
      </c>
      <c r="N230" s="141">
        <v>-1130554</v>
      </c>
      <c r="O230" s="141">
        <v>41618657</v>
      </c>
      <c r="P230" s="141">
        <v>18648</v>
      </c>
      <c r="Q230" s="141">
        <v>41637305</v>
      </c>
      <c r="R230" s="141">
        <v>231348</v>
      </c>
      <c r="S230" s="141">
        <v>0</v>
      </c>
      <c r="T230" s="141">
        <v>231348</v>
      </c>
      <c r="U230" s="141">
        <v>0</v>
      </c>
      <c r="V230" s="141">
        <v>0</v>
      </c>
      <c r="W230" s="141">
        <v>0</v>
      </c>
      <c r="X230" s="141">
        <v>0</v>
      </c>
      <c r="Y230" s="141">
        <v>21854</v>
      </c>
      <c r="Z230" s="141">
        <v>0</v>
      </c>
      <c r="AA230" s="141">
        <v>0</v>
      </c>
      <c r="AB230" s="141">
        <v>0</v>
      </c>
      <c r="AC230" s="141">
        <v>0</v>
      </c>
      <c r="AD230" s="141">
        <v>0</v>
      </c>
      <c r="AE230" s="141">
        <v>0</v>
      </c>
      <c r="AF230" s="141">
        <v>0</v>
      </c>
      <c r="AG230" s="141">
        <v>0</v>
      </c>
      <c r="AH230" s="141">
        <v>0</v>
      </c>
      <c r="AI230" s="141">
        <v>0</v>
      </c>
      <c r="AJ230" s="141">
        <v>0</v>
      </c>
      <c r="AK230" s="141">
        <v>0</v>
      </c>
      <c r="AL230" s="141">
        <v>0</v>
      </c>
      <c r="AM230" s="141">
        <v>0</v>
      </c>
      <c r="AN230" s="141">
        <v>0</v>
      </c>
      <c r="AO230" s="141">
        <v>0</v>
      </c>
      <c r="AP230" s="856">
        <v>0</v>
      </c>
      <c r="AQ230" s="856">
        <v>0</v>
      </c>
      <c r="AR230" s="857">
        <v>0</v>
      </c>
      <c r="AS230" t="s">
        <v>1796</v>
      </c>
    </row>
    <row r="231" spans="1:45" ht="12.75" x14ac:dyDescent="0.2">
      <c r="A231" s="764">
        <v>224</v>
      </c>
      <c r="B231" s="765" t="s">
        <v>337</v>
      </c>
      <c r="C231" s="766" t="s">
        <v>1224</v>
      </c>
      <c r="D231" s="767" t="s">
        <v>1219</v>
      </c>
      <c r="E231" s="768" t="s">
        <v>336</v>
      </c>
      <c r="F231" s="141">
        <v>70858683</v>
      </c>
      <c r="G231" s="141">
        <v>0</v>
      </c>
      <c r="H231" s="141">
        <v>70858683</v>
      </c>
      <c r="I231" s="141">
        <v>-1370000</v>
      </c>
      <c r="J231" s="141">
        <v>0</v>
      </c>
      <c r="K231" s="141">
        <v>-1370000</v>
      </c>
      <c r="L231" s="141">
        <v>-3840000</v>
      </c>
      <c r="M231" s="141">
        <v>0</v>
      </c>
      <c r="N231" s="141">
        <v>-3840000</v>
      </c>
      <c r="O231" s="141">
        <v>65648683</v>
      </c>
      <c r="P231" s="141">
        <v>0</v>
      </c>
      <c r="Q231" s="141">
        <v>65648683</v>
      </c>
      <c r="R231" s="141">
        <v>0</v>
      </c>
      <c r="S231" s="141">
        <v>0</v>
      </c>
      <c r="T231" s="141">
        <v>0</v>
      </c>
      <c r="U231" s="141">
        <v>0</v>
      </c>
      <c r="V231" s="141">
        <v>0</v>
      </c>
      <c r="W231" s="141">
        <v>0</v>
      </c>
      <c r="X231" s="141">
        <v>0</v>
      </c>
      <c r="Y231" s="141">
        <v>0</v>
      </c>
      <c r="Z231" s="141">
        <v>0</v>
      </c>
      <c r="AA231" s="141">
        <v>0</v>
      </c>
      <c r="AB231" s="141">
        <v>0</v>
      </c>
      <c r="AC231" s="141">
        <v>0</v>
      </c>
      <c r="AD231" s="141">
        <v>0</v>
      </c>
      <c r="AE231" s="141">
        <v>0</v>
      </c>
      <c r="AF231" s="141">
        <v>0</v>
      </c>
      <c r="AG231" s="141">
        <v>0</v>
      </c>
      <c r="AH231" s="141">
        <v>0</v>
      </c>
      <c r="AI231" s="141">
        <v>0</v>
      </c>
      <c r="AJ231" s="141">
        <v>0</v>
      </c>
      <c r="AK231" s="141">
        <v>0</v>
      </c>
      <c r="AL231" s="141">
        <v>0</v>
      </c>
      <c r="AM231" s="141">
        <v>0</v>
      </c>
      <c r="AN231" s="141">
        <v>0</v>
      </c>
      <c r="AO231" s="141">
        <v>0</v>
      </c>
      <c r="AP231" s="856">
        <v>0</v>
      </c>
      <c r="AQ231" s="856">
        <v>0</v>
      </c>
      <c r="AR231" s="857">
        <v>0</v>
      </c>
      <c r="AS231" t="s">
        <v>1797</v>
      </c>
    </row>
    <row r="232" spans="1:45" ht="12.75" x14ac:dyDescent="0.2">
      <c r="A232" s="764">
        <v>225</v>
      </c>
      <c r="B232" s="765" t="s">
        <v>339</v>
      </c>
      <c r="C232" s="766" t="s">
        <v>1217</v>
      </c>
      <c r="D232" s="767" t="s">
        <v>1225</v>
      </c>
      <c r="E232" s="768" t="s">
        <v>338</v>
      </c>
      <c r="F232" s="141">
        <v>40520666</v>
      </c>
      <c r="G232" s="141">
        <v>0</v>
      </c>
      <c r="H232" s="141">
        <v>40520666</v>
      </c>
      <c r="I232" s="141">
        <v>-207100</v>
      </c>
      <c r="J232" s="141">
        <v>0</v>
      </c>
      <c r="K232" s="141">
        <v>-207100</v>
      </c>
      <c r="L232" s="141">
        <v>-1904471</v>
      </c>
      <c r="M232" s="141">
        <v>0</v>
      </c>
      <c r="N232" s="141">
        <v>-1904471</v>
      </c>
      <c r="O232" s="141">
        <v>38409095</v>
      </c>
      <c r="P232" s="141">
        <v>0</v>
      </c>
      <c r="Q232" s="141">
        <v>38409095</v>
      </c>
      <c r="R232" s="141">
        <v>7997259</v>
      </c>
      <c r="S232" s="141">
        <v>0</v>
      </c>
      <c r="T232" s="141">
        <v>7997259</v>
      </c>
      <c r="U232" s="141">
        <v>0</v>
      </c>
      <c r="V232" s="141">
        <v>0</v>
      </c>
      <c r="W232" s="141">
        <v>0</v>
      </c>
      <c r="X232" s="141">
        <v>0</v>
      </c>
      <c r="Y232" s="141">
        <v>0</v>
      </c>
      <c r="Z232" s="141">
        <v>0</v>
      </c>
      <c r="AA232" s="141">
        <v>0</v>
      </c>
      <c r="AB232" s="141">
        <v>0</v>
      </c>
      <c r="AC232" s="141">
        <v>0</v>
      </c>
      <c r="AD232" s="141">
        <v>0</v>
      </c>
      <c r="AE232" s="141">
        <v>0</v>
      </c>
      <c r="AF232" s="141">
        <v>0</v>
      </c>
      <c r="AG232" s="141">
        <v>0</v>
      </c>
      <c r="AH232" s="141">
        <v>0</v>
      </c>
      <c r="AI232" s="141">
        <v>0</v>
      </c>
      <c r="AJ232" s="141">
        <v>0</v>
      </c>
      <c r="AK232" s="141">
        <v>0</v>
      </c>
      <c r="AL232" s="141">
        <v>0</v>
      </c>
      <c r="AM232" s="141">
        <v>0</v>
      </c>
      <c r="AN232" s="141">
        <v>0</v>
      </c>
      <c r="AO232" s="141">
        <v>0</v>
      </c>
      <c r="AP232" s="856">
        <v>0</v>
      </c>
      <c r="AQ232" s="856">
        <v>0</v>
      </c>
      <c r="AR232" s="857">
        <v>0</v>
      </c>
      <c r="AS232" t="s">
        <v>1798</v>
      </c>
    </row>
    <row r="233" spans="1:45" ht="12.75" x14ac:dyDescent="0.2">
      <c r="A233" s="764">
        <v>226</v>
      </c>
      <c r="B233" s="765" t="s">
        <v>341</v>
      </c>
      <c r="C233" s="766" t="s">
        <v>1217</v>
      </c>
      <c r="D233" s="767" t="s">
        <v>1218</v>
      </c>
      <c r="E233" s="768" t="s">
        <v>340</v>
      </c>
      <c r="F233" s="141">
        <v>36694159</v>
      </c>
      <c r="G233" s="141">
        <v>0</v>
      </c>
      <c r="H233" s="141">
        <v>36694159</v>
      </c>
      <c r="I233" s="141">
        <v>-100000</v>
      </c>
      <c r="J233" s="141">
        <v>0</v>
      </c>
      <c r="K233" s="141">
        <v>-100000</v>
      </c>
      <c r="L233" s="141">
        <v>-1967122</v>
      </c>
      <c r="M233" s="141">
        <v>0</v>
      </c>
      <c r="N233" s="141">
        <v>-1967122</v>
      </c>
      <c r="O233" s="141">
        <v>34627037</v>
      </c>
      <c r="P233" s="141">
        <v>0</v>
      </c>
      <c r="Q233" s="141">
        <v>34627037</v>
      </c>
      <c r="R233" s="141">
        <v>0</v>
      </c>
      <c r="S233" s="141">
        <v>0</v>
      </c>
      <c r="T233" s="141">
        <v>0</v>
      </c>
      <c r="U233" s="141">
        <v>0</v>
      </c>
      <c r="V233" s="141">
        <v>0</v>
      </c>
      <c r="W233" s="141">
        <v>0</v>
      </c>
      <c r="X233" s="141">
        <v>0</v>
      </c>
      <c r="Y233" s="141">
        <v>0</v>
      </c>
      <c r="Z233" s="141">
        <v>0</v>
      </c>
      <c r="AA233" s="141">
        <v>0</v>
      </c>
      <c r="AB233" s="141">
        <v>0</v>
      </c>
      <c r="AC233" s="141">
        <v>0</v>
      </c>
      <c r="AD233" s="141">
        <v>0</v>
      </c>
      <c r="AE233" s="141">
        <v>0</v>
      </c>
      <c r="AF233" s="141">
        <v>0</v>
      </c>
      <c r="AG233" s="141">
        <v>0</v>
      </c>
      <c r="AH233" s="141">
        <v>0</v>
      </c>
      <c r="AI233" s="141">
        <v>0</v>
      </c>
      <c r="AJ233" s="141">
        <v>0</v>
      </c>
      <c r="AK233" s="141">
        <v>0</v>
      </c>
      <c r="AL233" s="141">
        <v>0</v>
      </c>
      <c r="AM233" s="141">
        <v>0</v>
      </c>
      <c r="AN233" s="141">
        <v>0</v>
      </c>
      <c r="AO233" s="141">
        <v>0</v>
      </c>
      <c r="AP233" s="856">
        <v>0</v>
      </c>
      <c r="AQ233" s="856">
        <v>0</v>
      </c>
      <c r="AR233" s="857">
        <v>0</v>
      </c>
      <c r="AS233" t="s">
        <v>1799</v>
      </c>
    </row>
    <row r="234" spans="1:45" ht="12.75" x14ac:dyDescent="0.2">
      <c r="A234" s="764">
        <v>227</v>
      </c>
      <c r="B234" s="765" t="s">
        <v>343</v>
      </c>
      <c r="C234" s="766" t="s">
        <v>1224</v>
      </c>
      <c r="D234" s="767" t="s">
        <v>1225</v>
      </c>
      <c r="E234" s="768" t="s">
        <v>342</v>
      </c>
      <c r="F234" s="141">
        <v>211200445</v>
      </c>
      <c r="G234" s="141">
        <v>4830480</v>
      </c>
      <c r="H234" s="141">
        <v>216030925</v>
      </c>
      <c r="I234" s="141">
        <v>-3502000</v>
      </c>
      <c r="J234" s="141">
        <v>-34613</v>
      </c>
      <c r="K234" s="141">
        <v>-3536613</v>
      </c>
      <c r="L234" s="141">
        <v>-7476000</v>
      </c>
      <c r="M234" s="141">
        <v>-48557</v>
      </c>
      <c r="N234" s="141">
        <v>-7524557</v>
      </c>
      <c r="O234" s="141">
        <v>200222445</v>
      </c>
      <c r="P234" s="141">
        <v>4747310</v>
      </c>
      <c r="Q234" s="141">
        <v>204969755</v>
      </c>
      <c r="R234" s="141">
        <v>1343425</v>
      </c>
      <c r="S234" s="141">
        <v>0</v>
      </c>
      <c r="T234" s="141">
        <v>1343425</v>
      </c>
      <c r="U234" s="141">
        <v>0</v>
      </c>
      <c r="V234" s="141">
        <v>0</v>
      </c>
      <c r="W234" s="141">
        <v>0</v>
      </c>
      <c r="X234" s="141">
        <v>-12627</v>
      </c>
      <c r="Y234" s="141">
        <v>3491014</v>
      </c>
      <c r="Z234" s="141">
        <v>1243669</v>
      </c>
      <c r="AA234" s="141">
        <v>1243669</v>
      </c>
      <c r="AB234" s="141">
        <v>0</v>
      </c>
      <c r="AC234" s="141">
        <v>0</v>
      </c>
      <c r="AD234" s="141">
        <v>0</v>
      </c>
      <c r="AE234" s="141">
        <v>0</v>
      </c>
      <c r="AF234" s="141">
        <v>0</v>
      </c>
      <c r="AG234" s="141">
        <v>0</v>
      </c>
      <c r="AH234" s="141">
        <v>0</v>
      </c>
      <c r="AI234" s="141">
        <v>0</v>
      </c>
      <c r="AJ234" s="141">
        <v>0</v>
      </c>
      <c r="AK234" s="141">
        <v>0</v>
      </c>
      <c r="AL234" s="141">
        <v>0</v>
      </c>
      <c r="AM234" s="141">
        <v>0</v>
      </c>
      <c r="AN234" s="141">
        <v>0</v>
      </c>
      <c r="AO234" s="141">
        <v>0</v>
      </c>
      <c r="AP234" s="856">
        <v>0</v>
      </c>
      <c r="AQ234" s="856">
        <v>0</v>
      </c>
      <c r="AR234" s="857">
        <v>0</v>
      </c>
      <c r="AS234" t="s">
        <v>1800</v>
      </c>
    </row>
    <row r="235" spans="1:45" ht="12.75" x14ac:dyDescent="0.2">
      <c r="A235" s="764">
        <v>228</v>
      </c>
      <c r="B235" s="765" t="s">
        <v>347</v>
      </c>
      <c r="C235" s="766" t="s">
        <v>529</v>
      </c>
      <c r="D235" s="767" t="s">
        <v>1227</v>
      </c>
      <c r="E235" s="768" t="s">
        <v>346</v>
      </c>
      <c r="F235" s="141">
        <v>86539987</v>
      </c>
      <c r="G235" s="141">
        <v>0</v>
      </c>
      <c r="H235" s="141">
        <v>86539987</v>
      </c>
      <c r="I235" s="141">
        <v>-865400</v>
      </c>
      <c r="J235" s="141">
        <v>0</v>
      </c>
      <c r="K235" s="141">
        <v>-865400</v>
      </c>
      <c r="L235" s="141">
        <v>-5225141</v>
      </c>
      <c r="M235" s="141">
        <v>0</v>
      </c>
      <c r="N235" s="141">
        <v>-5225141</v>
      </c>
      <c r="O235" s="141">
        <v>80449446</v>
      </c>
      <c r="P235" s="141">
        <v>0</v>
      </c>
      <c r="Q235" s="141">
        <v>80449446</v>
      </c>
      <c r="R235" s="141">
        <v>808674</v>
      </c>
      <c r="S235" s="141">
        <v>0</v>
      </c>
      <c r="T235" s="141">
        <v>808674</v>
      </c>
      <c r="U235" s="141">
        <v>0</v>
      </c>
      <c r="V235" s="141">
        <v>0</v>
      </c>
      <c r="W235" s="141">
        <v>0</v>
      </c>
      <c r="X235" s="141">
        <v>0</v>
      </c>
      <c r="Y235" s="141">
        <v>0</v>
      </c>
      <c r="Z235" s="141">
        <v>0</v>
      </c>
      <c r="AA235" s="141">
        <v>0</v>
      </c>
      <c r="AB235" s="141">
        <v>0</v>
      </c>
      <c r="AC235" s="141">
        <v>0</v>
      </c>
      <c r="AD235" s="141">
        <v>0</v>
      </c>
      <c r="AE235" s="141">
        <v>0</v>
      </c>
      <c r="AF235" s="141">
        <v>0</v>
      </c>
      <c r="AG235" s="141">
        <v>0</v>
      </c>
      <c r="AH235" s="141">
        <v>0</v>
      </c>
      <c r="AI235" s="141">
        <v>0</v>
      </c>
      <c r="AJ235" s="141">
        <v>0</v>
      </c>
      <c r="AK235" s="141">
        <v>0</v>
      </c>
      <c r="AL235" s="141">
        <v>0</v>
      </c>
      <c r="AM235" s="141">
        <v>0</v>
      </c>
      <c r="AN235" s="141">
        <v>0</v>
      </c>
      <c r="AO235" s="141">
        <v>0</v>
      </c>
      <c r="AP235" s="856">
        <v>0</v>
      </c>
      <c r="AQ235" s="856">
        <v>0</v>
      </c>
      <c r="AR235" s="857">
        <v>0</v>
      </c>
      <c r="AS235" t="s">
        <v>1801</v>
      </c>
    </row>
    <row r="236" spans="1:45" ht="12.75" x14ac:dyDescent="0.2">
      <c r="A236" s="764">
        <v>229</v>
      </c>
      <c r="B236" s="765" t="s">
        <v>349</v>
      </c>
      <c r="C236" s="766" t="s">
        <v>529</v>
      </c>
      <c r="D236" s="767" t="s">
        <v>1218</v>
      </c>
      <c r="E236" s="768" t="s">
        <v>540</v>
      </c>
      <c r="F236" s="141">
        <v>109120439</v>
      </c>
      <c r="G236" s="141">
        <v>0</v>
      </c>
      <c r="H236" s="141">
        <v>109120439</v>
      </c>
      <c r="I236" s="141">
        <v>-2206409</v>
      </c>
      <c r="J236" s="141">
        <v>0</v>
      </c>
      <c r="K236" s="141">
        <v>-2206409</v>
      </c>
      <c r="L236" s="141">
        <v>-278783</v>
      </c>
      <c r="M236" s="141">
        <v>0</v>
      </c>
      <c r="N236" s="141">
        <v>-278783</v>
      </c>
      <c r="O236" s="141">
        <v>106635247</v>
      </c>
      <c r="P236" s="141">
        <v>0</v>
      </c>
      <c r="Q236" s="141">
        <v>106635247</v>
      </c>
      <c r="R236" s="141">
        <v>0</v>
      </c>
      <c r="S236" s="141">
        <v>0</v>
      </c>
      <c r="T236" s="141">
        <v>0</v>
      </c>
      <c r="U236" s="141">
        <v>0</v>
      </c>
      <c r="V236" s="141">
        <v>0</v>
      </c>
      <c r="W236" s="141">
        <v>0</v>
      </c>
      <c r="X236" s="141">
        <v>0</v>
      </c>
      <c r="Y236" s="141">
        <v>0</v>
      </c>
      <c r="Z236" s="141">
        <v>0</v>
      </c>
      <c r="AA236" s="141">
        <v>0</v>
      </c>
      <c r="AB236" s="141">
        <v>0</v>
      </c>
      <c r="AC236" s="141">
        <v>0</v>
      </c>
      <c r="AD236" s="141">
        <v>0</v>
      </c>
      <c r="AE236" s="141">
        <v>0</v>
      </c>
      <c r="AF236" s="141">
        <v>0</v>
      </c>
      <c r="AG236" s="141">
        <v>0</v>
      </c>
      <c r="AH236" s="141">
        <v>0</v>
      </c>
      <c r="AI236" s="141">
        <v>0</v>
      </c>
      <c r="AJ236" s="141">
        <v>0</v>
      </c>
      <c r="AK236" s="141">
        <v>0</v>
      </c>
      <c r="AL236" s="141">
        <v>0</v>
      </c>
      <c r="AM236" s="141">
        <v>0</v>
      </c>
      <c r="AN236" s="141">
        <v>0</v>
      </c>
      <c r="AO236" s="141">
        <v>0</v>
      </c>
      <c r="AP236" s="856">
        <v>0</v>
      </c>
      <c r="AQ236" s="856">
        <v>0</v>
      </c>
      <c r="AR236" s="857">
        <v>0</v>
      </c>
      <c r="AS236" t="s">
        <v>1802</v>
      </c>
    </row>
    <row r="237" spans="1:45" ht="12.75" x14ac:dyDescent="0.2">
      <c r="A237" s="764">
        <v>230</v>
      </c>
      <c r="B237" s="765" t="s">
        <v>351</v>
      </c>
      <c r="C237" s="766" t="s">
        <v>1224</v>
      </c>
      <c r="D237" s="767" t="s">
        <v>1227</v>
      </c>
      <c r="E237" s="768" t="s">
        <v>350</v>
      </c>
      <c r="F237" s="141">
        <v>121718431</v>
      </c>
      <c r="G237" s="141">
        <v>0</v>
      </c>
      <c r="H237" s="141">
        <v>121718431</v>
      </c>
      <c r="I237" s="141">
        <v>-963622</v>
      </c>
      <c r="J237" s="141">
        <v>0</v>
      </c>
      <c r="K237" s="141">
        <v>-963622</v>
      </c>
      <c r="L237" s="141">
        <v>-4880000</v>
      </c>
      <c r="M237" s="141">
        <v>0</v>
      </c>
      <c r="N237" s="141">
        <v>-4880000</v>
      </c>
      <c r="O237" s="141">
        <v>115874809</v>
      </c>
      <c r="P237" s="141">
        <v>0</v>
      </c>
      <c r="Q237" s="141">
        <v>115874809</v>
      </c>
      <c r="R237" s="141">
        <v>0</v>
      </c>
      <c r="S237" s="141">
        <v>0</v>
      </c>
      <c r="T237" s="141">
        <v>0</v>
      </c>
      <c r="U237" s="141">
        <v>0</v>
      </c>
      <c r="V237" s="141">
        <v>0</v>
      </c>
      <c r="W237" s="141">
        <v>0</v>
      </c>
      <c r="X237" s="141">
        <v>0</v>
      </c>
      <c r="Y237" s="141">
        <v>0</v>
      </c>
      <c r="Z237" s="141">
        <v>0</v>
      </c>
      <c r="AA237" s="141">
        <v>0</v>
      </c>
      <c r="AB237" s="141">
        <v>0</v>
      </c>
      <c r="AC237" s="141">
        <v>0</v>
      </c>
      <c r="AD237" s="141">
        <v>0</v>
      </c>
      <c r="AE237" s="141">
        <v>0</v>
      </c>
      <c r="AF237" s="141">
        <v>0</v>
      </c>
      <c r="AG237" s="141">
        <v>0</v>
      </c>
      <c r="AH237" s="141">
        <v>0</v>
      </c>
      <c r="AI237" s="141">
        <v>0</v>
      </c>
      <c r="AJ237" s="141">
        <v>0</v>
      </c>
      <c r="AK237" s="141">
        <v>0</v>
      </c>
      <c r="AL237" s="141">
        <v>0</v>
      </c>
      <c r="AM237" s="141">
        <v>0</v>
      </c>
      <c r="AN237" s="141">
        <v>0</v>
      </c>
      <c r="AO237" s="141">
        <v>0</v>
      </c>
      <c r="AP237" s="856">
        <v>0</v>
      </c>
      <c r="AQ237" s="856">
        <v>0</v>
      </c>
      <c r="AR237" s="857">
        <v>0</v>
      </c>
      <c r="AS237" t="s">
        <v>1803</v>
      </c>
    </row>
    <row r="238" spans="1:45" ht="12.75" x14ac:dyDescent="0.2">
      <c r="A238" s="764">
        <v>231</v>
      </c>
      <c r="B238" s="765" t="s">
        <v>1150</v>
      </c>
      <c r="C238" s="766" t="s">
        <v>1217</v>
      </c>
      <c r="D238" s="767" t="s">
        <v>1226</v>
      </c>
      <c r="E238" s="768" t="s">
        <v>1149</v>
      </c>
      <c r="F238" s="141">
        <v>59894972</v>
      </c>
      <c r="G238" s="141">
        <v>0</v>
      </c>
      <c r="H238" s="141">
        <v>59894972</v>
      </c>
      <c r="I238" s="141">
        <v>-382100</v>
      </c>
      <c r="J238" s="141">
        <v>0</v>
      </c>
      <c r="K238" s="141">
        <v>-382100</v>
      </c>
      <c r="L238" s="141">
        <v>-1487822</v>
      </c>
      <c r="M238" s="141">
        <v>0</v>
      </c>
      <c r="N238" s="141">
        <v>-1487822</v>
      </c>
      <c r="O238" s="141">
        <v>58025050</v>
      </c>
      <c r="P238" s="141">
        <v>0</v>
      </c>
      <c r="Q238" s="141">
        <v>58025050</v>
      </c>
      <c r="R238" s="141">
        <v>204926</v>
      </c>
      <c r="S238" s="141">
        <v>0</v>
      </c>
      <c r="T238" s="141">
        <v>204926</v>
      </c>
      <c r="U238" s="141">
        <v>0</v>
      </c>
      <c r="V238" s="141">
        <v>0</v>
      </c>
      <c r="W238" s="141">
        <v>0</v>
      </c>
      <c r="X238" s="141">
        <v>0</v>
      </c>
      <c r="Y238" s="141">
        <v>0</v>
      </c>
      <c r="Z238" s="141">
        <v>0</v>
      </c>
      <c r="AA238" s="141">
        <v>0</v>
      </c>
      <c r="AB238" s="141">
        <v>0</v>
      </c>
      <c r="AC238" s="141">
        <v>0</v>
      </c>
      <c r="AD238" s="141">
        <v>0</v>
      </c>
      <c r="AE238" s="141">
        <v>0</v>
      </c>
      <c r="AF238" s="141">
        <v>0</v>
      </c>
      <c r="AG238" s="141">
        <v>0</v>
      </c>
      <c r="AH238" s="141">
        <v>0</v>
      </c>
      <c r="AI238" s="141">
        <v>0</v>
      </c>
      <c r="AJ238" s="141">
        <v>0</v>
      </c>
      <c r="AK238" s="141">
        <v>0</v>
      </c>
      <c r="AL238" s="141">
        <v>0</v>
      </c>
      <c r="AM238" s="141">
        <v>0</v>
      </c>
      <c r="AN238" s="141">
        <v>0</v>
      </c>
      <c r="AO238" s="141">
        <v>0</v>
      </c>
      <c r="AP238" s="856">
        <v>0</v>
      </c>
      <c r="AQ238" s="856">
        <v>0</v>
      </c>
      <c r="AR238" s="857">
        <v>0</v>
      </c>
      <c r="AS238" t="s">
        <v>1804</v>
      </c>
    </row>
    <row r="239" spans="1:45" ht="12.75" x14ac:dyDescent="0.2">
      <c r="A239" s="764">
        <v>232</v>
      </c>
      <c r="B239" s="765" t="s">
        <v>353</v>
      </c>
      <c r="C239" s="766" t="s">
        <v>1217</v>
      </c>
      <c r="D239" s="767" t="s">
        <v>1218</v>
      </c>
      <c r="E239" s="768" t="s">
        <v>352</v>
      </c>
      <c r="F239" s="141">
        <v>33777649</v>
      </c>
      <c r="G239" s="141">
        <v>0</v>
      </c>
      <c r="H239" s="141">
        <v>33777649</v>
      </c>
      <c r="I239" s="141">
        <v>-333104</v>
      </c>
      <c r="J239" s="141">
        <v>0</v>
      </c>
      <c r="K239" s="141">
        <v>-333104</v>
      </c>
      <c r="L239" s="141">
        <v>-734049</v>
      </c>
      <c r="M239" s="141">
        <v>0</v>
      </c>
      <c r="N239" s="141">
        <v>-734049</v>
      </c>
      <c r="O239" s="141">
        <v>32710496</v>
      </c>
      <c r="P239" s="141">
        <v>0</v>
      </c>
      <c r="Q239" s="141">
        <v>32710496</v>
      </c>
      <c r="R239" s="141">
        <v>0</v>
      </c>
      <c r="S239" s="141">
        <v>0</v>
      </c>
      <c r="T239" s="141">
        <v>0</v>
      </c>
      <c r="U239" s="141">
        <v>0</v>
      </c>
      <c r="V239" s="141">
        <v>0</v>
      </c>
      <c r="W239" s="141">
        <v>0</v>
      </c>
      <c r="X239" s="141">
        <v>0</v>
      </c>
      <c r="Y239" s="141">
        <v>0</v>
      </c>
      <c r="Z239" s="141">
        <v>0</v>
      </c>
      <c r="AA239" s="141">
        <v>0</v>
      </c>
      <c r="AB239" s="141">
        <v>0</v>
      </c>
      <c r="AC239" s="141">
        <v>0</v>
      </c>
      <c r="AD239" s="141">
        <v>0</v>
      </c>
      <c r="AE239" s="141">
        <v>0</v>
      </c>
      <c r="AF239" s="141">
        <v>0</v>
      </c>
      <c r="AG239" s="141">
        <v>0</v>
      </c>
      <c r="AH239" s="141">
        <v>0</v>
      </c>
      <c r="AI239" s="141">
        <v>0</v>
      </c>
      <c r="AJ239" s="141">
        <v>0</v>
      </c>
      <c r="AK239" s="141">
        <v>0</v>
      </c>
      <c r="AL239" s="141">
        <v>0</v>
      </c>
      <c r="AM239" s="141">
        <v>0</v>
      </c>
      <c r="AN239" s="141">
        <v>0</v>
      </c>
      <c r="AO239" s="141">
        <v>0</v>
      </c>
      <c r="AP239" s="856">
        <v>0</v>
      </c>
      <c r="AQ239" s="856">
        <v>0</v>
      </c>
      <c r="AR239" s="857">
        <v>0</v>
      </c>
      <c r="AS239" t="s">
        <v>1805</v>
      </c>
    </row>
    <row r="240" spans="1:45" ht="12.75" x14ac:dyDescent="0.2">
      <c r="A240" s="764">
        <v>233</v>
      </c>
      <c r="B240" s="765" t="s">
        <v>355</v>
      </c>
      <c r="C240" s="766" t="s">
        <v>1217</v>
      </c>
      <c r="D240" s="767" t="s">
        <v>1221</v>
      </c>
      <c r="E240" s="768" t="s">
        <v>354</v>
      </c>
      <c r="F240" s="141">
        <v>90436760</v>
      </c>
      <c r="G240" s="141">
        <v>811125</v>
      </c>
      <c r="H240" s="141">
        <v>91247885</v>
      </c>
      <c r="I240" s="141">
        <v>-224512</v>
      </c>
      <c r="J240" s="141">
        <v>0</v>
      </c>
      <c r="K240" s="141">
        <v>-224512</v>
      </c>
      <c r="L240" s="141">
        <v>-3827811</v>
      </c>
      <c r="M240" s="141">
        <v>0</v>
      </c>
      <c r="N240" s="141">
        <v>-3827811</v>
      </c>
      <c r="O240" s="141">
        <v>86384437</v>
      </c>
      <c r="P240" s="141">
        <v>811125</v>
      </c>
      <c r="Q240" s="141">
        <v>87195562</v>
      </c>
      <c r="R240" s="141">
        <v>822366</v>
      </c>
      <c r="S240" s="141">
        <v>0</v>
      </c>
      <c r="T240" s="141">
        <v>822366</v>
      </c>
      <c r="U240" s="141">
        <v>0</v>
      </c>
      <c r="V240" s="141">
        <v>0</v>
      </c>
      <c r="W240" s="141">
        <v>0</v>
      </c>
      <c r="X240" s="141">
        <v>0</v>
      </c>
      <c r="Y240" s="141">
        <v>0</v>
      </c>
      <c r="Z240" s="141">
        <v>811125</v>
      </c>
      <c r="AA240" s="141">
        <v>811125</v>
      </c>
      <c r="AB240" s="141">
        <v>0</v>
      </c>
      <c r="AC240" s="141">
        <v>0</v>
      </c>
      <c r="AD240" s="141">
        <v>0</v>
      </c>
      <c r="AE240" s="141">
        <v>0</v>
      </c>
      <c r="AF240" s="141">
        <v>122010</v>
      </c>
      <c r="AG240" s="141">
        <v>122010</v>
      </c>
      <c r="AH240" s="141">
        <v>0</v>
      </c>
      <c r="AI240" s="141">
        <v>0</v>
      </c>
      <c r="AJ240" s="141">
        <v>0</v>
      </c>
      <c r="AK240" s="141">
        <v>0</v>
      </c>
      <c r="AL240" s="141">
        <v>0</v>
      </c>
      <c r="AM240" s="141">
        <v>0</v>
      </c>
      <c r="AN240" s="141">
        <v>0</v>
      </c>
      <c r="AO240" s="141">
        <v>0</v>
      </c>
      <c r="AP240" s="856">
        <v>0</v>
      </c>
      <c r="AQ240" s="856">
        <v>122010</v>
      </c>
      <c r="AR240" s="857">
        <v>122010</v>
      </c>
      <c r="AS240" t="s">
        <v>1806</v>
      </c>
    </row>
    <row r="241" spans="1:45" ht="12.75" x14ac:dyDescent="0.2">
      <c r="A241" s="764">
        <v>234</v>
      </c>
      <c r="B241" s="765" t="s">
        <v>357</v>
      </c>
      <c r="C241" s="766" t="s">
        <v>1217</v>
      </c>
      <c r="D241" s="767" t="s">
        <v>1220</v>
      </c>
      <c r="E241" s="768" t="s">
        <v>356</v>
      </c>
      <c r="F241" s="141">
        <v>27069860</v>
      </c>
      <c r="G241" s="141">
        <v>0</v>
      </c>
      <c r="H241" s="141">
        <v>27069860</v>
      </c>
      <c r="I241" s="141">
        <v>-242300</v>
      </c>
      <c r="J241" s="141">
        <v>0</v>
      </c>
      <c r="K241" s="141">
        <v>-242300</v>
      </c>
      <c r="L241" s="141">
        <v>-646161</v>
      </c>
      <c r="M241" s="141">
        <v>0</v>
      </c>
      <c r="N241" s="141">
        <v>-646161</v>
      </c>
      <c r="O241" s="141">
        <v>26181399</v>
      </c>
      <c r="P241" s="141">
        <v>0</v>
      </c>
      <c r="Q241" s="141">
        <v>26181399</v>
      </c>
      <c r="R241" s="141">
        <v>0</v>
      </c>
      <c r="S241" s="141">
        <v>0</v>
      </c>
      <c r="T241" s="141">
        <v>0</v>
      </c>
      <c r="U241" s="141">
        <v>0</v>
      </c>
      <c r="V241" s="141">
        <v>0</v>
      </c>
      <c r="W241" s="141">
        <v>0</v>
      </c>
      <c r="X241" s="141">
        <v>0</v>
      </c>
      <c r="Y241" s="141">
        <v>0</v>
      </c>
      <c r="Z241" s="141">
        <v>0</v>
      </c>
      <c r="AA241" s="141">
        <v>0</v>
      </c>
      <c r="AB241" s="141">
        <v>0</v>
      </c>
      <c r="AC241" s="141">
        <v>0</v>
      </c>
      <c r="AD241" s="141">
        <v>0</v>
      </c>
      <c r="AE241" s="141">
        <v>0</v>
      </c>
      <c r="AF241" s="141">
        <v>0</v>
      </c>
      <c r="AG241" s="141">
        <v>0</v>
      </c>
      <c r="AH241" s="141">
        <v>0</v>
      </c>
      <c r="AI241" s="141">
        <v>0</v>
      </c>
      <c r="AJ241" s="141">
        <v>0</v>
      </c>
      <c r="AK241" s="141">
        <v>0</v>
      </c>
      <c r="AL241" s="141">
        <v>0</v>
      </c>
      <c r="AM241" s="141">
        <v>0</v>
      </c>
      <c r="AN241" s="141">
        <v>0</v>
      </c>
      <c r="AO241" s="141">
        <v>0</v>
      </c>
      <c r="AP241" s="856">
        <v>0</v>
      </c>
      <c r="AQ241" s="856">
        <v>0</v>
      </c>
      <c r="AR241" s="857">
        <v>0</v>
      </c>
      <c r="AS241" t="s">
        <v>1807</v>
      </c>
    </row>
    <row r="242" spans="1:45" ht="12.75" x14ac:dyDescent="0.2">
      <c r="A242" s="764">
        <v>235</v>
      </c>
      <c r="B242" s="765" t="s">
        <v>359</v>
      </c>
      <c r="C242" s="766" t="s">
        <v>529</v>
      </c>
      <c r="D242" s="767" t="s">
        <v>1226</v>
      </c>
      <c r="E242" s="768" t="s">
        <v>532</v>
      </c>
      <c r="F242" s="141">
        <v>138378556</v>
      </c>
      <c r="G242" s="141">
        <v>15488962</v>
      </c>
      <c r="H242" s="141">
        <v>153867518</v>
      </c>
      <c r="I242" s="141">
        <v>-350000</v>
      </c>
      <c r="J242" s="141">
        <v>0</v>
      </c>
      <c r="K242" s="141">
        <v>-350000</v>
      </c>
      <c r="L242" s="141">
        <v>-6503792</v>
      </c>
      <c r="M242" s="141">
        <v>-727981</v>
      </c>
      <c r="N242" s="141">
        <v>-7231773</v>
      </c>
      <c r="O242" s="141">
        <v>131524764</v>
      </c>
      <c r="P242" s="141">
        <v>14760981</v>
      </c>
      <c r="Q242" s="141">
        <v>146285745</v>
      </c>
      <c r="R242" s="141">
        <v>293550</v>
      </c>
      <c r="S242" s="141">
        <v>294921</v>
      </c>
      <c r="T242" s="141">
        <v>588471</v>
      </c>
      <c r="U242" s="141">
        <v>0</v>
      </c>
      <c r="V242" s="141">
        <v>0</v>
      </c>
      <c r="W242" s="141">
        <v>0</v>
      </c>
      <c r="X242" s="141">
        <v>-41632</v>
      </c>
      <c r="Y242" s="141">
        <v>730618</v>
      </c>
      <c r="Z242" s="141">
        <v>13693810</v>
      </c>
      <c r="AA242" s="141">
        <v>13693810</v>
      </c>
      <c r="AB242" s="141">
        <v>0</v>
      </c>
      <c r="AC242" s="141">
        <v>0</v>
      </c>
      <c r="AD242" s="141">
        <v>0</v>
      </c>
      <c r="AE242" s="141">
        <v>0</v>
      </c>
      <c r="AF242" s="141">
        <v>0</v>
      </c>
      <c r="AG242" s="141">
        <v>0</v>
      </c>
      <c r="AH242" s="141">
        <v>0</v>
      </c>
      <c r="AI242" s="141">
        <v>0</v>
      </c>
      <c r="AJ242" s="141">
        <v>0</v>
      </c>
      <c r="AK242" s="141">
        <v>0</v>
      </c>
      <c r="AL242" s="141">
        <v>0</v>
      </c>
      <c r="AM242" s="141">
        <v>0</v>
      </c>
      <c r="AN242" s="141">
        <v>0</v>
      </c>
      <c r="AO242" s="141">
        <v>0</v>
      </c>
      <c r="AP242" s="856">
        <v>0</v>
      </c>
      <c r="AQ242" s="856">
        <v>0</v>
      </c>
      <c r="AR242" s="857">
        <v>0</v>
      </c>
      <c r="AS242" t="s">
        <v>1808</v>
      </c>
    </row>
    <row r="243" spans="1:45" ht="12.75" x14ac:dyDescent="0.2">
      <c r="A243" s="764">
        <v>236</v>
      </c>
      <c r="B243" s="765" t="s">
        <v>361</v>
      </c>
      <c r="C243" s="766" t="s">
        <v>1217</v>
      </c>
      <c r="D243" s="767" t="s">
        <v>1226</v>
      </c>
      <c r="E243" s="768" t="s">
        <v>360</v>
      </c>
      <c r="F243" s="141">
        <v>29260735</v>
      </c>
      <c r="G243" s="141">
        <v>0</v>
      </c>
      <c r="H243" s="141">
        <v>29260735</v>
      </c>
      <c r="I243" s="141">
        <v>-304459</v>
      </c>
      <c r="J243" s="141">
        <v>0</v>
      </c>
      <c r="K243" s="141">
        <v>-304459</v>
      </c>
      <c r="L243" s="141">
        <v>-1186652</v>
      </c>
      <c r="M243" s="141">
        <v>0</v>
      </c>
      <c r="N243" s="141">
        <v>-1186652</v>
      </c>
      <c r="O243" s="141">
        <v>27769624</v>
      </c>
      <c r="P243" s="141">
        <v>0</v>
      </c>
      <c r="Q243" s="141">
        <v>27769624</v>
      </c>
      <c r="R243" s="141">
        <v>0</v>
      </c>
      <c r="S243" s="141">
        <v>0</v>
      </c>
      <c r="T243" s="141">
        <v>0</v>
      </c>
      <c r="U243" s="141">
        <v>0</v>
      </c>
      <c r="V243" s="141">
        <v>0</v>
      </c>
      <c r="W243" s="141">
        <v>0</v>
      </c>
      <c r="X243" s="141">
        <v>0</v>
      </c>
      <c r="Y243" s="141">
        <v>0</v>
      </c>
      <c r="Z243" s="141">
        <v>0</v>
      </c>
      <c r="AA243" s="141">
        <v>0</v>
      </c>
      <c r="AB243" s="141">
        <v>0</v>
      </c>
      <c r="AC243" s="141">
        <v>0</v>
      </c>
      <c r="AD243" s="141">
        <v>0</v>
      </c>
      <c r="AE243" s="141">
        <v>0</v>
      </c>
      <c r="AF243" s="141">
        <v>0</v>
      </c>
      <c r="AG243" s="141">
        <v>0</v>
      </c>
      <c r="AH243" s="141">
        <v>0</v>
      </c>
      <c r="AI243" s="141">
        <v>0</v>
      </c>
      <c r="AJ243" s="141">
        <v>0</v>
      </c>
      <c r="AK243" s="141">
        <v>0</v>
      </c>
      <c r="AL243" s="141">
        <v>0</v>
      </c>
      <c r="AM243" s="141">
        <v>0</v>
      </c>
      <c r="AN243" s="141">
        <v>0</v>
      </c>
      <c r="AO243" s="141">
        <v>0</v>
      </c>
      <c r="AP243" s="856">
        <v>0</v>
      </c>
      <c r="AQ243" s="856">
        <v>0</v>
      </c>
      <c r="AR243" s="857">
        <v>0</v>
      </c>
      <c r="AS243" t="s">
        <v>1809</v>
      </c>
    </row>
    <row r="244" spans="1:45" ht="12.75" x14ac:dyDescent="0.2">
      <c r="A244" s="764">
        <v>237</v>
      </c>
      <c r="B244" s="765" t="s">
        <v>363</v>
      </c>
      <c r="C244" s="766" t="s">
        <v>1217</v>
      </c>
      <c r="D244" s="767" t="s">
        <v>1220</v>
      </c>
      <c r="E244" s="768" t="s">
        <v>362</v>
      </c>
      <c r="F244" s="141">
        <v>27466182</v>
      </c>
      <c r="G244" s="141">
        <v>0</v>
      </c>
      <c r="H244" s="141">
        <v>27466182</v>
      </c>
      <c r="I244" s="141">
        <v>-274662</v>
      </c>
      <c r="J244" s="141">
        <v>0</v>
      </c>
      <c r="K244" s="141">
        <v>-274662</v>
      </c>
      <c r="L244" s="141">
        <v>-715498</v>
      </c>
      <c r="M244" s="141">
        <v>0</v>
      </c>
      <c r="N244" s="141">
        <v>-715498</v>
      </c>
      <c r="O244" s="141">
        <v>26476022</v>
      </c>
      <c r="P244" s="141">
        <v>0</v>
      </c>
      <c r="Q244" s="141">
        <v>26476022</v>
      </c>
      <c r="R244" s="141">
        <v>335402</v>
      </c>
      <c r="S244" s="141">
        <v>0</v>
      </c>
      <c r="T244" s="141">
        <v>335402</v>
      </c>
      <c r="U244" s="141">
        <v>0</v>
      </c>
      <c r="V244" s="141">
        <v>0</v>
      </c>
      <c r="W244" s="141">
        <v>0</v>
      </c>
      <c r="X244" s="141">
        <v>0</v>
      </c>
      <c r="Y244" s="141">
        <v>0</v>
      </c>
      <c r="Z244" s="141">
        <v>0</v>
      </c>
      <c r="AA244" s="141">
        <v>0</v>
      </c>
      <c r="AB244" s="141">
        <v>0</v>
      </c>
      <c r="AC244" s="141">
        <v>0</v>
      </c>
      <c r="AD244" s="141">
        <v>0</v>
      </c>
      <c r="AE244" s="141">
        <v>0</v>
      </c>
      <c r="AF244" s="141">
        <v>0</v>
      </c>
      <c r="AG244" s="141">
        <v>0</v>
      </c>
      <c r="AH244" s="141">
        <v>0</v>
      </c>
      <c r="AI244" s="141">
        <v>0</v>
      </c>
      <c r="AJ244" s="141">
        <v>0</v>
      </c>
      <c r="AK244" s="141">
        <v>0</v>
      </c>
      <c r="AL244" s="141">
        <v>0</v>
      </c>
      <c r="AM244" s="141">
        <v>0</v>
      </c>
      <c r="AN244" s="141">
        <v>0</v>
      </c>
      <c r="AO244" s="141">
        <v>0</v>
      </c>
      <c r="AP244" s="856">
        <v>0</v>
      </c>
      <c r="AQ244" s="856">
        <v>0</v>
      </c>
      <c r="AR244" s="857">
        <v>0</v>
      </c>
      <c r="AS244" t="s">
        <v>1810</v>
      </c>
    </row>
    <row r="245" spans="1:45" ht="12.75" x14ac:dyDescent="0.2">
      <c r="A245" s="764">
        <v>238</v>
      </c>
      <c r="B245" s="765" t="s">
        <v>365</v>
      </c>
      <c r="C245" s="766" t="s">
        <v>1217</v>
      </c>
      <c r="D245" s="767" t="s">
        <v>1220</v>
      </c>
      <c r="E245" s="768" t="s">
        <v>364</v>
      </c>
      <c r="F245" s="141">
        <v>42559573</v>
      </c>
      <c r="G245" s="141">
        <v>0</v>
      </c>
      <c r="H245" s="141">
        <v>42559573</v>
      </c>
      <c r="I245" s="141">
        <v>-300000</v>
      </c>
      <c r="J245" s="141">
        <v>0</v>
      </c>
      <c r="K245" s="141">
        <v>-300000</v>
      </c>
      <c r="L245" s="141">
        <v>-851192</v>
      </c>
      <c r="M245" s="141">
        <v>0</v>
      </c>
      <c r="N245" s="141">
        <v>-851192</v>
      </c>
      <c r="O245" s="141">
        <v>41408381</v>
      </c>
      <c r="P245" s="141">
        <v>0</v>
      </c>
      <c r="Q245" s="141">
        <v>41408381</v>
      </c>
      <c r="R245" s="141">
        <v>0</v>
      </c>
      <c r="S245" s="141">
        <v>0</v>
      </c>
      <c r="T245" s="141">
        <v>0</v>
      </c>
      <c r="U245" s="141">
        <v>0</v>
      </c>
      <c r="V245" s="141">
        <v>0</v>
      </c>
      <c r="W245" s="141">
        <v>0</v>
      </c>
      <c r="X245" s="141">
        <v>0</v>
      </c>
      <c r="Y245" s="141">
        <v>0</v>
      </c>
      <c r="Z245" s="141">
        <v>0</v>
      </c>
      <c r="AA245" s="141">
        <v>0</v>
      </c>
      <c r="AB245" s="141">
        <v>0</v>
      </c>
      <c r="AC245" s="141">
        <v>0</v>
      </c>
      <c r="AD245" s="141">
        <v>0</v>
      </c>
      <c r="AE245" s="141">
        <v>0</v>
      </c>
      <c r="AF245" s="141">
        <v>0</v>
      </c>
      <c r="AG245" s="141">
        <v>0</v>
      </c>
      <c r="AH245" s="141">
        <v>0</v>
      </c>
      <c r="AI245" s="141">
        <v>0</v>
      </c>
      <c r="AJ245" s="141">
        <v>0</v>
      </c>
      <c r="AK245" s="141">
        <v>0</v>
      </c>
      <c r="AL245" s="141">
        <v>0</v>
      </c>
      <c r="AM245" s="141">
        <v>0</v>
      </c>
      <c r="AN245" s="141">
        <v>0</v>
      </c>
      <c r="AO245" s="141">
        <v>0</v>
      </c>
      <c r="AP245" s="856">
        <v>0</v>
      </c>
      <c r="AQ245" s="856">
        <v>0</v>
      </c>
      <c r="AR245" s="857">
        <v>0</v>
      </c>
      <c r="AS245" t="s">
        <v>1811</v>
      </c>
    </row>
    <row r="246" spans="1:45" ht="12.75" x14ac:dyDescent="0.2">
      <c r="A246" s="764">
        <v>239</v>
      </c>
      <c r="B246" s="765" t="s">
        <v>367</v>
      </c>
      <c r="C246" s="766" t="s">
        <v>1217</v>
      </c>
      <c r="D246" s="767" t="s">
        <v>1219</v>
      </c>
      <c r="E246" s="768" t="s">
        <v>366</v>
      </c>
      <c r="F246" s="141">
        <v>43907569</v>
      </c>
      <c r="G246" s="141">
        <v>0</v>
      </c>
      <c r="H246" s="141">
        <v>43907569</v>
      </c>
      <c r="I246" s="141">
        <v>-439713</v>
      </c>
      <c r="J246" s="141">
        <v>0</v>
      </c>
      <c r="K246" s="141">
        <v>-439713</v>
      </c>
      <c r="L246" s="141">
        <v>-1312350</v>
      </c>
      <c r="M246" s="141">
        <v>0</v>
      </c>
      <c r="N246" s="141">
        <v>-1312350</v>
      </c>
      <c r="O246" s="141">
        <v>42155506</v>
      </c>
      <c r="P246" s="141">
        <v>0</v>
      </c>
      <c r="Q246" s="141">
        <v>42155506</v>
      </c>
      <c r="R246" s="141">
        <v>0</v>
      </c>
      <c r="S246" s="141">
        <v>0</v>
      </c>
      <c r="T246" s="141">
        <v>0</v>
      </c>
      <c r="U246" s="141">
        <v>0</v>
      </c>
      <c r="V246" s="141">
        <v>0</v>
      </c>
      <c r="W246" s="141">
        <v>0</v>
      </c>
      <c r="X246" s="141">
        <v>0</v>
      </c>
      <c r="Y246" s="141">
        <v>0</v>
      </c>
      <c r="Z246" s="141">
        <v>0</v>
      </c>
      <c r="AA246" s="141">
        <v>0</v>
      </c>
      <c r="AB246" s="141">
        <v>0</v>
      </c>
      <c r="AC246" s="141">
        <v>0</v>
      </c>
      <c r="AD246" s="141">
        <v>0</v>
      </c>
      <c r="AE246" s="141">
        <v>0</v>
      </c>
      <c r="AF246" s="141">
        <v>0</v>
      </c>
      <c r="AG246" s="141">
        <v>0</v>
      </c>
      <c r="AH246" s="141">
        <v>0</v>
      </c>
      <c r="AI246" s="141">
        <v>0</v>
      </c>
      <c r="AJ246" s="141">
        <v>0</v>
      </c>
      <c r="AK246" s="141">
        <v>0</v>
      </c>
      <c r="AL246" s="141">
        <v>0</v>
      </c>
      <c r="AM246" s="141">
        <v>0</v>
      </c>
      <c r="AN246" s="141">
        <v>0</v>
      </c>
      <c r="AO246" s="141">
        <v>0</v>
      </c>
      <c r="AP246" s="856">
        <v>0</v>
      </c>
      <c r="AQ246" s="856">
        <v>0</v>
      </c>
      <c r="AR246" s="857">
        <v>0</v>
      </c>
      <c r="AS246" t="s">
        <v>1812</v>
      </c>
    </row>
    <row r="247" spans="1:45" ht="12.75" x14ac:dyDescent="0.2">
      <c r="A247" s="764">
        <v>240</v>
      </c>
      <c r="B247" s="765" t="s">
        <v>369</v>
      </c>
      <c r="C247" s="766" t="s">
        <v>1217</v>
      </c>
      <c r="D247" s="767" t="s">
        <v>1221</v>
      </c>
      <c r="E247" s="768" t="s">
        <v>368</v>
      </c>
      <c r="F247" s="141">
        <v>31829110</v>
      </c>
      <c r="G247" s="141">
        <v>224649.53000000003</v>
      </c>
      <c r="H247" s="141">
        <v>32053759.530000001</v>
      </c>
      <c r="I247" s="141">
        <v>-180000</v>
      </c>
      <c r="J247" s="141">
        <v>0</v>
      </c>
      <c r="K247" s="141">
        <v>-180000</v>
      </c>
      <c r="L247" s="141">
        <v>-1496023</v>
      </c>
      <c r="M247" s="141">
        <v>-12956</v>
      </c>
      <c r="N247" s="141">
        <v>-1508979</v>
      </c>
      <c r="O247" s="141">
        <v>30153087</v>
      </c>
      <c r="P247" s="141">
        <v>211693.53000000003</v>
      </c>
      <c r="Q247" s="141">
        <v>30364780.530000001</v>
      </c>
      <c r="R247" s="141">
        <v>154818</v>
      </c>
      <c r="S247" s="141">
        <v>0</v>
      </c>
      <c r="T247" s="141">
        <v>154818</v>
      </c>
      <c r="U247" s="141">
        <v>0</v>
      </c>
      <c r="V247" s="141">
        <v>0</v>
      </c>
      <c r="W247" s="141">
        <v>0</v>
      </c>
      <c r="X247" s="141">
        <v>107.47</v>
      </c>
      <c r="Y247" s="141">
        <v>208247</v>
      </c>
      <c r="Z247" s="141">
        <v>3340</v>
      </c>
      <c r="AA247" s="141">
        <v>3340</v>
      </c>
      <c r="AB247" s="141">
        <v>0</v>
      </c>
      <c r="AC247" s="141">
        <v>0</v>
      </c>
      <c r="AD247" s="141">
        <v>0</v>
      </c>
      <c r="AE247" s="141">
        <v>0</v>
      </c>
      <c r="AF247" s="141">
        <v>307443</v>
      </c>
      <c r="AG247" s="141">
        <v>307443</v>
      </c>
      <c r="AH247" s="141">
        <v>0</v>
      </c>
      <c r="AI247" s="141">
        <v>0</v>
      </c>
      <c r="AJ247" s="141">
        <v>0</v>
      </c>
      <c r="AK247" s="141">
        <v>0</v>
      </c>
      <c r="AL247" s="141">
        <v>0</v>
      </c>
      <c r="AM247" s="141">
        <v>0</v>
      </c>
      <c r="AN247" s="141">
        <v>0</v>
      </c>
      <c r="AO247" s="141">
        <v>0</v>
      </c>
      <c r="AP247" s="856">
        <v>0</v>
      </c>
      <c r="AQ247" s="856">
        <v>307443</v>
      </c>
      <c r="AR247" s="857">
        <v>307443</v>
      </c>
      <c r="AS247" t="s">
        <v>1813</v>
      </c>
    </row>
    <row r="248" spans="1:45" ht="12.75" x14ac:dyDescent="0.2">
      <c r="A248" s="764">
        <v>241</v>
      </c>
      <c r="B248" s="765" t="s">
        <v>371</v>
      </c>
      <c r="C248" s="766" t="s">
        <v>1217</v>
      </c>
      <c r="D248" s="767" t="s">
        <v>1220</v>
      </c>
      <c r="E248" s="768" t="s">
        <v>370</v>
      </c>
      <c r="F248" s="141">
        <v>24771473</v>
      </c>
      <c r="G248" s="141">
        <v>0</v>
      </c>
      <c r="H248" s="141">
        <v>24771473</v>
      </c>
      <c r="I248" s="141">
        <v>-123857</v>
      </c>
      <c r="J248" s="141">
        <v>0</v>
      </c>
      <c r="K248" s="141">
        <v>-123857</v>
      </c>
      <c r="L248" s="141">
        <v>-644058</v>
      </c>
      <c r="M248" s="141">
        <v>0</v>
      </c>
      <c r="N248" s="141">
        <v>-644058</v>
      </c>
      <c r="O248" s="141">
        <v>24003558</v>
      </c>
      <c r="P248" s="141">
        <v>0</v>
      </c>
      <c r="Q248" s="141">
        <v>24003558</v>
      </c>
      <c r="R248" s="141">
        <v>331790</v>
      </c>
      <c r="S248" s="141">
        <v>0</v>
      </c>
      <c r="T248" s="141">
        <v>331790</v>
      </c>
      <c r="U248" s="141">
        <v>0</v>
      </c>
      <c r="V248" s="141">
        <v>0</v>
      </c>
      <c r="W248" s="141">
        <v>0</v>
      </c>
      <c r="X248" s="141">
        <v>0</v>
      </c>
      <c r="Y248" s="141">
        <v>0</v>
      </c>
      <c r="Z248" s="141">
        <v>0</v>
      </c>
      <c r="AA248" s="141">
        <v>0</v>
      </c>
      <c r="AB248" s="141">
        <v>0</v>
      </c>
      <c r="AC248" s="141">
        <v>0</v>
      </c>
      <c r="AD248" s="141">
        <v>0</v>
      </c>
      <c r="AE248" s="141">
        <v>0</v>
      </c>
      <c r="AF248" s="141">
        <v>0</v>
      </c>
      <c r="AG248" s="141">
        <v>0</v>
      </c>
      <c r="AH248" s="141">
        <v>0</v>
      </c>
      <c r="AI248" s="141">
        <v>0</v>
      </c>
      <c r="AJ248" s="141">
        <v>0</v>
      </c>
      <c r="AK248" s="141">
        <v>0</v>
      </c>
      <c r="AL248" s="141">
        <v>0</v>
      </c>
      <c r="AM248" s="141">
        <v>0</v>
      </c>
      <c r="AN248" s="141">
        <v>0</v>
      </c>
      <c r="AO248" s="141">
        <v>0</v>
      </c>
      <c r="AP248" s="856">
        <v>0</v>
      </c>
      <c r="AQ248" s="856">
        <v>0</v>
      </c>
      <c r="AR248" s="857">
        <v>0</v>
      </c>
      <c r="AS248" t="s">
        <v>1814</v>
      </c>
    </row>
    <row r="249" spans="1:45" ht="12.75" x14ac:dyDescent="0.2">
      <c r="A249" s="764">
        <v>242</v>
      </c>
      <c r="B249" s="765" t="s">
        <v>373</v>
      </c>
      <c r="C249" s="766" t="s">
        <v>1217</v>
      </c>
      <c r="D249" s="767" t="s">
        <v>1218</v>
      </c>
      <c r="E249" s="768" t="s">
        <v>372</v>
      </c>
      <c r="F249" s="141">
        <v>45871764</v>
      </c>
      <c r="G249" s="141">
        <v>243432</v>
      </c>
      <c r="H249" s="141">
        <v>46115196</v>
      </c>
      <c r="I249" s="141">
        <v>-550461</v>
      </c>
      <c r="J249" s="141">
        <v>-2921</v>
      </c>
      <c r="K249" s="141">
        <v>-553382</v>
      </c>
      <c r="L249" s="141">
        <v>-2293588</v>
      </c>
      <c r="M249" s="141">
        <v>-12171</v>
      </c>
      <c r="N249" s="141">
        <v>-2305759</v>
      </c>
      <c r="O249" s="141">
        <v>43027715</v>
      </c>
      <c r="P249" s="141">
        <v>228340</v>
      </c>
      <c r="Q249" s="141">
        <v>43256055</v>
      </c>
      <c r="R249" s="141">
        <v>84287</v>
      </c>
      <c r="S249" s="141">
        <v>0</v>
      </c>
      <c r="T249" s="141">
        <v>84287</v>
      </c>
      <c r="U249" s="141">
        <v>0</v>
      </c>
      <c r="V249" s="141">
        <v>0</v>
      </c>
      <c r="W249" s="141">
        <v>0</v>
      </c>
      <c r="X249" s="141">
        <v>0</v>
      </c>
      <c r="Y249" s="141">
        <v>192728</v>
      </c>
      <c r="Z249" s="141">
        <v>38481</v>
      </c>
      <c r="AA249" s="141">
        <v>38481</v>
      </c>
      <c r="AB249" s="141">
        <v>0</v>
      </c>
      <c r="AC249" s="141">
        <v>0</v>
      </c>
      <c r="AD249" s="141">
        <v>0</v>
      </c>
      <c r="AE249" s="141">
        <v>0</v>
      </c>
      <c r="AF249" s="141">
        <v>0</v>
      </c>
      <c r="AG249" s="141">
        <v>0</v>
      </c>
      <c r="AH249" s="141">
        <v>0</v>
      </c>
      <c r="AI249" s="141">
        <v>0</v>
      </c>
      <c r="AJ249" s="141">
        <v>0</v>
      </c>
      <c r="AK249" s="141">
        <v>0</v>
      </c>
      <c r="AL249" s="141">
        <v>0</v>
      </c>
      <c r="AM249" s="141">
        <v>0</v>
      </c>
      <c r="AN249" s="141">
        <v>0</v>
      </c>
      <c r="AO249" s="141">
        <v>0</v>
      </c>
      <c r="AP249" s="856">
        <v>0</v>
      </c>
      <c r="AQ249" s="856">
        <v>0</v>
      </c>
      <c r="AR249" s="857">
        <v>0</v>
      </c>
      <c r="AS249" t="s">
        <v>1815</v>
      </c>
    </row>
    <row r="250" spans="1:45" ht="12.75" x14ac:dyDescent="0.2">
      <c r="A250" s="764">
        <v>243</v>
      </c>
      <c r="B250" s="765" t="s">
        <v>375</v>
      </c>
      <c r="C250" s="766" t="s">
        <v>1217</v>
      </c>
      <c r="D250" s="767" t="s">
        <v>1219</v>
      </c>
      <c r="E250" s="768" t="s">
        <v>374</v>
      </c>
      <c r="F250" s="141">
        <v>36726668</v>
      </c>
      <c r="G250" s="141">
        <v>185221</v>
      </c>
      <c r="H250" s="141">
        <v>36911889</v>
      </c>
      <c r="I250" s="141">
        <v>-367267</v>
      </c>
      <c r="J250" s="141">
        <v>-1852</v>
      </c>
      <c r="K250" s="141">
        <v>-369119</v>
      </c>
      <c r="L250" s="141">
        <v>-1762880</v>
      </c>
      <c r="M250" s="141">
        <v>-8891</v>
      </c>
      <c r="N250" s="141">
        <v>-1771771</v>
      </c>
      <c r="O250" s="141">
        <v>34596521</v>
      </c>
      <c r="P250" s="141">
        <v>174478</v>
      </c>
      <c r="Q250" s="141">
        <v>34770999</v>
      </c>
      <c r="R250" s="141">
        <v>39069</v>
      </c>
      <c r="S250" s="141">
        <v>0</v>
      </c>
      <c r="T250" s="141">
        <v>39069</v>
      </c>
      <c r="U250" s="141">
        <v>0</v>
      </c>
      <c r="V250" s="141">
        <v>0</v>
      </c>
      <c r="W250" s="141">
        <v>0</v>
      </c>
      <c r="X250" s="141">
        <v>0</v>
      </c>
      <c r="Y250" s="141">
        <v>0</v>
      </c>
      <c r="Z250" s="141">
        <v>174478</v>
      </c>
      <c r="AA250" s="141">
        <v>174478</v>
      </c>
      <c r="AB250" s="141">
        <v>0</v>
      </c>
      <c r="AC250" s="141">
        <v>0</v>
      </c>
      <c r="AD250" s="141">
        <v>0</v>
      </c>
      <c r="AE250" s="141">
        <v>0</v>
      </c>
      <c r="AF250" s="141">
        <v>0</v>
      </c>
      <c r="AG250" s="141">
        <v>0</v>
      </c>
      <c r="AH250" s="141">
        <v>0</v>
      </c>
      <c r="AI250" s="141">
        <v>0</v>
      </c>
      <c r="AJ250" s="141">
        <v>0</v>
      </c>
      <c r="AK250" s="141">
        <v>0</v>
      </c>
      <c r="AL250" s="141">
        <v>0</v>
      </c>
      <c r="AM250" s="141">
        <v>0</v>
      </c>
      <c r="AN250" s="141">
        <v>0</v>
      </c>
      <c r="AO250" s="141">
        <v>0</v>
      </c>
      <c r="AP250" s="856">
        <v>0</v>
      </c>
      <c r="AQ250" s="856">
        <v>0</v>
      </c>
      <c r="AR250" s="857">
        <v>0</v>
      </c>
      <c r="AS250" t="s">
        <v>1816</v>
      </c>
    </row>
    <row r="251" spans="1:45" ht="12.75" x14ac:dyDescent="0.2">
      <c r="A251" s="764">
        <v>244</v>
      </c>
      <c r="B251" s="765" t="s">
        <v>377</v>
      </c>
      <c r="C251" s="766" t="s">
        <v>1217</v>
      </c>
      <c r="D251" s="767" t="s">
        <v>1226</v>
      </c>
      <c r="E251" s="768" t="s">
        <v>376</v>
      </c>
      <c r="F251" s="141">
        <v>45850990</v>
      </c>
      <c r="G251" s="141">
        <v>0</v>
      </c>
      <c r="H251" s="141">
        <v>45850990</v>
      </c>
      <c r="I251" s="141">
        <v>-458509</v>
      </c>
      <c r="J251" s="141">
        <v>0</v>
      </c>
      <c r="K251" s="141">
        <v>-458509</v>
      </c>
      <c r="L251" s="141">
        <v>-1209362</v>
      </c>
      <c r="M251" s="141">
        <v>0</v>
      </c>
      <c r="N251" s="141">
        <v>-1209362</v>
      </c>
      <c r="O251" s="141">
        <v>44183119</v>
      </c>
      <c r="P251" s="141">
        <v>0</v>
      </c>
      <c r="Q251" s="141">
        <v>44183119</v>
      </c>
      <c r="R251" s="141">
        <v>472944</v>
      </c>
      <c r="S251" s="141">
        <v>0</v>
      </c>
      <c r="T251" s="141">
        <v>472944</v>
      </c>
      <c r="U251" s="141">
        <v>0</v>
      </c>
      <c r="V251" s="141">
        <v>0</v>
      </c>
      <c r="W251" s="141">
        <v>0</v>
      </c>
      <c r="X251" s="141">
        <v>0</v>
      </c>
      <c r="Y251" s="141">
        <v>0</v>
      </c>
      <c r="Z251" s="141">
        <v>0</v>
      </c>
      <c r="AA251" s="141">
        <v>0</v>
      </c>
      <c r="AB251" s="141">
        <v>0</v>
      </c>
      <c r="AC251" s="141">
        <v>0</v>
      </c>
      <c r="AD251" s="141">
        <v>0</v>
      </c>
      <c r="AE251" s="141">
        <v>0</v>
      </c>
      <c r="AF251" s="141">
        <v>0</v>
      </c>
      <c r="AG251" s="141">
        <v>0</v>
      </c>
      <c r="AH251" s="141">
        <v>0</v>
      </c>
      <c r="AI251" s="141">
        <v>0</v>
      </c>
      <c r="AJ251" s="141">
        <v>0</v>
      </c>
      <c r="AK251" s="141">
        <v>0</v>
      </c>
      <c r="AL251" s="141">
        <v>0</v>
      </c>
      <c r="AM251" s="141">
        <v>0</v>
      </c>
      <c r="AN251" s="141">
        <v>0</v>
      </c>
      <c r="AO251" s="141">
        <v>0</v>
      </c>
      <c r="AP251" s="856">
        <v>0</v>
      </c>
      <c r="AQ251" s="856">
        <v>0</v>
      </c>
      <c r="AR251" s="857">
        <v>0</v>
      </c>
      <c r="AS251" t="s">
        <v>1817</v>
      </c>
    </row>
    <row r="252" spans="1:45" ht="12.75" x14ac:dyDescent="0.2">
      <c r="A252" s="764">
        <v>245</v>
      </c>
      <c r="B252" s="765" t="s">
        <v>379</v>
      </c>
      <c r="C252" s="766" t="s">
        <v>1217</v>
      </c>
      <c r="D252" s="767" t="s">
        <v>1227</v>
      </c>
      <c r="E252" s="768" t="s">
        <v>378</v>
      </c>
      <c r="F252" s="141">
        <v>23019034</v>
      </c>
      <c r="G252" s="141">
        <v>3310546</v>
      </c>
      <c r="H252" s="141">
        <v>26329580</v>
      </c>
      <c r="I252" s="141">
        <v>-163229</v>
      </c>
      <c r="J252" s="141">
        <v>0</v>
      </c>
      <c r="K252" s="141">
        <v>-163229</v>
      </c>
      <c r="L252" s="141">
        <v>-702543</v>
      </c>
      <c r="M252" s="141">
        <v>0</v>
      </c>
      <c r="N252" s="141">
        <v>-702543</v>
      </c>
      <c r="O252" s="141">
        <v>22153262</v>
      </c>
      <c r="P252" s="141">
        <v>3310546</v>
      </c>
      <c r="Q252" s="141">
        <v>25463808</v>
      </c>
      <c r="R252" s="141">
        <v>237305</v>
      </c>
      <c r="S252" s="141">
        <v>0</v>
      </c>
      <c r="T252" s="141">
        <v>237305</v>
      </c>
      <c r="U252" s="141">
        <v>0</v>
      </c>
      <c r="V252" s="141">
        <v>0</v>
      </c>
      <c r="W252" s="141">
        <v>0</v>
      </c>
      <c r="X252" s="141">
        <v>0</v>
      </c>
      <c r="Y252" s="141">
        <v>0</v>
      </c>
      <c r="Z252" s="141">
        <v>3310546</v>
      </c>
      <c r="AA252" s="141">
        <v>3310546</v>
      </c>
      <c r="AB252" s="141">
        <v>0</v>
      </c>
      <c r="AC252" s="141">
        <v>0</v>
      </c>
      <c r="AD252" s="141">
        <v>0</v>
      </c>
      <c r="AE252" s="141">
        <v>0</v>
      </c>
      <c r="AF252" s="141">
        <v>162387</v>
      </c>
      <c r="AG252" s="141">
        <v>162387</v>
      </c>
      <c r="AH252" s="141">
        <v>0</v>
      </c>
      <c r="AI252" s="141">
        <v>0</v>
      </c>
      <c r="AJ252" s="141">
        <v>0</v>
      </c>
      <c r="AK252" s="141">
        <v>0</v>
      </c>
      <c r="AL252" s="141">
        <v>0</v>
      </c>
      <c r="AM252" s="141">
        <v>0</v>
      </c>
      <c r="AN252" s="141">
        <v>0</v>
      </c>
      <c r="AO252" s="141">
        <v>0</v>
      </c>
      <c r="AP252" s="856">
        <v>0</v>
      </c>
      <c r="AQ252" s="856">
        <v>162387</v>
      </c>
      <c r="AR252" s="857">
        <v>162387</v>
      </c>
      <c r="AS252" t="s">
        <v>1818</v>
      </c>
    </row>
    <row r="253" spans="1:45" ht="12.75" x14ac:dyDescent="0.2">
      <c r="A253" s="764">
        <v>246</v>
      </c>
      <c r="B253" s="765" t="s">
        <v>381</v>
      </c>
      <c r="C253" s="766" t="s">
        <v>1224</v>
      </c>
      <c r="D253" s="767" t="s">
        <v>1229</v>
      </c>
      <c r="E253" s="768" t="s">
        <v>380</v>
      </c>
      <c r="F253" s="141">
        <v>31431795</v>
      </c>
      <c r="G253" s="141">
        <v>0</v>
      </c>
      <c r="H253" s="141">
        <v>31431795</v>
      </c>
      <c r="I253" s="141">
        <v>-500000</v>
      </c>
      <c r="J253" s="141">
        <v>0</v>
      </c>
      <c r="K253" s="141">
        <v>-500000</v>
      </c>
      <c r="L253" s="141">
        <v>-1000000</v>
      </c>
      <c r="M253" s="141">
        <v>0</v>
      </c>
      <c r="N253" s="141">
        <v>-1000000</v>
      </c>
      <c r="O253" s="141">
        <v>29931795</v>
      </c>
      <c r="P253" s="141">
        <v>0</v>
      </c>
      <c r="Q253" s="141">
        <v>29931795</v>
      </c>
      <c r="R253" s="141">
        <v>0</v>
      </c>
      <c r="S253" s="141">
        <v>0</v>
      </c>
      <c r="T253" s="141">
        <v>0</v>
      </c>
      <c r="U253" s="141">
        <v>0</v>
      </c>
      <c r="V253" s="141">
        <v>0</v>
      </c>
      <c r="W253" s="141">
        <v>0</v>
      </c>
      <c r="X253" s="141">
        <v>0</v>
      </c>
      <c r="Y253" s="141">
        <v>0</v>
      </c>
      <c r="Z253" s="141">
        <v>0</v>
      </c>
      <c r="AA253" s="141">
        <v>0</v>
      </c>
      <c r="AB253" s="141">
        <v>0</v>
      </c>
      <c r="AC253" s="141">
        <v>0</v>
      </c>
      <c r="AD253" s="141">
        <v>0</v>
      </c>
      <c r="AE253" s="141">
        <v>0</v>
      </c>
      <c r="AF253" s="141">
        <v>0</v>
      </c>
      <c r="AG253" s="141">
        <v>0</v>
      </c>
      <c r="AH253" s="141">
        <v>0</v>
      </c>
      <c r="AI253" s="141">
        <v>0</v>
      </c>
      <c r="AJ253" s="141">
        <v>0</v>
      </c>
      <c r="AK253" s="141">
        <v>0</v>
      </c>
      <c r="AL253" s="141">
        <v>0</v>
      </c>
      <c r="AM253" s="141">
        <v>0</v>
      </c>
      <c r="AN253" s="141">
        <v>0</v>
      </c>
      <c r="AO253" s="141">
        <v>0</v>
      </c>
      <c r="AP253" s="856">
        <v>0</v>
      </c>
      <c r="AQ253" s="856">
        <v>0</v>
      </c>
      <c r="AR253" s="857">
        <v>0</v>
      </c>
      <c r="AS253" t="s">
        <v>1819</v>
      </c>
    </row>
    <row r="254" spans="1:45" ht="12.75" x14ac:dyDescent="0.2">
      <c r="A254" s="764">
        <v>247</v>
      </c>
      <c r="B254" s="765" t="s">
        <v>383</v>
      </c>
      <c r="C254" s="766" t="s">
        <v>529</v>
      </c>
      <c r="D254" s="767" t="s">
        <v>1218</v>
      </c>
      <c r="E254" s="768" t="s">
        <v>579</v>
      </c>
      <c r="F254" s="141">
        <v>118445827</v>
      </c>
      <c r="G254" s="141">
        <v>0</v>
      </c>
      <c r="H254" s="141">
        <v>118445827</v>
      </c>
      <c r="I254" s="141">
        <v>-2368916</v>
      </c>
      <c r="J254" s="141">
        <v>0</v>
      </c>
      <c r="K254" s="141">
        <v>-2368916</v>
      </c>
      <c r="L254" s="141">
        <v>-5566954</v>
      </c>
      <c r="M254" s="141">
        <v>0</v>
      </c>
      <c r="N254" s="141">
        <v>-5566954</v>
      </c>
      <c r="O254" s="141">
        <v>110509957</v>
      </c>
      <c r="P254" s="141">
        <v>0</v>
      </c>
      <c r="Q254" s="141">
        <v>110509957</v>
      </c>
      <c r="R254" s="141">
        <v>0</v>
      </c>
      <c r="S254" s="141">
        <v>0</v>
      </c>
      <c r="T254" s="141">
        <v>0</v>
      </c>
      <c r="U254" s="141">
        <v>0</v>
      </c>
      <c r="V254" s="141">
        <v>0</v>
      </c>
      <c r="W254" s="141">
        <v>0</v>
      </c>
      <c r="X254" s="141">
        <v>0</v>
      </c>
      <c r="Y254" s="141">
        <v>0</v>
      </c>
      <c r="Z254" s="141">
        <v>0</v>
      </c>
      <c r="AA254" s="141">
        <v>0</v>
      </c>
      <c r="AB254" s="141">
        <v>0</v>
      </c>
      <c r="AC254" s="141">
        <v>0</v>
      </c>
      <c r="AD254" s="141">
        <v>0</v>
      </c>
      <c r="AE254" s="141">
        <v>0</v>
      </c>
      <c r="AF254" s="141">
        <v>0</v>
      </c>
      <c r="AG254" s="141">
        <v>0</v>
      </c>
      <c r="AH254" s="141">
        <v>0</v>
      </c>
      <c r="AI254" s="141">
        <v>0</v>
      </c>
      <c r="AJ254" s="141">
        <v>0</v>
      </c>
      <c r="AK254" s="141">
        <v>0</v>
      </c>
      <c r="AL254" s="141">
        <v>0</v>
      </c>
      <c r="AM254" s="141">
        <v>0</v>
      </c>
      <c r="AN254" s="141">
        <v>0</v>
      </c>
      <c r="AO254" s="141">
        <v>0</v>
      </c>
      <c r="AP254" s="856">
        <v>0</v>
      </c>
      <c r="AQ254" s="856">
        <v>0</v>
      </c>
      <c r="AR254" s="857">
        <v>0</v>
      </c>
      <c r="AS254" t="s">
        <v>1820</v>
      </c>
    </row>
    <row r="255" spans="1:45" ht="12.75" x14ac:dyDescent="0.2">
      <c r="A255" s="764">
        <v>248</v>
      </c>
      <c r="B255" s="765" t="s">
        <v>385</v>
      </c>
      <c r="C255" s="766" t="s">
        <v>529</v>
      </c>
      <c r="D255" s="767" t="s">
        <v>1221</v>
      </c>
      <c r="E255" s="768" t="s">
        <v>572</v>
      </c>
      <c r="F255" s="141">
        <v>46245122</v>
      </c>
      <c r="G255" s="141">
        <v>0</v>
      </c>
      <c r="H255" s="141">
        <v>46245122</v>
      </c>
      <c r="I255" s="141">
        <v>-424557</v>
      </c>
      <c r="J255" s="141">
        <v>0</v>
      </c>
      <c r="K255" s="141">
        <v>-424557</v>
      </c>
      <c r="L255" s="141">
        <v>-1960992</v>
      </c>
      <c r="M255" s="141">
        <v>0</v>
      </c>
      <c r="N255" s="141">
        <v>-1960992</v>
      </c>
      <c r="O255" s="141">
        <v>43859573</v>
      </c>
      <c r="P255" s="141">
        <v>0</v>
      </c>
      <c r="Q255" s="141">
        <v>43859573</v>
      </c>
      <c r="R255" s="141">
        <v>0</v>
      </c>
      <c r="S255" s="141">
        <v>0</v>
      </c>
      <c r="T255" s="141">
        <v>0</v>
      </c>
      <c r="U255" s="141">
        <v>0</v>
      </c>
      <c r="V255" s="141">
        <v>0</v>
      </c>
      <c r="W255" s="141">
        <v>0</v>
      </c>
      <c r="X255" s="141">
        <v>0</v>
      </c>
      <c r="Y255" s="141">
        <v>0</v>
      </c>
      <c r="Z255" s="141">
        <v>0</v>
      </c>
      <c r="AA255" s="141">
        <v>0</v>
      </c>
      <c r="AB255" s="141">
        <v>0</v>
      </c>
      <c r="AC255" s="141">
        <v>0</v>
      </c>
      <c r="AD255" s="141">
        <v>0</v>
      </c>
      <c r="AE255" s="141">
        <v>0</v>
      </c>
      <c r="AF255" s="141">
        <v>0</v>
      </c>
      <c r="AG255" s="141">
        <v>0</v>
      </c>
      <c r="AH255" s="141">
        <v>0</v>
      </c>
      <c r="AI255" s="141">
        <v>0</v>
      </c>
      <c r="AJ255" s="141">
        <v>0</v>
      </c>
      <c r="AK255" s="141">
        <v>0</v>
      </c>
      <c r="AL255" s="141">
        <v>0</v>
      </c>
      <c r="AM255" s="141">
        <v>0</v>
      </c>
      <c r="AN255" s="141">
        <v>0</v>
      </c>
      <c r="AO255" s="141">
        <v>0</v>
      </c>
      <c r="AP255" s="856">
        <v>0</v>
      </c>
      <c r="AQ255" s="856">
        <v>0</v>
      </c>
      <c r="AR255" s="857">
        <v>0</v>
      </c>
      <c r="AS255" t="s">
        <v>1821</v>
      </c>
    </row>
    <row r="256" spans="1:45" ht="12.75" x14ac:dyDescent="0.2">
      <c r="A256" s="764">
        <v>249</v>
      </c>
      <c r="B256" s="765" t="s">
        <v>387</v>
      </c>
      <c r="C256" s="766" t="s">
        <v>1228</v>
      </c>
      <c r="D256" s="767" t="s">
        <v>1223</v>
      </c>
      <c r="E256" s="768" t="s">
        <v>386</v>
      </c>
      <c r="F256" s="141">
        <v>331512509</v>
      </c>
      <c r="G256" s="141">
        <v>0</v>
      </c>
      <c r="H256" s="141">
        <v>331512509</v>
      </c>
      <c r="I256" s="141">
        <v>-1000000</v>
      </c>
      <c r="J256" s="141">
        <v>0</v>
      </c>
      <c r="K256" s="141">
        <v>-1000000</v>
      </c>
      <c r="L256" s="141">
        <v>-2500000</v>
      </c>
      <c r="M256" s="141">
        <v>0</v>
      </c>
      <c r="N256" s="141">
        <v>-2500000</v>
      </c>
      <c r="O256" s="141">
        <v>328012509</v>
      </c>
      <c r="P256" s="141">
        <v>0</v>
      </c>
      <c r="Q256" s="141">
        <v>328012509</v>
      </c>
      <c r="R256" s="141">
        <v>0</v>
      </c>
      <c r="S256" s="141">
        <v>0</v>
      </c>
      <c r="T256" s="141">
        <v>0</v>
      </c>
      <c r="U256" s="141">
        <v>0</v>
      </c>
      <c r="V256" s="141">
        <v>0</v>
      </c>
      <c r="W256" s="141">
        <v>0</v>
      </c>
      <c r="X256" s="141">
        <v>0</v>
      </c>
      <c r="Y256" s="141">
        <v>0</v>
      </c>
      <c r="Z256" s="141">
        <v>0</v>
      </c>
      <c r="AA256" s="141">
        <v>0</v>
      </c>
      <c r="AB256" s="141">
        <v>0</v>
      </c>
      <c r="AC256" s="141">
        <v>0</v>
      </c>
      <c r="AD256" s="141">
        <v>0</v>
      </c>
      <c r="AE256" s="141">
        <v>0</v>
      </c>
      <c r="AF256" s="141">
        <v>0</v>
      </c>
      <c r="AG256" s="141">
        <v>0</v>
      </c>
      <c r="AH256" s="141">
        <v>0</v>
      </c>
      <c r="AI256" s="141">
        <v>0</v>
      </c>
      <c r="AJ256" s="141">
        <v>0</v>
      </c>
      <c r="AK256" s="141">
        <v>0</v>
      </c>
      <c r="AL256" s="141">
        <v>0</v>
      </c>
      <c r="AM256" s="141">
        <v>0</v>
      </c>
      <c r="AN256" s="141">
        <v>0</v>
      </c>
      <c r="AO256" s="141">
        <v>0</v>
      </c>
      <c r="AP256" s="856">
        <v>0</v>
      </c>
      <c r="AQ256" s="856">
        <v>0</v>
      </c>
      <c r="AR256" s="857">
        <v>0</v>
      </c>
      <c r="AS256" t="s">
        <v>1822</v>
      </c>
    </row>
    <row r="257" spans="1:45" ht="12.75" x14ac:dyDescent="0.2">
      <c r="A257" s="764">
        <v>250</v>
      </c>
      <c r="B257" s="765" t="s">
        <v>389</v>
      </c>
      <c r="C257" s="766" t="s">
        <v>1217</v>
      </c>
      <c r="D257" s="767" t="s">
        <v>1218</v>
      </c>
      <c r="E257" s="768" t="s">
        <v>388</v>
      </c>
      <c r="F257" s="141">
        <v>51264991</v>
      </c>
      <c r="G257" s="141">
        <v>0</v>
      </c>
      <c r="H257" s="141">
        <v>51264991</v>
      </c>
      <c r="I257" s="141">
        <v>-303000</v>
      </c>
      <c r="J257" s="141">
        <v>0</v>
      </c>
      <c r="K257" s="141">
        <v>-303000</v>
      </c>
      <c r="L257" s="141">
        <v>-500000</v>
      </c>
      <c r="M257" s="141">
        <v>0</v>
      </c>
      <c r="N257" s="141">
        <v>-500000</v>
      </c>
      <c r="O257" s="141">
        <v>50461991</v>
      </c>
      <c r="P257" s="141">
        <v>0</v>
      </c>
      <c r="Q257" s="141">
        <v>50461991</v>
      </c>
      <c r="R257" s="141">
        <v>0</v>
      </c>
      <c r="S257" s="141">
        <v>0</v>
      </c>
      <c r="T257" s="141">
        <v>0</v>
      </c>
      <c r="U257" s="141">
        <v>0</v>
      </c>
      <c r="V257" s="141">
        <v>0</v>
      </c>
      <c r="W257" s="141">
        <v>0</v>
      </c>
      <c r="X257" s="141">
        <v>0</v>
      </c>
      <c r="Y257" s="141">
        <v>0</v>
      </c>
      <c r="Z257" s="141">
        <v>0</v>
      </c>
      <c r="AA257" s="141">
        <v>0</v>
      </c>
      <c r="AB257" s="141">
        <v>0</v>
      </c>
      <c r="AC257" s="141">
        <v>0</v>
      </c>
      <c r="AD257" s="141">
        <v>0</v>
      </c>
      <c r="AE257" s="141">
        <v>0</v>
      </c>
      <c r="AF257" s="141">
        <v>0</v>
      </c>
      <c r="AG257" s="141">
        <v>0</v>
      </c>
      <c r="AH257" s="141">
        <v>0</v>
      </c>
      <c r="AI257" s="141">
        <v>0</v>
      </c>
      <c r="AJ257" s="141">
        <v>0</v>
      </c>
      <c r="AK257" s="141">
        <v>0</v>
      </c>
      <c r="AL257" s="141">
        <v>0</v>
      </c>
      <c r="AM257" s="141">
        <v>0</v>
      </c>
      <c r="AN257" s="141">
        <v>0</v>
      </c>
      <c r="AO257" s="141">
        <v>0</v>
      </c>
      <c r="AP257" s="856">
        <v>0</v>
      </c>
      <c r="AQ257" s="856">
        <v>0</v>
      </c>
      <c r="AR257" s="857">
        <v>0</v>
      </c>
      <c r="AS257" t="s">
        <v>1823</v>
      </c>
    </row>
    <row r="258" spans="1:45" ht="12.75" x14ac:dyDescent="0.2">
      <c r="A258" s="764">
        <v>251</v>
      </c>
      <c r="B258" s="765" t="s">
        <v>391</v>
      </c>
      <c r="C258" s="766" t="s">
        <v>1217</v>
      </c>
      <c r="D258" s="767" t="s">
        <v>1221</v>
      </c>
      <c r="E258" s="768" t="s">
        <v>390</v>
      </c>
      <c r="F258" s="141">
        <v>60723593</v>
      </c>
      <c r="G258" s="141">
        <v>596287</v>
      </c>
      <c r="H258" s="141">
        <v>61319880</v>
      </c>
      <c r="I258" s="141">
        <v>-250000</v>
      </c>
      <c r="J258" s="141">
        <v>0</v>
      </c>
      <c r="K258" s="141">
        <v>-250000</v>
      </c>
      <c r="L258" s="141">
        <v>-1233144</v>
      </c>
      <c r="M258" s="141">
        <v>0</v>
      </c>
      <c r="N258" s="141">
        <v>-1233144</v>
      </c>
      <c r="O258" s="141">
        <v>59240449</v>
      </c>
      <c r="P258" s="141">
        <v>596287</v>
      </c>
      <c r="Q258" s="141">
        <v>59836736</v>
      </c>
      <c r="R258" s="141">
        <v>0</v>
      </c>
      <c r="S258" s="141">
        <v>0</v>
      </c>
      <c r="T258" s="141">
        <v>0</v>
      </c>
      <c r="U258" s="141">
        <v>0</v>
      </c>
      <c r="V258" s="141">
        <v>0</v>
      </c>
      <c r="W258" s="141">
        <v>0</v>
      </c>
      <c r="X258" s="141">
        <v>0</v>
      </c>
      <c r="Y258" s="141">
        <v>1050604</v>
      </c>
      <c r="Z258" s="141">
        <v>125169</v>
      </c>
      <c r="AA258" s="141">
        <v>125169</v>
      </c>
      <c r="AB258" s="141">
        <v>0</v>
      </c>
      <c r="AC258" s="141">
        <v>0</v>
      </c>
      <c r="AD258" s="141">
        <v>0</v>
      </c>
      <c r="AE258" s="141">
        <v>0</v>
      </c>
      <c r="AF258" s="141">
        <v>0</v>
      </c>
      <c r="AG258" s="141">
        <v>0</v>
      </c>
      <c r="AH258" s="141">
        <v>0</v>
      </c>
      <c r="AI258" s="141">
        <v>0</v>
      </c>
      <c r="AJ258" s="141">
        <v>0</v>
      </c>
      <c r="AK258" s="141">
        <v>0</v>
      </c>
      <c r="AL258" s="141">
        <v>0</v>
      </c>
      <c r="AM258" s="141">
        <v>0</v>
      </c>
      <c r="AN258" s="141">
        <v>0</v>
      </c>
      <c r="AO258" s="141">
        <v>0</v>
      </c>
      <c r="AP258" s="856">
        <v>0</v>
      </c>
      <c r="AQ258" s="856">
        <v>0</v>
      </c>
      <c r="AR258" s="857">
        <v>0</v>
      </c>
      <c r="AS258" t="s">
        <v>1824</v>
      </c>
    </row>
    <row r="259" spans="1:45" ht="12.75" x14ac:dyDescent="0.2">
      <c r="A259" s="764">
        <v>252</v>
      </c>
      <c r="B259" s="765" t="s">
        <v>395</v>
      </c>
      <c r="C259" s="766" t="s">
        <v>1224</v>
      </c>
      <c r="D259" s="767" t="s">
        <v>1219</v>
      </c>
      <c r="E259" s="768" t="s">
        <v>895</v>
      </c>
      <c r="F259" s="141">
        <v>52676712</v>
      </c>
      <c r="G259" s="141">
        <v>0</v>
      </c>
      <c r="H259" s="141">
        <v>52676712</v>
      </c>
      <c r="I259" s="141">
        <v>-1300000</v>
      </c>
      <c r="J259" s="141">
        <v>0</v>
      </c>
      <c r="K259" s="141">
        <v>-1300000</v>
      </c>
      <c r="L259" s="141">
        <v>-2597588</v>
      </c>
      <c r="M259" s="141">
        <v>0</v>
      </c>
      <c r="N259" s="141">
        <v>-2597588</v>
      </c>
      <c r="O259" s="141">
        <v>48779124</v>
      </c>
      <c r="P259" s="141">
        <v>0</v>
      </c>
      <c r="Q259" s="141">
        <v>48779124</v>
      </c>
      <c r="R259" s="141">
        <v>0</v>
      </c>
      <c r="S259" s="141">
        <v>0</v>
      </c>
      <c r="T259" s="141">
        <v>0</v>
      </c>
      <c r="U259" s="141">
        <v>0</v>
      </c>
      <c r="V259" s="141">
        <v>0</v>
      </c>
      <c r="W259" s="141">
        <v>0</v>
      </c>
      <c r="X259" s="141">
        <v>0</v>
      </c>
      <c r="Y259" s="141">
        <v>0</v>
      </c>
      <c r="Z259" s="141">
        <v>0</v>
      </c>
      <c r="AA259" s="141">
        <v>0</v>
      </c>
      <c r="AB259" s="141">
        <v>0</v>
      </c>
      <c r="AC259" s="141">
        <v>0</v>
      </c>
      <c r="AD259" s="141">
        <v>0</v>
      </c>
      <c r="AE259" s="141">
        <v>0</v>
      </c>
      <c r="AF259" s="141">
        <v>0</v>
      </c>
      <c r="AG259" s="141">
        <v>0</v>
      </c>
      <c r="AH259" s="141">
        <v>0</v>
      </c>
      <c r="AI259" s="141">
        <v>0</v>
      </c>
      <c r="AJ259" s="141">
        <v>0</v>
      </c>
      <c r="AK259" s="141">
        <v>0</v>
      </c>
      <c r="AL259" s="141">
        <v>0</v>
      </c>
      <c r="AM259" s="141">
        <v>0</v>
      </c>
      <c r="AN259" s="141">
        <v>0</v>
      </c>
      <c r="AO259" s="141">
        <v>0</v>
      </c>
      <c r="AP259" s="856">
        <v>0</v>
      </c>
      <c r="AQ259" s="856">
        <v>0</v>
      </c>
      <c r="AR259" s="857">
        <v>0</v>
      </c>
      <c r="AS259" t="s">
        <v>1825</v>
      </c>
    </row>
    <row r="260" spans="1:45" ht="12.75" x14ac:dyDescent="0.2">
      <c r="A260" s="764">
        <v>253</v>
      </c>
      <c r="B260" s="765" t="s">
        <v>397</v>
      </c>
      <c r="C260" s="766" t="s">
        <v>1217</v>
      </c>
      <c r="D260" s="767" t="s">
        <v>1227</v>
      </c>
      <c r="E260" s="768" t="s">
        <v>396</v>
      </c>
      <c r="F260" s="141">
        <v>51982426</v>
      </c>
      <c r="G260" s="141">
        <v>0</v>
      </c>
      <c r="H260" s="141">
        <v>51982426</v>
      </c>
      <c r="I260" s="141">
        <v>-350000</v>
      </c>
      <c r="J260" s="141">
        <v>0</v>
      </c>
      <c r="K260" s="141">
        <v>-350000</v>
      </c>
      <c r="L260" s="141">
        <v>-1262651</v>
      </c>
      <c r="M260" s="141">
        <v>0</v>
      </c>
      <c r="N260" s="141">
        <v>-1262651</v>
      </c>
      <c r="O260" s="141">
        <v>50369775</v>
      </c>
      <c r="P260" s="141">
        <v>0</v>
      </c>
      <c r="Q260" s="141">
        <v>50369775</v>
      </c>
      <c r="R260" s="141">
        <v>0</v>
      </c>
      <c r="S260" s="141">
        <v>0</v>
      </c>
      <c r="T260" s="141">
        <v>0</v>
      </c>
      <c r="U260" s="141">
        <v>0</v>
      </c>
      <c r="V260" s="141">
        <v>0</v>
      </c>
      <c r="W260" s="141">
        <v>0</v>
      </c>
      <c r="X260" s="141">
        <v>0</v>
      </c>
      <c r="Y260" s="141">
        <v>0</v>
      </c>
      <c r="Z260" s="141">
        <v>0</v>
      </c>
      <c r="AA260" s="141">
        <v>0</v>
      </c>
      <c r="AB260" s="141">
        <v>0</v>
      </c>
      <c r="AC260" s="141">
        <v>0</v>
      </c>
      <c r="AD260" s="141">
        <v>0</v>
      </c>
      <c r="AE260" s="141">
        <v>0</v>
      </c>
      <c r="AF260" s="141">
        <v>0</v>
      </c>
      <c r="AG260" s="141">
        <v>0</v>
      </c>
      <c r="AH260" s="141">
        <v>0</v>
      </c>
      <c r="AI260" s="141">
        <v>0</v>
      </c>
      <c r="AJ260" s="141">
        <v>0</v>
      </c>
      <c r="AK260" s="141">
        <v>0</v>
      </c>
      <c r="AL260" s="141">
        <v>0</v>
      </c>
      <c r="AM260" s="141">
        <v>0</v>
      </c>
      <c r="AN260" s="141">
        <v>0</v>
      </c>
      <c r="AO260" s="141">
        <v>0</v>
      </c>
      <c r="AP260" s="856">
        <v>0</v>
      </c>
      <c r="AQ260" s="856">
        <v>0</v>
      </c>
      <c r="AR260" s="857">
        <v>0</v>
      </c>
      <c r="AS260" t="s">
        <v>1826</v>
      </c>
    </row>
    <row r="261" spans="1:45" ht="12.75" x14ac:dyDescent="0.2">
      <c r="A261" s="764">
        <v>254</v>
      </c>
      <c r="B261" s="765" t="s">
        <v>399</v>
      </c>
      <c r="C261" s="766" t="s">
        <v>1217</v>
      </c>
      <c r="D261" s="767" t="s">
        <v>1227</v>
      </c>
      <c r="E261" s="768" t="s">
        <v>398</v>
      </c>
      <c r="F261" s="141">
        <v>19856559</v>
      </c>
      <c r="G261" s="141">
        <v>0</v>
      </c>
      <c r="H261" s="141">
        <v>19856559</v>
      </c>
      <c r="I261" s="141">
        <v>-148924</v>
      </c>
      <c r="J261" s="141">
        <v>0</v>
      </c>
      <c r="K261" s="141">
        <v>-148924</v>
      </c>
      <c r="L261" s="141">
        <v>-839932</v>
      </c>
      <c r="M261" s="141">
        <v>0</v>
      </c>
      <c r="N261" s="141">
        <v>-839932</v>
      </c>
      <c r="O261" s="141">
        <v>18867703</v>
      </c>
      <c r="P261" s="141">
        <v>0</v>
      </c>
      <c r="Q261" s="141">
        <v>18867703</v>
      </c>
      <c r="R261" s="141">
        <v>0</v>
      </c>
      <c r="S261" s="141">
        <v>0</v>
      </c>
      <c r="T261" s="141">
        <v>0</v>
      </c>
      <c r="U261" s="141">
        <v>0</v>
      </c>
      <c r="V261" s="141">
        <v>0</v>
      </c>
      <c r="W261" s="141">
        <v>0</v>
      </c>
      <c r="X261" s="141">
        <v>0</v>
      </c>
      <c r="Y261" s="141">
        <v>0</v>
      </c>
      <c r="Z261" s="141">
        <v>0</v>
      </c>
      <c r="AA261" s="141">
        <v>0</v>
      </c>
      <c r="AB261" s="141">
        <v>0</v>
      </c>
      <c r="AC261" s="141">
        <v>0</v>
      </c>
      <c r="AD261" s="141">
        <v>0</v>
      </c>
      <c r="AE261" s="141">
        <v>0</v>
      </c>
      <c r="AF261" s="141">
        <v>0</v>
      </c>
      <c r="AG261" s="141">
        <v>0</v>
      </c>
      <c r="AH261" s="141">
        <v>0</v>
      </c>
      <c r="AI261" s="141">
        <v>0</v>
      </c>
      <c r="AJ261" s="141">
        <v>0</v>
      </c>
      <c r="AK261" s="141">
        <v>0</v>
      </c>
      <c r="AL261" s="141">
        <v>0</v>
      </c>
      <c r="AM261" s="141">
        <v>0</v>
      </c>
      <c r="AN261" s="141">
        <v>0</v>
      </c>
      <c r="AO261" s="141">
        <v>0</v>
      </c>
      <c r="AP261" s="856">
        <v>0</v>
      </c>
      <c r="AQ261" s="856">
        <v>0</v>
      </c>
      <c r="AR261" s="857">
        <v>0</v>
      </c>
      <c r="AS261" t="s">
        <v>1827</v>
      </c>
    </row>
    <row r="262" spans="1:45" ht="12.75" x14ac:dyDescent="0.2">
      <c r="A262" s="764">
        <v>255</v>
      </c>
      <c r="B262" s="765" t="s">
        <v>401</v>
      </c>
      <c r="C262" s="766" t="s">
        <v>1217</v>
      </c>
      <c r="D262" s="767" t="s">
        <v>1221</v>
      </c>
      <c r="E262" s="768" t="s">
        <v>400</v>
      </c>
      <c r="F262" s="141">
        <v>48696592</v>
      </c>
      <c r="G262" s="141">
        <v>0</v>
      </c>
      <c r="H262" s="141">
        <v>48696592</v>
      </c>
      <c r="I262" s="141">
        <v>-250000</v>
      </c>
      <c r="J262" s="141">
        <v>0</v>
      </c>
      <c r="K262" s="141">
        <v>-250000</v>
      </c>
      <c r="L262" s="141">
        <v>-2200000</v>
      </c>
      <c r="M262" s="141">
        <v>0</v>
      </c>
      <c r="N262" s="141">
        <v>-2200000</v>
      </c>
      <c r="O262" s="141">
        <v>46246592</v>
      </c>
      <c r="P262" s="141">
        <v>0</v>
      </c>
      <c r="Q262" s="141">
        <v>46246592</v>
      </c>
      <c r="R262" s="141">
        <v>0</v>
      </c>
      <c r="S262" s="141">
        <v>0</v>
      </c>
      <c r="T262" s="141">
        <v>0</v>
      </c>
      <c r="U262" s="141">
        <v>0</v>
      </c>
      <c r="V262" s="141">
        <v>0</v>
      </c>
      <c r="W262" s="141">
        <v>0</v>
      </c>
      <c r="X262" s="141">
        <v>0</v>
      </c>
      <c r="Y262" s="141">
        <v>0</v>
      </c>
      <c r="Z262" s="141">
        <v>0</v>
      </c>
      <c r="AA262" s="141">
        <v>0</v>
      </c>
      <c r="AB262" s="141">
        <v>0</v>
      </c>
      <c r="AC262" s="141">
        <v>0</v>
      </c>
      <c r="AD262" s="141">
        <v>0</v>
      </c>
      <c r="AE262" s="141">
        <v>0</v>
      </c>
      <c r="AF262" s="141">
        <v>0</v>
      </c>
      <c r="AG262" s="141">
        <v>0</v>
      </c>
      <c r="AH262" s="141">
        <v>0</v>
      </c>
      <c r="AI262" s="141">
        <v>0</v>
      </c>
      <c r="AJ262" s="141">
        <v>0</v>
      </c>
      <c r="AK262" s="141">
        <v>0</v>
      </c>
      <c r="AL262" s="141">
        <v>0</v>
      </c>
      <c r="AM262" s="141">
        <v>0</v>
      </c>
      <c r="AN262" s="141">
        <v>0</v>
      </c>
      <c r="AO262" s="141">
        <v>0</v>
      </c>
      <c r="AP262" s="856">
        <v>0</v>
      </c>
      <c r="AQ262" s="856">
        <v>0</v>
      </c>
      <c r="AR262" s="857">
        <v>0</v>
      </c>
      <c r="AS262" t="s">
        <v>1828</v>
      </c>
    </row>
    <row r="263" spans="1:45" ht="12.75" x14ac:dyDescent="0.2">
      <c r="A263" s="764">
        <v>256</v>
      </c>
      <c r="B263" s="765" t="s">
        <v>403</v>
      </c>
      <c r="C263" s="766" t="s">
        <v>1224</v>
      </c>
      <c r="D263" s="767" t="s">
        <v>1219</v>
      </c>
      <c r="E263" s="768" t="s">
        <v>402</v>
      </c>
      <c r="F263" s="141">
        <v>89495602</v>
      </c>
      <c r="G263" s="141">
        <v>0</v>
      </c>
      <c r="H263" s="141">
        <v>89495602</v>
      </c>
      <c r="I263" s="141">
        <v>-2221150</v>
      </c>
      <c r="J263" s="141">
        <v>0</v>
      </c>
      <c r="K263" s="141">
        <v>-2221150</v>
      </c>
      <c r="L263" s="141">
        <v>-5049532</v>
      </c>
      <c r="M263" s="141">
        <v>0</v>
      </c>
      <c r="N263" s="141">
        <v>-5049532</v>
      </c>
      <c r="O263" s="141">
        <v>82224920</v>
      </c>
      <c r="P263" s="141">
        <v>0</v>
      </c>
      <c r="Q263" s="141">
        <v>82224920</v>
      </c>
      <c r="R263" s="141">
        <v>0</v>
      </c>
      <c r="S263" s="141">
        <v>0</v>
      </c>
      <c r="T263" s="141">
        <v>0</v>
      </c>
      <c r="U263" s="141">
        <v>0</v>
      </c>
      <c r="V263" s="141">
        <v>0</v>
      </c>
      <c r="W263" s="141">
        <v>0</v>
      </c>
      <c r="X263" s="141">
        <v>0</v>
      </c>
      <c r="Y263" s="141">
        <v>0</v>
      </c>
      <c r="Z263" s="141">
        <v>0</v>
      </c>
      <c r="AA263" s="141">
        <v>0</v>
      </c>
      <c r="AB263" s="141">
        <v>0</v>
      </c>
      <c r="AC263" s="141">
        <v>0</v>
      </c>
      <c r="AD263" s="141">
        <v>0</v>
      </c>
      <c r="AE263" s="141">
        <v>0</v>
      </c>
      <c r="AF263" s="141">
        <v>0</v>
      </c>
      <c r="AG263" s="141">
        <v>0</v>
      </c>
      <c r="AH263" s="141">
        <v>0</v>
      </c>
      <c r="AI263" s="141">
        <v>0</v>
      </c>
      <c r="AJ263" s="141">
        <v>0</v>
      </c>
      <c r="AK263" s="141">
        <v>0</v>
      </c>
      <c r="AL263" s="141">
        <v>0</v>
      </c>
      <c r="AM263" s="141">
        <v>0</v>
      </c>
      <c r="AN263" s="141">
        <v>0</v>
      </c>
      <c r="AO263" s="141">
        <v>0</v>
      </c>
      <c r="AP263" s="856">
        <v>0</v>
      </c>
      <c r="AQ263" s="856">
        <v>0</v>
      </c>
      <c r="AR263" s="857">
        <v>0</v>
      </c>
      <c r="AS263" t="s">
        <v>1829</v>
      </c>
    </row>
    <row r="264" spans="1:45" ht="12.75" x14ac:dyDescent="0.2">
      <c r="A264" s="764">
        <v>257</v>
      </c>
      <c r="B264" s="765" t="s">
        <v>405</v>
      </c>
      <c r="C264" s="766" t="s">
        <v>529</v>
      </c>
      <c r="D264" s="767" t="s">
        <v>1229</v>
      </c>
      <c r="E264" s="768" t="s">
        <v>555</v>
      </c>
      <c r="F264" s="141">
        <v>87502925</v>
      </c>
      <c r="G264" s="141">
        <v>270746</v>
      </c>
      <c r="H264" s="141">
        <v>87773671</v>
      </c>
      <c r="I264" s="141">
        <v>-962532</v>
      </c>
      <c r="J264" s="141">
        <v>-2978</v>
      </c>
      <c r="K264" s="141">
        <v>-965510</v>
      </c>
      <c r="L264" s="141">
        <v>-4112637</v>
      </c>
      <c r="M264" s="141">
        <v>-12725</v>
      </c>
      <c r="N264" s="141">
        <v>-4125362</v>
      </c>
      <c r="O264" s="141">
        <v>82427756</v>
      </c>
      <c r="P264" s="141">
        <v>255043</v>
      </c>
      <c r="Q264" s="141">
        <v>82682799</v>
      </c>
      <c r="R264" s="141">
        <v>118000</v>
      </c>
      <c r="S264" s="141">
        <v>0</v>
      </c>
      <c r="T264" s="141">
        <v>118000</v>
      </c>
      <c r="U264" s="141">
        <v>0</v>
      </c>
      <c r="V264" s="141">
        <v>0</v>
      </c>
      <c r="W264" s="141">
        <v>0</v>
      </c>
      <c r="X264" s="141">
        <v>-47790</v>
      </c>
      <c r="Y264" s="141">
        <v>76347</v>
      </c>
      <c r="Z264" s="141">
        <v>167005</v>
      </c>
      <c r="AA264" s="141">
        <v>167005</v>
      </c>
      <c r="AB264" s="141">
        <v>0</v>
      </c>
      <c r="AC264" s="141">
        <v>0</v>
      </c>
      <c r="AD264" s="141">
        <v>0</v>
      </c>
      <c r="AE264" s="141">
        <v>7242</v>
      </c>
      <c r="AF264" s="141">
        <v>64240</v>
      </c>
      <c r="AG264" s="141">
        <v>71482</v>
      </c>
      <c r="AH264" s="141">
        <v>84469731</v>
      </c>
      <c r="AI264" s="141">
        <v>84469731</v>
      </c>
      <c r="AJ264" s="141">
        <v>87710275.630012795</v>
      </c>
      <c r="AK264" s="141">
        <v>87710275.630012795</v>
      </c>
      <c r="AL264" s="141">
        <v>0</v>
      </c>
      <c r="AM264" s="141">
        <v>0</v>
      </c>
      <c r="AN264" s="141">
        <v>0</v>
      </c>
      <c r="AO264" s="141">
        <v>0</v>
      </c>
      <c r="AP264" s="856">
        <v>7242</v>
      </c>
      <c r="AQ264" s="856">
        <v>64240</v>
      </c>
      <c r="AR264" s="857">
        <v>71482</v>
      </c>
      <c r="AS264" t="s">
        <v>1830</v>
      </c>
    </row>
    <row r="265" spans="1:45" ht="12.75" x14ac:dyDescent="0.2">
      <c r="A265" s="764">
        <v>258</v>
      </c>
      <c r="B265" s="765" t="s">
        <v>407</v>
      </c>
      <c r="C265" s="766" t="s">
        <v>529</v>
      </c>
      <c r="D265" s="767" t="s">
        <v>1227</v>
      </c>
      <c r="E265" s="768" t="s">
        <v>612</v>
      </c>
      <c r="F265" s="141">
        <v>93716054</v>
      </c>
      <c r="G265" s="141">
        <v>1798868</v>
      </c>
      <c r="H265" s="141">
        <v>95514922</v>
      </c>
      <c r="I265" s="141">
        <v>-937161</v>
      </c>
      <c r="J265" s="141">
        <v>0</v>
      </c>
      <c r="K265" s="141">
        <v>-937161</v>
      </c>
      <c r="L265" s="141">
        <v>-1400000</v>
      </c>
      <c r="M265" s="141">
        <v>0</v>
      </c>
      <c r="N265" s="141">
        <v>-1400000</v>
      </c>
      <c r="O265" s="141">
        <v>91378893</v>
      </c>
      <c r="P265" s="141">
        <v>1798868</v>
      </c>
      <c r="Q265" s="141">
        <v>93177761</v>
      </c>
      <c r="R265" s="141">
        <v>0</v>
      </c>
      <c r="S265" s="141">
        <v>0</v>
      </c>
      <c r="T265" s="141">
        <v>0</v>
      </c>
      <c r="U265" s="141">
        <v>0</v>
      </c>
      <c r="V265" s="141">
        <v>0</v>
      </c>
      <c r="W265" s="141">
        <v>0</v>
      </c>
      <c r="X265" s="141">
        <v>0</v>
      </c>
      <c r="Y265" s="141">
        <v>389575</v>
      </c>
      <c r="Z265" s="141">
        <v>1420175</v>
      </c>
      <c r="AA265" s="141">
        <v>1420175</v>
      </c>
      <c r="AB265" s="141">
        <v>0</v>
      </c>
      <c r="AC265" s="141">
        <v>0</v>
      </c>
      <c r="AD265" s="141">
        <v>0</v>
      </c>
      <c r="AE265" s="141">
        <v>0</v>
      </c>
      <c r="AF265" s="141">
        <v>58509</v>
      </c>
      <c r="AG265" s="141">
        <v>58509</v>
      </c>
      <c r="AH265" s="141">
        <v>0</v>
      </c>
      <c r="AI265" s="141">
        <v>0</v>
      </c>
      <c r="AJ265" s="141">
        <v>0</v>
      </c>
      <c r="AK265" s="141">
        <v>0</v>
      </c>
      <c r="AL265" s="141">
        <v>0</v>
      </c>
      <c r="AM265" s="141">
        <v>0</v>
      </c>
      <c r="AN265" s="141">
        <v>0</v>
      </c>
      <c r="AO265" s="141">
        <v>0</v>
      </c>
      <c r="AP265" s="856">
        <v>0</v>
      </c>
      <c r="AQ265" s="856">
        <v>58509</v>
      </c>
      <c r="AR265" s="857">
        <v>58509</v>
      </c>
      <c r="AS265" t="s">
        <v>1831</v>
      </c>
    </row>
    <row r="266" spans="1:45" ht="12.75" x14ac:dyDescent="0.2">
      <c r="A266" s="764">
        <v>259</v>
      </c>
      <c r="B266" s="765" t="s">
        <v>409</v>
      </c>
      <c r="C266" s="766" t="s">
        <v>1217</v>
      </c>
      <c r="D266" s="767" t="s">
        <v>1227</v>
      </c>
      <c r="E266" s="768" t="s">
        <v>408</v>
      </c>
      <c r="F266" s="141">
        <v>57818616.609999992</v>
      </c>
      <c r="G266" s="141">
        <v>0</v>
      </c>
      <c r="H266" s="141">
        <v>57818616.609999992</v>
      </c>
      <c r="I266" s="141">
        <v>-460000</v>
      </c>
      <c r="J266" s="141">
        <v>0</v>
      </c>
      <c r="K266" s="141">
        <v>-460000</v>
      </c>
      <c r="L266" s="141">
        <v>-3000000</v>
      </c>
      <c r="M266" s="141">
        <v>0</v>
      </c>
      <c r="N266" s="141">
        <v>-3000000</v>
      </c>
      <c r="O266" s="141">
        <v>54358616.609999992</v>
      </c>
      <c r="P266" s="141">
        <v>0</v>
      </c>
      <c r="Q266" s="141">
        <v>54358616.609999992</v>
      </c>
      <c r="R266" s="141">
        <v>29232</v>
      </c>
      <c r="S266" s="141">
        <v>0</v>
      </c>
      <c r="T266" s="141">
        <v>29232</v>
      </c>
      <c r="U266" s="141">
        <v>0</v>
      </c>
      <c r="V266" s="141">
        <v>0</v>
      </c>
      <c r="W266" s="141">
        <v>0</v>
      </c>
      <c r="X266" s="141">
        <v>0</v>
      </c>
      <c r="Y266" s="141">
        <v>0</v>
      </c>
      <c r="Z266" s="141">
        <v>0</v>
      </c>
      <c r="AA266" s="141">
        <v>0</v>
      </c>
      <c r="AB266" s="141">
        <v>0</v>
      </c>
      <c r="AC266" s="141">
        <v>0</v>
      </c>
      <c r="AD266" s="141">
        <v>0</v>
      </c>
      <c r="AE266" s="141">
        <v>0</v>
      </c>
      <c r="AF266" s="141">
        <v>0</v>
      </c>
      <c r="AG266" s="141">
        <v>0</v>
      </c>
      <c r="AH266" s="141">
        <v>0</v>
      </c>
      <c r="AI266" s="141">
        <v>0</v>
      </c>
      <c r="AJ266" s="141">
        <v>0</v>
      </c>
      <c r="AK266" s="141">
        <v>0</v>
      </c>
      <c r="AL266" s="141">
        <v>0</v>
      </c>
      <c r="AM266" s="141">
        <v>0</v>
      </c>
      <c r="AN266" s="141">
        <v>0</v>
      </c>
      <c r="AO266" s="141">
        <v>0</v>
      </c>
      <c r="AP266" s="856">
        <v>0</v>
      </c>
      <c r="AQ266" s="856">
        <v>0</v>
      </c>
      <c r="AR266" s="857">
        <v>0</v>
      </c>
      <c r="AS266" t="s">
        <v>1832</v>
      </c>
    </row>
    <row r="267" spans="1:45" ht="12.75" x14ac:dyDescent="0.2">
      <c r="A267" s="764">
        <v>260</v>
      </c>
      <c r="B267" s="765" t="s">
        <v>411</v>
      </c>
      <c r="C267" s="766" t="s">
        <v>1217</v>
      </c>
      <c r="D267" s="767" t="s">
        <v>1226</v>
      </c>
      <c r="E267" s="768" t="s">
        <v>410</v>
      </c>
      <c r="F267" s="141">
        <v>29520888.41</v>
      </c>
      <c r="G267" s="141">
        <v>0</v>
      </c>
      <c r="H267" s="141">
        <v>29520888.41</v>
      </c>
      <c r="I267" s="141">
        <v>-290000</v>
      </c>
      <c r="J267" s="141">
        <v>0</v>
      </c>
      <c r="K267" s="141">
        <v>-290000</v>
      </c>
      <c r="L267" s="141">
        <v>-1000000</v>
      </c>
      <c r="M267" s="141">
        <v>0</v>
      </c>
      <c r="N267" s="141">
        <v>-1000000</v>
      </c>
      <c r="O267" s="141">
        <v>28230888.41</v>
      </c>
      <c r="P267" s="141">
        <v>0</v>
      </c>
      <c r="Q267" s="141">
        <v>28230888.41</v>
      </c>
      <c r="R267" s="141">
        <v>102147</v>
      </c>
      <c r="S267" s="141">
        <v>0</v>
      </c>
      <c r="T267" s="141">
        <v>102147</v>
      </c>
      <c r="U267" s="141">
        <v>0</v>
      </c>
      <c r="V267" s="141">
        <v>0</v>
      </c>
      <c r="W267" s="141">
        <v>0</v>
      </c>
      <c r="X267" s="141">
        <v>0</v>
      </c>
      <c r="Y267" s="141">
        <v>0</v>
      </c>
      <c r="Z267" s="141">
        <v>0</v>
      </c>
      <c r="AA267" s="141">
        <v>0</v>
      </c>
      <c r="AB267" s="141">
        <v>0</v>
      </c>
      <c r="AC267" s="141">
        <v>0</v>
      </c>
      <c r="AD267" s="141">
        <v>0</v>
      </c>
      <c r="AE267" s="141">
        <v>0</v>
      </c>
      <c r="AF267" s="141">
        <v>0</v>
      </c>
      <c r="AG267" s="141">
        <v>0</v>
      </c>
      <c r="AH267" s="141">
        <v>0</v>
      </c>
      <c r="AI267" s="141">
        <v>0</v>
      </c>
      <c r="AJ267" s="141">
        <v>0</v>
      </c>
      <c r="AK267" s="141">
        <v>0</v>
      </c>
      <c r="AL267" s="141">
        <v>0</v>
      </c>
      <c r="AM267" s="141">
        <v>0</v>
      </c>
      <c r="AN267" s="141">
        <v>0</v>
      </c>
      <c r="AO267" s="141">
        <v>0</v>
      </c>
      <c r="AP267" s="856">
        <v>0</v>
      </c>
      <c r="AQ267" s="856">
        <v>0</v>
      </c>
      <c r="AR267" s="857">
        <v>0</v>
      </c>
      <c r="AS267" t="s">
        <v>1833</v>
      </c>
    </row>
    <row r="268" spans="1:45" ht="12.75" x14ac:dyDescent="0.2">
      <c r="A268" s="764">
        <v>261</v>
      </c>
      <c r="B268" s="765" t="s">
        <v>413</v>
      </c>
      <c r="C268" s="766" t="s">
        <v>1224</v>
      </c>
      <c r="D268" s="767" t="s">
        <v>1229</v>
      </c>
      <c r="E268" s="768" t="s">
        <v>412</v>
      </c>
      <c r="F268" s="141">
        <v>95177356.289999992</v>
      </c>
      <c r="G268" s="141">
        <v>897960</v>
      </c>
      <c r="H268" s="141">
        <v>96075316.289999992</v>
      </c>
      <c r="I268" s="141">
        <v>-2384434</v>
      </c>
      <c r="J268" s="141">
        <v>0</v>
      </c>
      <c r="K268" s="141">
        <v>-2384434</v>
      </c>
      <c r="L268" s="141">
        <v>-4482736</v>
      </c>
      <c r="M268" s="141">
        <v>0</v>
      </c>
      <c r="N268" s="141">
        <v>-4482736</v>
      </c>
      <c r="O268" s="141">
        <v>88310186.289999992</v>
      </c>
      <c r="P268" s="141">
        <v>897960</v>
      </c>
      <c r="Q268" s="141">
        <v>89208146.289999992</v>
      </c>
      <c r="R268" s="141">
        <v>0</v>
      </c>
      <c r="S268" s="141">
        <v>0</v>
      </c>
      <c r="T268" s="141">
        <v>0</v>
      </c>
      <c r="U268" s="141">
        <v>0</v>
      </c>
      <c r="V268" s="141">
        <v>0</v>
      </c>
      <c r="W268" s="141">
        <v>0</v>
      </c>
      <c r="X268" s="141">
        <v>0</v>
      </c>
      <c r="Y268" s="141">
        <v>142006</v>
      </c>
      <c r="Z268" s="141">
        <v>755954</v>
      </c>
      <c r="AA268" s="141">
        <v>755954</v>
      </c>
      <c r="AB268" s="141">
        <v>0</v>
      </c>
      <c r="AC268" s="141">
        <v>0</v>
      </c>
      <c r="AD268" s="141">
        <v>0</v>
      </c>
      <c r="AE268" s="141">
        <v>0</v>
      </c>
      <c r="AF268" s="141">
        <v>0</v>
      </c>
      <c r="AG268" s="141">
        <v>0</v>
      </c>
      <c r="AH268" s="141">
        <v>0</v>
      </c>
      <c r="AI268" s="141">
        <v>0</v>
      </c>
      <c r="AJ268" s="141">
        <v>0</v>
      </c>
      <c r="AK268" s="141">
        <v>0</v>
      </c>
      <c r="AL268" s="141">
        <v>0</v>
      </c>
      <c r="AM268" s="141">
        <v>0</v>
      </c>
      <c r="AN268" s="141">
        <v>0</v>
      </c>
      <c r="AO268" s="141">
        <v>0</v>
      </c>
      <c r="AP268" s="856">
        <v>0</v>
      </c>
      <c r="AQ268" s="856">
        <v>0</v>
      </c>
      <c r="AR268" s="857">
        <v>0</v>
      </c>
      <c r="AS268" t="s">
        <v>1834</v>
      </c>
    </row>
    <row r="269" spans="1:45" ht="12.75" x14ac:dyDescent="0.2">
      <c r="A269" s="764">
        <v>262</v>
      </c>
      <c r="B269" s="765" t="s">
        <v>415</v>
      </c>
      <c r="C269" s="766" t="s">
        <v>1217</v>
      </c>
      <c r="D269" s="767" t="s">
        <v>1218</v>
      </c>
      <c r="E269" s="768" t="s">
        <v>414</v>
      </c>
      <c r="F269" s="141">
        <v>38716219</v>
      </c>
      <c r="G269" s="141">
        <v>0</v>
      </c>
      <c r="H269" s="141">
        <v>38716219</v>
      </c>
      <c r="I269" s="141">
        <v>-444508</v>
      </c>
      <c r="J269" s="141">
        <v>0</v>
      </c>
      <c r="K269" s="141">
        <v>-444508</v>
      </c>
      <c r="L269" s="141">
        <v>-903896</v>
      </c>
      <c r="M269" s="141">
        <v>0</v>
      </c>
      <c r="N269" s="141">
        <v>-903896</v>
      </c>
      <c r="O269" s="141">
        <v>37367815</v>
      </c>
      <c r="P269" s="141">
        <v>0</v>
      </c>
      <c r="Q269" s="141">
        <v>37367815</v>
      </c>
      <c r="R269" s="141">
        <v>0</v>
      </c>
      <c r="S269" s="141">
        <v>0</v>
      </c>
      <c r="T269" s="141">
        <v>0</v>
      </c>
      <c r="U269" s="141">
        <v>0</v>
      </c>
      <c r="V269" s="141">
        <v>0</v>
      </c>
      <c r="W269" s="141">
        <v>0</v>
      </c>
      <c r="X269" s="141">
        <v>0</v>
      </c>
      <c r="Y269" s="141">
        <v>0</v>
      </c>
      <c r="Z269" s="141">
        <v>0</v>
      </c>
      <c r="AA269" s="141">
        <v>0</v>
      </c>
      <c r="AB269" s="141">
        <v>0</v>
      </c>
      <c r="AC269" s="141">
        <v>0</v>
      </c>
      <c r="AD269" s="141">
        <v>0</v>
      </c>
      <c r="AE269" s="141">
        <v>0</v>
      </c>
      <c r="AF269" s="141">
        <v>0</v>
      </c>
      <c r="AG269" s="141">
        <v>0</v>
      </c>
      <c r="AH269" s="141">
        <v>0</v>
      </c>
      <c r="AI269" s="141">
        <v>0</v>
      </c>
      <c r="AJ269" s="141">
        <v>0</v>
      </c>
      <c r="AK269" s="141">
        <v>0</v>
      </c>
      <c r="AL269" s="141">
        <v>0</v>
      </c>
      <c r="AM269" s="141">
        <v>0</v>
      </c>
      <c r="AN269" s="141">
        <v>0</v>
      </c>
      <c r="AO269" s="141">
        <v>0</v>
      </c>
      <c r="AP269" s="856">
        <v>0</v>
      </c>
      <c r="AQ269" s="856">
        <v>0</v>
      </c>
      <c r="AR269" s="857">
        <v>0</v>
      </c>
      <c r="AS269" t="s">
        <v>1835</v>
      </c>
    </row>
    <row r="270" spans="1:45" ht="12.75" x14ac:dyDescent="0.2">
      <c r="A270" s="764">
        <v>263</v>
      </c>
      <c r="B270" s="765" t="s">
        <v>417</v>
      </c>
      <c r="C270" s="766" t="s">
        <v>1222</v>
      </c>
      <c r="D270" s="767" t="s">
        <v>1223</v>
      </c>
      <c r="E270" s="768" t="s">
        <v>416</v>
      </c>
      <c r="F270" s="141">
        <v>57677207</v>
      </c>
      <c r="G270" s="141">
        <v>0</v>
      </c>
      <c r="H270" s="141">
        <v>57677207</v>
      </c>
      <c r="I270" s="141">
        <v>-865158</v>
      </c>
      <c r="J270" s="141">
        <v>0</v>
      </c>
      <c r="K270" s="141">
        <v>-865158</v>
      </c>
      <c r="L270" s="141">
        <v>0</v>
      </c>
      <c r="M270" s="141">
        <v>0</v>
      </c>
      <c r="N270" s="141">
        <v>0</v>
      </c>
      <c r="O270" s="141">
        <v>56812049</v>
      </c>
      <c r="P270" s="141">
        <v>0</v>
      </c>
      <c r="Q270" s="141">
        <v>56812049</v>
      </c>
      <c r="R270" s="141">
        <v>0</v>
      </c>
      <c r="S270" s="141">
        <v>0</v>
      </c>
      <c r="T270" s="141">
        <v>0</v>
      </c>
      <c r="U270" s="141">
        <v>0</v>
      </c>
      <c r="V270" s="141">
        <v>0</v>
      </c>
      <c r="W270" s="141">
        <v>0</v>
      </c>
      <c r="X270" s="141">
        <v>0</v>
      </c>
      <c r="Y270" s="141">
        <v>0</v>
      </c>
      <c r="Z270" s="141">
        <v>0</v>
      </c>
      <c r="AA270" s="141">
        <v>0</v>
      </c>
      <c r="AB270" s="141">
        <v>0</v>
      </c>
      <c r="AC270" s="141">
        <v>0</v>
      </c>
      <c r="AD270" s="141">
        <v>0</v>
      </c>
      <c r="AE270" s="141">
        <v>0</v>
      </c>
      <c r="AF270" s="141">
        <v>0</v>
      </c>
      <c r="AG270" s="141">
        <v>0</v>
      </c>
      <c r="AH270" s="141">
        <v>0</v>
      </c>
      <c r="AI270" s="141">
        <v>0</v>
      </c>
      <c r="AJ270" s="141">
        <v>0</v>
      </c>
      <c r="AK270" s="141">
        <v>0</v>
      </c>
      <c r="AL270" s="141">
        <v>0</v>
      </c>
      <c r="AM270" s="141">
        <v>0</v>
      </c>
      <c r="AN270" s="141">
        <v>0</v>
      </c>
      <c r="AO270" s="141">
        <v>0</v>
      </c>
      <c r="AP270" s="856">
        <v>0</v>
      </c>
      <c r="AQ270" s="856">
        <v>0</v>
      </c>
      <c r="AR270" s="857">
        <v>0</v>
      </c>
      <c r="AS270" t="s">
        <v>1836</v>
      </c>
    </row>
    <row r="271" spans="1:45" ht="12.75" x14ac:dyDescent="0.2">
      <c r="A271" s="764">
        <v>264</v>
      </c>
      <c r="B271" s="765" t="s">
        <v>419</v>
      </c>
      <c r="C271" s="766" t="s">
        <v>1217</v>
      </c>
      <c r="D271" s="767" t="s">
        <v>1218</v>
      </c>
      <c r="E271" s="768" t="s">
        <v>418</v>
      </c>
      <c r="F271" s="141">
        <v>51886417</v>
      </c>
      <c r="G271" s="141">
        <v>0</v>
      </c>
      <c r="H271" s="141">
        <v>51886417</v>
      </c>
      <c r="I271" s="141">
        <v>-600000</v>
      </c>
      <c r="J271" s="141">
        <v>0</v>
      </c>
      <c r="K271" s="141">
        <v>-600000</v>
      </c>
      <c r="L271" s="141">
        <v>-2297199</v>
      </c>
      <c r="M271" s="141">
        <v>0</v>
      </c>
      <c r="N271" s="141">
        <v>-2297199</v>
      </c>
      <c r="O271" s="141">
        <v>48989218</v>
      </c>
      <c r="P271" s="141">
        <v>0</v>
      </c>
      <c r="Q271" s="141">
        <v>48989218</v>
      </c>
      <c r="R271" s="141">
        <v>1237483</v>
      </c>
      <c r="S271" s="141">
        <v>0</v>
      </c>
      <c r="T271" s="141">
        <v>1237483</v>
      </c>
      <c r="U271" s="141">
        <v>0</v>
      </c>
      <c r="V271" s="141">
        <v>0</v>
      </c>
      <c r="W271" s="141">
        <v>0</v>
      </c>
      <c r="X271" s="141">
        <v>0</v>
      </c>
      <c r="Y271" s="141">
        <v>0</v>
      </c>
      <c r="Z271" s="141">
        <v>0</v>
      </c>
      <c r="AA271" s="141">
        <v>0</v>
      </c>
      <c r="AB271" s="141">
        <v>0</v>
      </c>
      <c r="AC271" s="141">
        <v>0</v>
      </c>
      <c r="AD271" s="141">
        <v>0</v>
      </c>
      <c r="AE271" s="141">
        <v>0</v>
      </c>
      <c r="AF271" s="141">
        <v>0</v>
      </c>
      <c r="AG271" s="141">
        <v>0</v>
      </c>
      <c r="AH271" s="141">
        <v>0</v>
      </c>
      <c r="AI271" s="141">
        <v>0</v>
      </c>
      <c r="AJ271" s="141">
        <v>0</v>
      </c>
      <c r="AK271" s="141">
        <v>0</v>
      </c>
      <c r="AL271" s="141">
        <v>0</v>
      </c>
      <c r="AM271" s="141">
        <v>0</v>
      </c>
      <c r="AN271" s="141">
        <v>0</v>
      </c>
      <c r="AO271" s="141">
        <v>0</v>
      </c>
      <c r="AP271" s="856">
        <v>0</v>
      </c>
      <c r="AQ271" s="856">
        <v>0</v>
      </c>
      <c r="AR271" s="857">
        <v>0</v>
      </c>
      <c r="AS271" t="s">
        <v>1837</v>
      </c>
    </row>
    <row r="272" spans="1:45" ht="12.75" x14ac:dyDescent="0.2">
      <c r="A272" s="764">
        <v>265</v>
      </c>
      <c r="B272" s="765" t="s">
        <v>421</v>
      </c>
      <c r="C272" s="766" t="s">
        <v>529</v>
      </c>
      <c r="D272" s="767" t="s">
        <v>1226</v>
      </c>
      <c r="E272" s="768" t="s">
        <v>619</v>
      </c>
      <c r="F272" s="141">
        <v>115081796</v>
      </c>
      <c r="G272" s="141">
        <v>0</v>
      </c>
      <c r="H272" s="141">
        <v>115081796</v>
      </c>
      <c r="I272" s="141">
        <v>-1496063</v>
      </c>
      <c r="J272" s="141">
        <v>0</v>
      </c>
      <c r="K272" s="141">
        <v>-1496063</v>
      </c>
      <c r="L272" s="141">
        <v>-3793592</v>
      </c>
      <c r="M272" s="141">
        <v>0</v>
      </c>
      <c r="N272" s="141">
        <v>-3793592</v>
      </c>
      <c r="O272" s="141">
        <v>109792141</v>
      </c>
      <c r="P272" s="141">
        <v>0</v>
      </c>
      <c r="Q272" s="141">
        <v>109792141</v>
      </c>
      <c r="R272" s="141">
        <v>575631</v>
      </c>
      <c r="S272" s="141">
        <v>0</v>
      </c>
      <c r="T272" s="141">
        <v>575631</v>
      </c>
      <c r="U272" s="141">
        <v>0</v>
      </c>
      <c r="V272" s="141">
        <v>0</v>
      </c>
      <c r="W272" s="141">
        <v>0</v>
      </c>
      <c r="X272" s="141">
        <v>0</v>
      </c>
      <c r="Y272" s="141">
        <v>0</v>
      </c>
      <c r="Z272" s="141">
        <v>0</v>
      </c>
      <c r="AA272" s="141">
        <v>0</v>
      </c>
      <c r="AB272" s="141">
        <v>0</v>
      </c>
      <c r="AC272" s="141">
        <v>0</v>
      </c>
      <c r="AD272" s="141">
        <v>0</v>
      </c>
      <c r="AE272" s="141">
        <v>0</v>
      </c>
      <c r="AF272" s="141">
        <v>0</v>
      </c>
      <c r="AG272" s="141">
        <v>0</v>
      </c>
      <c r="AH272" s="141">
        <v>0</v>
      </c>
      <c r="AI272" s="141">
        <v>0</v>
      </c>
      <c r="AJ272" s="141">
        <v>0</v>
      </c>
      <c r="AK272" s="141">
        <v>0</v>
      </c>
      <c r="AL272" s="141">
        <v>0</v>
      </c>
      <c r="AM272" s="141">
        <v>0</v>
      </c>
      <c r="AN272" s="141">
        <v>0</v>
      </c>
      <c r="AO272" s="141">
        <v>0</v>
      </c>
      <c r="AP272" s="856">
        <v>0</v>
      </c>
      <c r="AQ272" s="856">
        <v>0</v>
      </c>
      <c r="AR272" s="857">
        <v>0</v>
      </c>
      <c r="AS272" t="s">
        <v>1838</v>
      </c>
    </row>
    <row r="273" spans="1:45" ht="12.75" x14ac:dyDescent="0.2">
      <c r="A273" s="764">
        <v>266</v>
      </c>
      <c r="B273" s="765" t="s">
        <v>423</v>
      </c>
      <c r="C273" s="766" t="s">
        <v>1224</v>
      </c>
      <c r="D273" s="767" t="s">
        <v>1219</v>
      </c>
      <c r="E273" s="768" t="s">
        <v>422</v>
      </c>
      <c r="F273" s="141">
        <v>58074436</v>
      </c>
      <c r="G273" s="141">
        <v>0</v>
      </c>
      <c r="H273" s="141">
        <v>58074436</v>
      </c>
      <c r="I273" s="141">
        <v>-1744098</v>
      </c>
      <c r="J273" s="141">
        <v>0</v>
      </c>
      <c r="K273" s="141">
        <v>-1744098</v>
      </c>
      <c r="L273" s="141">
        <v>-2772869</v>
      </c>
      <c r="M273" s="141">
        <v>0</v>
      </c>
      <c r="N273" s="141">
        <v>-2772869</v>
      </c>
      <c r="O273" s="141">
        <v>53557469</v>
      </c>
      <c r="P273" s="141">
        <v>0</v>
      </c>
      <c r="Q273" s="141">
        <v>53557469</v>
      </c>
      <c r="R273" s="141">
        <v>0</v>
      </c>
      <c r="S273" s="141">
        <v>0</v>
      </c>
      <c r="T273" s="141">
        <v>0</v>
      </c>
      <c r="U273" s="141">
        <v>0</v>
      </c>
      <c r="V273" s="141">
        <v>0</v>
      </c>
      <c r="W273" s="141">
        <v>0</v>
      </c>
      <c r="X273" s="141">
        <v>0</v>
      </c>
      <c r="Y273" s="141">
        <v>0</v>
      </c>
      <c r="Z273" s="141">
        <v>0</v>
      </c>
      <c r="AA273" s="141">
        <v>0</v>
      </c>
      <c r="AB273" s="141">
        <v>0</v>
      </c>
      <c r="AC273" s="141">
        <v>0</v>
      </c>
      <c r="AD273" s="141">
        <v>0</v>
      </c>
      <c r="AE273" s="141">
        <v>0</v>
      </c>
      <c r="AF273" s="141">
        <v>0</v>
      </c>
      <c r="AG273" s="141">
        <v>0</v>
      </c>
      <c r="AH273" s="141">
        <v>0</v>
      </c>
      <c r="AI273" s="141">
        <v>0</v>
      </c>
      <c r="AJ273" s="141">
        <v>0</v>
      </c>
      <c r="AK273" s="141">
        <v>0</v>
      </c>
      <c r="AL273" s="141">
        <v>0</v>
      </c>
      <c r="AM273" s="141">
        <v>0</v>
      </c>
      <c r="AN273" s="141">
        <v>0</v>
      </c>
      <c r="AO273" s="141">
        <v>0</v>
      </c>
      <c r="AP273" s="856">
        <v>0</v>
      </c>
      <c r="AQ273" s="856">
        <v>0</v>
      </c>
      <c r="AR273" s="857">
        <v>0</v>
      </c>
      <c r="AS273" t="s">
        <v>1839</v>
      </c>
    </row>
    <row r="274" spans="1:45" ht="12.75" x14ac:dyDescent="0.2">
      <c r="A274" s="764">
        <v>267</v>
      </c>
      <c r="B274" s="765" t="s">
        <v>425</v>
      </c>
      <c r="C274" s="766" t="s">
        <v>1217</v>
      </c>
      <c r="D274" s="767" t="s">
        <v>1227</v>
      </c>
      <c r="E274" s="768" t="s">
        <v>424</v>
      </c>
      <c r="F274" s="141">
        <v>35449875</v>
      </c>
      <c r="G274" s="141">
        <v>0</v>
      </c>
      <c r="H274" s="141">
        <v>35449875</v>
      </c>
      <c r="I274" s="141">
        <v>-141800</v>
      </c>
      <c r="J274" s="141">
        <v>0</v>
      </c>
      <c r="K274" s="141">
        <v>-141800</v>
      </c>
      <c r="L274" s="141">
        <v>-1407000</v>
      </c>
      <c r="M274" s="141">
        <v>0</v>
      </c>
      <c r="N274" s="141">
        <v>-1407000</v>
      </c>
      <c r="O274" s="141">
        <v>33901075</v>
      </c>
      <c r="P274" s="141">
        <v>0</v>
      </c>
      <c r="Q274" s="141">
        <v>33901075</v>
      </c>
      <c r="R274" s="141">
        <v>0</v>
      </c>
      <c r="S274" s="141">
        <v>0</v>
      </c>
      <c r="T274" s="141">
        <v>0</v>
      </c>
      <c r="U274" s="141">
        <v>0</v>
      </c>
      <c r="V274" s="141">
        <v>0</v>
      </c>
      <c r="W274" s="141">
        <v>0</v>
      </c>
      <c r="X274" s="141">
        <v>0</v>
      </c>
      <c r="Y274" s="141">
        <v>0</v>
      </c>
      <c r="Z274" s="141">
        <v>0</v>
      </c>
      <c r="AA274" s="141">
        <v>0</v>
      </c>
      <c r="AB274" s="141">
        <v>0</v>
      </c>
      <c r="AC274" s="141">
        <v>0</v>
      </c>
      <c r="AD274" s="141">
        <v>0</v>
      </c>
      <c r="AE274" s="141">
        <v>0</v>
      </c>
      <c r="AF274" s="141">
        <v>0</v>
      </c>
      <c r="AG274" s="141">
        <v>0</v>
      </c>
      <c r="AH274" s="141">
        <v>0</v>
      </c>
      <c r="AI274" s="141">
        <v>0</v>
      </c>
      <c r="AJ274" s="141">
        <v>0</v>
      </c>
      <c r="AK274" s="141">
        <v>0</v>
      </c>
      <c r="AL274" s="141">
        <v>0</v>
      </c>
      <c r="AM274" s="141">
        <v>0</v>
      </c>
      <c r="AN274" s="141">
        <v>0</v>
      </c>
      <c r="AO274" s="141">
        <v>0</v>
      </c>
      <c r="AP274" s="856">
        <v>0</v>
      </c>
      <c r="AQ274" s="856">
        <v>0</v>
      </c>
      <c r="AR274" s="857">
        <v>0</v>
      </c>
      <c r="AS274" t="s">
        <v>1840</v>
      </c>
    </row>
    <row r="275" spans="1:45" ht="12.75" x14ac:dyDescent="0.2">
      <c r="A275" s="764">
        <v>268</v>
      </c>
      <c r="B275" s="765" t="s">
        <v>427</v>
      </c>
      <c r="C275" s="766" t="s">
        <v>1217</v>
      </c>
      <c r="D275" s="767" t="s">
        <v>1218</v>
      </c>
      <c r="E275" s="768" t="s">
        <v>426</v>
      </c>
      <c r="F275" s="141">
        <v>21122499</v>
      </c>
      <c r="G275" s="141">
        <v>0</v>
      </c>
      <c r="H275" s="141">
        <v>21122499</v>
      </c>
      <c r="I275" s="141">
        <v>-100000</v>
      </c>
      <c r="J275" s="141">
        <v>0</v>
      </c>
      <c r="K275" s="141">
        <v>-100000</v>
      </c>
      <c r="L275" s="141">
        <v>-400000</v>
      </c>
      <c r="M275" s="141">
        <v>0</v>
      </c>
      <c r="N275" s="141">
        <v>-400000</v>
      </c>
      <c r="O275" s="141">
        <v>20622499</v>
      </c>
      <c r="P275" s="141">
        <v>0</v>
      </c>
      <c r="Q275" s="141">
        <v>20622499</v>
      </c>
      <c r="R275" s="141">
        <v>0</v>
      </c>
      <c r="S275" s="141">
        <v>0</v>
      </c>
      <c r="T275" s="141">
        <v>0</v>
      </c>
      <c r="U275" s="141">
        <v>0</v>
      </c>
      <c r="V275" s="141">
        <v>0</v>
      </c>
      <c r="W275" s="141">
        <v>0</v>
      </c>
      <c r="X275" s="141">
        <v>0</v>
      </c>
      <c r="Y275" s="141">
        <v>0</v>
      </c>
      <c r="Z275" s="141">
        <v>0</v>
      </c>
      <c r="AA275" s="141">
        <v>0</v>
      </c>
      <c r="AB275" s="141">
        <v>0</v>
      </c>
      <c r="AC275" s="141">
        <v>0</v>
      </c>
      <c r="AD275" s="141">
        <v>0</v>
      </c>
      <c r="AE275" s="141">
        <v>0</v>
      </c>
      <c r="AF275" s="141">
        <v>0</v>
      </c>
      <c r="AG275" s="141">
        <v>0</v>
      </c>
      <c r="AH275" s="141">
        <v>0</v>
      </c>
      <c r="AI275" s="141">
        <v>0</v>
      </c>
      <c r="AJ275" s="141">
        <v>0</v>
      </c>
      <c r="AK275" s="141">
        <v>0</v>
      </c>
      <c r="AL275" s="141">
        <v>0</v>
      </c>
      <c r="AM275" s="141">
        <v>0</v>
      </c>
      <c r="AN275" s="141">
        <v>0</v>
      </c>
      <c r="AO275" s="141">
        <v>0</v>
      </c>
      <c r="AP275" s="856">
        <v>0</v>
      </c>
      <c r="AQ275" s="856">
        <v>0</v>
      </c>
      <c r="AR275" s="857">
        <v>0</v>
      </c>
      <c r="AS275" t="s">
        <v>1841</v>
      </c>
    </row>
    <row r="276" spans="1:45" ht="12.75" x14ac:dyDescent="0.2">
      <c r="A276" s="764">
        <v>269</v>
      </c>
      <c r="B276" s="765" t="s">
        <v>429</v>
      </c>
      <c r="C276" s="766" t="s">
        <v>1217</v>
      </c>
      <c r="D276" s="767" t="s">
        <v>1226</v>
      </c>
      <c r="E276" s="768" t="s">
        <v>428</v>
      </c>
      <c r="F276" s="141">
        <v>31239062</v>
      </c>
      <c r="G276" s="141">
        <v>0</v>
      </c>
      <c r="H276" s="141">
        <v>31239062</v>
      </c>
      <c r="I276" s="141">
        <v>-105000</v>
      </c>
      <c r="J276" s="141">
        <v>0</v>
      </c>
      <c r="K276" s="141">
        <v>-105000</v>
      </c>
      <c r="L276" s="141">
        <v>-100000</v>
      </c>
      <c r="M276" s="141">
        <v>0</v>
      </c>
      <c r="N276" s="141">
        <v>-100000</v>
      </c>
      <c r="O276" s="141">
        <v>31034062</v>
      </c>
      <c r="P276" s="141">
        <v>0</v>
      </c>
      <c r="Q276" s="141">
        <v>31034062</v>
      </c>
      <c r="R276" s="141">
        <v>83312</v>
      </c>
      <c r="S276" s="141">
        <v>0</v>
      </c>
      <c r="T276" s="141">
        <v>83312</v>
      </c>
      <c r="U276" s="141">
        <v>0</v>
      </c>
      <c r="V276" s="141">
        <v>0</v>
      </c>
      <c r="W276" s="141">
        <v>0</v>
      </c>
      <c r="X276" s="141">
        <v>0</v>
      </c>
      <c r="Y276" s="141">
        <v>0</v>
      </c>
      <c r="Z276" s="141">
        <v>0</v>
      </c>
      <c r="AA276" s="141">
        <v>0</v>
      </c>
      <c r="AB276" s="141">
        <v>0</v>
      </c>
      <c r="AC276" s="141">
        <v>0</v>
      </c>
      <c r="AD276" s="141">
        <v>0</v>
      </c>
      <c r="AE276" s="141">
        <v>0</v>
      </c>
      <c r="AF276" s="141">
        <v>0</v>
      </c>
      <c r="AG276" s="141">
        <v>0</v>
      </c>
      <c r="AH276" s="141">
        <v>0</v>
      </c>
      <c r="AI276" s="141">
        <v>0</v>
      </c>
      <c r="AJ276" s="141">
        <v>0</v>
      </c>
      <c r="AK276" s="141">
        <v>0</v>
      </c>
      <c r="AL276" s="141">
        <v>0</v>
      </c>
      <c r="AM276" s="141">
        <v>0</v>
      </c>
      <c r="AN276" s="141">
        <v>0</v>
      </c>
      <c r="AO276" s="141">
        <v>0</v>
      </c>
      <c r="AP276" s="856">
        <v>0</v>
      </c>
      <c r="AQ276" s="856">
        <v>0</v>
      </c>
      <c r="AR276" s="857">
        <v>0</v>
      </c>
      <c r="AS276" t="s">
        <v>1842</v>
      </c>
    </row>
    <row r="277" spans="1:45" ht="12.75" x14ac:dyDescent="0.2">
      <c r="A277" s="764">
        <v>270</v>
      </c>
      <c r="B277" s="765" t="s">
        <v>431</v>
      </c>
      <c r="C277" s="766" t="s">
        <v>529</v>
      </c>
      <c r="D277" s="767" t="s">
        <v>1227</v>
      </c>
      <c r="E277" s="768" t="s">
        <v>905</v>
      </c>
      <c r="F277" s="141">
        <v>75482457</v>
      </c>
      <c r="G277" s="141">
        <v>0</v>
      </c>
      <c r="H277" s="141">
        <v>75482457</v>
      </c>
      <c r="I277" s="141">
        <v>-745052</v>
      </c>
      <c r="J277" s="141">
        <v>0</v>
      </c>
      <c r="K277" s="141">
        <v>-745052</v>
      </c>
      <c r="L277" s="141">
        <v>-3382000</v>
      </c>
      <c r="M277" s="141">
        <v>0</v>
      </c>
      <c r="N277" s="141">
        <v>-3382000</v>
      </c>
      <c r="O277" s="141">
        <v>71355405</v>
      </c>
      <c r="P277" s="141">
        <v>0</v>
      </c>
      <c r="Q277" s="141">
        <v>71355405</v>
      </c>
      <c r="R277" s="141">
        <v>83607</v>
      </c>
      <c r="S277" s="141">
        <v>0</v>
      </c>
      <c r="T277" s="141">
        <v>83607</v>
      </c>
      <c r="U277" s="141">
        <v>0</v>
      </c>
      <c r="V277" s="141">
        <v>0</v>
      </c>
      <c r="W277" s="141">
        <v>0</v>
      </c>
      <c r="X277" s="141">
        <v>0</v>
      </c>
      <c r="Y277" s="141">
        <v>0</v>
      </c>
      <c r="Z277" s="141">
        <v>0</v>
      </c>
      <c r="AA277" s="141">
        <v>0</v>
      </c>
      <c r="AB277" s="141">
        <v>0</v>
      </c>
      <c r="AC277" s="141">
        <v>0</v>
      </c>
      <c r="AD277" s="141">
        <v>0</v>
      </c>
      <c r="AE277" s="141">
        <v>0</v>
      </c>
      <c r="AF277" s="141">
        <v>0</v>
      </c>
      <c r="AG277" s="141">
        <v>0</v>
      </c>
      <c r="AH277" s="141">
        <v>0</v>
      </c>
      <c r="AI277" s="141">
        <v>0</v>
      </c>
      <c r="AJ277" s="141">
        <v>0</v>
      </c>
      <c r="AK277" s="141">
        <v>0</v>
      </c>
      <c r="AL277" s="141">
        <v>0</v>
      </c>
      <c r="AM277" s="141">
        <v>0</v>
      </c>
      <c r="AN277" s="141">
        <v>0</v>
      </c>
      <c r="AO277" s="141">
        <v>0</v>
      </c>
      <c r="AP277" s="856">
        <v>0</v>
      </c>
      <c r="AQ277" s="856">
        <v>0</v>
      </c>
      <c r="AR277" s="857">
        <v>0</v>
      </c>
      <c r="AS277" t="s">
        <v>1843</v>
      </c>
    </row>
    <row r="278" spans="1:45" ht="12.75" x14ac:dyDescent="0.2">
      <c r="A278" s="764">
        <v>271</v>
      </c>
      <c r="B278" s="765" t="s">
        <v>433</v>
      </c>
      <c r="C278" s="766" t="s">
        <v>1217</v>
      </c>
      <c r="D278" s="767" t="s">
        <v>1221</v>
      </c>
      <c r="E278" s="768" t="s">
        <v>432</v>
      </c>
      <c r="F278" s="141">
        <v>28088918</v>
      </c>
      <c r="G278" s="141">
        <v>0</v>
      </c>
      <c r="H278" s="141">
        <v>28088918</v>
      </c>
      <c r="I278" s="141">
        <v>-250000</v>
      </c>
      <c r="J278" s="141">
        <v>0</v>
      </c>
      <c r="K278" s="141">
        <v>-250000</v>
      </c>
      <c r="L278" s="141">
        <v>-1820000</v>
      </c>
      <c r="M278" s="141">
        <v>0</v>
      </c>
      <c r="N278" s="141">
        <v>-1820000</v>
      </c>
      <c r="O278" s="141">
        <v>26018918</v>
      </c>
      <c r="P278" s="141">
        <v>0</v>
      </c>
      <c r="Q278" s="141">
        <v>26018918</v>
      </c>
      <c r="R278" s="141">
        <v>286721</v>
      </c>
      <c r="S278" s="141">
        <v>0</v>
      </c>
      <c r="T278" s="141">
        <v>286721</v>
      </c>
      <c r="U278" s="141">
        <v>0</v>
      </c>
      <c r="V278" s="141">
        <v>0</v>
      </c>
      <c r="W278" s="141">
        <v>0</v>
      </c>
      <c r="X278" s="141">
        <v>0</v>
      </c>
      <c r="Y278" s="141">
        <v>0</v>
      </c>
      <c r="Z278" s="141">
        <v>0</v>
      </c>
      <c r="AA278" s="141">
        <v>0</v>
      </c>
      <c r="AB278" s="141">
        <v>0</v>
      </c>
      <c r="AC278" s="141">
        <v>0</v>
      </c>
      <c r="AD278" s="141">
        <v>0</v>
      </c>
      <c r="AE278" s="141">
        <v>0</v>
      </c>
      <c r="AF278" s="141">
        <v>0</v>
      </c>
      <c r="AG278" s="141">
        <v>0</v>
      </c>
      <c r="AH278" s="141">
        <v>0</v>
      </c>
      <c r="AI278" s="141">
        <v>0</v>
      </c>
      <c r="AJ278" s="141">
        <v>0</v>
      </c>
      <c r="AK278" s="141">
        <v>0</v>
      </c>
      <c r="AL278" s="141">
        <v>0</v>
      </c>
      <c r="AM278" s="141">
        <v>0</v>
      </c>
      <c r="AN278" s="141">
        <v>0</v>
      </c>
      <c r="AO278" s="141">
        <v>0</v>
      </c>
      <c r="AP278" s="856">
        <v>0</v>
      </c>
      <c r="AQ278" s="856">
        <v>0</v>
      </c>
      <c r="AR278" s="857">
        <v>0</v>
      </c>
      <c r="AS278" t="s">
        <v>1844</v>
      </c>
    </row>
    <row r="279" spans="1:45" ht="12.75" x14ac:dyDescent="0.2">
      <c r="A279" s="764">
        <v>272</v>
      </c>
      <c r="B279" s="765" t="s">
        <v>435</v>
      </c>
      <c r="C279" s="766" t="s">
        <v>1217</v>
      </c>
      <c r="D279" s="767" t="s">
        <v>1218</v>
      </c>
      <c r="E279" s="768" t="s">
        <v>434</v>
      </c>
      <c r="F279" s="141">
        <v>57305389</v>
      </c>
      <c r="G279" s="141">
        <v>0</v>
      </c>
      <c r="H279" s="141">
        <v>57305389</v>
      </c>
      <c r="I279" s="141">
        <v>-573054</v>
      </c>
      <c r="J279" s="141">
        <v>0</v>
      </c>
      <c r="K279" s="141">
        <v>-573054</v>
      </c>
      <c r="L279" s="141">
        <v>-2500000</v>
      </c>
      <c r="M279" s="141">
        <v>0</v>
      </c>
      <c r="N279" s="141">
        <v>-2500000</v>
      </c>
      <c r="O279" s="141">
        <v>54232335</v>
      </c>
      <c r="P279" s="141">
        <v>0</v>
      </c>
      <c r="Q279" s="141">
        <v>54232335</v>
      </c>
      <c r="R279" s="141">
        <v>433797</v>
      </c>
      <c r="S279" s="141">
        <v>0</v>
      </c>
      <c r="T279" s="141">
        <v>433797</v>
      </c>
      <c r="U279" s="141">
        <v>0</v>
      </c>
      <c r="V279" s="141">
        <v>0</v>
      </c>
      <c r="W279" s="141">
        <v>0</v>
      </c>
      <c r="X279" s="141">
        <v>0</v>
      </c>
      <c r="Y279" s="141">
        <v>0</v>
      </c>
      <c r="Z279" s="141">
        <v>0</v>
      </c>
      <c r="AA279" s="141">
        <v>0</v>
      </c>
      <c r="AB279" s="141">
        <v>0</v>
      </c>
      <c r="AC279" s="141">
        <v>0</v>
      </c>
      <c r="AD279" s="141">
        <v>0</v>
      </c>
      <c r="AE279" s="141">
        <v>0</v>
      </c>
      <c r="AF279" s="141">
        <v>0</v>
      </c>
      <c r="AG279" s="141">
        <v>0</v>
      </c>
      <c r="AH279" s="141">
        <v>0</v>
      </c>
      <c r="AI279" s="141">
        <v>0</v>
      </c>
      <c r="AJ279" s="141">
        <v>0</v>
      </c>
      <c r="AK279" s="141">
        <v>0</v>
      </c>
      <c r="AL279" s="141">
        <v>0</v>
      </c>
      <c r="AM279" s="141">
        <v>0</v>
      </c>
      <c r="AN279" s="141">
        <v>0</v>
      </c>
      <c r="AO279" s="141">
        <v>0</v>
      </c>
      <c r="AP279" s="856">
        <v>0</v>
      </c>
      <c r="AQ279" s="856">
        <v>0</v>
      </c>
      <c r="AR279" s="857">
        <v>0</v>
      </c>
      <c r="AS279" t="s">
        <v>1845</v>
      </c>
    </row>
    <row r="280" spans="1:45" ht="12.75" x14ac:dyDescent="0.2">
      <c r="A280" s="764">
        <v>273</v>
      </c>
      <c r="B280" s="765" t="s">
        <v>437</v>
      </c>
      <c r="C280" s="766" t="s">
        <v>1217</v>
      </c>
      <c r="D280" s="767" t="s">
        <v>1226</v>
      </c>
      <c r="E280" s="768" t="s">
        <v>436</v>
      </c>
      <c r="F280" s="141">
        <v>39615808</v>
      </c>
      <c r="G280" s="141">
        <v>0</v>
      </c>
      <c r="H280" s="141">
        <v>39615808</v>
      </c>
      <c r="I280" s="141">
        <v>-130000</v>
      </c>
      <c r="J280" s="141">
        <v>0</v>
      </c>
      <c r="K280" s="141">
        <v>-130000</v>
      </c>
      <c r="L280" s="141">
        <v>-3435831</v>
      </c>
      <c r="M280" s="141">
        <v>0</v>
      </c>
      <c r="N280" s="141">
        <v>-3435831</v>
      </c>
      <c r="O280" s="141">
        <v>36049977</v>
      </c>
      <c r="P280" s="141">
        <v>0</v>
      </c>
      <c r="Q280" s="141">
        <v>36049977</v>
      </c>
      <c r="R280" s="141">
        <v>258839</v>
      </c>
      <c r="S280" s="141">
        <v>0</v>
      </c>
      <c r="T280" s="141">
        <v>258839</v>
      </c>
      <c r="U280" s="141">
        <v>0</v>
      </c>
      <c r="V280" s="141">
        <v>0</v>
      </c>
      <c r="W280" s="141">
        <v>0</v>
      </c>
      <c r="X280" s="141">
        <v>0</v>
      </c>
      <c r="Y280" s="141">
        <v>0</v>
      </c>
      <c r="Z280" s="141">
        <v>0</v>
      </c>
      <c r="AA280" s="141">
        <v>0</v>
      </c>
      <c r="AB280" s="141">
        <v>0</v>
      </c>
      <c r="AC280" s="141">
        <v>0</v>
      </c>
      <c r="AD280" s="141">
        <v>0</v>
      </c>
      <c r="AE280" s="141">
        <v>0</v>
      </c>
      <c r="AF280" s="141">
        <v>0</v>
      </c>
      <c r="AG280" s="141">
        <v>0</v>
      </c>
      <c r="AH280" s="141">
        <v>0</v>
      </c>
      <c r="AI280" s="141">
        <v>0</v>
      </c>
      <c r="AJ280" s="141">
        <v>0</v>
      </c>
      <c r="AK280" s="141">
        <v>0</v>
      </c>
      <c r="AL280" s="141">
        <v>0</v>
      </c>
      <c r="AM280" s="141">
        <v>0</v>
      </c>
      <c r="AN280" s="141">
        <v>0</v>
      </c>
      <c r="AO280" s="141">
        <v>0</v>
      </c>
      <c r="AP280" s="856">
        <v>0</v>
      </c>
      <c r="AQ280" s="856">
        <v>0</v>
      </c>
      <c r="AR280" s="857">
        <v>0</v>
      </c>
      <c r="AS280" t="s">
        <v>1846</v>
      </c>
    </row>
    <row r="281" spans="1:45" ht="12.75" x14ac:dyDescent="0.2">
      <c r="A281" s="764">
        <v>274</v>
      </c>
      <c r="B281" s="765" t="s">
        <v>439</v>
      </c>
      <c r="C281" s="766" t="s">
        <v>1217</v>
      </c>
      <c r="D281" s="767" t="s">
        <v>1218</v>
      </c>
      <c r="E281" s="768" t="s">
        <v>438</v>
      </c>
      <c r="F281" s="141">
        <v>34651409</v>
      </c>
      <c r="G281" s="141">
        <v>0</v>
      </c>
      <c r="H281" s="141">
        <v>34651409</v>
      </c>
      <c r="I281" s="141">
        <v>-200000</v>
      </c>
      <c r="J281" s="141">
        <v>0</v>
      </c>
      <c r="K281" s="141">
        <v>-200000</v>
      </c>
      <c r="L281" s="141">
        <v>-1553105</v>
      </c>
      <c r="M281" s="141">
        <v>0</v>
      </c>
      <c r="N281" s="141">
        <v>-1553105</v>
      </c>
      <c r="O281" s="141">
        <v>32898304</v>
      </c>
      <c r="P281" s="141">
        <v>0</v>
      </c>
      <c r="Q281" s="141">
        <v>32898304</v>
      </c>
      <c r="R281" s="141">
        <v>5666</v>
      </c>
      <c r="S281" s="141">
        <v>0</v>
      </c>
      <c r="T281" s="141">
        <v>5666</v>
      </c>
      <c r="U281" s="141">
        <v>0</v>
      </c>
      <c r="V281" s="141">
        <v>0</v>
      </c>
      <c r="W281" s="141">
        <v>0</v>
      </c>
      <c r="X281" s="141">
        <v>0</v>
      </c>
      <c r="Y281" s="141">
        <v>0</v>
      </c>
      <c r="Z281" s="141">
        <v>0</v>
      </c>
      <c r="AA281" s="141">
        <v>0</v>
      </c>
      <c r="AB281" s="141">
        <v>0</v>
      </c>
      <c r="AC281" s="141">
        <v>0</v>
      </c>
      <c r="AD281" s="141">
        <v>0</v>
      </c>
      <c r="AE281" s="141">
        <v>0</v>
      </c>
      <c r="AF281" s="141">
        <v>0</v>
      </c>
      <c r="AG281" s="141">
        <v>0</v>
      </c>
      <c r="AH281" s="141">
        <v>0</v>
      </c>
      <c r="AI281" s="141">
        <v>0</v>
      </c>
      <c r="AJ281" s="141">
        <v>0</v>
      </c>
      <c r="AK281" s="141">
        <v>0</v>
      </c>
      <c r="AL281" s="141">
        <v>0</v>
      </c>
      <c r="AM281" s="141">
        <v>0</v>
      </c>
      <c r="AN281" s="141">
        <v>0</v>
      </c>
      <c r="AO281" s="141">
        <v>0</v>
      </c>
      <c r="AP281" s="856">
        <v>0</v>
      </c>
      <c r="AQ281" s="856">
        <v>0</v>
      </c>
      <c r="AR281" s="857">
        <v>0</v>
      </c>
      <c r="AS281" t="s">
        <v>1847</v>
      </c>
    </row>
    <row r="282" spans="1:45" ht="12.75" x14ac:dyDescent="0.2">
      <c r="A282" s="764">
        <v>275</v>
      </c>
      <c r="B282" s="765" t="s">
        <v>441</v>
      </c>
      <c r="C282" s="766" t="s">
        <v>1217</v>
      </c>
      <c r="D282" s="767" t="s">
        <v>1221</v>
      </c>
      <c r="E282" s="768" t="s">
        <v>440</v>
      </c>
      <c r="F282" s="141">
        <v>29194771</v>
      </c>
      <c r="G282" s="141">
        <v>0</v>
      </c>
      <c r="H282" s="141">
        <v>29194771</v>
      </c>
      <c r="I282" s="141">
        <v>-321165</v>
      </c>
      <c r="J282" s="141">
        <v>0</v>
      </c>
      <c r="K282" s="141">
        <v>-321165</v>
      </c>
      <c r="L282" s="141">
        <v>-470440</v>
      </c>
      <c r="M282" s="141">
        <v>0</v>
      </c>
      <c r="N282" s="141">
        <v>-470440</v>
      </c>
      <c r="O282" s="141">
        <v>28403166</v>
      </c>
      <c r="P282" s="141">
        <v>0</v>
      </c>
      <c r="Q282" s="141">
        <v>28403166</v>
      </c>
      <c r="R282" s="141">
        <v>0</v>
      </c>
      <c r="S282" s="141">
        <v>0</v>
      </c>
      <c r="T282" s="141">
        <v>0</v>
      </c>
      <c r="U282" s="141">
        <v>0</v>
      </c>
      <c r="V282" s="141">
        <v>0</v>
      </c>
      <c r="W282" s="141">
        <v>0</v>
      </c>
      <c r="X282" s="141">
        <v>0</v>
      </c>
      <c r="Y282" s="141">
        <v>0</v>
      </c>
      <c r="Z282" s="141">
        <v>0</v>
      </c>
      <c r="AA282" s="141">
        <v>0</v>
      </c>
      <c r="AB282" s="141">
        <v>0</v>
      </c>
      <c r="AC282" s="141">
        <v>0</v>
      </c>
      <c r="AD282" s="141">
        <v>0</v>
      </c>
      <c r="AE282" s="141">
        <v>0</v>
      </c>
      <c r="AF282" s="141">
        <v>0</v>
      </c>
      <c r="AG282" s="141">
        <v>0</v>
      </c>
      <c r="AH282" s="141">
        <v>0</v>
      </c>
      <c r="AI282" s="141">
        <v>0</v>
      </c>
      <c r="AJ282" s="141">
        <v>0</v>
      </c>
      <c r="AK282" s="141">
        <v>0</v>
      </c>
      <c r="AL282" s="141">
        <v>0</v>
      </c>
      <c r="AM282" s="141">
        <v>0</v>
      </c>
      <c r="AN282" s="141">
        <v>0</v>
      </c>
      <c r="AO282" s="141">
        <v>0</v>
      </c>
      <c r="AP282" s="856">
        <v>0</v>
      </c>
      <c r="AQ282" s="856">
        <v>0</v>
      </c>
      <c r="AR282" s="857">
        <v>0</v>
      </c>
      <c r="AS282" t="s">
        <v>1848</v>
      </c>
    </row>
    <row r="283" spans="1:45" ht="12.75" x14ac:dyDescent="0.2">
      <c r="A283" s="764">
        <v>276</v>
      </c>
      <c r="B283" s="765" t="s">
        <v>443</v>
      </c>
      <c r="C283" s="766" t="s">
        <v>529</v>
      </c>
      <c r="D283" s="767" t="s">
        <v>1221</v>
      </c>
      <c r="E283" s="768" t="s">
        <v>574</v>
      </c>
      <c r="F283" s="141">
        <v>124526743</v>
      </c>
      <c r="G283" s="141">
        <v>0</v>
      </c>
      <c r="H283" s="141">
        <v>124526743</v>
      </c>
      <c r="I283" s="141">
        <v>-500000</v>
      </c>
      <c r="J283" s="141">
        <v>0</v>
      </c>
      <c r="K283" s="141">
        <v>-500000</v>
      </c>
      <c r="L283" s="141">
        <v>-4566642</v>
      </c>
      <c r="M283" s="141">
        <v>0</v>
      </c>
      <c r="N283" s="141">
        <v>-4566642</v>
      </c>
      <c r="O283" s="141">
        <v>119460101</v>
      </c>
      <c r="P283" s="141">
        <v>0</v>
      </c>
      <c r="Q283" s="141">
        <v>119460101</v>
      </c>
      <c r="R283" s="141">
        <v>0</v>
      </c>
      <c r="S283" s="141">
        <v>0</v>
      </c>
      <c r="T283" s="141">
        <v>0</v>
      </c>
      <c r="U283" s="141">
        <v>0</v>
      </c>
      <c r="V283" s="141">
        <v>0</v>
      </c>
      <c r="W283" s="141">
        <v>0</v>
      </c>
      <c r="X283" s="141">
        <v>0</v>
      </c>
      <c r="Y283" s="141">
        <v>0</v>
      </c>
      <c r="Z283" s="141">
        <v>0</v>
      </c>
      <c r="AA283" s="141">
        <v>0</v>
      </c>
      <c r="AB283" s="141">
        <v>0</v>
      </c>
      <c r="AC283" s="141">
        <v>0</v>
      </c>
      <c r="AD283" s="141">
        <v>0</v>
      </c>
      <c r="AE283" s="141">
        <v>0</v>
      </c>
      <c r="AF283" s="141">
        <v>0</v>
      </c>
      <c r="AG283" s="141">
        <v>0</v>
      </c>
      <c r="AH283" s="141">
        <v>0</v>
      </c>
      <c r="AI283" s="141">
        <v>0</v>
      </c>
      <c r="AJ283" s="141">
        <v>0</v>
      </c>
      <c r="AK283" s="141">
        <v>0</v>
      </c>
      <c r="AL283" s="141">
        <v>0</v>
      </c>
      <c r="AM283" s="141">
        <v>0</v>
      </c>
      <c r="AN283" s="141">
        <v>0</v>
      </c>
      <c r="AO283" s="141">
        <v>0</v>
      </c>
      <c r="AP283" s="856">
        <v>0</v>
      </c>
      <c r="AQ283" s="856">
        <v>0</v>
      </c>
      <c r="AR283" s="857">
        <v>0</v>
      </c>
      <c r="AS283" t="s">
        <v>1849</v>
      </c>
    </row>
    <row r="284" spans="1:45" ht="12.75" x14ac:dyDescent="0.2">
      <c r="A284" s="764">
        <v>277</v>
      </c>
      <c r="B284" s="765" t="s">
        <v>445</v>
      </c>
      <c r="C284" s="766" t="s">
        <v>1217</v>
      </c>
      <c r="D284" s="767" t="s">
        <v>1218</v>
      </c>
      <c r="E284" s="768" t="s">
        <v>444</v>
      </c>
      <c r="F284" s="141">
        <v>58455557</v>
      </c>
      <c r="G284" s="141">
        <v>0</v>
      </c>
      <c r="H284" s="141">
        <v>58455557</v>
      </c>
      <c r="I284" s="141">
        <v>-400000</v>
      </c>
      <c r="J284" s="141">
        <v>0</v>
      </c>
      <c r="K284" s="141">
        <v>-400000</v>
      </c>
      <c r="L284" s="141">
        <v>-2441986</v>
      </c>
      <c r="M284" s="141">
        <v>0</v>
      </c>
      <c r="N284" s="141">
        <v>-2441986</v>
      </c>
      <c r="O284" s="141">
        <v>55613571</v>
      </c>
      <c r="P284" s="141">
        <v>0</v>
      </c>
      <c r="Q284" s="141">
        <v>55613571</v>
      </c>
      <c r="R284" s="141">
        <v>0</v>
      </c>
      <c r="S284" s="141">
        <v>0</v>
      </c>
      <c r="T284" s="141">
        <v>0</v>
      </c>
      <c r="U284" s="141">
        <v>0</v>
      </c>
      <c r="V284" s="141">
        <v>0</v>
      </c>
      <c r="W284" s="141">
        <v>0</v>
      </c>
      <c r="X284" s="141">
        <v>0</v>
      </c>
      <c r="Y284" s="141">
        <v>0</v>
      </c>
      <c r="Z284" s="141">
        <v>0</v>
      </c>
      <c r="AA284" s="141">
        <v>0</v>
      </c>
      <c r="AB284" s="141">
        <v>0</v>
      </c>
      <c r="AC284" s="141">
        <v>0</v>
      </c>
      <c r="AD284" s="141">
        <v>0</v>
      </c>
      <c r="AE284" s="141">
        <v>0</v>
      </c>
      <c r="AF284" s="141">
        <v>0</v>
      </c>
      <c r="AG284" s="141">
        <v>0</v>
      </c>
      <c r="AH284" s="141">
        <v>0</v>
      </c>
      <c r="AI284" s="141">
        <v>0</v>
      </c>
      <c r="AJ284" s="141">
        <v>0</v>
      </c>
      <c r="AK284" s="141">
        <v>0</v>
      </c>
      <c r="AL284" s="141">
        <v>0</v>
      </c>
      <c r="AM284" s="141">
        <v>0</v>
      </c>
      <c r="AN284" s="141">
        <v>0</v>
      </c>
      <c r="AO284" s="141">
        <v>0</v>
      </c>
      <c r="AP284" s="856">
        <v>0</v>
      </c>
      <c r="AQ284" s="856">
        <v>0</v>
      </c>
      <c r="AR284" s="857">
        <v>0</v>
      </c>
      <c r="AS284" t="s">
        <v>1850</v>
      </c>
    </row>
    <row r="285" spans="1:45" ht="12.75" x14ac:dyDescent="0.2">
      <c r="A285" s="764">
        <v>278</v>
      </c>
      <c r="B285" s="765" t="s">
        <v>447</v>
      </c>
      <c r="C285" s="766" t="s">
        <v>529</v>
      </c>
      <c r="D285" s="767" t="s">
        <v>1226</v>
      </c>
      <c r="E285" s="768" t="s">
        <v>564</v>
      </c>
      <c r="F285" s="141">
        <v>33473201.539999999</v>
      </c>
      <c r="G285" s="141">
        <v>0</v>
      </c>
      <c r="H285" s="141">
        <v>33473201.539999999</v>
      </c>
      <c r="I285" s="141">
        <v>-600000</v>
      </c>
      <c r="J285" s="141">
        <v>0</v>
      </c>
      <c r="K285" s="141">
        <v>-600000</v>
      </c>
      <c r="L285" s="141">
        <v>-2148789</v>
      </c>
      <c r="M285" s="141">
        <v>0</v>
      </c>
      <c r="N285" s="141">
        <v>-2148789</v>
      </c>
      <c r="O285" s="141">
        <v>30724412.539999999</v>
      </c>
      <c r="P285" s="141">
        <v>0</v>
      </c>
      <c r="Q285" s="141">
        <v>30724412.539999999</v>
      </c>
      <c r="R285" s="141">
        <v>0</v>
      </c>
      <c r="S285" s="141">
        <v>0</v>
      </c>
      <c r="T285" s="141">
        <v>0</v>
      </c>
      <c r="U285" s="141">
        <v>0</v>
      </c>
      <c r="V285" s="141">
        <v>0</v>
      </c>
      <c r="W285" s="141">
        <v>0</v>
      </c>
      <c r="X285" s="141">
        <v>0</v>
      </c>
      <c r="Y285" s="141">
        <v>0</v>
      </c>
      <c r="Z285" s="141">
        <v>0</v>
      </c>
      <c r="AA285" s="141">
        <v>0</v>
      </c>
      <c r="AB285" s="141">
        <v>0</v>
      </c>
      <c r="AC285" s="141">
        <v>0</v>
      </c>
      <c r="AD285" s="141">
        <v>0</v>
      </c>
      <c r="AE285" s="141">
        <v>0</v>
      </c>
      <c r="AF285" s="141">
        <v>0</v>
      </c>
      <c r="AG285" s="141">
        <v>0</v>
      </c>
      <c r="AH285" s="141">
        <v>0</v>
      </c>
      <c r="AI285" s="141">
        <v>0</v>
      </c>
      <c r="AJ285" s="141">
        <v>0</v>
      </c>
      <c r="AK285" s="141">
        <v>0</v>
      </c>
      <c r="AL285" s="141">
        <v>0</v>
      </c>
      <c r="AM285" s="141">
        <v>0</v>
      </c>
      <c r="AN285" s="141">
        <v>0</v>
      </c>
      <c r="AO285" s="141">
        <v>0</v>
      </c>
      <c r="AP285" s="856">
        <v>0</v>
      </c>
      <c r="AQ285" s="856">
        <v>0</v>
      </c>
      <c r="AR285" s="857">
        <v>0</v>
      </c>
      <c r="AS285" t="s">
        <v>1851</v>
      </c>
    </row>
    <row r="286" spans="1:45" ht="12.75" x14ac:dyDescent="0.2">
      <c r="A286" s="764">
        <v>279</v>
      </c>
      <c r="B286" s="765" t="s">
        <v>449</v>
      </c>
      <c r="C286" s="766" t="s">
        <v>1217</v>
      </c>
      <c r="D286" s="767" t="s">
        <v>1226</v>
      </c>
      <c r="E286" s="768" t="s">
        <v>448</v>
      </c>
      <c r="F286" s="141">
        <v>11810442</v>
      </c>
      <c r="G286" s="141">
        <v>0</v>
      </c>
      <c r="H286" s="141">
        <v>11810442</v>
      </c>
      <c r="I286" s="141">
        <v>0</v>
      </c>
      <c r="J286" s="141">
        <v>0</v>
      </c>
      <c r="K286" s="141">
        <v>0</v>
      </c>
      <c r="L286" s="141">
        <v>-109204</v>
      </c>
      <c r="M286" s="141">
        <v>0</v>
      </c>
      <c r="N286" s="141">
        <v>-109204</v>
      </c>
      <c r="O286" s="141">
        <v>11701238</v>
      </c>
      <c r="P286" s="141">
        <v>0</v>
      </c>
      <c r="Q286" s="141">
        <v>11701238</v>
      </c>
      <c r="R286" s="141">
        <v>774259</v>
      </c>
      <c r="S286" s="141">
        <v>0</v>
      </c>
      <c r="T286" s="141">
        <v>774259</v>
      </c>
      <c r="U286" s="141">
        <v>0</v>
      </c>
      <c r="V286" s="141">
        <v>0</v>
      </c>
      <c r="W286" s="141">
        <v>0</v>
      </c>
      <c r="X286" s="141">
        <v>0</v>
      </c>
      <c r="Y286" s="141">
        <v>0</v>
      </c>
      <c r="Z286" s="141">
        <v>0</v>
      </c>
      <c r="AA286" s="141">
        <v>0</v>
      </c>
      <c r="AB286" s="141">
        <v>0</v>
      </c>
      <c r="AC286" s="141">
        <v>0</v>
      </c>
      <c r="AD286" s="141">
        <v>0</v>
      </c>
      <c r="AE286" s="141">
        <v>0</v>
      </c>
      <c r="AF286" s="141">
        <v>0</v>
      </c>
      <c r="AG286" s="141">
        <v>0</v>
      </c>
      <c r="AH286" s="141">
        <v>0</v>
      </c>
      <c r="AI286" s="141">
        <v>0</v>
      </c>
      <c r="AJ286" s="141">
        <v>0</v>
      </c>
      <c r="AK286" s="141">
        <v>0</v>
      </c>
      <c r="AL286" s="141">
        <v>0</v>
      </c>
      <c r="AM286" s="141">
        <v>0</v>
      </c>
      <c r="AN286" s="141">
        <v>0</v>
      </c>
      <c r="AO286" s="141">
        <v>0</v>
      </c>
      <c r="AP286" s="856">
        <v>0</v>
      </c>
      <c r="AQ286" s="856">
        <v>0</v>
      </c>
      <c r="AR286" s="857">
        <v>0</v>
      </c>
      <c r="AS286" t="s">
        <v>1852</v>
      </c>
    </row>
    <row r="287" spans="1:45" ht="12.75" x14ac:dyDescent="0.2">
      <c r="A287" s="764">
        <v>280</v>
      </c>
      <c r="B287" s="765" t="s">
        <v>451</v>
      </c>
      <c r="C287" s="766" t="s">
        <v>1228</v>
      </c>
      <c r="D287" s="767" t="s">
        <v>1223</v>
      </c>
      <c r="E287" s="768" t="s">
        <v>450</v>
      </c>
      <c r="F287" s="141">
        <v>471641496</v>
      </c>
      <c r="G287" s="141">
        <v>0</v>
      </c>
      <c r="H287" s="141">
        <v>471641496</v>
      </c>
      <c r="I287" s="141">
        <v>-1000000</v>
      </c>
      <c r="J287" s="141">
        <v>0</v>
      </c>
      <c r="K287" s="141">
        <v>-1000000</v>
      </c>
      <c r="L287" s="141">
        <v>-10000000</v>
      </c>
      <c r="M287" s="141">
        <v>0</v>
      </c>
      <c r="N287" s="141">
        <v>-10000000</v>
      </c>
      <c r="O287" s="141">
        <v>460641496</v>
      </c>
      <c r="P287" s="141">
        <v>0</v>
      </c>
      <c r="Q287" s="141">
        <v>460641496</v>
      </c>
      <c r="R287" s="141">
        <v>0</v>
      </c>
      <c r="S287" s="141">
        <v>0</v>
      </c>
      <c r="T287" s="141">
        <v>0</v>
      </c>
      <c r="U287" s="141">
        <v>0</v>
      </c>
      <c r="V287" s="141">
        <v>0</v>
      </c>
      <c r="W287" s="141">
        <v>0</v>
      </c>
      <c r="X287" s="141">
        <v>0</v>
      </c>
      <c r="Y287" s="141">
        <v>0</v>
      </c>
      <c r="Z287" s="141">
        <v>0</v>
      </c>
      <c r="AA287" s="141">
        <v>0</v>
      </c>
      <c r="AB287" s="141">
        <v>0</v>
      </c>
      <c r="AC287" s="141">
        <v>0</v>
      </c>
      <c r="AD287" s="141">
        <v>0</v>
      </c>
      <c r="AE287" s="141">
        <v>0</v>
      </c>
      <c r="AF287" s="141">
        <v>0</v>
      </c>
      <c r="AG287" s="141">
        <v>0</v>
      </c>
      <c r="AH287" s="141">
        <v>0</v>
      </c>
      <c r="AI287" s="141">
        <v>0</v>
      </c>
      <c r="AJ287" s="141">
        <v>0</v>
      </c>
      <c r="AK287" s="141">
        <v>0</v>
      </c>
      <c r="AL287" s="141">
        <v>0</v>
      </c>
      <c r="AM287" s="141">
        <v>0</v>
      </c>
      <c r="AN287" s="141">
        <v>0</v>
      </c>
      <c r="AO287" s="141">
        <v>0</v>
      </c>
      <c r="AP287" s="856">
        <v>0</v>
      </c>
      <c r="AQ287" s="856">
        <v>0</v>
      </c>
      <c r="AR287" s="857">
        <v>0</v>
      </c>
      <c r="AS287" t="s">
        <v>1853</v>
      </c>
    </row>
    <row r="288" spans="1:45" ht="12.75" x14ac:dyDescent="0.2">
      <c r="A288" s="764">
        <v>281</v>
      </c>
      <c r="B288" s="765" t="s">
        <v>453</v>
      </c>
      <c r="C288" s="766" t="s">
        <v>1224</v>
      </c>
      <c r="D288" s="767" t="s">
        <v>1219</v>
      </c>
      <c r="E288" s="768" t="s">
        <v>452</v>
      </c>
      <c r="F288" s="141">
        <v>166949124.35000002</v>
      </c>
      <c r="G288" s="141">
        <v>0</v>
      </c>
      <c r="H288" s="141">
        <v>166949124.35000002</v>
      </c>
      <c r="I288" s="141">
        <v>-2150000</v>
      </c>
      <c r="J288" s="141">
        <v>0</v>
      </c>
      <c r="K288" s="141">
        <v>-2150000</v>
      </c>
      <c r="L288" s="141">
        <v>-7367500</v>
      </c>
      <c r="M288" s="141">
        <v>0</v>
      </c>
      <c r="N288" s="141">
        <v>-7367500</v>
      </c>
      <c r="O288" s="141">
        <v>157431624.35000002</v>
      </c>
      <c r="P288" s="141">
        <v>0</v>
      </c>
      <c r="Q288" s="141">
        <v>157431624.35000002</v>
      </c>
      <c r="R288" s="141">
        <v>81648</v>
      </c>
      <c r="S288" s="141">
        <v>0</v>
      </c>
      <c r="T288" s="141">
        <v>81648</v>
      </c>
      <c r="U288" s="141">
        <v>0</v>
      </c>
      <c r="V288" s="141">
        <v>0</v>
      </c>
      <c r="W288" s="141">
        <v>0</v>
      </c>
      <c r="X288" s="141">
        <v>0</v>
      </c>
      <c r="Y288" s="141">
        <v>0</v>
      </c>
      <c r="Z288" s="141">
        <v>0</v>
      </c>
      <c r="AA288" s="141">
        <v>0</v>
      </c>
      <c r="AB288" s="141">
        <v>0</v>
      </c>
      <c r="AC288" s="141">
        <v>0</v>
      </c>
      <c r="AD288" s="141">
        <v>0</v>
      </c>
      <c r="AE288" s="141">
        <v>0</v>
      </c>
      <c r="AF288" s="141">
        <v>0</v>
      </c>
      <c r="AG288" s="141">
        <v>0</v>
      </c>
      <c r="AH288" s="141">
        <v>0</v>
      </c>
      <c r="AI288" s="141">
        <v>0</v>
      </c>
      <c r="AJ288" s="141">
        <v>0</v>
      </c>
      <c r="AK288" s="141">
        <v>0</v>
      </c>
      <c r="AL288" s="141">
        <v>0</v>
      </c>
      <c r="AM288" s="141">
        <v>0</v>
      </c>
      <c r="AN288" s="141">
        <v>0</v>
      </c>
      <c r="AO288" s="141">
        <v>0</v>
      </c>
      <c r="AP288" s="856">
        <v>0</v>
      </c>
      <c r="AQ288" s="856">
        <v>0</v>
      </c>
      <c r="AR288" s="857">
        <v>0</v>
      </c>
      <c r="AS288" t="s">
        <v>1854</v>
      </c>
    </row>
    <row r="289" spans="1:45" ht="12.75" x14ac:dyDescent="0.2">
      <c r="A289" s="764">
        <v>282</v>
      </c>
      <c r="B289" s="765" t="s">
        <v>455</v>
      </c>
      <c r="C289" s="766" t="s">
        <v>1217</v>
      </c>
      <c r="D289" s="767" t="s">
        <v>1218</v>
      </c>
      <c r="E289" s="768" t="s">
        <v>454</v>
      </c>
      <c r="F289" s="141">
        <v>55050045</v>
      </c>
      <c r="G289" s="141">
        <v>0</v>
      </c>
      <c r="H289" s="141">
        <v>55050045</v>
      </c>
      <c r="I289" s="141">
        <v>-950000</v>
      </c>
      <c r="J289" s="141">
        <v>0</v>
      </c>
      <c r="K289" s="141">
        <v>-950000</v>
      </c>
      <c r="L289" s="141">
        <v>-2702000</v>
      </c>
      <c r="M289" s="141">
        <v>0</v>
      </c>
      <c r="N289" s="141">
        <v>-2702000</v>
      </c>
      <c r="O289" s="141">
        <v>51398045</v>
      </c>
      <c r="P289" s="141">
        <v>0</v>
      </c>
      <c r="Q289" s="141">
        <v>51398045</v>
      </c>
      <c r="R289" s="141">
        <v>94368</v>
      </c>
      <c r="S289" s="141">
        <v>0</v>
      </c>
      <c r="T289" s="141">
        <v>94368</v>
      </c>
      <c r="U289" s="141">
        <v>0</v>
      </c>
      <c r="V289" s="141">
        <v>0</v>
      </c>
      <c r="W289" s="141">
        <v>0</v>
      </c>
      <c r="X289" s="141">
        <v>0</v>
      </c>
      <c r="Y289" s="141">
        <v>0</v>
      </c>
      <c r="Z289" s="141">
        <v>0</v>
      </c>
      <c r="AA289" s="141">
        <v>0</v>
      </c>
      <c r="AB289" s="141">
        <v>0</v>
      </c>
      <c r="AC289" s="141">
        <v>0</v>
      </c>
      <c r="AD289" s="141">
        <v>0</v>
      </c>
      <c r="AE289" s="141">
        <v>0</v>
      </c>
      <c r="AF289" s="141">
        <v>0</v>
      </c>
      <c r="AG289" s="141">
        <v>0</v>
      </c>
      <c r="AH289" s="141">
        <v>0</v>
      </c>
      <c r="AI289" s="141">
        <v>0</v>
      </c>
      <c r="AJ289" s="141">
        <v>0</v>
      </c>
      <c r="AK289" s="141">
        <v>0</v>
      </c>
      <c r="AL289" s="141">
        <v>0</v>
      </c>
      <c r="AM289" s="141">
        <v>0</v>
      </c>
      <c r="AN289" s="141">
        <v>0</v>
      </c>
      <c r="AO289" s="141">
        <v>0</v>
      </c>
      <c r="AP289" s="856">
        <v>0</v>
      </c>
      <c r="AQ289" s="856">
        <v>0</v>
      </c>
      <c r="AR289" s="857">
        <v>0</v>
      </c>
      <c r="AS289" t="s">
        <v>1855</v>
      </c>
    </row>
    <row r="290" spans="1:45" ht="12.75" x14ac:dyDescent="0.2">
      <c r="A290" s="764">
        <v>283</v>
      </c>
      <c r="B290" s="765" t="s">
        <v>457</v>
      </c>
      <c r="C290" s="766" t="s">
        <v>1217</v>
      </c>
      <c r="D290" s="767" t="s">
        <v>1221</v>
      </c>
      <c r="E290" s="768" t="s">
        <v>456</v>
      </c>
      <c r="F290" s="141">
        <v>45519786</v>
      </c>
      <c r="G290" s="141">
        <v>0</v>
      </c>
      <c r="H290" s="141">
        <v>45519786</v>
      </c>
      <c r="I290" s="141">
        <v>-464235</v>
      </c>
      <c r="J290" s="141">
        <v>0</v>
      </c>
      <c r="K290" s="141">
        <v>-464235</v>
      </c>
      <c r="L290" s="141">
        <v>-1447167</v>
      </c>
      <c r="M290" s="141">
        <v>0</v>
      </c>
      <c r="N290" s="141">
        <v>-1447167</v>
      </c>
      <c r="O290" s="141">
        <v>43608384</v>
      </c>
      <c r="P290" s="141">
        <v>0</v>
      </c>
      <c r="Q290" s="141">
        <v>43608384</v>
      </c>
      <c r="R290" s="141">
        <v>125100</v>
      </c>
      <c r="S290" s="141">
        <v>0</v>
      </c>
      <c r="T290" s="141">
        <v>125100</v>
      </c>
      <c r="U290" s="141">
        <v>0</v>
      </c>
      <c r="V290" s="141">
        <v>0</v>
      </c>
      <c r="W290" s="141">
        <v>0</v>
      </c>
      <c r="X290" s="141">
        <v>0</v>
      </c>
      <c r="Y290" s="141">
        <v>0</v>
      </c>
      <c r="Z290" s="141">
        <v>0</v>
      </c>
      <c r="AA290" s="141">
        <v>0</v>
      </c>
      <c r="AB290" s="141">
        <v>0</v>
      </c>
      <c r="AC290" s="141">
        <v>0</v>
      </c>
      <c r="AD290" s="141">
        <v>0</v>
      </c>
      <c r="AE290" s="141">
        <v>0</v>
      </c>
      <c r="AF290" s="141">
        <v>0</v>
      </c>
      <c r="AG290" s="141">
        <v>0</v>
      </c>
      <c r="AH290" s="141">
        <v>0</v>
      </c>
      <c r="AI290" s="141">
        <v>0</v>
      </c>
      <c r="AJ290" s="141">
        <v>0</v>
      </c>
      <c r="AK290" s="141">
        <v>0</v>
      </c>
      <c r="AL290" s="141">
        <v>0</v>
      </c>
      <c r="AM290" s="141">
        <v>0</v>
      </c>
      <c r="AN290" s="141">
        <v>0</v>
      </c>
      <c r="AO290" s="141">
        <v>0</v>
      </c>
      <c r="AP290" s="856">
        <v>0</v>
      </c>
      <c r="AQ290" s="856">
        <v>0</v>
      </c>
      <c r="AR290" s="857">
        <v>0</v>
      </c>
      <c r="AS290" t="s">
        <v>1856</v>
      </c>
    </row>
    <row r="291" spans="1:45" ht="12.75" x14ac:dyDescent="0.2">
      <c r="A291" s="764">
        <v>284</v>
      </c>
      <c r="B291" s="765" t="s">
        <v>459</v>
      </c>
      <c r="C291" s="766" t="s">
        <v>1217</v>
      </c>
      <c r="D291" s="767" t="s">
        <v>1218</v>
      </c>
      <c r="E291" s="768" t="s">
        <v>458</v>
      </c>
      <c r="F291" s="141">
        <v>58601119</v>
      </c>
      <c r="G291" s="141">
        <v>3419614</v>
      </c>
      <c r="H291" s="141">
        <v>62020733</v>
      </c>
      <c r="I291" s="141">
        <v>-586011</v>
      </c>
      <c r="J291" s="141">
        <v>-34197</v>
      </c>
      <c r="K291" s="141">
        <v>-620208</v>
      </c>
      <c r="L291" s="141">
        <v>-2930056</v>
      </c>
      <c r="M291" s="141">
        <v>-170982</v>
      </c>
      <c r="N291" s="141">
        <v>-3101038</v>
      </c>
      <c r="O291" s="141">
        <v>55085052</v>
      </c>
      <c r="P291" s="141">
        <v>3214435</v>
      </c>
      <c r="Q291" s="141">
        <v>58299487</v>
      </c>
      <c r="R291" s="141">
        <v>233909</v>
      </c>
      <c r="S291" s="141">
        <v>0</v>
      </c>
      <c r="T291" s="141">
        <v>233909</v>
      </c>
      <c r="U291" s="141">
        <v>0</v>
      </c>
      <c r="V291" s="141">
        <v>0</v>
      </c>
      <c r="W291" s="141">
        <v>0</v>
      </c>
      <c r="X291" s="141">
        <v>-186</v>
      </c>
      <c r="Y291" s="141">
        <v>2702773</v>
      </c>
      <c r="Z291" s="141">
        <v>1565935</v>
      </c>
      <c r="AA291" s="141">
        <v>1565935</v>
      </c>
      <c r="AB291" s="141">
        <v>0</v>
      </c>
      <c r="AC291" s="141">
        <v>0</v>
      </c>
      <c r="AD291" s="141">
        <v>0</v>
      </c>
      <c r="AE291" s="141">
        <v>0</v>
      </c>
      <c r="AF291" s="141">
        <v>610735</v>
      </c>
      <c r="AG291" s="141">
        <v>610735</v>
      </c>
      <c r="AH291" s="141">
        <v>0</v>
      </c>
      <c r="AI291" s="141">
        <v>0</v>
      </c>
      <c r="AJ291" s="141">
        <v>0</v>
      </c>
      <c r="AK291" s="141">
        <v>0</v>
      </c>
      <c r="AL291" s="141">
        <v>0</v>
      </c>
      <c r="AM291" s="141">
        <v>0</v>
      </c>
      <c r="AN291" s="141">
        <v>0</v>
      </c>
      <c r="AO291" s="141">
        <v>0</v>
      </c>
      <c r="AP291" s="856">
        <v>0</v>
      </c>
      <c r="AQ291" s="856">
        <v>610735</v>
      </c>
      <c r="AR291" s="857">
        <v>610735</v>
      </c>
      <c r="AS291" t="s">
        <v>1857</v>
      </c>
    </row>
    <row r="292" spans="1:45" ht="12.75" x14ac:dyDescent="0.2">
      <c r="A292" s="764">
        <v>285</v>
      </c>
      <c r="B292" s="765" t="s">
        <v>461</v>
      </c>
      <c r="C292" s="766" t="s">
        <v>1224</v>
      </c>
      <c r="D292" s="767" t="s">
        <v>1225</v>
      </c>
      <c r="E292" s="768" t="s">
        <v>460</v>
      </c>
      <c r="F292" s="141">
        <v>134404653</v>
      </c>
      <c r="G292" s="141">
        <v>20600</v>
      </c>
      <c r="H292" s="141">
        <v>134425253</v>
      </c>
      <c r="I292" s="141">
        <v>-1000000</v>
      </c>
      <c r="J292" s="141">
        <v>0</v>
      </c>
      <c r="K292" s="141">
        <v>-1000000</v>
      </c>
      <c r="L292" s="141">
        <v>-3000000</v>
      </c>
      <c r="M292" s="141">
        <v>0</v>
      </c>
      <c r="N292" s="141">
        <v>-3000000</v>
      </c>
      <c r="O292" s="141">
        <v>130404653</v>
      </c>
      <c r="P292" s="141">
        <v>20600</v>
      </c>
      <c r="Q292" s="141">
        <v>130425253</v>
      </c>
      <c r="R292" s="141">
        <v>518820</v>
      </c>
      <c r="S292" s="141">
        <v>0</v>
      </c>
      <c r="T292" s="141">
        <v>518820</v>
      </c>
      <c r="U292" s="141">
        <v>0</v>
      </c>
      <c r="V292" s="141">
        <v>0</v>
      </c>
      <c r="W292" s="141">
        <v>0</v>
      </c>
      <c r="X292" s="141">
        <v>0</v>
      </c>
      <c r="Y292" s="141">
        <v>0</v>
      </c>
      <c r="Z292" s="141">
        <v>20600</v>
      </c>
      <c r="AA292" s="141">
        <v>20600</v>
      </c>
      <c r="AB292" s="141">
        <v>0</v>
      </c>
      <c r="AC292" s="141">
        <v>0</v>
      </c>
      <c r="AD292" s="141">
        <v>0</v>
      </c>
      <c r="AE292" s="141">
        <v>0</v>
      </c>
      <c r="AF292" s="141">
        <v>71326</v>
      </c>
      <c r="AG292" s="141">
        <v>71326</v>
      </c>
      <c r="AH292" s="141">
        <v>0</v>
      </c>
      <c r="AI292" s="141">
        <v>0</v>
      </c>
      <c r="AJ292" s="141">
        <v>0</v>
      </c>
      <c r="AK292" s="141">
        <v>0</v>
      </c>
      <c r="AL292" s="141">
        <v>0</v>
      </c>
      <c r="AM292" s="141">
        <v>0</v>
      </c>
      <c r="AN292" s="141">
        <v>0</v>
      </c>
      <c r="AO292" s="141">
        <v>0</v>
      </c>
      <c r="AP292" s="856">
        <v>0</v>
      </c>
      <c r="AQ292" s="856">
        <v>71326</v>
      </c>
      <c r="AR292" s="857">
        <v>71326</v>
      </c>
      <c r="AS292" t="s">
        <v>1858</v>
      </c>
    </row>
    <row r="293" spans="1:45" ht="12.75" x14ac:dyDescent="0.2">
      <c r="A293" s="764">
        <v>286</v>
      </c>
      <c r="B293" s="765" t="s">
        <v>463</v>
      </c>
      <c r="C293" s="766" t="s">
        <v>1224</v>
      </c>
      <c r="D293" s="767" t="s">
        <v>1227</v>
      </c>
      <c r="E293" s="768" t="s">
        <v>462</v>
      </c>
      <c r="F293" s="141">
        <v>75631027</v>
      </c>
      <c r="G293" s="141">
        <v>238804</v>
      </c>
      <c r="H293" s="141">
        <v>75869831</v>
      </c>
      <c r="I293" s="141">
        <v>-800000</v>
      </c>
      <c r="J293" s="141">
        <v>0</v>
      </c>
      <c r="K293" s="141">
        <v>-800000</v>
      </c>
      <c r="L293" s="141">
        <v>-2151673</v>
      </c>
      <c r="M293" s="141">
        <v>-590</v>
      </c>
      <c r="N293" s="141">
        <v>-2152263</v>
      </c>
      <c r="O293" s="141">
        <v>72679354</v>
      </c>
      <c r="P293" s="141">
        <v>238214</v>
      </c>
      <c r="Q293" s="141">
        <v>72917568</v>
      </c>
      <c r="R293" s="141">
        <v>0</v>
      </c>
      <c r="S293" s="141">
        <v>0</v>
      </c>
      <c r="T293" s="141">
        <v>0</v>
      </c>
      <c r="U293" s="141">
        <v>0</v>
      </c>
      <c r="V293" s="141">
        <v>0</v>
      </c>
      <c r="W293" s="141">
        <v>0</v>
      </c>
      <c r="X293" s="141">
        <v>1833</v>
      </c>
      <c r="Y293" s="141">
        <v>179178</v>
      </c>
      <c r="Z293" s="141">
        <v>60869</v>
      </c>
      <c r="AA293" s="141">
        <v>60869</v>
      </c>
      <c r="AB293" s="141">
        <v>0</v>
      </c>
      <c r="AC293" s="141">
        <v>18044</v>
      </c>
      <c r="AD293" s="141">
        <v>18044</v>
      </c>
      <c r="AE293" s="141">
        <v>0</v>
      </c>
      <c r="AF293" s="141">
        <v>0</v>
      </c>
      <c r="AG293" s="141">
        <v>0</v>
      </c>
      <c r="AH293" s="141">
        <v>0</v>
      </c>
      <c r="AI293" s="141">
        <v>0</v>
      </c>
      <c r="AJ293" s="141">
        <v>0</v>
      </c>
      <c r="AK293" s="141">
        <v>0</v>
      </c>
      <c r="AL293" s="141">
        <v>0</v>
      </c>
      <c r="AM293" s="141">
        <v>0</v>
      </c>
      <c r="AN293" s="141">
        <v>0</v>
      </c>
      <c r="AO293" s="141">
        <v>0</v>
      </c>
      <c r="AP293" s="856">
        <v>0</v>
      </c>
      <c r="AQ293" s="856">
        <v>0</v>
      </c>
      <c r="AR293" s="857">
        <v>0</v>
      </c>
      <c r="AS293" t="s">
        <v>1859</v>
      </c>
    </row>
    <row r="294" spans="1:45" ht="12.75" x14ac:dyDescent="0.2">
      <c r="A294" s="764">
        <v>287</v>
      </c>
      <c r="B294" s="765" t="s">
        <v>465</v>
      </c>
      <c r="C294" s="766" t="s">
        <v>1222</v>
      </c>
      <c r="D294" s="767" t="s">
        <v>1223</v>
      </c>
      <c r="E294" s="768" t="s">
        <v>464</v>
      </c>
      <c r="F294" s="141">
        <v>64921483</v>
      </c>
      <c r="G294" s="141">
        <v>0</v>
      </c>
      <c r="H294" s="141">
        <v>64921483</v>
      </c>
      <c r="I294" s="141">
        <v>-1298430</v>
      </c>
      <c r="J294" s="141">
        <v>0</v>
      </c>
      <c r="K294" s="141">
        <v>-1298430</v>
      </c>
      <c r="L294" s="141">
        <v>-2030839</v>
      </c>
      <c r="M294" s="141">
        <v>0</v>
      </c>
      <c r="N294" s="141">
        <v>-2030839</v>
      </c>
      <c r="O294" s="141">
        <v>61592214</v>
      </c>
      <c r="P294" s="141">
        <v>0</v>
      </c>
      <c r="Q294" s="141">
        <v>61592214</v>
      </c>
      <c r="R294" s="141">
        <v>0</v>
      </c>
      <c r="S294" s="141">
        <v>0</v>
      </c>
      <c r="T294" s="141">
        <v>0</v>
      </c>
      <c r="U294" s="141">
        <v>0</v>
      </c>
      <c r="V294" s="141">
        <v>0</v>
      </c>
      <c r="W294" s="141">
        <v>0</v>
      </c>
      <c r="X294" s="141">
        <v>0</v>
      </c>
      <c r="Y294" s="141">
        <v>0</v>
      </c>
      <c r="Z294" s="141">
        <v>0</v>
      </c>
      <c r="AA294" s="141">
        <v>0</v>
      </c>
      <c r="AB294" s="141">
        <v>0</v>
      </c>
      <c r="AC294" s="141">
        <v>0</v>
      </c>
      <c r="AD294" s="141">
        <v>0</v>
      </c>
      <c r="AE294" s="141">
        <v>0</v>
      </c>
      <c r="AF294" s="141">
        <v>0</v>
      </c>
      <c r="AG294" s="141">
        <v>0</v>
      </c>
      <c r="AH294" s="141">
        <v>0</v>
      </c>
      <c r="AI294" s="141">
        <v>0</v>
      </c>
      <c r="AJ294" s="141">
        <v>0</v>
      </c>
      <c r="AK294" s="141">
        <v>0</v>
      </c>
      <c r="AL294" s="141">
        <v>0</v>
      </c>
      <c r="AM294" s="141">
        <v>0</v>
      </c>
      <c r="AN294" s="141">
        <v>0</v>
      </c>
      <c r="AO294" s="141">
        <v>0</v>
      </c>
      <c r="AP294" s="856">
        <v>0</v>
      </c>
      <c r="AQ294" s="856">
        <v>0</v>
      </c>
      <c r="AR294" s="857">
        <v>0</v>
      </c>
      <c r="AS294" t="s">
        <v>1860</v>
      </c>
    </row>
    <row r="295" spans="1:45" ht="12.75" x14ac:dyDescent="0.2">
      <c r="A295" s="764">
        <v>288</v>
      </c>
      <c r="B295" s="765" t="s">
        <v>467</v>
      </c>
      <c r="C295" s="766" t="s">
        <v>1228</v>
      </c>
      <c r="D295" s="767" t="s">
        <v>1223</v>
      </c>
      <c r="E295" s="768" t="s">
        <v>466</v>
      </c>
      <c r="F295" s="141">
        <v>113401719</v>
      </c>
      <c r="G295" s="141">
        <v>3335470</v>
      </c>
      <c r="H295" s="141">
        <v>116737189</v>
      </c>
      <c r="I295" s="141">
        <v>-1500000</v>
      </c>
      <c r="J295" s="141">
        <v>0</v>
      </c>
      <c r="K295" s="141">
        <v>-1500000</v>
      </c>
      <c r="L295" s="141">
        <v>0</v>
      </c>
      <c r="M295" s="141">
        <v>0</v>
      </c>
      <c r="N295" s="141">
        <v>0</v>
      </c>
      <c r="O295" s="141">
        <v>111901719</v>
      </c>
      <c r="P295" s="141">
        <v>3335470</v>
      </c>
      <c r="Q295" s="141">
        <v>115237189</v>
      </c>
      <c r="R295" s="141">
        <v>0</v>
      </c>
      <c r="S295" s="141">
        <v>0</v>
      </c>
      <c r="T295" s="141">
        <v>0</v>
      </c>
      <c r="U295" s="141">
        <v>0</v>
      </c>
      <c r="V295" s="141">
        <v>0</v>
      </c>
      <c r="W295" s="141">
        <v>0</v>
      </c>
      <c r="X295" s="141">
        <v>145184</v>
      </c>
      <c r="Y295" s="141">
        <v>4432118</v>
      </c>
      <c r="Z295" s="141">
        <v>0</v>
      </c>
      <c r="AA295" s="141">
        <v>0</v>
      </c>
      <c r="AB295" s="141">
        <v>0</v>
      </c>
      <c r="AC295" s="141">
        <v>0</v>
      </c>
      <c r="AD295" s="141">
        <v>0</v>
      </c>
      <c r="AE295" s="141">
        <v>0</v>
      </c>
      <c r="AF295" s="141">
        <v>0</v>
      </c>
      <c r="AG295" s="141">
        <v>0</v>
      </c>
      <c r="AH295" s="141">
        <v>0</v>
      </c>
      <c r="AI295" s="141">
        <v>0</v>
      </c>
      <c r="AJ295" s="141">
        <v>0</v>
      </c>
      <c r="AK295" s="141">
        <v>0</v>
      </c>
      <c r="AL295" s="141">
        <v>0</v>
      </c>
      <c r="AM295" s="141">
        <v>0</v>
      </c>
      <c r="AN295" s="141">
        <v>0</v>
      </c>
      <c r="AO295" s="141">
        <v>0</v>
      </c>
      <c r="AP295" s="856">
        <v>0</v>
      </c>
      <c r="AQ295" s="856">
        <v>0</v>
      </c>
      <c r="AR295" s="857">
        <v>0</v>
      </c>
      <c r="AS295" t="s">
        <v>1861</v>
      </c>
    </row>
    <row r="296" spans="1:45" ht="12.75" x14ac:dyDescent="0.2">
      <c r="A296" s="764">
        <v>289</v>
      </c>
      <c r="B296" s="765" t="s">
        <v>469</v>
      </c>
      <c r="C296" s="766" t="s">
        <v>529</v>
      </c>
      <c r="D296" s="767" t="s">
        <v>1219</v>
      </c>
      <c r="E296" s="768" t="s">
        <v>550</v>
      </c>
      <c r="F296" s="141">
        <v>112645000</v>
      </c>
      <c r="G296" s="141">
        <v>1169096</v>
      </c>
      <c r="H296" s="141">
        <v>113814096</v>
      </c>
      <c r="I296" s="141">
        <v>-494864</v>
      </c>
      <c r="J296" s="141">
        <v>-5136</v>
      </c>
      <c r="K296" s="141">
        <v>-500000</v>
      </c>
      <c r="L296" s="141">
        <v>-2281125</v>
      </c>
      <c r="M296" s="141">
        <v>-23675</v>
      </c>
      <c r="N296" s="141">
        <v>-2304800</v>
      </c>
      <c r="O296" s="141">
        <v>109869011</v>
      </c>
      <c r="P296" s="141">
        <v>1140285</v>
      </c>
      <c r="Q296" s="141">
        <v>111009296</v>
      </c>
      <c r="R296" s="141">
        <v>0</v>
      </c>
      <c r="S296" s="141">
        <v>0</v>
      </c>
      <c r="T296" s="141">
        <v>0</v>
      </c>
      <c r="U296" s="141">
        <v>0</v>
      </c>
      <c r="V296" s="141">
        <v>0</v>
      </c>
      <c r="W296" s="141">
        <v>0</v>
      </c>
      <c r="X296" s="141">
        <v>-27393</v>
      </c>
      <c r="Y296" s="141">
        <v>976250</v>
      </c>
      <c r="Z296" s="141">
        <v>136642</v>
      </c>
      <c r="AA296" s="141">
        <v>136642</v>
      </c>
      <c r="AB296" s="141">
        <v>0</v>
      </c>
      <c r="AC296" s="141">
        <v>0</v>
      </c>
      <c r="AD296" s="141">
        <v>0</v>
      </c>
      <c r="AE296" s="141">
        <v>0</v>
      </c>
      <c r="AF296" s="141">
        <v>145784</v>
      </c>
      <c r="AG296" s="141">
        <v>145784</v>
      </c>
      <c r="AH296" s="141">
        <v>0</v>
      </c>
      <c r="AI296" s="141">
        <v>0</v>
      </c>
      <c r="AJ296" s="141">
        <v>0</v>
      </c>
      <c r="AK296" s="141">
        <v>0</v>
      </c>
      <c r="AL296" s="141">
        <v>0</v>
      </c>
      <c r="AM296" s="141">
        <v>0</v>
      </c>
      <c r="AN296" s="141">
        <v>0</v>
      </c>
      <c r="AO296" s="141">
        <v>0</v>
      </c>
      <c r="AP296" s="856">
        <v>0</v>
      </c>
      <c r="AQ296" s="856">
        <v>145784</v>
      </c>
      <c r="AR296" s="857">
        <v>145784</v>
      </c>
      <c r="AS296" t="s">
        <v>1862</v>
      </c>
    </row>
    <row r="297" spans="1:45" ht="12.75" x14ac:dyDescent="0.2">
      <c r="A297" s="764">
        <v>290</v>
      </c>
      <c r="B297" s="765" t="s">
        <v>471</v>
      </c>
      <c r="C297" s="766" t="s">
        <v>1217</v>
      </c>
      <c r="D297" s="767" t="s">
        <v>1227</v>
      </c>
      <c r="E297" s="768" t="s">
        <v>470</v>
      </c>
      <c r="F297" s="141">
        <v>72020051</v>
      </c>
      <c r="G297" s="141">
        <v>0</v>
      </c>
      <c r="H297" s="141">
        <v>72020051</v>
      </c>
      <c r="I297" s="141">
        <v>-550000</v>
      </c>
      <c r="J297" s="141">
        <v>0</v>
      </c>
      <c r="K297" s="141">
        <v>-550000</v>
      </c>
      <c r="L297" s="141">
        <v>-4024397</v>
      </c>
      <c r="M297" s="141">
        <v>0</v>
      </c>
      <c r="N297" s="141">
        <v>-4024397</v>
      </c>
      <c r="O297" s="141">
        <v>67445654</v>
      </c>
      <c r="P297" s="141">
        <v>0</v>
      </c>
      <c r="Q297" s="141">
        <v>67445654</v>
      </c>
      <c r="R297" s="141">
        <v>26000</v>
      </c>
      <c r="S297" s="141">
        <v>0</v>
      </c>
      <c r="T297" s="141">
        <v>26000</v>
      </c>
      <c r="U297" s="141">
        <v>0</v>
      </c>
      <c r="V297" s="141">
        <v>0</v>
      </c>
      <c r="W297" s="141">
        <v>0</v>
      </c>
      <c r="X297" s="141">
        <v>0</v>
      </c>
      <c r="Y297" s="141">
        <v>0</v>
      </c>
      <c r="Z297" s="141">
        <v>0</v>
      </c>
      <c r="AA297" s="141">
        <v>0</v>
      </c>
      <c r="AB297" s="141">
        <v>0</v>
      </c>
      <c r="AC297" s="141">
        <v>0</v>
      </c>
      <c r="AD297" s="141">
        <v>0</v>
      </c>
      <c r="AE297" s="141">
        <v>0</v>
      </c>
      <c r="AF297" s="141">
        <v>0</v>
      </c>
      <c r="AG297" s="141">
        <v>0</v>
      </c>
      <c r="AH297" s="141">
        <v>0</v>
      </c>
      <c r="AI297" s="141">
        <v>0</v>
      </c>
      <c r="AJ297" s="141">
        <v>0</v>
      </c>
      <c r="AK297" s="141">
        <v>0</v>
      </c>
      <c r="AL297" s="141">
        <v>0</v>
      </c>
      <c r="AM297" s="141">
        <v>0</v>
      </c>
      <c r="AN297" s="141">
        <v>0</v>
      </c>
      <c r="AO297" s="141">
        <v>0</v>
      </c>
      <c r="AP297" s="856">
        <v>0</v>
      </c>
      <c r="AQ297" s="856">
        <v>0</v>
      </c>
      <c r="AR297" s="857">
        <v>0</v>
      </c>
      <c r="AS297" t="s">
        <v>1863</v>
      </c>
    </row>
    <row r="298" spans="1:45" ht="12.75" x14ac:dyDescent="0.2">
      <c r="A298" s="764">
        <v>291</v>
      </c>
      <c r="B298" s="765" t="s">
        <v>473</v>
      </c>
      <c r="C298" s="766" t="s">
        <v>1217</v>
      </c>
      <c r="D298" s="767" t="s">
        <v>1221</v>
      </c>
      <c r="E298" s="768" t="s">
        <v>472</v>
      </c>
      <c r="F298" s="141">
        <v>71354759</v>
      </c>
      <c r="G298" s="141">
        <v>0</v>
      </c>
      <c r="H298" s="141">
        <v>71354759</v>
      </c>
      <c r="I298" s="141">
        <v>-947408</v>
      </c>
      <c r="J298" s="141">
        <v>0</v>
      </c>
      <c r="K298" s="141">
        <v>-947408</v>
      </c>
      <c r="L298" s="141">
        <v>-1234248</v>
      </c>
      <c r="M298" s="141">
        <v>0</v>
      </c>
      <c r="N298" s="141">
        <v>-1234248</v>
      </c>
      <c r="O298" s="141">
        <v>69173103</v>
      </c>
      <c r="P298" s="141">
        <v>0</v>
      </c>
      <c r="Q298" s="141">
        <v>69173103</v>
      </c>
      <c r="R298" s="141">
        <v>0</v>
      </c>
      <c r="S298" s="141">
        <v>0</v>
      </c>
      <c r="T298" s="141">
        <v>0</v>
      </c>
      <c r="U298" s="141">
        <v>0</v>
      </c>
      <c r="V298" s="141">
        <v>0</v>
      </c>
      <c r="W298" s="141">
        <v>0</v>
      </c>
      <c r="X298" s="141">
        <v>0</v>
      </c>
      <c r="Y298" s="141">
        <v>0</v>
      </c>
      <c r="Z298" s="141">
        <v>0</v>
      </c>
      <c r="AA298" s="141">
        <v>0</v>
      </c>
      <c r="AB298" s="141">
        <v>0</v>
      </c>
      <c r="AC298" s="141">
        <v>0</v>
      </c>
      <c r="AD298" s="141">
        <v>0</v>
      </c>
      <c r="AE298" s="141">
        <v>0</v>
      </c>
      <c r="AF298" s="141">
        <v>0</v>
      </c>
      <c r="AG298" s="141">
        <v>0</v>
      </c>
      <c r="AH298" s="141">
        <v>0</v>
      </c>
      <c r="AI298" s="141">
        <v>0</v>
      </c>
      <c r="AJ298" s="141">
        <v>0</v>
      </c>
      <c r="AK298" s="141">
        <v>0</v>
      </c>
      <c r="AL298" s="141">
        <v>0</v>
      </c>
      <c r="AM298" s="141">
        <v>0</v>
      </c>
      <c r="AN298" s="141">
        <v>0</v>
      </c>
      <c r="AO298" s="141">
        <v>0</v>
      </c>
      <c r="AP298" s="856">
        <v>0</v>
      </c>
      <c r="AQ298" s="856">
        <v>0</v>
      </c>
      <c r="AR298" s="857">
        <v>0</v>
      </c>
      <c r="AS298" t="s">
        <v>1864</v>
      </c>
    </row>
    <row r="299" spans="1:45" ht="12.75" x14ac:dyDescent="0.2">
      <c r="A299" s="764">
        <v>292</v>
      </c>
      <c r="B299" s="765" t="s">
        <v>475</v>
      </c>
      <c r="C299" s="766" t="s">
        <v>1217</v>
      </c>
      <c r="D299" s="767" t="s">
        <v>1218</v>
      </c>
      <c r="E299" s="768" t="s">
        <v>474</v>
      </c>
      <c r="F299" s="141">
        <v>38789700</v>
      </c>
      <c r="G299" s="141">
        <v>0</v>
      </c>
      <c r="H299" s="141">
        <v>38789700</v>
      </c>
      <c r="I299" s="141">
        <v>-347000</v>
      </c>
      <c r="J299" s="141">
        <v>0</v>
      </c>
      <c r="K299" s="141">
        <v>-347000</v>
      </c>
      <c r="L299" s="141">
        <v>-2484951</v>
      </c>
      <c r="M299" s="141">
        <v>0</v>
      </c>
      <c r="N299" s="141">
        <v>-2484951</v>
      </c>
      <c r="O299" s="141">
        <v>35957749</v>
      </c>
      <c r="P299" s="141">
        <v>0</v>
      </c>
      <c r="Q299" s="141">
        <v>35957749</v>
      </c>
      <c r="R299" s="141">
        <v>0</v>
      </c>
      <c r="S299" s="141">
        <v>0</v>
      </c>
      <c r="T299" s="141">
        <v>0</v>
      </c>
      <c r="U299" s="141">
        <v>0</v>
      </c>
      <c r="V299" s="141">
        <v>0</v>
      </c>
      <c r="W299" s="141">
        <v>0</v>
      </c>
      <c r="X299" s="141">
        <v>0</v>
      </c>
      <c r="Y299" s="141">
        <v>0</v>
      </c>
      <c r="Z299" s="141">
        <v>0</v>
      </c>
      <c r="AA299" s="141">
        <v>0</v>
      </c>
      <c r="AB299" s="141">
        <v>0</v>
      </c>
      <c r="AC299" s="141">
        <v>0</v>
      </c>
      <c r="AD299" s="141">
        <v>0</v>
      </c>
      <c r="AE299" s="141">
        <v>0</v>
      </c>
      <c r="AF299" s="141">
        <v>0</v>
      </c>
      <c r="AG299" s="141">
        <v>0</v>
      </c>
      <c r="AH299" s="141">
        <v>0</v>
      </c>
      <c r="AI299" s="141">
        <v>0</v>
      </c>
      <c r="AJ299" s="141">
        <v>0</v>
      </c>
      <c r="AK299" s="141">
        <v>0</v>
      </c>
      <c r="AL299" s="141">
        <v>0</v>
      </c>
      <c r="AM299" s="141">
        <v>0</v>
      </c>
      <c r="AN299" s="141">
        <v>0</v>
      </c>
      <c r="AO299" s="141">
        <v>0</v>
      </c>
      <c r="AP299" s="856">
        <v>0</v>
      </c>
      <c r="AQ299" s="856">
        <v>0</v>
      </c>
      <c r="AR299" s="857">
        <v>0</v>
      </c>
      <c r="AS299" t="s">
        <v>1865</v>
      </c>
    </row>
    <row r="300" spans="1:45" ht="12.75" x14ac:dyDescent="0.2">
      <c r="A300" s="764">
        <v>293</v>
      </c>
      <c r="B300" s="765" t="s">
        <v>477</v>
      </c>
      <c r="C300" s="766" t="s">
        <v>1217</v>
      </c>
      <c r="D300" s="767" t="s">
        <v>1218</v>
      </c>
      <c r="E300" s="768" t="s">
        <v>476</v>
      </c>
      <c r="F300" s="141">
        <v>31985939</v>
      </c>
      <c r="G300" s="141">
        <v>0</v>
      </c>
      <c r="H300" s="141">
        <v>31985939</v>
      </c>
      <c r="I300" s="141">
        <v>-264000</v>
      </c>
      <c r="J300" s="141">
        <v>0</v>
      </c>
      <c r="K300" s="141">
        <v>-264000</v>
      </c>
      <c r="L300" s="141">
        <v>-500000</v>
      </c>
      <c r="M300" s="141">
        <v>0</v>
      </c>
      <c r="N300" s="141">
        <v>-500000</v>
      </c>
      <c r="O300" s="141">
        <v>31221939</v>
      </c>
      <c r="P300" s="141">
        <v>0</v>
      </c>
      <c r="Q300" s="141">
        <v>31221939</v>
      </c>
      <c r="R300" s="141">
        <v>195000</v>
      </c>
      <c r="S300" s="141">
        <v>0</v>
      </c>
      <c r="T300" s="141">
        <v>195000</v>
      </c>
      <c r="U300" s="141">
        <v>0</v>
      </c>
      <c r="V300" s="141">
        <v>0</v>
      </c>
      <c r="W300" s="141">
        <v>0</v>
      </c>
      <c r="X300" s="141">
        <v>0</v>
      </c>
      <c r="Y300" s="141">
        <v>0</v>
      </c>
      <c r="Z300" s="141">
        <v>0</v>
      </c>
      <c r="AA300" s="141">
        <v>0</v>
      </c>
      <c r="AB300" s="141">
        <v>0</v>
      </c>
      <c r="AC300" s="141">
        <v>0</v>
      </c>
      <c r="AD300" s="141">
        <v>0</v>
      </c>
      <c r="AE300" s="141">
        <v>0</v>
      </c>
      <c r="AF300" s="141">
        <v>0</v>
      </c>
      <c r="AG300" s="141">
        <v>0</v>
      </c>
      <c r="AH300" s="141">
        <v>0</v>
      </c>
      <c r="AI300" s="141">
        <v>0</v>
      </c>
      <c r="AJ300" s="141">
        <v>0</v>
      </c>
      <c r="AK300" s="141">
        <v>0</v>
      </c>
      <c r="AL300" s="141">
        <v>0</v>
      </c>
      <c r="AM300" s="141">
        <v>0</v>
      </c>
      <c r="AN300" s="141">
        <v>0</v>
      </c>
      <c r="AO300" s="141">
        <v>0</v>
      </c>
      <c r="AP300" s="856">
        <v>0</v>
      </c>
      <c r="AQ300" s="856">
        <v>0</v>
      </c>
      <c r="AR300" s="857">
        <v>0</v>
      </c>
      <c r="AS300" t="s">
        <v>1866</v>
      </c>
    </row>
    <row r="301" spans="1:45" ht="12.75" x14ac:dyDescent="0.2">
      <c r="A301" s="764">
        <v>294</v>
      </c>
      <c r="B301" s="765" t="s">
        <v>479</v>
      </c>
      <c r="C301" s="766" t="s">
        <v>1217</v>
      </c>
      <c r="D301" s="767" t="s">
        <v>1220</v>
      </c>
      <c r="E301" s="768" t="s">
        <v>478</v>
      </c>
      <c r="F301" s="141">
        <v>29068711</v>
      </c>
      <c r="G301" s="141">
        <v>0</v>
      </c>
      <c r="H301" s="141">
        <v>29068711</v>
      </c>
      <c r="I301" s="141">
        <v>-160000</v>
      </c>
      <c r="J301" s="141">
        <v>0</v>
      </c>
      <c r="K301" s="141">
        <v>-160000</v>
      </c>
      <c r="L301" s="141">
        <v>-291000</v>
      </c>
      <c r="M301" s="141">
        <v>0</v>
      </c>
      <c r="N301" s="141">
        <v>-291000</v>
      </c>
      <c r="O301" s="141">
        <v>28617711</v>
      </c>
      <c r="P301" s="141">
        <v>0</v>
      </c>
      <c r="Q301" s="141">
        <v>28617711</v>
      </c>
      <c r="R301" s="141">
        <v>38666</v>
      </c>
      <c r="S301" s="141">
        <v>0</v>
      </c>
      <c r="T301" s="141">
        <v>38666</v>
      </c>
      <c r="U301" s="141">
        <v>0</v>
      </c>
      <c r="V301" s="141">
        <v>0</v>
      </c>
      <c r="W301" s="141">
        <v>0</v>
      </c>
      <c r="X301" s="141">
        <v>0</v>
      </c>
      <c r="Y301" s="141">
        <v>0</v>
      </c>
      <c r="Z301" s="141">
        <v>0</v>
      </c>
      <c r="AA301" s="141">
        <v>0</v>
      </c>
      <c r="AB301" s="141">
        <v>0</v>
      </c>
      <c r="AC301" s="141">
        <v>0</v>
      </c>
      <c r="AD301" s="141">
        <v>0</v>
      </c>
      <c r="AE301" s="141">
        <v>0</v>
      </c>
      <c r="AF301" s="141">
        <v>0</v>
      </c>
      <c r="AG301" s="141">
        <v>0</v>
      </c>
      <c r="AH301" s="141">
        <v>0</v>
      </c>
      <c r="AI301" s="141">
        <v>0</v>
      </c>
      <c r="AJ301" s="141">
        <v>0</v>
      </c>
      <c r="AK301" s="141">
        <v>0</v>
      </c>
      <c r="AL301" s="141">
        <v>0</v>
      </c>
      <c r="AM301" s="141">
        <v>0</v>
      </c>
      <c r="AN301" s="141">
        <v>0</v>
      </c>
      <c r="AO301" s="141">
        <v>0</v>
      </c>
      <c r="AP301" s="856">
        <v>0</v>
      </c>
      <c r="AQ301" s="856">
        <v>0</v>
      </c>
      <c r="AR301" s="857">
        <v>0</v>
      </c>
      <c r="AS301" t="s">
        <v>1867</v>
      </c>
    </row>
    <row r="302" spans="1:45" ht="12.75" x14ac:dyDescent="0.2">
      <c r="A302" s="764">
        <v>295</v>
      </c>
      <c r="B302" s="765" t="s">
        <v>481</v>
      </c>
      <c r="C302" s="766" t="s">
        <v>1217</v>
      </c>
      <c r="D302" s="767" t="s">
        <v>1221</v>
      </c>
      <c r="E302" s="768" t="s">
        <v>480</v>
      </c>
      <c r="F302" s="141">
        <v>61437082</v>
      </c>
      <c r="G302" s="141">
        <v>0</v>
      </c>
      <c r="H302" s="141">
        <v>61437082</v>
      </c>
      <c r="I302" s="141">
        <v>-187114</v>
      </c>
      <c r="J302" s="141">
        <v>0</v>
      </c>
      <c r="K302" s="141">
        <v>-187114</v>
      </c>
      <c r="L302" s="141">
        <v>-313858</v>
      </c>
      <c r="M302" s="141">
        <v>0</v>
      </c>
      <c r="N302" s="141">
        <v>-313858</v>
      </c>
      <c r="O302" s="141">
        <v>60936110</v>
      </c>
      <c r="P302" s="141">
        <v>0</v>
      </c>
      <c r="Q302" s="141">
        <v>60936110</v>
      </c>
      <c r="R302" s="141">
        <v>0</v>
      </c>
      <c r="S302" s="141">
        <v>0</v>
      </c>
      <c r="T302" s="141">
        <v>0</v>
      </c>
      <c r="U302" s="141">
        <v>0</v>
      </c>
      <c r="V302" s="141">
        <v>0</v>
      </c>
      <c r="W302" s="141">
        <v>0</v>
      </c>
      <c r="X302" s="141">
        <v>0</v>
      </c>
      <c r="Y302" s="141">
        <v>0</v>
      </c>
      <c r="Z302" s="141">
        <v>0</v>
      </c>
      <c r="AA302" s="141">
        <v>0</v>
      </c>
      <c r="AB302" s="141">
        <v>0</v>
      </c>
      <c r="AC302" s="141">
        <v>0</v>
      </c>
      <c r="AD302" s="141">
        <v>0</v>
      </c>
      <c r="AE302" s="141">
        <v>0</v>
      </c>
      <c r="AF302" s="141">
        <v>0</v>
      </c>
      <c r="AG302" s="141">
        <v>0</v>
      </c>
      <c r="AH302" s="141">
        <v>0</v>
      </c>
      <c r="AI302" s="141">
        <v>0</v>
      </c>
      <c r="AJ302" s="141">
        <v>0</v>
      </c>
      <c r="AK302" s="141">
        <v>0</v>
      </c>
      <c r="AL302" s="141">
        <v>0</v>
      </c>
      <c r="AM302" s="141">
        <v>0</v>
      </c>
      <c r="AN302" s="141">
        <v>0</v>
      </c>
      <c r="AO302" s="141">
        <v>0</v>
      </c>
      <c r="AP302" s="856">
        <v>0</v>
      </c>
      <c r="AQ302" s="856">
        <v>0</v>
      </c>
      <c r="AR302" s="857">
        <v>0</v>
      </c>
      <c r="AS302" t="s">
        <v>1868</v>
      </c>
    </row>
    <row r="303" spans="1:45" ht="12.75" x14ac:dyDescent="0.2">
      <c r="A303" s="764">
        <v>296</v>
      </c>
      <c r="B303" s="765" t="s">
        <v>483</v>
      </c>
      <c r="C303" s="766" t="s">
        <v>529</v>
      </c>
      <c r="D303" s="767" t="s">
        <v>1218</v>
      </c>
      <c r="E303" s="768" t="s">
        <v>538</v>
      </c>
      <c r="F303" s="141">
        <v>88213001</v>
      </c>
      <c r="G303" s="141">
        <v>0</v>
      </c>
      <c r="H303" s="141">
        <v>88213001</v>
      </c>
      <c r="I303" s="141">
        <v>-400000</v>
      </c>
      <c r="J303" s="141">
        <v>0</v>
      </c>
      <c r="K303" s="141">
        <v>-400000</v>
      </c>
      <c r="L303" s="141">
        <v>-1500000</v>
      </c>
      <c r="M303" s="141">
        <v>0</v>
      </c>
      <c r="N303" s="141">
        <v>-1500000</v>
      </c>
      <c r="O303" s="141">
        <v>86313001</v>
      </c>
      <c r="P303" s="141">
        <v>0</v>
      </c>
      <c r="Q303" s="141">
        <v>86313001</v>
      </c>
      <c r="R303" s="141">
        <v>0</v>
      </c>
      <c r="S303" s="141">
        <v>0</v>
      </c>
      <c r="T303" s="141">
        <v>0</v>
      </c>
      <c r="U303" s="141">
        <v>0</v>
      </c>
      <c r="V303" s="141">
        <v>0</v>
      </c>
      <c r="W303" s="141">
        <v>0</v>
      </c>
      <c r="X303" s="141">
        <v>0</v>
      </c>
      <c r="Y303" s="141">
        <v>0</v>
      </c>
      <c r="Z303" s="141">
        <v>0</v>
      </c>
      <c r="AA303" s="141">
        <v>0</v>
      </c>
      <c r="AB303" s="141">
        <v>0</v>
      </c>
      <c r="AC303" s="141">
        <v>0</v>
      </c>
      <c r="AD303" s="141">
        <v>0</v>
      </c>
      <c r="AE303" s="141">
        <v>0</v>
      </c>
      <c r="AF303" s="141">
        <v>0</v>
      </c>
      <c r="AG303" s="141">
        <v>0</v>
      </c>
      <c r="AH303" s="141">
        <v>0</v>
      </c>
      <c r="AI303" s="141">
        <v>0</v>
      </c>
      <c r="AJ303" s="141">
        <v>0</v>
      </c>
      <c r="AK303" s="141">
        <v>0</v>
      </c>
      <c r="AL303" s="141">
        <v>0</v>
      </c>
      <c r="AM303" s="141">
        <v>0</v>
      </c>
      <c r="AN303" s="141">
        <v>0</v>
      </c>
      <c r="AO303" s="141">
        <v>0</v>
      </c>
      <c r="AP303" s="856">
        <v>0</v>
      </c>
      <c r="AQ303" s="856">
        <v>0</v>
      </c>
      <c r="AR303" s="857">
        <v>0</v>
      </c>
      <c r="AS303" t="s">
        <v>1869</v>
      </c>
    </row>
    <row r="304" spans="1:45" ht="12.75" x14ac:dyDescent="0.2">
      <c r="A304" s="764">
        <v>297</v>
      </c>
      <c r="B304" s="765" t="s">
        <v>485</v>
      </c>
      <c r="C304" s="766" t="s">
        <v>1217</v>
      </c>
      <c r="D304" s="767" t="s">
        <v>1226</v>
      </c>
      <c r="E304" s="768" t="s">
        <v>484</v>
      </c>
      <c r="F304" s="141">
        <v>10249898</v>
      </c>
      <c r="G304" s="141">
        <v>0</v>
      </c>
      <c r="H304" s="141">
        <v>10249898</v>
      </c>
      <c r="I304" s="141">
        <v>-107957</v>
      </c>
      <c r="J304" s="141">
        <v>0</v>
      </c>
      <c r="K304" s="141">
        <v>-107957</v>
      </c>
      <c r="L304" s="141">
        <v>-431503</v>
      </c>
      <c r="M304" s="141">
        <v>0</v>
      </c>
      <c r="N304" s="141">
        <v>-431503</v>
      </c>
      <c r="O304" s="141">
        <v>9710438</v>
      </c>
      <c r="P304" s="141">
        <v>0</v>
      </c>
      <c r="Q304" s="141">
        <v>9710438</v>
      </c>
      <c r="R304" s="141">
        <v>0</v>
      </c>
      <c r="S304" s="141">
        <v>0</v>
      </c>
      <c r="T304" s="141">
        <v>0</v>
      </c>
      <c r="U304" s="141">
        <v>0</v>
      </c>
      <c r="V304" s="141">
        <v>0</v>
      </c>
      <c r="W304" s="141">
        <v>0</v>
      </c>
      <c r="X304" s="141">
        <v>0</v>
      </c>
      <c r="Y304" s="141">
        <v>0</v>
      </c>
      <c r="Z304" s="141">
        <v>0</v>
      </c>
      <c r="AA304" s="141">
        <v>0</v>
      </c>
      <c r="AB304" s="141">
        <v>0</v>
      </c>
      <c r="AC304" s="141">
        <v>0</v>
      </c>
      <c r="AD304" s="141">
        <v>0</v>
      </c>
      <c r="AE304" s="141">
        <v>0</v>
      </c>
      <c r="AF304" s="141">
        <v>0</v>
      </c>
      <c r="AG304" s="141">
        <v>0</v>
      </c>
      <c r="AH304" s="141">
        <v>0</v>
      </c>
      <c r="AI304" s="141">
        <v>0</v>
      </c>
      <c r="AJ304" s="141">
        <v>0</v>
      </c>
      <c r="AK304" s="141">
        <v>0</v>
      </c>
      <c r="AL304" s="141">
        <v>0</v>
      </c>
      <c r="AM304" s="141">
        <v>0</v>
      </c>
      <c r="AN304" s="141">
        <v>0</v>
      </c>
      <c r="AO304" s="141">
        <v>0</v>
      </c>
      <c r="AP304" s="856">
        <v>0</v>
      </c>
      <c r="AQ304" s="856">
        <v>0</v>
      </c>
      <c r="AR304" s="857">
        <v>0</v>
      </c>
      <c r="AS304" t="s">
        <v>1870</v>
      </c>
    </row>
    <row r="305" spans="1:45" ht="12.75" x14ac:dyDescent="0.2">
      <c r="A305" s="764">
        <v>298</v>
      </c>
      <c r="B305" s="765" t="s">
        <v>487</v>
      </c>
      <c r="C305" s="766" t="s">
        <v>1217</v>
      </c>
      <c r="D305" s="767" t="s">
        <v>1219</v>
      </c>
      <c r="E305" s="768" t="s">
        <v>486</v>
      </c>
      <c r="F305" s="141">
        <v>32266477</v>
      </c>
      <c r="G305" s="141">
        <v>0</v>
      </c>
      <c r="H305" s="141">
        <v>32266477</v>
      </c>
      <c r="I305" s="141">
        <v>-1129327</v>
      </c>
      <c r="J305" s="141">
        <v>0</v>
      </c>
      <c r="K305" s="141">
        <v>-1129327</v>
      </c>
      <c r="L305" s="141">
        <v>-1451991</v>
      </c>
      <c r="M305" s="141">
        <v>0</v>
      </c>
      <c r="N305" s="141">
        <v>-1451991</v>
      </c>
      <c r="O305" s="141">
        <v>29685159</v>
      </c>
      <c r="P305" s="141">
        <v>0</v>
      </c>
      <c r="Q305" s="141">
        <v>29685159</v>
      </c>
      <c r="R305" s="141">
        <v>0</v>
      </c>
      <c r="S305" s="141">
        <v>0</v>
      </c>
      <c r="T305" s="141">
        <v>0</v>
      </c>
      <c r="U305" s="141">
        <v>0</v>
      </c>
      <c r="V305" s="141">
        <v>0</v>
      </c>
      <c r="W305" s="141">
        <v>0</v>
      </c>
      <c r="X305" s="141">
        <v>0</v>
      </c>
      <c r="Y305" s="141">
        <v>0</v>
      </c>
      <c r="Z305" s="141">
        <v>0</v>
      </c>
      <c r="AA305" s="141">
        <v>0</v>
      </c>
      <c r="AB305" s="141">
        <v>0</v>
      </c>
      <c r="AC305" s="141">
        <v>0</v>
      </c>
      <c r="AD305" s="141">
        <v>0</v>
      </c>
      <c r="AE305" s="141">
        <v>0</v>
      </c>
      <c r="AF305" s="141">
        <v>0</v>
      </c>
      <c r="AG305" s="141">
        <v>0</v>
      </c>
      <c r="AH305" s="141">
        <v>0</v>
      </c>
      <c r="AI305" s="141">
        <v>0</v>
      </c>
      <c r="AJ305" s="141">
        <v>0</v>
      </c>
      <c r="AK305" s="141">
        <v>0</v>
      </c>
      <c r="AL305" s="141">
        <v>0</v>
      </c>
      <c r="AM305" s="141">
        <v>0</v>
      </c>
      <c r="AN305" s="141">
        <v>0</v>
      </c>
      <c r="AO305" s="141">
        <v>0</v>
      </c>
      <c r="AP305" s="856">
        <v>0</v>
      </c>
      <c r="AQ305" s="856">
        <v>0</v>
      </c>
      <c r="AR305" s="857">
        <v>0</v>
      </c>
      <c r="AS305" t="s">
        <v>1871</v>
      </c>
    </row>
    <row r="306" spans="1:45" ht="12.75" x14ac:dyDescent="0.2">
      <c r="A306" s="764">
        <v>299</v>
      </c>
      <c r="B306" s="765" t="s">
        <v>489</v>
      </c>
      <c r="C306" s="766" t="s">
        <v>1217</v>
      </c>
      <c r="D306" s="767" t="s">
        <v>1220</v>
      </c>
      <c r="E306" s="768" t="s">
        <v>488</v>
      </c>
      <c r="F306" s="141">
        <v>17992240</v>
      </c>
      <c r="G306" s="141">
        <v>0</v>
      </c>
      <c r="H306" s="141">
        <v>17992240</v>
      </c>
      <c r="I306" s="141">
        <v>-109000</v>
      </c>
      <c r="J306" s="141">
        <v>0</v>
      </c>
      <c r="K306" s="141">
        <v>-109000</v>
      </c>
      <c r="L306" s="141">
        <v>-496000</v>
      </c>
      <c r="M306" s="141">
        <v>0</v>
      </c>
      <c r="N306" s="141">
        <v>-496000</v>
      </c>
      <c r="O306" s="141">
        <v>17387240</v>
      </c>
      <c r="P306" s="141">
        <v>0</v>
      </c>
      <c r="Q306" s="141">
        <v>17387240</v>
      </c>
      <c r="R306" s="141">
        <v>203281</v>
      </c>
      <c r="S306" s="141">
        <v>0</v>
      </c>
      <c r="T306" s="141">
        <v>203281</v>
      </c>
      <c r="U306" s="141">
        <v>0</v>
      </c>
      <c r="V306" s="141">
        <v>0</v>
      </c>
      <c r="W306" s="141">
        <v>0</v>
      </c>
      <c r="X306" s="141">
        <v>0</v>
      </c>
      <c r="Y306" s="141">
        <v>0</v>
      </c>
      <c r="Z306" s="141">
        <v>0</v>
      </c>
      <c r="AA306" s="141">
        <v>0</v>
      </c>
      <c r="AB306" s="141">
        <v>0</v>
      </c>
      <c r="AC306" s="141">
        <v>0</v>
      </c>
      <c r="AD306" s="141">
        <v>0</v>
      </c>
      <c r="AE306" s="141">
        <v>0</v>
      </c>
      <c r="AF306" s="141">
        <v>0</v>
      </c>
      <c r="AG306" s="141">
        <v>0</v>
      </c>
      <c r="AH306" s="141">
        <v>0</v>
      </c>
      <c r="AI306" s="141">
        <v>0</v>
      </c>
      <c r="AJ306" s="141">
        <v>0</v>
      </c>
      <c r="AK306" s="141">
        <v>0</v>
      </c>
      <c r="AL306" s="141">
        <v>0</v>
      </c>
      <c r="AM306" s="141">
        <v>0</v>
      </c>
      <c r="AN306" s="141">
        <v>0</v>
      </c>
      <c r="AO306" s="141">
        <v>0</v>
      </c>
      <c r="AP306" s="856">
        <v>0</v>
      </c>
      <c r="AQ306" s="856">
        <v>0</v>
      </c>
      <c r="AR306" s="857">
        <v>0</v>
      </c>
      <c r="AS306" t="s">
        <v>1872</v>
      </c>
    </row>
    <row r="307" spans="1:45" ht="12.75" x14ac:dyDescent="0.2">
      <c r="A307" s="764">
        <v>300</v>
      </c>
      <c r="B307" s="765" t="s">
        <v>491</v>
      </c>
      <c r="C307" s="766" t="s">
        <v>1217</v>
      </c>
      <c r="D307" s="767" t="s">
        <v>1218</v>
      </c>
      <c r="E307" s="768" t="s">
        <v>490</v>
      </c>
      <c r="F307" s="141">
        <v>39031922</v>
      </c>
      <c r="G307" s="141">
        <v>0</v>
      </c>
      <c r="H307" s="141">
        <v>39031922</v>
      </c>
      <c r="I307" s="141">
        <v>-100000</v>
      </c>
      <c r="J307" s="141">
        <v>0</v>
      </c>
      <c r="K307" s="141">
        <v>-100000</v>
      </c>
      <c r="L307" s="141">
        <v>-1776038</v>
      </c>
      <c r="M307" s="141">
        <v>0</v>
      </c>
      <c r="N307" s="141">
        <v>-1776038</v>
      </c>
      <c r="O307" s="141">
        <v>37155884</v>
      </c>
      <c r="P307" s="141">
        <v>0</v>
      </c>
      <c r="Q307" s="141">
        <v>37155884</v>
      </c>
      <c r="R307" s="141">
        <v>219573</v>
      </c>
      <c r="S307" s="141">
        <v>0</v>
      </c>
      <c r="T307" s="141">
        <v>219573</v>
      </c>
      <c r="U307" s="141">
        <v>0</v>
      </c>
      <c r="V307" s="141">
        <v>0</v>
      </c>
      <c r="W307" s="141">
        <v>0</v>
      </c>
      <c r="X307" s="141">
        <v>0</v>
      </c>
      <c r="Y307" s="141">
        <v>0</v>
      </c>
      <c r="Z307" s="141">
        <v>0</v>
      </c>
      <c r="AA307" s="141">
        <v>0</v>
      </c>
      <c r="AB307" s="141">
        <v>0</v>
      </c>
      <c r="AC307" s="141">
        <v>0</v>
      </c>
      <c r="AD307" s="141">
        <v>0</v>
      </c>
      <c r="AE307" s="141">
        <v>0</v>
      </c>
      <c r="AF307" s="141">
        <v>0</v>
      </c>
      <c r="AG307" s="141">
        <v>0</v>
      </c>
      <c r="AH307" s="141">
        <v>0</v>
      </c>
      <c r="AI307" s="141">
        <v>0</v>
      </c>
      <c r="AJ307" s="141">
        <v>0</v>
      </c>
      <c r="AK307" s="141">
        <v>0</v>
      </c>
      <c r="AL307" s="141">
        <v>0</v>
      </c>
      <c r="AM307" s="141">
        <v>0</v>
      </c>
      <c r="AN307" s="141">
        <v>0</v>
      </c>
      <c r="AO307" s="141">
        <v>0</v>
      </c>
      <c r="AP307" s="856">
        <v>0</v>
      </c>
      <c r="AQ307" s="856">
        <v>0</v>
      </c>
      <c r="AR307" s="857">
        <v>0</v>
      </c>
      <c r="AS307" t="s">
        <v>1873</v>
      </c>
    </row>
    <row r="308" spans="1:45" ht="12.75" x14ac:dyDescent="0.2">
      <c r="A308" s="764">
        <v>301</v>
      </c>
      <c r="B308" s="765" t="s">
        <v>1152</v>
      </c>
      <c r="C308" s="766" t="s">
        <v>1217</v>
      </c>
      <c r="D308" s="767" t="s">
        <v>1226</v>
      </c>
      <c r="E308" s="768" t="s">
        <v>1151</v>
      </c>
      <c r="F308" s="141">
        <v>73567637</v>
      </c>
      <c r="G308" s="141">
        <v>0</v>
      </c>
      <c r="H308" s="141">
        <v>73567637</v>
      </c>
      <c r="I308" s="141">
        <v>-367838</v>
      </c>
      <c r="J308" s="141">
        <v>0</v>
      </c>
      <c r="K308" s="141">
        <v>-367838</v>
      </c>
      <c r="L308" s="141">
        <v>-3118738</v>
      </c>
      <c r="M308" s="141">
        <v>0</v>
      </c>
      <c r="N308" s="141">
        <v>-3118738</v>
      </c>
      <c r="O308" s="141">
        <v>70081061</v>
      </c>
      <c r="P308" s="141">
        <v>0</v>
      </c>
      <c r="Q308" s="141">
        <v>70081061</v>
      </c>
      <c r="R308" s="141">
        <v>502614</v>
      </c>
      <c r="S308" s="141">
        <v>0</v>
      </c>
      <c r="T308" s="141">
        <v>502614</v>
      </c>
      <c r="U308" s="141">
        <v>0</v>
      </c>
      <c r="V308" s="141">
        <v>0</v>
      </c>
      <c r="W308" s="141">
        <v>0</v>
      </c>
      <c r="X308" s="141">
        <v>0</v>
      </c>
      <c r="Y308" s="141">
        <v>0</v>
      </c>
      <c r="Z308" s="141">
        <v>0</v>
      </c>
      <c r="AA308" s="141">
        <v>0</v>
      </c>
      <c r="AB308" s="141">
        <v>0</v>
      </c>
      <c r="AC308" s="141">
        <v>0</v>
      </c>
      <c r="AD308" s="141">
        <v>0</v>
      </c>
      <c r="AE308" s="141">
        <v>0</v>
      </c>
      <c r="AF308" s="141">
        <v>0</v>
      </c>
      <c r="AG308" s="141">
        <v>0</v>
      </c>
      <c r="AH308" s="141">
        <v>0</v>
      </c>
      <c r="AI308" s="141">
        <v>0</v>
      </c>
      <c r="AJ308" s="141">
        <v>0</v>
      </c>
      <c r="AK308" s="141">
        <v>0</v>
      </c>
      <c r="AL308" s="141">
        <v>0</v>
      </c>
      <c r="AM308" s="141">
        <v>0</v>
      </c>
      <c r="AN308" s="141">
        <v>0</v>
      </c>
      <c r="AO308" s="141">
        <v>0</v>
      </c>
      <c r="AP308" s="856">
        <v>0</v>
      </c>
      <c r="AQ308" s="856">
        <v>0</v>
      </c>
      <c r="AR308" s="857">
        <v>0</v>
      </c>
      <c r="AS308" t="s">
        <v>1874</v>
      </c>
    </row>
    <row r="309" spans="1:45" ht="12.75" x14ac:dyDescent="0.2">
      <c r="A309" s="764">
        <v>302</v>
      </c>
      <c r="B309" s="765" t="s">
        <v>493</v>
      </c>
      <c r="C309" s="766" t="s">
        <v>1228</v>
      </c>
      <c r="D309" s="767" t="s">
        <v>1223</v>
      </c>
      <c r="E309" s="768" t="s">
        <v>492</v>
      </c>
      <c r="F309" s="141">
        <v>2333613055</v>
      </c>
      <c r="G309" s="141">
        <v>0</v>
      </c>
      <c r="H309" s="141">
        <v>2333613055</v>
      </c>
      <c r="I309" s="141">
        <v>-11668065</v>
      </c>
      <c r="J309" s="141">
        <v>0</v>
      </c>
      <c r="K309" s="141">
        <v>-11668065</v>
      </c>
      <c r="L309" s="141">
        <v>-102678974</v>
      </c>
      <c r="M309" s="141">
        <v>0</v>
      </c>
      <c r="N309" s="141">
        <v>-102678974</v>
      </c>
      <c r="O309" s="141">
        <v>2219266016</v>
      </c>
      <c r="P309" s="141">
        <v>0</v>
      </c>
      <c r="Q309" s="141">
        <v>2219266016</v>
      </c>
      <c r="R309" s="141">
        <v>0</v>
      </c>
      <c r="S309" s="141">
        <v>0</v>
      </c>
      <c r="T309" s="141">
        <v>0</v>
      </c>
      <c r="U309" s="141">
        <v>0</v>
      </c>
      <c r="V309" s="141">
        <v>0</v>
      </c>
      <c r="W309" s="141">
        <v>0</v>
      </c>
      <c r="X309" s="141">
        <v>0</v>
      </c>
      <c r="Y309" s="141">
        <v>0</v>
      </c>
      <c r="Z309" s="141">
        <v>0</v>
      </c>
      <c r="AA309" s="141">
        <v>0</v>
      </c>
      <c r="AB309" s="141">
        <v>0</v>
      </c>
      <c r="AC309" s="141">
        <v>0</v>
      </c>
      <c r="AD309" s="141">
        <v>0</v>
      </c>
      <c r="AE309" s="141">
        <v>0</v>
      </c>
      <c r="AF309" s="141">
        <v>0</v>
      </c>
      <c r="AG309" s="141">
        <v>0</v>
      </c>
      <c r="AH309" s="141">
        <v>0</v>
      </c>
      <c r="AI309" s="141">
        <v>0</v>
      </c>
      <c r="AJ309" s="141">
        <v>0</v>
      </c>
      <c r="AK309" s="141">
        <v>0</v>
      </c>
      <c r="AL309" s="141">
        <v>0</v>
      </c>
      <c r="AM309" s="141">
        <v>0</v>
      </c>
      <c r="AN309" s="141">
        <v>0</v>
      </c>
      <c r="AO309" s="141">
        <v>0</v>
      </c>
      <c r="AP309" s="856">
        <v>0</v>
      </c>
      <c r="AQ309" s="856">
        <v>0</v>
      </c>
      <c r="AR309" s="857">
        <v>0</v>
      </c>
      <c r="AS309" t="s">
        <v>1875</v>
      </c>
    </row>
    <row r="310" spans="1:45" ht="12.75" x14ac:dyDescent="0.2">
      <c r="A310" s="764">
        <v>303</v>
      </c>
      <c r="B310" s="765" t="s">
        <v>495</v>
      </c>
      <c r="C310" s="770" t="s">
        <v>1224</v>
      </c>
      <c r="D310" s="771" t="s">
        <v>1219</v>
      </c>
      <c r="E310" s="768" t="s">
        <v>494</v>
      </c>
      <c r="F310" s="141">
        <v>85246755</v>
      </c>
      <c r="G310" s="141">
        <v>0</v>
      </c>
      <c r="H310" s="141">
        <v>85246755</v>
      </c>
      <c r="I310" s="141">
        <v>-798717</v>
      </c>
      <c r="J310" s="141">
        <v>0</v>
      </c>
      <c r="K310" s="141">
        <v>-798717</v>
      </c>
      <c r="L310" s="141">
        <v>-3257432</v>
      </c>
      <c r="M310" s="141">
        <v>0</v>
      </c>
      <c r="N310" s="141">
        <v>-3257432</v>
      </c>
      <c r="O310" s="141">
        <v>81190606</v>
      </c>
      <c r="P310" s="141">
        <v>0</v>
      </c>
      <c r="Q310" s="141">
        <v>81190606</v>
      </c>
      <c r="R310" s="141">
        <v>0</v>
      </c>
      <c r="S310" s="141">
        <v>0</v>
      </c>
      <c r="T310" s="141">
        <v>0</v>
      </c>
      <c r="U310" s="141">
        <v>0</v>
      </c>
      <c r="V310" s="141">
        <v>0</v>
      </c>
      <c r="W310" s="141">
        <v>0</v>
      </c>
      <c r="X310" s="141">
        <v>0</v>
      </c>
      <c r="Y310" s="141">
        <v>0</v>
      </c>
      <c r="Z310" s="141">
        <v>0</v>
      </c>
      <c r="AA310" s="141">
        <v>0</v>
      </c>
      <c r="AB310" s="141">
        <v>0</v>
      </c>
      <c r="AC310" s="141">
        <v>0</v>
      </c>
      <c r="AD310" s="141">
        <v>0</v>
      </c>
      <c r="AE310" s="141">
        <v>0</v>
      </c>
      <c r="AF310" s="141">
        <v>0</v>
      </c>
      <c r="AG310" s="141">
        <v>0</v>
      </c>
      <c r="AH310" s="141">
        <v>0</v>
      </c>
      <c r="AI310" s="141">
        <v>0</v>
      </c>
      <c r="AJ310" s="141">
        <v>0</v>
      </c>
      <c r="AK310" s="141">
        <v>0</v>
      </c>
      <c r="AL310" s="141">
        <v>0</v>
      </c>
      <c r="AM310" s="141">
        <v>0</v>
      </c>
      <c r="AN310" s="141">
        <v>0</v>
      </c>
      <c r="AO310" s="141">
        <v>0</v>
      </c>
      <c r="AP310" s="856">
        <v>0</v>
      </c>
      <c r="AQ310" s="856">
        <v>0</v>
      </c>
      <c r="AR310" s="857">
        <v>0</v>
      </c>
      <c r="AS310" t="s">
        <v>1876</v>
      </c>
    </row>
    <row r="311" spans="1:45" ht="12.75" x14ac:dyDescent="0.2">
      <c r="A311" s="764">
        <v>304</v>
      </c>
      <c r="B311" s="765" t="s">
        <v>497</v>
      </c>
      <c r="C311" s="766" t="s">
        <v>529</v>
      </c>
      <c r="D311" s="767" t="s">
        <v>1226</v>
      </c>
      <c r="E311" s="768" t="s">
        <v>496</v>
      </c>
      <c r="F311" s="141">
        <v>153520927</v>
      </c>
      <c r="G311" s="141">
        <v>0</v>
      </c>
      <c r="H311" s="141">
        <v>153520927</v>
      </c>
      <c r="I311" s="141">
        <v>-767605</v>
      </c>
      <c r="J311" s="141">
        <v>0</v>
      </c>
      <c r="K311" s="141">
        <v>-767605</v>
      </c>
      <c r="L311" s="141">
        <v>-1919012</v>
      </c>
      <c r="M311" s="141">
        <v>0</v>
      </c>
      <c r="N311" s="141">
        <v>-1919012</v>
      </c>
      <c r="O311" s="141">
        <v>150834310</v>
      </c>
      <c r="P311" s="141">
        <v>0</v>
      </c>
      <c r="Q311" s="141">
        <v>150834310</v>
      </c>
      <c r="R311" s="141">
        <v>1494009</v>
      </c>
      <c r="S311" s="141">
        <v>0</v>
      </c>
      <c r="T311" s="141">
        <v>1494009</v>
      </c>
      <c r="U311" s="141">
        <v>0</v>
      </c>
      <c r="V311" s="141">
        <v>0</v>
      </c>
      <c r="W311" s="141">
        <v>0</v>
      </c>
      <c r="X311" s="141">
        <v>0</v>
      </c>
      <c r="Y311" s="141">
        <v>0</v>
      </c>
      <c r="Z311" s="141">
        <v>0</v>
      </c>
      <c r="AA311" s="141">
        <v>0</v>
      </c>
      <c r="AB311" s="141">
        <v>0</v>
      </c>
      <c r="AC311" s="141">
        <v>0</v>
      </c>
      <c r="AD311" s="141">
        <v>0</v>
      </c>
      <c r="AE311" s="141">
        <v>0</v>
      </c>
      <c r="AF311" s="141">
        <v>0</v>
      </c>
      <c r="AG311" s="141">
        <v>0</v>
      </c>
      <c r="AH311" s="141">
        <v>0</v>
      </c>
      <c r="AI311" s="141">
        <v>0</v>
      </c>
      <c r="AJ311" s="141">
        <v>0</v>
      </c>
      <c r="AK311" s="141">
        <v>0</v>
      </c>
      <c r="AL311" s="141">
        <v>0</v>
      </c>
      <c r="AM311" s="141">
        <v>0</v>
      </c>
      <c r="AN311" s="141">
        <v>0</v>
      </c>
      <c r="AO311" s="141">
        <v>0</v>
      </c>
      <c r="AP311" s="856">
        <v>0</v>
      </c>
      <c r="AQ311" s="856">
        <v>0</v>
      </c>
      <c r="AR311" s="857">
        <v>0</v>
      </c>
      <c r="AS311" t="s">
        <v>1877</v>
      </c>
    </row>
    <row r="312" spans="1:45" ht="12.75" x14ac:dyDescent="0.2">
      <c r="A312" s="764">
        <v>305</v>
      </c>
      <c r="B312" s="765" t="s">
        <v>499</v>
      </c>
      <c r="C312" s="766" t="s">
        <v>1217</v>
      </c>
      <c r="D312" s="767" t="s">
        <v>1218</v>
      </c>
      <c r="E312" s="768" t="s">
        <v>498</v>
      </c>
      <c r="F312" s="141">
        <v>63788190</v>
      </c>
      <c r="G312" s="141">
        <v>0</v>
      </c>
      <c r="H312" s="141">
        <v>63788190</v>
      </c>
      <c r="I312" s="141">
        <v>-319000</v>
      </c>
      <c r="J312" s="141">
        <v>0</v>
      </c>
      <c r="K312" s="141">
        <v>-319000</v>
      </c>
      <c r="L312" s="141">
        <v>-2998045</v>
      </c>
      <c r="M312" s="141">
        <v>0</v>
      </c>
      <c r="N312" s="141">
        <v>-2998045</v>
      </c>
      <c r="O312" s="141">
        <v>60471145</v>
      </c>
      <c r="P312" s="141">
        <v>0</v>
      </c>
      <c r="Q312" s="141">
        <v>60471145</v>
      </c>
      <c r="R312" s="141">
        <v>287000</v>
      </c>
      <c r="S312" s="141">
        <v>0</v>
      </c>
      <c r="T312" s="141">
        <v>287000</v>
      </c>
      <c r="U312" s="141">
        <v>0</v>
      </c>
      <c r="V312" s="141">
        <v>0</v>
      </c>
      <c r="W312" s="141">
        <v>0</v>
      </c>
      <c r="X312" s="141">
        <v>0</v>
      </c>
      <c r="Y312" s="141">
        <v>0</v>
      </c>
      <c r="Z312" s="141">
        <v>0</v>
      </c>
      <c r="AA312" s="141">
        <v>0</v>
      </c>
      <c r="AB312" s="141">
        <v>0</v>
      </c>
      <c r="AC312" s="141">
        <v>0</v>
      </c>
      <c r="AD312" s="141">
        <v>0</v>
      </c>
      <c r="AE312" s="141">
        <v>0</v>
      </c>
      <c r="AF312" s="141">
        <v>0</v>
      </c>
      <c r="AG312" s="141">
        <v>0</v>
      </c>
      <c r="AH312" s="141">
        <v>0</v>
      </c>
      <c r="AI312" s="141">
        <v>0</v>
      </c>
      <c r="AJ312" s="141">
        <v>0</v>
      </c>
      <c r="AK312" s="141">
        <v>0</v>
      </c>
      <c r="AL312" s="141">
        <v>0</v>
      </c>
      <c r="AM312" s="141">
        <v>0</v>
      </c>
      <c r="AN312" s="141">
        <v>0</v>
      </c>
      <c r="AO312" s="141">
        <v>0</v>
      </c>
      <c r="AP312" s="856">
        <v>0</v>
      </c>
      <c r="AQ312" s="856">
        <v>0</v>
      </c>
      <c r="AR312" s="857">
        <v>0</v>
      </c>
      <c r="AS312" t="s">
        <v>1878</v>
      </c>
    </row>
    <row r="313" spans="1:45" ht="12.75" x14ac:dyDescent="0.2">
      <c r="A313" s="764">
        <v>306</v>
      </c>
      <c r="B313" s="765" t="s">
        <v>501</v>
      </c>
      <c r="C313" s="766" t="s">
        <v>529</v>
      </c>
      <c r="D313" s="767" t="s">
        <v>1218</v>
      </c>
      <c r="E313" s="768" t="s">
        <v>894</v>
      </c>
      <c r="F313" s="141">
        <v>94306308</v>
      </c>
      <c r="G313" s="141">
        <v>0</v>
      </c>
      <c r="H313" s="141">
        <v>94306308</v>
      </c>
      <c r="I313" s="141">
        <v>-179759</v>
      </c>
      <c r="J313" s="141">
        <v>0</v>
      </c>
      <c r="K313" s="141">
        <v>-179759</v>
      </c>
      <c r="L313" s="141">
        <v>-131117</v>
      </c>
      <c r="M313" s="141">
        <v>0</v>
      </c>
      <c r="N313" s="141">
        <v>-131117</v>
      </c>
      <c r="O313" s="141">
        <v>93995432</v>
      </c>
      <c r="P313" s="141">
        <v>0</v>
      </c>
      <c r="Q313" s="141">
        <v>93995432</v>
      </c>
      <c r="R313" s="141">
        <v>13361</v>
      </c>
      <c r="S313" s="141">
        <v>0</v>
      </c>
      <c r="T313" s="141">
        <v>13361</v>
      </c>
      <c r="U313" s="141">
        <v>0</v>
      </c>
      <c r="V313" s="141">
        <v>0</v>
      </c>
      <c r="W313" s="141">
        <v>0</v>
      </c>
      <c r="X313" s="141">
        <v>0</v>
      </c>
      <c r="Y313" s="141">
        <v>0</v>
      </c>
      <c r="Z313" s="141">
        <v>0</v>
      </c>
      <c r="AA313" s="141">
        <v>0</v>
      </c>
      <c r="AB313" s="141">
        <v>0</v>
      </c>
      <c r="AC313" s="141">
        <v>0</v>
      </c>
      <c r="AD313" s="141">
        <v>0</v>
      </c>
      <c r="AE313" s="141">
        <v>0</v>
      </c>
      <c r="AF313" s="141">
        <v>0</v>
      </c>
      <c r="AG313" s="141">
        <v>0</v>
      </c>
      <c r="AH313" s="141">
        <v>0</v>
      </c>
      <c r="AI313" s="141">
        <v>0</v>
      </c>
      <c r="AJ313" s="141">
        <v>0</v>
      </c>
      <c r="AK313" s="141">
        <v>0</v>
      </c>
      <c r="AL313" s="141">
        <v>0</v>
      </c>
      <c r="AM313" s="141">
        <v>0</v>
      </c>
      <c r="AN313" s="141">
        <v>0</v>
      </c>
      <c r="AO313" s="141">
        <v>0</v>
      </c>
      <c r="AP313" s="856">
        <v>0</v>
      </c>
      <c r="AQ313" s="856">
        <v>0</v>
      </c>
      <c r="AR313" s="857">
        <v>0</v>
      </c>
      <c r="AS313" t="s">
        <v>1879</v>
      </c>
    </row>
    <row r="314" spans="1:45" ht="12.75" x14ac:dyDescent="0.2">
      <c r="A314" s="764">
        <v>307</v>
      </c>
      <c r="B314" s="765" t="s">
        <v>503</v>
      </c>
      <c r="C314" s="766" t="s">
        <v>1224</v>
      </c>
      <c r="D314" s="767" t="s">
        <v>1219</v>
      </c>
      <c r="E314" s="768" t="s">
        <v>502</v>
      </c>
      <c r="F314" s="141">
        <v>73628351</v>
      </c>
      <c r="G314" s="141">
        <v>915987</v>
      </c>
      <c r="H314" s="141">
        <v>74544338</v>
      </c>
      <c r="I314" s="141">
        <v>-1100000</v>
      </c>
      <c r="J314" s="141">
        <v>0</v>
      </c>
      <c r="K314" s="141">
        <v>-1100000</v>
      </c>
      <c r="L314" s="141">
        <v>-2500000</v>
      </c>
      <c r="M314" s="141">
        <v>0</v>
      </c>
      <c r="N314" s="141">
        <v>-2500000</v>
      </c>
      <c r="O314" s="141">
        <v>70028351</v>
      </c>
      <c r="P314" s="141">
        <v>915987</v>
      </c>
      <c r="Q314" s="141">
        <v>70944338</v>
      </c>
      <c r="R314" s="141">
        <v>0</v>
      </c>
      <c r="S314" s="141">
        <v>0</v>
      </c>
      <c r="T314" s="141">
        <v>0</v>
      </c>
      <c r="U314" s="141">
        <v>0</v>
      </c>
      <c r="V314" s="141">
        <v>0</v>
      </c>
      <c r="W314" s="141">
        <v>0</v>
      </c>
      <c r="X314" s="141">
        <v>-2762</v>
      </c>
      <c r="Y314" s="141">
        <v>924779</v>
      </c>
      <c r="Z314" s="141">
        <v>3211</v>
      </c>
      <c r="AA314" s="141">
        <v>3211</v>
      </c>
      <c r="AB314" s="141">
        <v>0</v>
      </c>
      <c r="AC314" s="141">
        <v>76307</v>
      </c>
      <c r="AD314" s="141">
        <v>76307</v>
      </c>
      <c r="AE314" s="141">
        <v>0</v>
      </c>
      <c r="AF314" s="141">
        <v>0</v>
      </c>
      <c r="AG314" s="141">
        <v>0</v>
      </c>
      <c r="AH314" s="141">
        <v>0</v>
      </c>
      <c r="AI314" s="141">
        <v>0</v>
      </c>
      <c r="AJ314" s="141">
        <v>0</v>
      </c>
      <c r="AK314" s="141">
        <v>0</v>
      </c>
      <c r="AL314" s="141">
        <v>0</v>
      </c>
      <c r="AM314" s="141">
        <v>0</v>
      </c>
      <c r="AN314" s="141">
        <v>0</v>
      </c>
      <c r="AO314" s="141">
        <v>0</v>
      </c>
      <c r="AP314" s="856">
        <v>0</v>
      </c>
      <c r="AQ314" s="856">
        <v>0</v>
      </c>
      <c r="AR314" s="857">
        <v>0</v>
      </c>
      <c r="AS314" t="s">
        <v>1880</v>
      </c>
    </row>
    <row r="315" spans="1:45" ht="12.75" x14ac:dyDescent="0.2">
      <c r="A315" s="764">
        <v>308</v>
      </c>
      <c r="B315" s="765" t="s">
        <v>505</v>
      </c>
      <c r="C315" s="766" t="s">
        <v>1217</v>
      </c>
      <c r="D315" s="767" t="s">
        <v>1218</v>
      </c>
      <c r="E315" s="768" t="s">
        <v>504</v>
      </c>
      <c r="F315" s="141">
        <v>48444791</v>
      </c>
      <c r="G315" s="141">
        <v>0</v>
      </c>
      <c r="H315" s="141">
        <v>48444791</v>
      </c>
      <c r="I315" s="141">
        <v>-500000</v>
      </c>
      <c r="J315" s="141">
        <v>0</v>
      </c>
      <c r="K315" s="141">
        <v>-500000</v>
      </c>
      <c r="L315" s="141">
        <v>-2276881</v>
      </c>
      <c r="M315" s="141">
        <v>0</v>
      </c>
      <c r="N315" s="141">
        <v>-2276881</v>
      </c>
      <c r="O315" s="141">
        <v>45667910</v>
      </c>
      <c r="P315" s="141">
        <v>0</v>
      </c>
      <c r="Q315" s="141">
        <v>45667910</v>
      </c>
      <c r="R315" s="141">
        <v>0</v>
      </c>
      <c r="S315" s="141">
        <v>0</v>
      </c>
      <c r="T315" s="141">
        <v>0</v>
      </c>
      <c r="U315" s="141">
        <v>0</v>
      </c>
      <c r="V315" s="141">
        <v>0</v>
      </c>
      <c r="W315" s="141">
        <v>0</v>
      </c>
      <c r="X315" s="141">
        <v>0</v>
      </c>
      <c r="Y315" s="141">
        <v>0</v>
      </c>
      <c r="Z315" s="141">
        <v>0</v>
      </c>
      <c r="AA315" s="141">
        <v>0</v>
      </c>
      <c r="AB315" s="141">
        <v>0</v>
      </c>
      <c r="AC315" s="141">
        <v>0</v>
      </c>
      <c r="AD315" s="141">
        <v>0</v>
      </c>
      <c r="AE315" s="141">
        <v>0</v>
      </c>
      <c r="AF315" s="141">
        <v>0</v>
      </c>
      <c r="AG315" s="141">
        <v>0</v>
      </c>
      <c r="AH315" s="141">
        <v>0</v>
      </c>
      <c r="AI315" s="141">
        <v>0</v>
      </c>
      <c r="AJ315" s="141">
        <v>0</v>
      </c>
      <c r="AK315" s="141">
        <v>0</v>
      </c>
      <c r="AL315" s="141">
        <v>0</v>
      </c>
      <c r="AM315" s="141">
        <v>0</v>
      </c>
      <c r="AN315" s="141">
        <v>0</v>
      </c>
      <c r="AO315" s="141">
        <v>0</v>
      </c>
      <c r="AP315" s="856">
        <v>0</v>
      </c>
      <c r="AQ315" s="856">
        <v>0</v>
      </c>
      <c r="AR315" s="857">
        <v>0</v>
      </c>
      <c r="AS315" t="s">
        <v>1881</v>
      </c>
    </row>
    <row r="316" spans="1:45" ht="12.75" x14ac:dyDescent="0.2">
      <c r="A316" s="764">
        <v>309</v>
      </c>
      <c r="B316" s="765" t="s">
        <v>507</v>
      </c>
      <c r="C316" s="766" t="s">
        <v>529</v>
      </c>
      <c r="D316" s="767" t="s">
        <v>1218</v>
      </c>
      <c r="E316" s="768" t="s">
        <v>541</v>
      </c>
      <c r="F316" s="141">
        <v>76229173</v>
      </c>
      <c r="G316" s="141">
        <v>0</v>
      </c>
      <c r="H316" s="141">
        <v>76229173</v>
      </c>
      <c r="I316" s="141">
        <v>-500000</v>
      </c>
      <c r="J316" s="141">
        <v>0</v>
      </c>
      <c r="K316" s="141">
        <v>-500000</v>
      </c>
      <c r="L316" s="141">
        <v>-1070000</v>
      </c>
      <c r="M316" s="141">
        <v>0</v>
      </c>
      <c r="N316" s="141">
        <v>-1070000</v>
      </c>
      <c r="O316" s="141">
        <v>74659173</v>
      </c>
      <c r="P316" s="141">
        <v>0</v>
      </c>
      <c r="Q316" s="141">
        <v>74659173</v>
      </c>
      <c r="R316" s="141">
        <v>12734</v>
      </c>
      <c r="S316" s="141">
        <v>0</v>
      </c>
      <c r="T316" s="141">
        <v>12734</v>
      </c>
      <c r="U316" s="141">
        <v>0</v>
      </c>
      <c r="V316" s="141">
        <v>0</v>
      </c>
      <c r="W316" s="141">
        <v>0</v>
      </c>
      <c r="X316" s="141">
        <v>0</v>
      </c>
      <c r="Y316" s="141">
        <v>0</v>
      </c>
      <c r="Z316" s="141">
        <v>0</v>
      </c>
      <c r="AA316" s="141">
        <v>0</v>
      </c>
      <c r="AB316" s="141">
        <v>0</v>
      </c>
      <c r="AC316" s="141">
        <v>0</v>
      </c>
      <c r="AD316" s="141">
        <v>0</v>
      </c>
      <c r="AE316" s="141">
        <v>0</v>
      </c>
      <c r="AF316" s="141">
        <v>0</v>
      </c>
      <c r="AG316" s="141">
        <v>0</v>
      </c>
      <c r="AH316" s="141">
        <v>0</v>
      </c>
      <c r="AI316" s="141">
        <v>0</v>
      </c>
      <c r="AJ316" s="141">
        <v>0</v>
      </c>
      <c r="AK316" s="141">
        <v>0</v>
      </c>
      <c r="AL316" s="141">
        <v>0</v>
      </c>
      <c r="AM316" s="141">
        <v>0</v>
      </c>
      <c r="AN316" s="141">
        <v>0</v>
      </c>
      <c r="AO316" s="141">
        <v>0</v>
      </c>
      <c r="AP316" s="856">
        <v>0</v>
      </c>
      <c r="AQ316" s="856">
        <v>0</v>
      </c>
      <c r="AR316" s="857">
        <v>0</v>
      </c>
      <c r="AS316" t="s">
        <v>1882</v>
      </c>
    </row>
    <row r="317" spans="1:45" ht="12.75" x14ac:dyDescent="0.2">
      <c r="A317" s="764">
        <v>310</v>
      </c>
      <c r="B317" s="765" t="s">
        <v>509</v>
      </c>
      <c r="C317" s="766" t="s">
        <v>1224</v>
      </c>
      <c r="D317" s="767" t="s">
        <v>1227</v>
      </c>
      <c r="E317" s="768" t="s">
        <v>508</v>
      </c>
      <c r="F317" s="141">
        <v>75573283</v>
      </c>
      <c r="G317" s="141">
        <v>184125</v>
      </c>
      <c r="H317" s="141">
        <v>75757408</v>
      </c>
      <c r="I317" s="141">
        <v>-1236000</v>
      </c>
      <c r="J317" s="141">
        <v>0</v>
      </c>
      <c r="K317" s="141">
        <v>-1236000</v>
      </c>
      <c r="L317" s="141">
        <v>-1200000</v>
      </c>
      <c r="M317" s="141">
        <v>0</v>
      </c>
      <c r="N317" s="141">
        <v>-1200000</v>
      </c>
      <c r="O317" s="141">
        <v>73137283</v>
      </c>
      <c r="P317" s="141">
        <v>184125</v>
      </c>
      <c r="Q317" s="141">
        <v>73321408</v>
      </c>
      <c r="R317" s="141">
        <v>5033</v>
      </c>
      <c r="S317" s="141">
        <v>0</v>
      </c>
      <c r="T317" s="141">
        <v>5033</v>
      </c>
      <c r="U317" s="141">
        <v>0</v>
      </c>
      <c r="V317" s="141">
        <v>0</v>
      </c>
      <c r="W317" s="141">
        <v>0</v>
      </c>
      <c r="X317" s="141">
        <v>0</v>
      </c>
      <c r="Y317" s="141">
        <v>102986</v>
      </c>
      <c r="Z317" s="141">
        <v>81139</v>
      </c>
      <c r="AA317" s="141">
        <v>81139</v>
      </c>
      <c r="AB317" s="141">
        <v>0</v>
      </c>
      <c r="AC317" s="141">
        <v>8715</v>
      </c>
      <c r="AD317" s="141">
        <v>8715</v>
      </c>
      <c r="AE317" s="141">
        <v>0</v>
      </c>
      <c r="AF317" s="141">
        <v>0</v>
      </c>
      <c r="AG317" s="141">
        <v>0</v>
      </c>
      <c r="AH317" s="141">
        <v>0</v>
      </c>
      <c r="AI317" s="141">
        <v>0</v>
      </c>
      <c r="AJ317" s="141">
        <v>0</v>
      </c>
      <c r="AK317" s="141">
        <v>0</v>
      </c>
      <c r="AL317" s="141">
        <v>0</v>
      </c>
      <c r="AM317" s="141">
        <v>0</v>
      </c>
      <c r="AN317" s="141">
        <v>0</v>
      </c>
      <c r="AO317" s="141">
        <v>0</v>
      </c>
      <c r="AP317" s="856">
        <v>0</v>
      </c>
      <c r="AQ317" s="856">
        <v>0</v>
      </c>
      <c r="AR317" s="857">
        <v>0</v>
      </c>
      <c r="AS317" t="s">
        <v>1883</v>
      </c>
    </row>
    <row r="318" spans="1:45" ht="12.75" x14ac:dyDescent="0.2">
      <c r="A318" s="764">
        <v>311</v>
      </c>
      <c r="B318" s="765" t="s">
        <v>511</v>
      </c>
      <c r="C318" s="766" t="s">
        <v>1217</v>
      </c>
      <c r="D318" s="767" t="s">
        <v>1227</v>
      </c>
      <c r="E318" s="768" t="s">
        <v>510</v>
      </c>
      <c r="F318" s="141">
        <v>41022727</v>
      </c>
      <c r="G318" s="141">
        <v>0</v>
      </c>
      <c r="H318" s="141">
        <v>41022727</v>
      </c>
      <c r="I318" s="141">
        <v>-410227</v>
      </c>
      <c r="J318" s="141">
        <v>0</v>
      </c>
      <c r="K318" s="141">
        <v>-410227</v>
      </c>
      <c r="L318" s="141">
        <v>-1928068</v>
      </c>
      <c r="M318" s="141">
        <v>0</v>
      </c>
      <c r="N318" s="141">
        <v>-1928068</v>
      </c>
      <c r="O318" s="141">
        <v>38684432</v>
      </c>
      <c r="P318" s="141">
        <v>0</v>
      </c>
      <c r="Q318" s="141">
        <v>38684432</v>
      </c>
      <c r="R318" s="141">
        <v>4075</v>
      </c>
      <c r="S318" s="141">
        <v>0</v>
      </c>
      <c r="T318" s="141">
        <v>4075</v>
      </c>
      <c r="U318" s="141">
        <v>0</v>
      </c>
      <c r="V318" s="141">
        <v>0</v>
      </c>
      <c r="W318" s="141">
        <v>0</v>
      </c>
      <c r="X318" s="141">
        <v>0</v>
      </c>
      <c r="Y318" s="141">
        <v>0</v>
      </c>
      <c r="Z318" s="141">
        <v>0</v>
      </c>
      <c r="AA318" s="141">
        <v>0</v>
      </c>
      <c r="AB318" s="141">
        <v>0</v>
      </c>
      <c r="AC318" s="141">
        <v>0</v>
      </c>
      <c r="AD318" s="141">
        <v>0</v>
      </c>
      <c r="AE318" s="141">
        <v>0</v>
      </c>
      <c r="AF318" s="141">
        <v>0</v>
      </c>
      <c r="AG318" s="141">
        <v>0</v>
      </c>
      <c r="AH318" s="141">
        <v>0</v>
      </c>
      <c r="AI318" s="141">
        <v>0</v>
      </c>
      <c r="AJ318" s="141">
        <v>0</v>
      </c>
      <c r="AK318" s="141">
        <v>0</v>
      </c>
      <c r="AL318" s="141">
        <v>0</v>
      </c>
      <c r="AM318" s="141">
        <v>0</v>
      </c>
      <c r="AN318" s="141">
        <v>0</v>
      </c>
      <c r="AO318" s="141">
        <v>0</v>
      </c>
      <c r="AP318" s="856">
        <v>0</v>
      </c>
      <c r="AQ318" s="856">
        <v>0</v>
      </c>
      <c r="AR318" s="857">
        <v>0</v>
      </c>
      <c r="AS318" t="s">
        <v>1884</v>
      </c>
    </row>
    <row r="319" spans="1:45" ht="12.75" x14ac:dyDescent="0.2">
      <c r="A319" s="764">
        <v>312</v>
      </c>
      <c r="B319" s="769" t="s">
        <v>513</v>
      </c>
      <c r="C319" s="766" t="s">
        <v>1217</v>
      </c>
      <c r="D319" s="767" t="s">
        <v>1218</v>
      </c>
      <c r="E319" s="772" t="s">
        <v>512</v>
      </c>
      <c r="F319" s="141">
        <v>33035665</v>
      </c>
      <c r="G319" s="141">
        <v>0</v>
      </c>
      <c r="H319" s="141">
        <v>33035665</v>
      </c>
      <c r="I319" s="141">
        <v>-100000</v>
      </c>
      <c r="J319" s="141">
        <v>0</v>
      </c>
      <c r="K319" s="141">
        <v>-100000</v>
      </c>
      <c r="L319" s="141">
        <v>-400000</v>
      </c>
      <c r="M319" s="141">
        <v>0</v>
      </c>
      <c r="N319" s="141">
        <v>-400000</v>
      </c>
      <c r="O319" s="141">
        <v>32535665</v>
      </c>
      <c r="P319" s="141">
        <v>0</v>
      </c>
      <c r="Q319" s="141">
        <v>32535665</v>
      </c>
      <c r="R319" s="141">
        <v>0</v>
      </c>
      <c r="S319" s="141">
        <v>0</v>
      </c>
      <c r="T319" s="141">
        <v>0</v>
      </c>
      <c r="U319" s="141">
        <v>0</v>
      </c>
      <c r="V319" s="141">
        <v>0</v>
      </c>
      <c r="W319" s="141">
        <v>0</v>
      </c>
      <c r="X319" s="141">
        <v>0</v>
      </c>
      <c r="Y319" s="141">
        <v>0</v>
      </c>
      <c r="Z319" s="141">
        <v>0</v>
      </c>
      <c r="AA319" s="141">
        <v>0</v>
      </c>
      <c r="AB319" s="141">
        <v>0</v>
      </c>
      <c r="AC319" s="141">
        <v>0</v>
      </c>
      <c r="AD319" s="141">
        <v>0</v>
      </c>
      <c r="AE319" s="141">
        <v>0</v>
      </c>
      <c r="AF319" s="141">
        <v>0</v>
      </c>
      <c r="AG319" s="141">
        <v>0</v>
      </c>
      <c r="AH319" s="141">
        <v>0</v>
      </c>
      <c r="AI319" s="141">
        <v>0</v>
      </c>
      <c r="AJ319" s="141">
        <v>0</v>
      </c>
      <c r="AK319" s="141">
        <v>0</v>
      </c>
      <c r="AL319" s="141">
        <v>0</v>
      </c>
      <c r="AM319" s="141">
        <v>0</v>
      </c>
      <c r="AN319" s="141">
        <v>0</v>
      </c>
      <c r="AO319" s="141">
        <v>0</v>
      </c>
      <c r="AP319" s="856">
        <v>0</v>
      </c>
      <c r="AQ319" s="856">
        <v>0</v>
      </c>
      <c r="AR319" s="857">
        <v>0</v>
      </c>
      <c r="AS319" t="s">
        <v>1885</v>
      </c>
    </row>
    <row r="320" spans="1:45" ht="12.75" x14ac:dyDescent="0.2">
      <c r="A320" s="764">
        <v>313</v>
      </c>
      <c r="B320" s="765" t="s">
        <v>515</v>
      </c>
      <c r="C320" s="766" t="s">
        <v>1217</v>
      </c>
      <c r="D320" s="767" t="s">
        <v>1227</v>
      </c>
      <c r="E320" s="768" t="s">
        <v>514</v>
      </c>
      <c r="F320" s="141">
        <v>42446841</v>
      </c>
      <c r="G320" s="141">
        <v>0</v>
      </c>
      <c r="H320" s="141">
        <v>42446841</v>
      </c>
      <c r="I320" s="141">
        <v>-424468</v>
      </c>
      <c r="J320" s="141">
        <v>0</v>
      </c>
      <c r="K320" s="141">
        <v>-424468</v>
      </c>
      <c r="L320" s="141">
        <v>-1995002</v>
      </c>
      <c r="M320" s="141">
        <v>0</v>
      </c>
      <c r="N320" s="141">
        <v>-1995002</v>
      </c>
      <c r="O320" s="141">
        <v>40027371</v>
      </c>
      <c r="P320" s="141">
        <v>0</v>
      </c>
      <c r="Q320" s="141">
        <v>40027371</v>
      </c>
      <c r="R320" s="141">
        <v>375487</v>
      </c>
      <c r="S320" s="141">
        <v>0</v>
      </c>
      <c r="T320" s="141">
        <v>375487</v>
      </c>
      <c r="U320" s="141">
        <v>0</v>
      </c>
      <c r="V320" s="141">
        <v>0</v>
      </c>
      <c r="W320" s="141">
        <v>0</v>
      </c>
      <c r="X320" s="141">
        <v>0</v>
      </c>
      <c r="Y320" s="141">
        <v>0</v>
      </c>
      <c r="Z320" s="141">
        <v>0</v>
      </c>
      <c r="AA320" s="141">
        <v>0</v>
      </c>
      <c r="AB320" s="141">
        <v>0</v>
      </c>
      <c r="AC320" s="141">
        <v>0</v>
      </c>
      <c r="AD320" s="141">
        <v>0</v>
      </c>
      <c r="AE320" s="141">
        <v>0</v>
      </c>
      <c r="AF320" s="141">
        <v>0</v>
      </c>
      <c r="AG320" s="141">
        <v>0</v>
      </c>
      <c r="AH320" s="141">
        <v>0</v>
      </c>
      <c r="AI320" s="141">
        <v>0</v>
      </c>
      <c r="AJ320" s="141">
        <v>0</v>
      </c>
      <c r="AK320" s="141">
        <v>0</v>
      </c>
      <c r="AL320" s="141">
        <v>0</v>
      </c>
      <c r="AM320" s="141">
        <v>0</v>
      </c>
      <c r="AN320" s="141">
        <v>0</v>
      </c>
      <c r="AO320" s="141">
        <v>0</v>
      </c>
      <c r="AP320" s="856">
        <v>0</v>
      </c>
      <c r="AQ320" s="856">
        <v>0</v>
      </c>
      <c r="AR320" s="857">
        <v>0</v>
      </c>
      <c r="AS320" t="s">
        <v>1886</v>
      </c>
    </row>
    <row r="321" spans="1:45" ht="12.75" x14ac:dyDescent="0.2">
      <c r="A321" s="764">
        <v>314</v>
      </c>
      <c r="B321" s="765" t="s">
        <v>517</v>
      </c>
      <c r="C321" s="766" t="s">
        <v>1217</v>
      </c>
      <c r="D321" s="767" t="s">
        <v>1218</v>
      </c>
      <c r="E321" s="768" t="s">
        <v>516</v>
      </c>
      <c r="F321" s="141">
        <v>74205946</v>
      </c>
      <c r="G321" s="141">
        <v>0</v>
      </c>
      <c r="H321" s="141">
        <v>74205946</v>
      </c>
      <c r="I321" s="141">
        <v>-542000</v>
      </c>
      <c r="J321" s="141">
        <v>0</v>
      </c>
      <c r="K321" s="141">
        <v>-542000</v>
      </c>
      <c r="L321" s="141">
        <v>0</v>
      </c>
      <c r="M321" s="141">
        <v>0</v>
      </c>
      <c r="N321" s="141">
        <v>0</v>
      </c>
      <c r="O321" s="141">
        <v>73663946</v>
      </c>
      <c r="P321" s="141">
        <v>0</v>
      </c>
      <c r="Q321" s="141">
        <v>73663946</v>
      </c>
      <c r="R321" s="141">
        <v>0</v>
      </c>
      <c r="S321" s="141">
        <v>0</v>
      </c>
      <c r="T321" s="141">
        <v>0</v>
      </c>
      <c r="U321" s="141">
        <v>0</v>
      </c>
      <c r="V321" s="141">
        <v>0</v>
      </c>
      <c r="W321" s="141">
        <v>0</v>
      </c>
      <c r="X321" s="141">
        <v>0</v>
      </c>
      <c r="Y321" s="141">
        <v>0</v>
      </c>
      <c r="Z321" s="141">
        <v>0</v>
      </c>
      <c r="AA321" s="141">
        <v>0</v>
      </c>
      <c r="AB321" s="141">
        <v>0</v>
      </c>
      <c r="AC321" s="141">
        <v>0</v>
      </c>
      <c r="AD321" s="141">
        <v>0</v>
      </c>
      <c r="AE321" s="141">
        <v>0</v>
      </c>
      <c r="AF321" s="141">
        <v>0</v>
      </c>
      <c r="AG321" s="141">
        <v>0</v>
      </c>
      <c r="AH321" s="141">
        <v>0</v>
      </c>
      <c r="AI321" s="141">
        <v>0</v>
      </c>
      <c r="AJ321" s="141">
        <v>0</v>
      </c>
      <c r="AK321" s="141">
        <v>0</v>
      </c>
      <c r="AL321" s="141">
        <v>0</v>
      </c>
      <c r="AM321" s="141">
        <v>0</v>
      </c>
      <c r="AN321" s="141">
        <v>0</v>
      </c>
      <c r="AO321" s="141">
        <v>0</v>
      </c>
      <c r="AP321" s="856">
        <v>0</v>
      </c>
      <c r="AQ321" s="856">
        <v>0</v>
      </c>
      <c r="AR321" s="857">
        <v>0</v>
      </c>
      <c r="AS321" t="s">
        <v>1887</v>
      </c>
    </row>
    <row r="322" spans="1:45" ht="12.75" x14ac:dyDescent="0.2">
      <c r="A322" s="764">
        <v>315</v>
      </c>
      <c r="B322" s="765" t="s">
        <v>519</v>
      </c>
      <c r="C322" s="766" t="s">
        <v>1217</v>
      </c>
      <c r="D322" s="767" t="s">
        <v>1219</v>
      </c>
      <c r="E322" s="768" t="s">
        <v>518</v>
      </c>
      <c r="F322" s="141">
        <v>24363413</v>
      </c>
      <c r="G322" s="141">
        <v>3111410</v>
      </c>
      <c r="H322" s="141">
        <v>27474823</v>
      </c>
      <c r="I322" s="141">
        <v>-194907</v>
      </c>
      <c r="J322" s="141">
        <v>-24891</v>
      </c>
      <c r="K322" s="141">
        <v>-219798</v>
      </c>
      <c r="L322" s="141">
        <v>-905080</v>
      </c>
      <c r="M322" s="141">
        <v>-386236</v>
      </c>
      <c r="N322" s="141">
        <v>-1291316</v>
      </c>
      <c r="O322" s="141">
        <v>23263426</v>
      </c>
      <c r="P322" s="141">
        <v>2700283</v>
      </c>
      <c r="Q322" s="141">
        <v>25963709</v>
      </c>
      <c r="R322" s="141">
        <v>0</v>
      </c>
      <c r="S322" s="141">
        <v>0</v>
      </c>
      <c r="T322" s="141">
        <v>0</v>
      </c>
      <c r="U322" s="141">
        <v>0</v>
      </c>
      <c r="V322" s="141">
        <v>0</v>
      </c>
      <c r="W322" s="141">
        <v>0</v>
      </c>
      <c r="X322" s="141">
        <v>-19754</v>
      </c>
      <c r="Y322" s="141">
        <v>2541936</v>
      </c>
      <c r="Z322" s="141">
        <v>138593</v>
      </c>
      <c r="AA322" s="141">
        <v>138593</v>
      </c>
      <c r="AB322" s="141">
        <v>0</v>
      </c>
      <c r="AC322" s="141">
        <v>0</v>
      </c>
      <c r="AD322" s="141">
        <v>0</v>
      </c>
      <c r="AE322" s="141">
        <v>0</v>
      </c>
      <c r="AF322" s="141">
        <v>0</v>
      </c>
      <c r="AG322" s="141">
        <v>0</v>
      </c>
      <c r="AH322" s="141">
        <v>0</v>
      </c>
      <c r="AI322" s="141">
        <v>0</v>
      </c>
      <c r="AJ322" s="141">
        <v>0</v>
      </c>
      <c r="AK322" s="141">
        <v>0</v>
      </c>
      <c r="AL322" s="141">
        <v>0</v>
      </c>
      <c r="AM322" s="141">
        <v>0</v>
      </c>
      <c r="AN322" s="141">
        <v>0</v>
      </c>
      <c r="AO322" s="141">
        <v>0</v>
      </c>
      <c r="AP322" s="856">
        <v>0</v>
      </c>
      <c r="AQ322" s="856">
        <v>0</v>
      </c>
      <c r="AR322" s="857">
        <v>0</v>
      </c>
      <c r="AS322" t="s">
        <v>1888</v>
      </c>
    </row>
    <row r="323" spans="1:45" ht="12.75" x14ac:dyDescent="0.2">
      <c r="A323" s="764">
        <v>316</v>
      </c>
      <c r="B323" s="765" t="s">
        <v>521</v>
      </c>
      <c r="C323" s="766" t="s">
        <v>1217</v>
      </c>
      <c r="D323" s="767" t="s">
        <v>1227</v>
      </c>
      <c r="E323" s="768" t="s">
        <v>520</v>
      </c>
      <c r="F323" s="141">
        <v>28676976</v>
      </c>
      <c r="G323" s="141">
        <v>0</v>
      </c>
      <c r="H323" s="141">
        <v>28676976</v>
      </c>
      <c r="I323" s="141">
        <v>-286770</v>
      </c>
      <c r="J323" s="141">
        <v>0</v>
      </c>
      <c r="K323" s="141">
        <v>-286770</v>
      </c>
      <c r="L323" s="141">
        <v>-1944295</v>
      </c>
      <c r="M323" s="141">
        <v>0</v>
      </c>
      <c r="N323" s="141">
        <v>-1944295</v>
      </c>
      <c r="O323" s="141">
        <v>26445911</v>
      </c>
      <c r="P323" s="141">
        <v>0</v>
      </c>
      <c r="Q323" s="141">
        <v>26445911</v>
      </c>
      <c r="R323" s="141">
        <v>5156</v>
      </c>
      <c r="S323" s="141">
        <v>0</v>
      </c>
      <c r="T323" s="141">
        <v>5156</v>
      </c>
      <c r="U323" s="141">
        <v>0</v>
      </c>
      <c r="V323" s="141">
        <v>0</v>
      </c>
      <c r="W323" s="141">
        <v>0</v>
      </c>
      <c r="X323" s="141">
        <v>0</v>
      </c>
      <c r="Y323" s="141">
        <v>0</v>
      </c>
      <c r="Z323" s="141">
        <v>0</v>
      </c>
      <c r="AA323" s="141">
        <v>0</v>
      </c>
      <c r="AB323" s="141">
        <v>0</v>
      </c>
      <c r="AC323" s="141">
        <v>0</v>
      </c>
      <c r="AD323" s="141">
        <v>0</v>
      </c>
      <c r="AE323" s="141">
        <v>0</v>
      </c>
      <c r="AF323" s="141">
        <v>0</v>
      </c>
      <c r="AG323" s="141">
        <v>0</v>
      </c>
      <c r="AH323" s="141">
        <v>0</v>
      </c>
      <c r="AI323" s="141">
        <v>0</v>
      </c>
      <c r="AJ323" s="141">
        <v>0</v>
      </c>
      <c r="AK323" s="141">
        <v>0</v>
      </c>
      <c r="AL323" s="141">
        <v>0</v>
      </c>
      <c r="AM323" s="141">
        <v>0</v>
      </c>
      <c r="AN323" s="141">
        <v>0</v>
      </c>
      <c r="AO323" s="141">
        <v>0</v>
      </c>
      <c r="AP323" s="856">
        <v>0</v>
      </c>
      <c r="AQ323" s="856">
        <v>0</v>
      </c>
      <c r="AR323" s="857">
        <v>0</v>
      </c>
      <c r="AS323" t="s">
        <v>1889</v>
      </c>
    </row>
    <row r="324" spans="1:45" ht="13.5" thickBot="1" x14ac:dyDescent="0.25">
      <c r="A324" s="764">
        <v>317</v>
      </c>
      <c r="B324" s="765" t="s">
        <v>523</v>
      </c>
      <c r="C324" s="766" t="s">
        <v>529</v>
      </c>
      <c r="D324" s="767" t="s">
        <v>1225</v>
      </c>
      <c r="E324" s="768" t="s">
        <v>602</v>
      </c>
      <c r="F324" s="141">
        <v>104097777</v>
      </c>
      <c r="G324" s="141">
        <v>877255</v>
      </c>
      <c r="H324" s="141">
        <v>104975032</v>
      </c>
      <c r="I324" s="141">
        <v>-395000</v>
      </c>
      <c r="J324" s="141">
        <v>-5000</v>
      </c>
      <c r="K324" s="141">
        <v>-400000</v>
      </c>
      <c r="L324" s="141">
        <v>-2900000</v>
      </c>
      <c r="M324" s="141">
        <v>0</v>
      </c>
      <c r="N324" s="141">
        <v>-2900000</v>
      </c>
      <c r="O324" s="141">
        <v>100802777</v>
      </c>
      <c r="P324" s="141">
        <v>872255</v>
      </c>
      <c r="Q324" s="141">
        <v>101675032</v>
      </c>
      <c r="R324" s="141">
        <v>0</v>
      </c>
      <c r="S324" s="141">
        <v>0</v>
      </c>
      <c r="T324" s="141">
        <v>0</v>
      </c>
      <c r="U324" s="141">
        <v>0</v>
      </c>
      <c r="V324" s="141">
        <v>0</v>
      </c>
      <c r="W324" s="141">
        <v>0</v>
      </c>
      <c r="X324" s="141">
        <v>314253</v>
      </c>
      <c r="Y324" s="141">
        <v>785867</v>
      </c>
      <c r="Z324" s="141">
        <v>400640</v>
      </c>
      <c r="AA324" s="141">
        <v>400640</v>
      </c>
      <c r="AB324" s="141">
        <v>0</v>
      </c>
      <c r="AC324" s="141">
        <v>0</v>
      </c>
      <c r="AD324" s="141">
        <v>0</v>
      </c>
      <c r="AE324" s="141">
        <v>0</v>
      </c>
      <c r="AF324" s="141">
        <v>0</v>
      </c>
      <c r="AG324" s="141">
        <v>0</v>
      </c>
      <c r="AH324" s="141">
        <v>0</v>
      </c>
      <c r="AI324" s="141">
        <v>0</v>
      </c>
      <c r="AJ324" s="141">
        <v>0</v>
      </c>
      <c r="AK324" s="141">
        <v>0</v>
      </c>
      <c r="AL324" s="141">
        <v>0</v>
      </c>
      <c r="AM324" s="141">
        <v>0</v>
      </c>
      <c r="AN324" s="141">
        <v>0</v>
      </c>
      <c r="AO324" s="141">
        <v>0</v>
      </c>
      <c r="AP324" s="856">
        <v>0</v>
      </c>
      <c r="AQ324" s="856">
        <v>0</v>
      </c>
      <c r="AR324" s="857">
        <v>0</v>
      </c>
      <c r="AS324" t="s">
        <v>1890</v>
      </c>
    </row>
    <row r="325" spans="1:45" ht="13.5" thickBot="1" x14ac:dyDescent="0.25">
      <c r="A325" s="773">
        <v>327</v>
      </c>
      <c r="B325" s="864" t="s">
        <v>524</v>
      </c>
      <c r="C325" s="774"/>
      <c r="D325" s="775" t="s">
        <v>1221</v>
      </c>
      <c r="E325" s="775" t="s">
        <v>1230</v>
      </c>
      <c r="F325" s="860">
        <v>26291464299.208</v>
      </c>
      <c r="G325" s="858">
        <v>270308892.52999997</v>
      </c>
      <c r="H325" s="858">
        <v>26561773191.737995</v>
      </c>
      <c r="I325" s="858">
        <v>-284598766</v>
      </c>
      <c r="J325" s="858">
        <v>-3807970</v>
      </c>
      <c r="K325" s="858">
        <v>-288406736</v>
      </c>
      <c r="L325" s="858">
        <v>-1042723171.302</v>
      </c>
      <c r="M325" s="858">
        <v>-10737433</v>
      </c>
      <c r="N325" s="858">
        <v>-1053460604.302</v>
      </c>
      <c r="O325" s="858">
        <v>24964142361.906002</v>
      </c>
      <c r="P325" s="858">
        <v>255763489.53</v>
      </c>
      <c r="Q325" s="858">
        <v>25219905851.436001</v>
      </c>
      <c r="R325" s="858">
        <v>64892589</v>
      </c>
      <c r="S325" s="858">
        <v>1776605</v>
      </c>
      <c r="T325" s="858">
        <v>66669194</v>
      </c>
      <c r="U325" s="858">
        <v>25956</v>
      </c>
      <c r="V325" s="858">
        <v>0</v>
      </c>
      <c r="W325" s="858">
        <v>25956</v>
      </c>
      <c r="X325" s="858">
        <v>-3557124.53</v>
      </c>
      <c r="Y325" s="858">
        <v>214011640</v>
      </c>
      <c r="Z325" s="858">
        <v>61929102</v>
      </c>
      <c r="AA325" s="858">
        <v>61929102</v>
      </c>
      <c r="AB325" s="858">
        <v>187283</v>
      </c>
      <c r="AC325" s="858">
        <v>4806445</v>
      </c>
      <c r="AD325" s="858">
        <v>4993728</v>
      </c>
      <c r="AE325" s="858">
        <v>1002743</v>
      </c>
      <c r="AF325" s="858">
        <v>9936827</v>
      </c>
      <c r="AG325" s="858">
        <v>10939570</v>
      </c>
      <c r="AH325" s="858">
        <v>221425231</v>
      </c>
      <c r="AI325" s="858">
        <v>221425231</v>
      </c>
      <c r="AJ325" s="858">
        <v>225896984.40292656</v>
      </c>
      <c r="AK325" s="858">
        <v>225896984.40292656</v>
      </c>
      <c r="AL325" s="858">
        <v>3210467</v>
      </c>
      <c r="AM325" s="858">
        <v>3210467</v>
      </c>
      <c r="AN325" s="858">
        <v>1365840</v>
      </c>
      <c r="AO325" s="858">
        <v>696578</v>
      </c>
      <c r="AP325" s="858">
        <v>4909788</v>
      </c>
      <c r="AQ325" s="858">
        <v>9936827</v>
      </c>
      <c r="AR325" s="859">
        <v>14846615</v>
      </c>
    </row>
    <row r="326" spans="1:45" x14ac:dyDescent="0.2">
      <c r="D326" s="780"/>
      <c r="E326" s="781"/>
    </row>
    <row r="327" spans="1:45" x14ac:dyDescent="0.2">
      <c r="D327" s="780"/>
      <c r="E327" s="781"/>
    </row>
    <row r="328" spans="1:45" x14ac:dyDescent="0.2">
      <c r="A328" s="784"/>
      <c r="D328" s="780"/>
      <c r="E328" s="781"/>
    </row>
    <row r="329" spans="1:45" x14ac:dyDescent="0.2">
      <c r="D329" s="780"/>
      <c r="E329" s="781"/>
    </row>
    <row r="330" spans="1:45" x14ac:dyDescent="0.2">
      <c r="D330" s="780"/>
      <c r="E330" s="781"/>
    </row>
  </sheetData>
  <mergeCells count="27">
    <mergeCell ref="AJ2:AK2"/>
    <mergeCell ref="AL2:AM2"/>
    <mergeCell ref="AN2:AO2"/>
    <mergeCell ref="AP2:AR2"/>
    <mergeCell ref="U2:W2"/>
    <mergeCell ref="AP1:AR1"/>
    <mergeCell ref="F2:H2"/>
    <mergeCell ref="I2:K2"/>
    <mergeCell ref="L2:N2"/>
    <mergeCell ref="O2:Q2"/>
    <mergeCell ref="R2:T2"/>
    <mergeCell ref="Z2:AA2"/>
    <mergeCell ref="AB2:AD2"/>
    <mergeCell ref="AE2:AG2"/>
    <mergeCell ref="AH2:AI2"/>
    <mergeCell ref="AB1:AD1"/>
    <mergeCell ref="AE1:AG1"/>
    <mergeCell ref="AH1:AI1"/>
    <mergeCell ref="AJ1:AK1"/>
    <mergeCell ref="AL1:AM1"/>
    <mergeCell ref="AN1:AO1"/>
    <mergeCell ref="Z1:AA1"/>
    <mergeCell ref="F1:H1"/>
    <mergeCell ref="I1:K1"/>
    <mergeCell ref="L1:N1"/>
    <mergeCell ref="O1:Q1"/>
    <mergeCell ref="R1:T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77CED0FC-71EC-4217-A551-F5448A0D7D0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Metadata</vt:lpstr>
      <vt:lpstr>Part 1</vt:lpstr>
      <vt:lpstr>Part 2</vt:lpstr>
      <vt:lpstr>Part 3</vt:lpstr>
      <vt:lpstr>Part 3 DA summary</vt:lpstr>
      <vt:lpstr>Part 4</vt:lpstr>
      <vt:lpstr>DataSheet1</vt:lpstr>
      <vt:lpstr>DataSheet2</vt:lpstr>
      <vt:lpstr>DataSheet3</vt:lpstr>
      <vt:lpstr>DataSheetDA</vt:lpstr>
      <vt:lpstr>DataSheet4</vt:lpstr>
      <vt:lpstr>LA List</vt:lpstr>
      <vt:lpstr>Data</vt:lpstr>
      <vt:lpstr>CONTACT</vt:lpstr>
      <vt:lpstr>'Part 3 DA summary'!CTRprint1</vt:lpstr>
      <vt:lpstr>'Part 3 DA summary'!CTRprint2</vt:lpstr>
      <vt:lpstr>datar</vt:lpstr>
      <vt:lpstr>Import_LA_Name</vt:lpstr>
      <vt:lpstr>'Part 1'!Print_Area</vt:lpstr>
      <vt:lpstr>'Part 2'!Print_Area</vt:lpstr>
      <vt:lpstr>'Part 3'!Print_Area</vt:lpstr>
      <vt:lpstr>'Part 3 DA summary'!Print_Area</vt:lpstr>
      <vt:lpstr>'Part 4'!Print_Area</vt:lpstr>
      <vt:lpstr>Data!Print_Titles</vt:lpstr>
      <vt:lpstr>'Part 1'!Print_Titles</vt:lpstr>
      <vt:lpstr>'Part 2'!Print_Titles</vt:lpstr>
      <vt:lpstr>'Part 3 DA summary'!Print_Titles</vt:lpstr>
    </vt:vector>
  </TitlesOfParts>
  <Company>DCLG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Nigel Harrison</cp:lastModifiedBy>
  <cp:lastPrinted>2018-12-10T16:32:03Z</cp:lastPrinted>
  <dcterms:created xsi:type="dcterms:W3CDTF">2013-07-12T16:47:25Z</dcterms:created>
  <dcterms:modified xsi:type="dcterms:W3CDTF">2019-03-11T15:45:44Z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fcbce986-44f5-40e0-a3bd-f6d46f37ffa7</vt:lpwstr>
  </property>
  <property fmtid="{D5CDD505-2E9C-101B-9397-08002B2CF9AE}" pid="3" name="bjSaver">
    <vt:lpwstr>XePHT1A/4MVOnNF8mnysHX9hPqgb2QQL</vt:lpwstr>
  </property>
  <property fmtid="{D5CDD505-2E9C-101B-9397-08002B2CF9AE}" pid="4" name="bjDocumentSecurityLabel">
    <vt:lpwstr>No Marking</vt:lpwstr>
  </property>
</Properties>
</file>